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dos" sheetId="1" r:id="rId4"/>
    <sheet state="hidden" name="Coletas" sheetId="2" r:id="rId5"/>
    <sheet state="hidden" name="Data_raw" sheetId="3" r:id="rId6"/>
    <sheet state="visible" name="Data_filtered" sheetId="4" r:id="rId7"/>
    <sheet state="visible" name="Resumo" sheetId="5" r:id="rId8"/>
    <sheet state="hidden" name="Contas_Diet_T" sheetId="6" r:id="rId9"/>
    <sheet state="hidden" name="Diet_T_Frequency" sheetId="7" r:id="rId10"/>
    <sheet state="hidden" name="Trilhas" sheetId="8" r:id="rId11"/>
    <sheet state="hidden" name="Ambiente" sheetId="9" r:id="rId12"/>
    <sheet state="visible" name="Diet_T_Freq" sheetId="10" r:id="rId13"/>
    <sheet state="visible" name="Diet_T_Vol" sheetId="11" r:id="rId14"/>
    <sheet state="hidden" name="Diet_T_Freq_Xincomp" sheetId="12" r:id="rId15"/>
    <sheet state="hidden" name="Diet_T_Vol_Xincomp" sheetId="13" r:id="rId16"/>
    <sheet state="hidden" name="Diet_E_Freq" sheetId="14" r:id="rId17"/>
    <sheet state="hidden" name="Diet_M_Freq" sheetId="15" r:id="rId18"/>
    <sheet state="visible" name="Diet_E_Freq_Xincomp" sheetId="16" r:id="rId19"/>
    <sheet state="visible" name="Diet_M_Freq_Xincomp" sheetId="17" r:id="rId20"/>
    <sheet state="visible" name="Diet_E_Vol_Xincomp" sheetId="18" r:id="rId21"/>
    <sheet state="visible" name="Diet_M_Vol_Xincomp" sheetId="19" r:id="rId22"/>
    <sheet state="hidden" name="Exp" sheetId="20" r:id="rId23"/>
    <sheet state="hidden" name="SPP_Itens_Total" sheetId="21" r:id="rId24"/>
    <sheet state="hidden" name="MP_T_Total" sheetId="22" r:id="rId25"/>
    <sheet state="hidden" name="MP_T_Mata" sheetId="23" r:id="rId26"/>
    <sheet state="hidden" name="MP_T_Eucalipto" sheetId="24" r:id="rId27"/>
    <sheet state="hidden" name="M_P_Mata" sheetId="25" r:id="rId28"/>
    <sheet state="hidden" name="M_P_Eucalipto" sheetId="26" r:id="rId29"/>
  </sheets>
  <definedNames>
    <definedName name="lista_soma">Contas_Diet_T!$A$3:$E$40</definedName>
    <definedName name="resumo_f">Contas_Diet_T!$J$1:$N$14</definedName>
    <definedName name="data_filt">Data_filtered!$A$2:$K$461</definedName>
    <definedName name="lista_check">Contas_Diet_T!$G$2:$H$27</definedName>
    <definedName hidden="1" localSheetId="2" name="_xlnm._FilterDatabase">Data_raw!$C$1:$C$483</definedName>
    <definedName hidden="1" localSheetId="3" name="_xlnm._FilterDatabase">Data_filtered!$A$1:$K$461</definedName>
  </definedNames>
  <calcPr/>
</workbook>
</file>

<file path=xl/sharedStrings.xml><?xml version="1.0" encoding="utf-8"?>
<sst xmlns="http://schemas.openxmlformats.org/spreadsheetml/2006/main" count="13755" uniqueCount="971">
  <si>
    <t>Eucalipto</t>
  </si>
  <si>
    <t>Sigla</t>
  </si>
  <si>
    <t>Latitude</t>
  </si>
  <si>
    <t>Longitude</t>
  </si>
  <si>
    <t>Mata</t>
  </si>
  <si>
    <t>Trevo A</t>
  </si>
  <si>
    <t>E_TA</t>
  </si>
  <si>
    <t>Capelinha A</t>
  </si>
  <si>
    <t>M_CA</t>
  </si>
  <si>
    <t>Trevo B</t>
  </si>
  <si>
    <t>E_TB</t>
  </si>
  <si>
    <t>Capelinha B</t>
  </si>
  <si>
    <t>M_CB</t>
  </si>
  <si>
    <t>Canal A</t>
  </si>
  <si>
    <t>E_CAA</t>
  </si>
  <si>
    <t>Araucária A</t>
  </si>
  <si>
    <t>M_AA</t>
  </si>
  <si>
    <t>Canal B</t>
  </si>
  <si>
    <t>E_CAB</t>
  </si>
  <si>
    <t>Araucária B</t>
  </si>
  <si>
    <t>M_AB</t>
  </si>
  <si>
    <t>Vargem Limpa A</t>
  </si>
  <si>
    <t>E_VLA</t>
  </si>
  <si>
    <t>Ponciano A</t>
  </si>
  <si>
    <t>M_PA</t>
  </si>
  <si>
    <t>Vargem Limpa B</t>
  </si>
  <si>
    <t>E_VLB</t>
  </si>
  <si>
    <t>Ponciano B</t>
  </si>
  <si>
    <t>M_PB</t>
  </si>
  <si>
    <t>Fazenda A</t>
  </si>
  <si>
    <t>E_FA</t>
  </si>
  <si>
    <t>M_FA</t>
  </si>
  <si>
    <t>Fazenda B</t>
  </si>
  <si>
    <t>E_FB</t>
  </si>
  <si>
    <t>M_FB</t>
  </si>
  <si>
    <t>Bela Vista A</t>
  </si>
  <si>
    <t>E_BVA</t>
  </si>
  <si>
    <t>M_BVA</t>
  </si>
  <si>
    <t>Bela Vista B</t>
  </si>
  <si>
    <t>E_BVB</t>
  </si>
  <si>
    <t>M_BVB</t>
  </si>
  <si>
    <t>Não consideramos anexos (antenas, pernas, asas) na medição</t>
  </si>
  <si>
    <t>Consideramos maior largura possível do corpo</t>
  </si>
  <si>
    <t>Alguns itens são menores que o quadrado do milímetro</t>
  </si>
  <si>
    <t>Bichos detonados pela armadilha foram descartados</t>
  </si>
  <si>
    <t>Consideramos família staphylinidae por liberarem toxinas e talvez não serem encontrados nos estômagos</t>
  </si>
  <si>
    <t>Para os estômagos, consideramos o viés de sempre um indivíduo a menos caso a estrutura do corpo esteja solta e isolada</t>
  </si>
  <si>
    <t>Escarabeídeo contabilizado por pronoto</t>
  </si>
  <si>
    <t>Para itens parcialmente incompletos foi feita uma estimativa segura do tamanho</t>
  </si>
  <si>
    <t>Estômagos: conteúdo muito digerido, contabilizamos um número seguro de itens e consideramos como Não Identificados</t>
  </si>
  <si>
    <t>Substrato= pedregulho, terra, etc.</t>
  </si>
  <si>
    <t>Quando somente Massa cinza</t>
  </si>
  <si>
    <t>Vazio?</t>
  </si>
  <si>
    <t>Trilhas que não foram amostrados os invertebrados: eucalipto fazendinha A e B; ponciano (mata) A e B</t>
  </si>
  <si>
    <t>Abreviações</t>
  </si>
  <si>
    <t>Acari</t>
  </si>
  <si>
    <t>Ac</t>
  </si>
  <si>
    <t>Araneae</t>
  </si>
  <si>
    <t>Ar</t>
  </si>
  <si>
    <t>Blattodea</t>
  </si>
  <si>
    <t>B</t>
  </si>
  <si>
    <t>Chilopoda</t>
  </si>
  <si>
    <t>Ch</t>
  </si>
  <si>
    <t>Coleoptera</t>
  </si>
  <si>
    <t xml:space="preserve">C </t>
  </si>
  <si>
    <t>Coleoptera Larva</t>
  </si>
  <si>
    <t>Cl</t>
  </si>
  <si>
    <t>Collembola</t>
  </si>
  <si>
    <t>Co</t>
  </si>
  <si>
    <t>Dermaptera</t>
  </si>
  <si>
    <t>De</t>
  </si>
  <si>
    <t>Diplopoda</t>
  </si>
  <si>
    <t>Di</t>
  </si>
  <si>
    <t>Ensifera</t>
  </si>
  <si>
    <t>En</t>
  </si>
  <si>
    <t>Formicidae</t>
  </si>
  <si>
    <t>F</t>
  </si>
  <si>
    <t>Hemiptera</t>
  </si>
  <si>
    <t>Hm</t>
  </si>
  <si>
    <t>Heteroptera</t>
  </si>
  <si>
    <t>Ht</t>
  </si>
  <si>
    <t>Isópode</t>
  </si>
  <si>
    <t>Is</t>
  </si>
  <si>
    <t>Isoptera</t>
  </si>
  <si>
    <t>Ip</t>
  </si>
  <si>
    <t>Larva</t>
  </si>
  <si>
    <t>L</t>
  </si>
  <si>
    <t>Lepidoptera Larva</t>
  </si>
  <si>
    <t>Ll</t>
  </si>
  <si>
    <t>Mosca</t>
  </si>
  <si>
    <t>Br</t>
  </si>
  <si>
    <t>Opiliones</t>
  </si>
  <si>
    <t>Op</t>
  </si>
  <si>
    <t>Orthoptera</t>
  </si>
  <si>
    <t>Ot</t>
  </si>
  <si>
    <t>Pterygota</t>
  </si>
  <si>
    <t>Pt</t>
  </si>
  <si>
    <t>Staphylinidae</t>
  </si>
  <si>
    <t>St</t>
  </si>
  <si>
    <t>Thysanoptera</t>
  </si>
  <si>
    <t>Th</t>
  </si>
  <si>
    <t>Vespa</t>
  </si>
  <si>
    <t>V</t>
  </si>
  <si>
    <t>Data</t>
  </si>
  <si>
    <t>Código</t>
  </si>
  <si>
    <t>Trilha</t>
  </si>
  <si>
    <t>Período</t>
  </si>
  <si>
    <t>Horário</t>
  </si>
  <si>
    <t>Espécie</t>
  </si>
  <si>
    <t>Estágio</t>
  </si>
  <si>
    <t>Coleta</t>
  </si>
  <si>
    <t>Fotografado</t>
  </si>
  <si>
    <t>Microhabitat</t>
  </si>
  <si>
    <t>Observações</t>
  </si>
  <si>
    <t>Retirou estômago?</t>
  </si>
  <si>
    <t>Coletor</t>
  </si>
  <si>
    <t>MRCM1470</t>
  </si>
  <si>
    <t>Fazendinha A (eucalipto)</t>
  </si>
  <si>
    <t>manhã</t>
  </si>
  <si>
    <t>Ischnocnema juipoca</t>
  </si>
  <si>
    <t>Adulto</t>
  </si>
  <si>
    <t>Sim</t>
  </si>
  <si>
    <t>Não</t>
  </si>
  <si>
    <t>MRCM1471</t>
  </si>
  <si>
    <t>Bela Vista A (mata)</t>
  </si>
  <si>
    <t>noite</t>
  </si>
  <si>
    <t>Boana latistriata</t>
  </si>
  <si>
    <t>MRCM1475</t>
  </si>
  <si>
    <t>20h23</t>
  </si>
  <si>
    <t>Ololygon obtriangulata</t>
  </si>
  <si>
    <t>Gabi</t>
  </si>
  <si>
    <t>MRCM1479</t>
  </si>
  <si>
    <t>Bela Vista B (mata)</t>
  </si>
  <si>
    <t>21h55</t>
  </si>
  <si>
    <t>Physalaemus olfersii</t>
  </si>
  <si>
    <t>MRCM1480</t>
  </si>
  <si>
    <t>21h10</t>
  </si>
  <si>
    <t>Chiasmocleis mantiqueira</t>
  </si>
  <si>
    <t>MRCM1485</t>
  </si>
  <si>
    <t>Trevo A (eucalipto)</t>
  </si>
  <si>
    <t>21h28</t>
  </si>
  <si>
    <t>Serapilheira</t>
  </si>
  <si>
    <t>Carolzinha</t>
  </si>
  <si>
    <t>MRCM1486</t>
  </si>
  <si>
    <t>20h34</t>
  </si>
  <si>
    <t>Ischnocnema guentheri</t>
  </si>
  <si>
    <t>Rosana</t>
  </si>
  <si>
    <t>MRCM1488</t>
  </si>
  <si>
    <t>Bela Vista A (mata) ocasional</t>
  </si>
  <si>
    <t>20h35</t>
  </si>
  <si>
    <t>Bokermannohyla luctuosa</t>
  </si>
  <si>
    <t>Bromélia</t>
  </si>
  <si>
    <t>MRCM1489</t>
  </si>
  <si>
    <t>20h36</t>
  </si>
  <si>
    <t>Scinax aff. duartei</t>
  </si>
  <si>
    <t>Tronco de árvore</t>
  </si>
  <si>
    <t>MRCM1490</t>
  </si>
  <si>
    <t>20h52</t>
  </si>
  <si>
    <t>Boana prasina</t>
  </si>
  <si>
    <t>Veg. Próxima d'água</t>
  </si>
  <si>
    <t>MRCM1494</t>
  </si>
  <si>
    <t>22h12</t>
  </si>
  <si>
    <t>Odontophrynus americanus</t>
  </si>
  <si>
    <t>MRCM1495</t>
  </si>
  <si>
    <t>22h28</t>
  </si>
  <si>
    <t>Physalaemus cuvieri</t>
  </si>
  <si>
    <t>Carolzinha/Rosana</t>
  </si>
  <si>
    <t>MRCM1496</t>
  </si>
  <si>
    <t>Capelinha B (mata)</t>
  </si>
  <si>
    <t>21h13</t>
  </si>
  <si>
    <t>Dendropsophus microps</t>
  </si>
  <si>
    <t>Galho médio</t>
  </si>
  <si>
    <t>MRCM1497</t>
  </si>
  <si>
    <t>Eucalipto trevo (ocasional)</t>
  </si>
  <si>
    <t>21h37</t>
  </si>
  <si>
    <t>Scinax aff. dolloi</t>
  </si>
  <si>
    <t>deslocando</t>
  </si>
  <si>
    <t>Gabi/Rosana</t>
  </si>
  <si>
    <t>MRCM1498</t>
  </si>
  <si>
    <t>Trevo B (eucalipto)</t>
  </si>
  <si>
    <t>Galho de eucalipto derrubado</t>
  </si>
  <si>
    <t>Fêmea ovada</t>
  </si>
  <si>
    <t>Gabi/Carolzinha</t>
  </si>
  <si>
    <t>MRCM1499</t>
  </si>
  <si>
    <t>19h53</t>
  </si>
  <si>
    <t>MRCM1500</t>
  </si>
  <si>
    <t>20h58</t>
  </si>
  <si>
    <t>MRCM1501</t>
  </si>
  <si>
    <t>21h24</t>
  </si>
  <si>
    <t>s/ mão direita</t>
  </si>
  <si>
    <t>MRCM1502</t>
  </si>
  <si>
    <t>Fazendinha B (eucalipto)</t>
  </si>
  <si>
    <t>22h13</t>
  </si>
  <si>
    <t>Rosana/Gabi</t>
  </si>
  <si>
    <t>MRCM1503</t>
  </si>
  <si>
    <t>MRCM1504</t>
  </si>
  <si>
    <t>22h24</t>
  </si>
  <si>
    <t>Galho baixo</t>
  </si>
  <si>
    <t>MRCM1505</t>
  </si>
  <si>
    <t>11h03</t>
  </si>
  <si>
    <t>MRCM1506</t>
  </si>
  <si>
    <t>21h52</t>
  </si>
  <si>
    <t>Vegetação média</t>
  </si>
  <si>
    <t>MRCM1507</t>
  </si>
  <si>
    <t>21h35</t>
  </si>
  <si>
    <t>MRCM1508</t>
  </si>
  <si>
    <t>08h24</t>
  </si>
  <si>
    <t>Proceratophrys boiei</t>
  </si>
  <si>
    <t>MRCM1509</t>
  </si>
  <si>
    <t>21h22</t>
  </si>
  <si>
    <t>Rhinella icterica</t>
  </si>
  <si>
    <t>MRCM1510</t>
  </si>
  <si>
    <t>MRCM1511</t>
  </si>
  <si>
    <t>Araucária A (ocasional)</t>
  </si>
  <si>
    <t>Aplastodiscus albosignatus</t>
  </si>
  <si>
    <t>MRCM1512</t>
  </si>
  <si>
    <t>MRCM1513</t>
  </si>
  <si>
    <t>MRCM1514</t>
  </si>
  <si>
    <t>21h40</t>
  </si>
  <si>
    <t>Juvenil</t>
  </si>
  <si>
    <t>MRCM1515</t>
  </si>
  <si>
    <t>Vargem Limpa B (eucalipto)</t>
  </si>
  <si>
    <t>tarde</t>
  </si>
  <si>
    <t>16h58</t>
  </si>
  <si>
    <t>MRCM1516</t>
  </si>
  <si>
    <t>22h30</t>
  </si>
  <si>
    <t>Matheus</t>
  </si>
  <si>
    <t>MRCM1519</t>
  </si>
  <si>
    <t>20h37</t>
  </si>
  <si>
    <t>MRCM1520</t>
  </si>
  <si>
    <t>21h16</t>
  </si>
  <si>
    <t>MRCM1521</t>
  </si>
  <si>
    <t>11h32</t>
  </si>
  <si>
    <t>MRCM1523</t>
  </si>
  <si>
    <t>21h05</t>
  </si>
  <si>
    <t>Vocalizando</t>
  </si>
  <si>
    <t>MRCM1524</t>
  </si>
  <si>
    <t>21h42</t>
  </si>
  <si>
    <t>MRCM1525</t>
  </si>
  <si>
    <t>21h06</t>
  </si>
  <si>
    <t>Vegetação baixa</t>
  </si>
  <si>
    <t>MRCM1526</t>
  </si>
  <si>
    <t>21h20</t>
  </si>
  <si>
    <t>MRCM1527</t>
  </si>
  <si>
    <t>21h21</t>
  </si>
  <si>
    <t>MRCM1528</t>
  </si>
  <si>
    <t>08h11</t>
  </si>
  <si>
    <t>MRCM1529</t>
  </si>
  <si>
    <t>20h25</t>
  </si>
  <si>
    <t>MRCM1530</t>
  </si>
  <si>
    <t>20h40</t>
  </si>
  <si>
    <t>MRCM1531</t>
  </si>
  <si>
    <t>21h00</t>
  </si>
  <si>
    <t>MRCM1533</t>
  </si>
  <si>
    <t>Ponciano pinus (ocasional)</t>
  </si>
  <si>
    <t>20h24</t>
  </si>
  <si>
    <t>MRCM1534</t>
  </si>
  <si>
    <t>21h53</t>
  </si>
  <si>
    <t>MRCM1535</t>
  </si>
  <si>
    <t>MRCM1536</t>
  </si>
  <si>
    <t>20h56</t>
  </si>
  <si>
    <t>MRCM1537</t>
  </si>
  <si>
    <t>MRCM1540</t>
  </si>
  <si>
    <t>20h26</t>
  </si>
  <si>
    <t>Tronco</t>
  </si>
  <si>
    <t>MRCM1541</t>
  </si>
  <si>
    <t>MRCM1542</t>
  </si>
  <si>
    <t>MRCM1543</t>
  </si>
  <si>
    <t>15h36</t>
  </si>
  <si>
    <t>MRCM1544</t>
  </si>
  <si>
    <t>21h41</t>
  </si>
  <si>
    <t>MRCM1545</t>
  </si>
  <si>
    <t>18h30</t>
  </si>
  <si>
    <t>MRCM1546</t>
  </si>
  <si>
    <t>18h52</t>
  </si>
  <si>
    <t>Samambaia/tronco</t>
  </si>
  <si>
    <t>MRCM1547</t>
  </si>
  <si>
    <t>19h01</t>
  </si>
  <si>
    <t>MRCM1548</t>
  </si>
  <si>
    <t>19h29</t>
  </si>
  <si>
    <t>MRCM1549</t>
  </si>
  <si>
    <t>Bela Vista B (eucalipto)</t>
  </si>
  <si>
    <t>19h59</t>
  </si>
  <si>
    <t>MRCM1550</t>
  </si>
  <si>
    <t>10h26</t>
  </si>
  <si>
    <t>MRCM1551</t>
  </si>
  <si>
    <t>09h33</t>
  </si>
  <si>
    <t>MRCM1556</t>
  </si>
  <si>
    <t>Vargem Limpa A (eucalipto)</t>
  </si>
  <si>
    <t>08h35</t>
  </si>
  <si>
    <t>MRCM1558</t>
  </si>
  <si>
    <t>19h24</t>
  </si>
  <si>
    <t>MRCM1559</t>
  </si>
  <si>
    <t>19h58</t>
  </si>
  <si>
    <t>MRCM1560</t>
  </si>
  <si>
    <t>21h11</t>
  </si>
  <si>
    <t>MRCM1562</t>
  </si>
  <si>
    <t>08h30</t>
  </si>
  <si>
    <t>Solo próximo a riacho</t>
  </si>
  <si>
    <t>Macho</t>
  </si>
  <si>
    <t>MRCM1566</t>
  </si>
  <si>
    <t>MRCM1567</t>
  </si>
  <si>
    <t>MRCM1568</t>
  </si>
  <si>
    <t>MRCM1569</t>
  </si>
  <si>
    <t>08h34</t>
  </si>
  <si>
    <t>Hylodes aff. sazimai</t>
  </si>
  <si>
    <t>Solo riacho</t>
  </si>
  <si>
    <t>Fêmea</t>
  </si>
  <si>
    <t>MRCM1570</t>
  </si>
  <si>
    <t>09h00</t>
  </si>
  <si>
    <t>MRCM1574</t>
  </si>
  <si>
    <t>Bela Vista A (eucalipto)</t>
  </si>
  <si>
    <t>MRCM1576</t>
  </si>
  <si>
    <t>20h51</t>
  </si>
  <si>
    <t>Galho na serapilheira</t>
  </si>
  <si>
    <t>MRCM1584</t>
  </si>
  <si>
    <t>Fábrica (ocasional)</t>
  </si>
  <si>
    <t>20h00</t>
  </si>
  <si>
    <t>Leptodactylus latrans</t>
  </si>
  <si>
    <t>Fábrica</t>
  </si>
  <si>
    <t>MRCM1585</t>
  </si>
  <si>
    <t>Vegetação na água</t>
  </si>
  <si>
    <t>Jade</t>
  </si>
  <si>
    <t>MRCM1586</t>
  </si>
  <si>
    <t>MRCM1587</t>
  </si>
  <si>
    <t>MRCM1588</t>
  </si>
  <si>
    <t>21h47</t>
  </si>
  <si>
    <t>Tronco na serapilheira</t>
  </si>
  <si>
    <t>MRCM1589</t>
  </si>
  <si>
    <t>22h08</t>
  </si>
  <si>
    <t>Deslocando</t>
  </si>
  <si>
    <t>MRCM1593</t>
  </si>
  <si>
    <t>11h05</t>
  </si>
  <si>
    <t>Morta</t>
  </si>
  <si>
    <t>MRCM1594</t>
  </si>
  <si>
    <t>12h00</t>
  </si>
  <si>
    <t>João</t>
  </si>
  <si>
    <t>MRCM1595</t>
  </si>
  <si>
    <t>21h36</t>
  </si>
  <si>
    <t>MRCM1596</t>
  </si>
  <si>
    <t>11h45</t>
  </si>
  <si>
    <t>MRCM1603</t>
  </si>
  <si>
    <t>19h45</t>
  </si>
  <si>
    <t>Proceratophrys itamari</t>
  </si>
  <si>
    <t>MRCM1604</t>
  </si>
  <si>
    <t>MRCM1605</t>
  </si>
  <si>
    <t>22h22</t>
  </si>
  <si>
    <t>MRCM1606</t>
  </si>
  <si>
    <t>10h11</t>
  </si>
  <si>
    <t>Trachycephalus imitatrix</t>
  </si>
  <si>
    <t>MRCM1607</t>
  </si>
  <si>
    <t>10h13</t>
  </si>
  <si>
    <t>Bruno</t>
  </si>
  <si>
    <t>MRCM1608</t>
  </si>
  <si>
    <t>11h27</t>
  </si>
  <si>
    <t>Mauro</t>
  </si>
  <si>
    <t>MRCM1609</t>
  </si>
  <si>
    <t>20h43</t>
  </si>
  <si>
    <t>Embaixo de tronco</t>
  </si>
  <si>
    <t>MRCM1610</t>
  </si>
  <si>
    <t>Boana faber</t>
  </si>
  <si>
    <t>MRCM1611</t>
  </si>
  <si>
    <t>21h26</t>
  </si>
  <si>
    <t>MRCM1612</t>
  </si>
  <si>
    <t>22h41</t>
  </si>
  <si>
    <t>Samambaia</t>
  </si>
  <si>
    <t>MRCM1613</t>
  </si>
  <si>
    <t>22h53</t>
  </si>
  <si>
    <t>MRCM1614</t>
  </si>
  <si>
    <t>09h03</t>
  </si>
  <si>
    <t>Gramínea</t>
  </si>
  <si>
    <t>MRCM1615</t>
  </si>
  <si>
    <t>09h28</t>
  </si>
  <si>
    <t>MRCM1616</t>
  </si>
  <si>
    <t>09h47</t>
  </si>
  <si>
    <t>MRCM1617</t>
  </si>
  <si>
    <t>09h52</t>
  </si>
  <si>
    <t>MRCM1620</t>
  </si>
  <si>
    <t>Ocasional (estrada)</t>
  </si>
  <si>
    <t>19h10</t>
  </si>
  <si>
    <t>Estrada</t>
  </si>
  <si>
    <t>MRCM1621</t>
  </si>
  <si>
    <t>Capelinha A (mata)</t>
  </si>
  <si>
    <t>09h353</t>
  </si>
  <si>
    <t>Vegetação alta</t>
  </si>
  <si>
    <t>Letárgico/fêmea ovada</t>
  </si>
  <si>
    <t>MRCM1622</t>
  </si>
  <si>
    <t>20h17</t>
  </si>
  <si>
    <t>Dendropsophus minutus</t>
  </si>
  <si>
    <t>MRCM1623</t>
  </si>
  <si>
    <t>20h50</t>
  </si>
  <si>
    <t>Natália</t>
  </si>
  <si>
    <t>MRCM1624</t>
  </si>
  <si>
    <t>Herbácea</t>
  </si>
  <si>
    <t>MRCM1625</t>
  </si>
  <si>
    <t>MRCM1626</t>
  </si>
  <si>
    <t>21h48</t>
  </si>
  <si>
    <t>MRCM1636</t>
  </si>
  <si>
    <t>21h49</t>
  </si>
  <si>
    <t>MRCM1637</t>
  </si>
  <si>
    <t>10h09</t>
  </si>
  <si>
    <t>MRCM1638</t>
  </si>
  <si>
    <t>09h05</t>
  </si>
  <si>
    <t>MRCM1639</t>
  </si>
  <si>
    <t>10h35</t>
  </si>
  <si>
    <t>Murundum</t>
  </si>
  <si>
    <t>MRCM1642</t>
  </si>
  <si>
    <t>19h23</t>
  </si>
  <si>
    <t>MRCM1643</t>
  </si>
  <si>
    <t>19h30</t>
  </si>
  <si>
    <t>Tronco cortado</t>
  </si>
  <si>
    <t>MRCM1644</t>
  </si>
  <si>
    <t>20h09</t>
  </si>
  <si>
    <t>MRCM1645</t>
  </si>
  <si>
    <t>21h15</t>
  </si>
  <si>
    <t>MRCM1646</t>
  </si>
  <si>
    <t>21h30</t>
  </si>
  <si>
    <t>Canto agonístico</t>
  </si>
  <si>
    <t>MRCM1647</t>
  </si>
  <si>
    <t>Embate com outro macho</t>
  </si>
  <si>
    <t>MRCM1648</t>
  </si>
  <si>
    <t>MRCM1649</t>
  </si>
  <si>
    <t>21h56</t>
  </si>
  <si>
    <t>Tronco eucalipto</t>
  </si>
  <si>
    <t>MRCM1650</t>
  </si>
  <si>
    <t>Beira de riacho</t>
  </si>
  <si>
    <t>Célio/Itamar</t>
  </si>
  <si>
    <t>MRCM1651</t>
  </si>
  <si>
    <t>MRCM1652</t>
  </si>
  <si>
    <t>MRCM1817</t>
  </si>
  <si>
    <t>11h52</t>
  </si>
  <si>
    <t>MRCM1818</t>
  </si>
  <si>
    <t>Morto comido</t>
  </si>
  <si>
    <t>MRCM1819</t>
  </si>
  <si>
    <t>Ischnocnema vizottoi</t>
  </si>
  <si>
    <t>MRCM1820</t>
  </si>
  <si>
    <t>MRCM1821</t>
  </si>
  <si>
    <t>18h28</t>
  </si>
  <si>
    <t>Juan</t>
  </si>
  <si>
    <t>MRCM1826</t>
  </si>
  <si>
    <t>19h31</t>
  </si>
  <si>
    <t>Rhinella ornata</t>
  </si>
  <si>
    <t>Solo</t>
  </si>
  <si>
    <t>MRCM1828</t>
  </si>
  <si>
    <t>19h05</t>
  </si>
  <si>
    <t>Samambaiaçu</t>
  </si>
  <si>
    <t>MRCM1829</t>
  </si>
  <si>
    <t>19h22</t>
  </si>
  <si>
    <t>Paratelmatobius mantiqueira</t>
  </si>
  <si>
    <t>Folhiço</t>
  </si>
  <si>
    <t>Se deslocando</t>
  </si>
  <si>
    <t>MRCM1830</t>
  </si>
  <si>
    <t>19h17</t>
  </si>
  <si>
    <t>Vegetação baixa (mato)</t>
  </si>
  <si>
    <t>Gilvani</t>
  </si>
  <si>
    <t>MRCM1831</t>
  </si>
  <si>
    <t>Caule (parte baixa)</t>
  </si>
  <si>
    <t>MRCM1832</t>
  </si>
  <si>
    <t>19h18</t>
  </si>
  <si>
    <t>Vegetação alta (queda)</t>
  </si>
  <si>
    <t>MRCM1833</t>
  </si>
  <si>
    <t>Galho seco próximo do solo</t>
  </si>
  <si>
    <t>MRCM1835</t>
  </si>
  <si>
    <t>20h03</t>
  </si>
  <si>
    <t>MRCM1836</t>
  </si>
  <si>
    <t>20h53</t>
  </si>
  <si>
    <t>MRCM1837</t>
  </si>
  <si>
    <t>21h14</t>
  </si>
  <si>
    <t>MRCM1838</t>
  </si>
  <si>
    <t>21h02</t>
  </si>
  <si>
    <t>MRCM1839</t>
  </si>
  <si>
    <t>MRCM1840</t>
  </si>
  <si>
    <t>22h09</t>
  </si>
  <si>
    <t>MRCM1841</t>
  </si>
  <si>
    <t>Vocalizando/dedo do pé com injúria</t>
  </si>
  <si>
    <t>MRCM1843</t>
  </si>
  <si>
    <t>Solo (deslocando)</t>
  </si>
  <si>
    <t>MRCM1844</t>
  </si>
  <si>
    <t>19h40</t>
  </si>
  <si>
    <t>MRCM1845</t>
  </si>
  <si>
    <t>19h48</t>
  </si>
  <si>
    <t>MRCM1846</t>
  </si>
  <si>
    <t>19h51</t>
  </si>
  <si>
    <t>MRCM1847</t>
  </si>
  <si>
    <t>20h30</t>
  </si>
  <si>
    <t>MRCM1848</t>
  </si>
  <si>
    <t>19h21</t>
  </si>
  <si>
    <t>Casca de eucalipto num galho</t>
  </si>
  <si>
    <t>MRCM1849</t>
  </si>
  <si>
    <t>MRCM1854</t>
  </si>
  <si>
    <t>Ponciano (ocasional)</t>
  </si>
  <si>
    <t>Holoaden luederwaldti</t>
  </si>
  <si>
    <t>MRCM1855</t>
  </si>
  <si>
    <t>MRCM1881</t>
  </si>
  <si>
    <t>19h00</t>
  </si>
  <si>
    <t>MRCM1883</t>
  </si>
  <si>
    <t>MRCM1884</t>
  </si>
  <si>
    <t>MRCM1885</t>
  </si>
  <si>
    <t>pé esquerdo atrofiado</t>
  </si>
  <si>
    <t>MRCM1886</t>
  </si>
  <si>
    <t>Não consegui</t>
  </si>
  <si>
    <t>MRCM2011</t>
  </si>
  <si>
    <t>20h05</t>
  </si>
  <si>
    <t>Danilo</t>
  </si>
  <si>
    <t>MRCM2012</t>
  </si>
  <si>
    <t>20h16</t>
  </si>
  <si>
    <t>MRCM2013</t>
  </si>
  <si>
    <t>20h21</t>
  </si>
  <si>
    <t>MRCM2014</t>
  </si>
  <si>
    <t>21h18</t>
  </si>
  <si>
    <t>Ana Cláudia</t>
  </si>
  <si>
    <t>MRCM2015</t>
  </si>
  <si>
    <t>21h54</t>
  </si>
  <si>
    <t>MRCM2016</t>
  </si>
  <si>
    <t>10h00</t>
  </si>
  <si>
    <t>MRCM2017</t>
  </si>
  <si>
    <t>21h50</t>
  </si>
  <si>
    <t>MRCM2018</t>
  </si>
  <si>
    <t>21h38</t>
  </si>
  <si>
    <t>MRCM2019</t>
  </si>
  <si>
    <t>MRCM2020</t>
  </si>
  <si>
    <t>MRCM2021</t>
  </si>
  <si>
    <t>09h42</t>
  </si>
  <si>
    <t>MRCM2022</t>
  </si>
  <si>
    <t>MRCM2023</t>
  </si>
  <si>
    <t>20h22</t>
  </si>
  <si>
    <t>Caule altura média</t>
  </si>
  <si>
    <t>MRCM2024</t>
  </si>
  <si>
    <t>MRCM2025</t>
  </si>
  <si>
    <t>Ocasional (estrada entre mata/eucalipto)</t>
  </si>
  <si>
    <t>21h34</t>
  </si>
  <si>
    <t>Aplastodiscus perviridis</t>
  </si>
  <si>
    <t>MRCM2034</t>
  </si>
  <si>
    <t>MRCM2035</t>
  </si>
  <si>
    <t>MRCM2036</t>
  </si>
  <si>
    <t>22h03</t>
  </si>
  <si>
    <t>MRCM2037</t>
  </si>
  <si>
    <t>22h20</t>
  </si>
  <si>
    <t>MRCM2038</t>
  </si>
  <si>
    <t>11h12</t>
  </si>
  <si>
    <t>MRCM2044</t>
  </si>
  <si>
    <t>21h46</t>
  </si>
  <si>
    <t>Ricardo</t>
  </si>
  <si>
    <t>MRCM2045</t>
  </si>
  <si>
    <t>22h10</t>
  </si>
  <si>
    <t>MRCM2046</t>
  </si>
  <si>
    <t>22h21</t>
  </si>
  <si>
    <t>MRCM2048</t>
  </si>
  <si>
    <t>11h25</t>
  </si>
  <si>
    <t>MRCM2049</t>
  </si>
  <si>
    <t>22h07</t>
  </si>
  <si>
    <t>Lamaçal riacho</t>
  </si>
  <si>
    <t>Filipe</t>
  </si>
  <si>
    <t>MRCM2050</t>
  </si>
  <si>
    <t>22h18</t>
  </si>
  <si>
    <t>MRCM2051</t>
  </si>
  <si>
    <t>22h39</t>
  </si>
  <si>
    <t>MRCM2052</t>
  </si>
  <si>
    <t>MRCM2053</t>
  </si>
  <si>
    <t>21h23</t>
  </si>
  <si>
    <t>MRCM2054</t>
  </si>
  <si>
    <t>Caule baixo</t>
  </si>
  <si>
    <t>MRCM2060</t>
  </si>
  <si>
    <t>Ocasional Canal</t>
  </si>
  <si>
    <t>MRCM2064</t>
  </si>
  <si>
    <t>11h18</t>
  </si>
  <si>
    <t>MRCM2065</t>
  </si>
  <si>
    <t>22h06</t>
  </si>
  <si>
    <t>MRCM2066</t>
  </si>
  <si>
    <t>21h27</t>
  </si>
  <si>
    <t>MRCM2067</t>
  </si>
  <si>
    <t>21h57</t>
  </si>
  <si>
    <t>MRCM2074</t>
  </si>
  <si>
    <t>22h17</t>
  </si>
  <si>
    <t>Dani</t>
  </si>
  <si>
    <t>MRCM2077</t>
  </si>
  <si>
    <t>Ocasional (estrada entre eucalipto)</t>
  </si>
  <si>
    <t>22h15</t>
  </si>
  <si>
    <t>Estrada entre eucalipto</t>
  </si>
  <si>
    <t>MRCM2078</t>
  </si>
  <si>
    <t>Ocasional (estrada entre pasto)</t>
  </si>
  <si>
    <t>Estrada próxima a brejo</t>
  </si>
  <si>
    <t>MRCM2079</t>
  </si>
  <si>
    <t>10h19</t>
  </si>
  <si>
    <t>Dani/Rosana</t>
  </si>
  <si>
    <t>MRCM2082</t>
  </si>
  <si>
    <t>20h57</t>
  </si>
  <si>
    <t>MRCM2083</t>
  </si>
  <si>
    <t>MRCM2086</t>
  </si>
  <si>
    <t>Veg. Acima do corpo d'água</t>
  </si>
  <si>
    <t>MRCM2087</t>
  </si>
  <si>
    <t>21h44</t>
  </si>
  <si>
    <t>Serapilheira de araucária</t>
  </si>
  <si>
    <t>MRCM2097</t>
  </si>
  <si>
    <t>19h28</t>
  </si>
  <si>
    <t>MRCM2098</t>
  </si>
  <si>
    <t>20h06</t>
  </si>
  <si>
    <t>MRCM2099</t>
  </si>
  <si>
    <t>MRCM2100</t>
  </si>
  <si>
    <t>Valeta com água</t>
  </si>
  <si>
    <t>MRCM2101</t>
  </si>
  <si>
    <t>Ocasional estrada (entre matas)</t>
  </si>
  <si>
    <t>Estrada entre mata</t>
  </si>
  <si>
    <t>MRCM2102</t>
  </si>
  <si>
    <t>MRCM2103</t>
  </si>
  <si>
    <t>MRCM2104</t>
  </si>
  <si>
    <t>Ocasional Pinus Ponciano</t>
  </si>
  <si>
    <t>20h41</t>
  </si>
  <si>
    <t>MRCM2105</t>
  </si>
  <si>
    <t>20h47</t>
  </si>
  <si>
    <t>MRCM2115</t>
  </si>
  <si>
    <t>Bambu</t>
  </si>
  <si>
    <t>Nathany</t>
  </si>
  <si>
    <t>MRCM2116</t>
  </si>
  <si>
    <t>23h20</t>
  </si>
  <si>
    <t>Galho caído eucalipto</t>
  </si>
  <si>
    <t>MRCM2117</t>
  </si>
  <si>
    <t>MRCM2118</t>
  </si>
  <si>
    <t>MRCM2119</t>
  </si>
  <si>
    <t>22h25</t>
  </si>
  <si>
    <t>MRCM2120</t>
  </si>
  <si>
    <t>MRCM2121</t>
  </si>
  <si>
    <t>MRCM2122</t>
  </si>
  <si>
    <t>macho</t>
  </si>
  <si>
    <t>MRCM2123</t>
  </si>
  <si>
    <t>Ocasional</t>
  </si>
  <si>
    <t>20h54</t>
  </si>
  <si>
    <t>Poça beira de estrada</t>
  </si>
  <si>
    <t>MRCM2124</t>
  </si>
  <si>
    <t>MRCM2125</t>
  </si>
  <si>
    <t>MRCM2126</t>
  </si>
  <si>
    <t>MRCM2129</t>
  </si>
  <si>
    <t>MRCM2130</t>
  </si>
  <si>
    <t>MRCM2131</t>
  </si>
  <si>
    <t>23h17</t>
  </si>
  <si>
    <t>MRCM2132</t>
  </si>
  <si>
    <t>22h33</t>
  </si>
  <si>
    <t>MRCM2133</t>
  </si>
  <si>
    <t>20h46</t>
  </si>
  <si>
    <t>Serapilheira araucária</t>
  </si>
  <si>
    <t>MRCM2134</t>
  </si>
  <si>
    <t>MRCM2135</t>
  </si>
  <si>
    <t>12h20</t>
  </si>
  <si>
    <t>MRCM2136</t>
  </si>
  <si>
    <t>20h01</t>
  </si>
  <si>
    <t>MRCM2137</t>
  </si>
  <si>
    <t>20h33</t>
  </si>
  <si>
    <t>MRCM2138</t>
  </si>
  <si>
    <t>MRCM2139</t>
  </si>
  <si>
    <t>MRCM2140</t>
  </si>
  <si>
    <t>MRCM2141</t>
  </si>
  <si>
    <t>23h08</t>
  </si>
  <si>
    <t>MRCM2142</t>
  </si>
  <si>
    <t>22h44</t>
  </si>
  <si>
    <t>MRCM2143</t>
  </si>
  <si>
    <t>23h00</t>
  </si>
  <si>
    <t>Rosana/Ricardo</t>
  </si>
  <si>
    <t>MRCM2144</t>
  </si>
  <si>
    <t>20h32</t>
  </si>
  <si>
    <t>MRCM2145</t>
  </si>
  <si>
    <t>MRCM2146</t>
  </si>
  <si>
    <t>Seu Luís</t>
  </si>
  <si>
    <t>MRCM2147</t>
  </si>
  <si>
    <t>MRCM2148</t>
  </si>
  <si>
    <t>21h07</t>
  </si>
  <si>
    <t>MRCM2149</t>
  </si>
  <si>
    <t>21h12</t>
  </si>
  <si>
    <t>MRCM2150</t>
  </si>
  <si>
    <t>MRCM2155</t>
  </si>
  <si>
    <t>MRCM2156</t>
  </si>
  <si>
    <t>Galho tronco</t>
  </si>
  <si>
    <t>MRCM2157</t>
  </si>
  <si>
    <t>22h38</t>
  </si>
  <si>
    <t>vegetação baixa</t>
  </si>
  <si>
    <t>MRCM2162</t>
  </si>
  <si>
    <t>MRCM2163</t>
  </si>
  <si>
    <t>Bromélia alta</t>
  </si>
  <si>
    <t>MRCM2169</t>
  </si>
  <si>
    <t>Caule veg. Média</t>
  </si>
  <si>
    <t>MRCM2170</t>
  </si>
  <si>
    <t>10h45</t>
  </si>
  <si>
    <t>MRCM2171</t>
  </si>
  <si>
    <t>23h45</t>
  </si>
  <si>
    <t>MRCM2173</t>
  </si>
  <si>
    <t>22h01</t>
  </si>
  <si>
    <t>MRCM2174</t>
  </si>
  <si>
    <t>MRCM2175</t>
  </si>
  <si>
    <t>23h36</t>
  </si>
  <si>
    <t>MRCM2191</t>
  </si>
  <si>
    <t>20h38</t>
  </si>
  <si>
    <t>Tronco caído</t>
  </si>
  <si>
    <t>MRCM2204</t>
  </si>
  <si>
    <t>22h14</t>
  </si>
  <si>
    <t>Galho acima corpo dágua</t>
  </si>
  <si>
    <t>MRCM2214</t>
  </si>
  <si>
    <t>19h50</t>
  </si>
  <si>
    <t>Em amplexo (fêmea ovada )</t>
  </si>
  <si>
    <t>MRCM2215</t>
  </si>
  <si>
    <t>Em amplexo (macho)</t>
  </si>
  <si>
    <t>MRCM2216</t>
  </si>
  <si>
    <t>Boiando na água</t>
  </si>
  <si>
    <t>MRCM2217</t>
  </si>
  <si>
    <t>20h10</t>
  </si>
  <si>
    <t>Mato em brejo</t>
  </si>
  <si>
    <t>MRCM2218</t>
  </si>
  <si>
    <t>Possível fêmea</t>
  </si>
  <si>
    <t>MRCM2219</t>
  </si>
  <si>
    <t>20h28</t>
  </si>
  <si>
    <t>MRCM2220</t>
  </si>
  <si>
    <t>MRCM2226</t>
  </si>
  <si>
    <t>20h27</t>
  </si>
  <si>
    <t>Raiz de samambaiaçu</t>
  </si>
  <si>
    <t>MRCM2227</t>
  </si>
  <si>
    <t>MRCM2228</t>
  </si>
  <si>
    <t>Ischnocnema holti</t>
  </si>
  <si>
    <t>Folha perto do solo</t>
  </si>
  <si>
    <t>MRCM2229</t>
  </si>
  <si>
    <t>Subadulto</t>
  </si>
  <si>
    <t>Milton</t>
  </si>
  <si>
    <t>MRCM2238</t>
  </si>
  <si>
    <t>Vegetação alta próx. Água</t>
  </si>
  <si>
    <t>MRCM2241</t>
  </si>
  <si>
    <t>19h35</t>
  </si>
  <si>
    <t>Tronco estrato baixo</t>
  </si>
  <si>
    <t>MRCM2243</t>
  </si>
  <si>
    <t>20h55</t>
  </si>
  <si>
    <t>Serapilheira (deslocando)</t>
  </si>
  <si>
    <t>MRCM2244</t>
  </si>
  <si>
    <t>Folha de samambaiçu</t>
  </si>
  <si>
    <t>MRCM2245</t>
  </si>
  <si>
    <t>22h11</t>
  </si>
  <si>
    <t>MRCM2246</t>
  </si>
  <si>
    <t>19h33</t>
  </si>
  <si>
    <t>Solo próx. A bambuzal</t>
  </si>
  <si>
    <t>MRCM2247</t>
  </si>
  <si>
    <t>20h39</t>
  </si>
  <si>
    <t>MRCM2248</t>
  </si>
  <si>
    <t>21h03</t>
  </si>
  <si>
    <t>MRCM2249</t>
  </si>
  <si>
    <t>MRCM2250</t>
  </si>
  <si>
    <t>22h43</t>
  </si>
  <si>
    <t>MRCM2252</t>
  </si>
  <si>
    <t>Marcio</t>
  </si>
  <si>
    <t>MRCM2254</t>
  </si>
  <si>
    <t>Phasmahyla cochranae</t>
  </si>
  <si>
    <t>Riacho</t>
  </si>
  <si>
    <t>Única prova da ocorrência da sp.</t>
  </si>
  <si>
    <t>Ambiente</t>
  </si>
  <si>
    <t>Classificação (ordem)</t>
  </si>
  <si>
    <t>Classificação 2</t>
  </si>
  <si>
    <t>Quantidade</t>
  </si>
  <si>
    <t>Comprimento item (mm)</t>
  </si>
  <si>
    <t>Largura item (mm)</t>
  </si>
  <si>
    <t>Volume</t>
  </si>
  <si>
    <t>eucalipto</t>
  </si>
  <si>
    <t>mata</t>
  </si>
  <si>
    <t>Não Identificado</t>
  </si>
  <si>
    <t>Vazio</t>
  </si>
  <si>
    <t>Matéria Vegetal</t>
  </si>
  <si>
    <t>Hymenoptera</t>
  </si>
  <si>
    <t>ocasional</t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</si>
  <si>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</si>
  <si>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t>Incompleto</t>
  </si>
  <si>
    <t>Arthropoda</t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</si>
  <si>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</si>
  <si>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</si>
  <si>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t>Lepidoptera</t>
  </si>
  <si>
    <r>
      <rPr>
        <rFont val="Arial"/>
        <i/>
        <color theme="1"/>
      </rPr>
      <t xml:space="preserve">Scinax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duartei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</si>
  <si>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</si>
  <si>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</si>
  <si>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</si>
  <si>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t>Insecta</t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</si>
  <si>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</si>
  <si>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</si>
  <si>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</si>
  <si>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</si>
  <si>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t>Semente</t>
  </si>
  <si>
    <t xml:space="preserve">Incompleto </t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</si>
  <si>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</si>
  <si>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t>Mollusca</t>
  </si>
  <si>
    <t>Rádula?</t>
  </si>
  <si>
    <t>Diptera</t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</si>
  <si>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</si>
  <si>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t>Pscoptera</t>
  </si>
  <si>
    <t>Apenas substrato</t>
  </si>
  <si>
    <t>Muito digerido</t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</si>
  <si>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</si>
  <si>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</si>
  <si>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</si>
  <si>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</si>
  <si>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rgb="FF000000"/>
        <sz val="10.0"/>
      </rPr>
      <t xml:space="preserve">Hylodes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sazimai</t>
    </r>
  </si>
  <si>
    <t xml:space="preserve">Hymenoptera </t>
  </si>
  <si>
    <r>
      <rPr>
        <rFont val="Arial"/>
        <i/>
        <color rgb="FF000000"/>
        <sz val="10.0"/>
      </rPr>
      <t xml:space="preserve">Hylodes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sazimai</t>
    </r>
  </si>
  <si>
    <t>Semente de capim</t>
  </si>
  <si>
    <t>Arachnida</t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</si>
  <si>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</si>
  <si>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t>Fotos</t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</si>
  <si>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</si>
  <si>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</si>
  <si>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</si>
  <si>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</si>
  <si>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</si>
  <si>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</si>
  <si>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</si>
  <si>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</si>
  <si>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</si>
  <si>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</si>
  <si>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</si>
  <si>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</si>
  <si>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</si>
  <si>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</si>
  <si>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</si>
  <si>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</si>
  <si>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t>Parasitado</t>
  </si>
  <si>
    <t>Incompleta</t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</si>
  <si>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</si>
  <si>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>Scinax a</t>
    </r>
    <r>
      <rPr>
        <rFont val="Arial"/>
        <i val="0"/>
        <color rgb="FF000000"/>
        <sz val="10.0"/>
      </rPr>
      <t>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</si>
  <si>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</si>
  <si>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</si>
  <si>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t>morfotipo1</t>
  </si>
  <si>
    <t>morfotipo2</t>
  </si>
  <si>
    <t>morfotipo3</t>
  </si>
  <si>
    <r>
      <rPr>
        <rFont val="Arial"/>
        <i/>
        <color theme="1"/>
      </rPr>
      <t xml:space="preserve">Scinax </t>
    </r>
    <r>
      <rPr>
        <rFont val="Arial"/>
        <color theme="1"/>
      </rPr>
      <t>aff.</t>
    </r>
    <r>
      <rPr>
        <rFont val="Arial"/>
        <i/>
        <color theme="1"/>
      </rPr>
      <t xml:space="preserve"> duartei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</si>
  <si>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</si>
  <si>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</si>
  <si>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</si>
  <si>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</si>
  <si>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</si>
  <si>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</si>
  <si>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</si>
  <si>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t>Matéria vegetal</t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</si>
  <si>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</si>
  <si>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t>Mantodea</t>
  </si>
  <si>
    <t>Foto</t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</si>
  <si>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</si>
  <si>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</si>
  <si>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t>Imaturo</t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</si>
  <si>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</si>
  <si>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</si>
  <si>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theme="1"/>
      </rPr>
      <t xml:space="preserve">Scinax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duartei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</si>
  <si>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</si>
  <si>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</si>
  <si>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</si>
  <si>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</si>
  <si>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</si>
  <si>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</si>
  <si>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</si>
  <si>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</si>
  <si>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</si>
  <si>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</si>
  <si>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</si>
  <si>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</si>
  <si>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</si>
  <si>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rgb="FF000000"/>
        <sz val="10.0"/>
      </rPr>
      <t xml:space="preserve">Hylodes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sazimai</t>
    </r>
  </si>
  <si>
    <r>
      <rPr>
        <rFont val="Arial"/>
        <i/>
        <color rgb="FF000000"/>
        <sz val="10.0"/>
      </rPr>
      <t xml:space="preserve">Hylodes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sazimai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</si>
  <si>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</si>
  <si>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</si>
  <si>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</si>
  <si>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</si>
  <si>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</si>
  <si>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</si>
  <si>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</si>
  <si>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</si>
  <si>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</si>
  <si>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</si>
  <si>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</si>
  <si>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</si>
  <si>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</si>
  <si>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</si>
  <si>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</si>
  <si>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</si>
  <si>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</si>
  <si>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</si>
  <si>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>Scinax a</t>
    </r>
    <r>
      <rPr>
        <rFont val="Arial"/>
        <i val="0"/>
        <color rgb="FF000000"/>
        <sz val="10.0"/>
      </rPr>
      <t>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</si>
  <si>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</si>
  <si>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</si>
  <si>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theme="1"/>
      </rPr>
      <t xml:space="preserve">Scinax </t>
    </r>
    <r>
      <rPr>
        <rFont val="Arial"/>
        <color theme="1"/>
      </rPr>
      <t>aff.</t>
    </r>
    <r>
      <rPr>
        <rFont val="Arial"/>
        <i/>
        <color theme="1"/>
      </rPr>
      <t xml:space="preserve"> duartei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</si>
  <si>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</si>
  <si>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</si>
  <si>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</si>
  <si>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</si>
  <si>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</si>
  <si>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</si>
  <si>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</si>
  <si>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</si>
  <si>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rgb="FF000000"/>
        <sz val="10.0"/>
      </rPr>
      <t xml:space="preserve">Scinax </t>
    </r>
    <r>
      <rPr>
        <rFont val="Arial"/>
        <i val="0"/>
        <color rgb="FF000000"/>
        <sz val="10.0"/>
      </rPr>
      <t>aff.</t>
    </r>
    <r>
      <rPr>
        <rFont val="Arial"/>
        <i/>
        <color rgb="FF000000"/>
        <sz val="10.0"/>
      </rPr>
      <t xml:space="preserve"> dolloi</t>
    </r>
  </si>
  <si>
    <r>
      <rPr>
        <rFont val="Arial"/>
        <i/>
        <color theme="1"/>
      </rPr>
      <t xml:space="preserve">Hylodes </t>
    </r>
    <r>
      <rPr>
        <rFont val="Arial"/>
        <i val="0"/>
        <color theme="1"/>
      </rPr>
      <t>aff.</t>
    </r>
    <r>
      <rPr>
        <rFont val="Arial"/>
        <i/>
        <color theme="1"/>
      </rPr>
      <t xml:space="preserve"> sazimai</t>
    </r>
  </si>
  <si>
    <t>Resumo dos dados observados - Data_raw</t>
  </si>
  <si>
    <t>Considerando todas as coletas ocasionais</t>
  </si>
  <si>
    <t>Total s/ filtro</t>
  </si>
  <si>
    <t>Sem Vazios e N.ID.</t>
  </si>
  <si>
    <t>Mata Atlântica</t>
  </si>
  <si>
    <t>Total de Indivíduos</t>
  </si>
  <si>
    <t>Espécies com conteúdo</t>
  </si>
  <si>
    <t>Nindiv</t>
  </si>
  <si>
    <t>Nitens</t>
  </si>
  <si>
    <t>Total de Espécies</t>
  </si>
  <si>
    <t>Total de Itens</t>
  </si>
  <si>
    <t>Total de Categorias Alimentares</t>
  </si>
  <si>
    <t>Resumo dos dados observados - Data_filtered</t>
  </si>
  <si>
    <t>Considerando somente as coletas ocasionais em pontos amostrais</t>
  </si>
  <si>
    <t>Resumo dos dados observados - Data_filtered - Sem incompletos</t>
  </si>
  <si>
    <t>eucal.indiv</t>
  </si>
  <si>
    <t>eucal.items</t>
  </si>
  <si>
    <t>atlantic.indiv</t>
  </si>
  <si>
    <t>atlantic.items</t>
  </si>
  <si>
    <t>lista_soma</t>
  </si>
  <si>
    <t>lista_check</t>
  </si>
  <si>
    <t>species</t>
  </si>
  <si>
    <t>environment</t>
  </si>
  <si>
    <t>nindiv</t>
  </si>
  <si>
    <t>nitens</t>
  </si>
  <si>
    <t>validacao</t>
  </si>
  <si>
    <t>unique_sp</t>
  </si>
  <si>
    <t>analized?</t>
  </si>
  <si>
    <t>Sample Size</t>
  </si>
  <si>
    <t>Proportion_Frequency</t>
  </si>
  <si>
    <t>Species</t>
  </si>
  <si>
    <t>Frog</t>
  </si>
  <si>
    <t>Prey</t>
  </si>
  <si>
    <t>Vegetação</t>
  </si>
  <si>
    <t>Item incompleto</t>
  </si>
  <si>
    <t>Fotografado (conferir)</t>
  </si>
  <si>
    <t>Lepdoptera</t>
  </si>
  <si>
    <t>Mosquito</t>
  </si>
  <si>
    <t xml:space="preserve">Fotografado </t>
  </si>
  <si>
    <t>Gastropoda</t>
  </si>
  <si>
    <t>Lesma</t>
  </si>
  <si>
    <t>Isopoda</t>
  </si>
  <si>
    <t>Concha vazia</t>
  </si>
  <si>
    <t>Psocoptera</t>
  </si>
  <si>
    <t>Homoptera</t>
  </si>
  <si>
    <t>Taturana</t>
  </si>
  <si>
    <t>Cabeça e início tórax</t>
  </si>
  <si>
    <t>Item incompleto fotografado</t>
  </si>
  <si>
    <t>Blattodea dágua</t>
  </si>
  <si>
    <t>Enrolado</t>
  </si>
  <si>
    <t>Amphibia</t>
  </si>
  <si>
    <t>P. boiei</t>
  </si>
  <si>
    <t>Gafanhoto</t>
  </si>
  <si>
    <t xml:space="preserve">Hymenoptera        </t>
  </si>
  <si>
    <t>Fotografado para confirmar</t>
  </si>
  <si>
    <t>Hemyptera</t>
  </si>
  <si>
    <t>Archaeognatha</t>
  </si>
  <si>
    <t>Suposto ovo</t>
  </si>
  <si>
    <t>Caracol</t>
  </si>
  <si>
    <t>Bicho danificado</t>
  </si>
  <si>
    <t>Aleluia</t>
  </si>
  <si>
    <t xml:space="preserve">Collembola </t>
  </si>
  <si>
    <t xml:space="preserve">Diptera </t>
  </si>
  <si>
    <t>Phoridae</t>
  </si>
  <si>
    <t>Gastropode</t>
  </si>
  <si>
    <t>Quilópode</t>
  </si>
  <si>
    <t>Lacraia</t>
  </si>
  <si>
    <t>Anura</t>
  </si>
  <si>
    <t>Stap</t>
  </si>
  <si>
    <t>Comprimento aproximado</t>
  </si>
  <si>
    <t>sp &gt; 5 items</t>
  </si>
  <si>
    <t>Espécies</t>
  </si>
  <si>
    <t>Espécies com mais de 20 items</t>
  </si>
  <si>
    <t>N indivíduos</t>
  </si>
  <si>
    <t>N indv. mata</t>
  </si>
  <si>
    <t>N indv. eucalipto</t>
  </si>
  <si>
    <t>N total de itens</t>
  </si>
  <si>
    <t>N itens mata</t>
  </si>
  <si>
    <t>N itens eucalipto</t>
  </si>
  <si>
    <t>Itens Alimentares Total</t>
  </si>
  <si>
    <t>TOTAL</t>
  </si>
  <si>
    <t>Total</t>
  </si>
  <si>
    <t>MATA</t>
  </si>
  <si>
    <t>EUCALIPTO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</si>
</sst>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0.000"/>
    <numFmt numFmtId="167" formatCode="hh:mm"/>
  </numFmts>
  <fonts count="30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color rgb="FFFF0000"/>
      <name val="Arial"/>
    </font>
    <font>
      <b/>
      <sz val="12.0"/>
      <color theme="1"/>
      <name val="Arial"/>
      <scheme val="minor"/>
    </font>
    <font>
      <b/>
      <sz val="11.0"/>
      <color rgb="FF000000"/>
      <name val="Calibri"/>
    </font>
    <font>
      <i/>
      <sz val="11.0"/>
      <color rgb="FF000000"/>
      <name val="Calibri"/>
    </font>
    <font>
      <i/>
      <sz val="12.0"/>
      <color rgb="FF000000"/>
      <name val="Calibri"/>
    </font>
    <font>
      <sz val="11.0"/>
      <color theme="1"/>
      <name val="Calibri"/>
    </font>
    <font>
      <b/>
      <color theme="1"/>
      <name val="Arial"/>
      <scheme val="minor"/>
    </font>
    <font>
      <i/>
      <sz val="10.0"/>
      <color rgb="FF000000"/>
      <name val="Arial"/>
    </font>
    <font>
      <i/>
      <color theme="1"/>
      <name val="Arial"/>
    </font>
    <font>
      <color rgb="FF000000"/>
      <name val="Arial"/>
    </font>
    <font>
      <sz val="10.0"/>
      <color rgb="FF202124"/>
      <name val="Arial"/>
    </font>
    <font>
      <i/>
      <sz val="10.0"/>
      <color theme="1"/>
      <name val="Arial"/>
    </font>
    <font/>
    <font>
      <sz val="11.0"/>
      <color rgb="FF000000"/>
      <name val="Inconsolata"/>
    </font>
    <font>
      <sz val="9.0"/>
      <color rgb="FF000000"/>
      <name val="&quot;Google Sans Mono&quot;"/>
    </font>
    <font>
      <sz val="9.0"/>
      <color rgb="FF000000"/>
      <name val="Arial"/>
      <scheme val="minor"/>
    </font>
    <font>
      <color theme="5"/>
      <name val="Arial"/>
    </font>
    <font>
      <color rgb="FFEA4335"/>
      <name val="Arial"/>
    </font>
    <font>
      <b/>
      <i/>
      <color theme="1"/>
      <name val="Arial"/>
    </font>
    <font>
      <color rgb="FFFFFFFF"/>
      <name val="Arial"/>
    </font>
    <font>
      <b/>
      <sz val="11.0"/>
      <color rgb="FF000000"/>
      <name val="Inconsolata"/>
    </font>
  </fonts>
  <fills count="12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/>
    </xf>
    <xf borderId="0" fillId="0" fontId="7" numFmtId="0" xfId="0" applyAlignment="1" applyFont="1">
      <alignment shrinkToFit="0" vertical="bottom" wrapText="0"/>
    </xf>
    <xf borderId="0" fillId="0" fontId="8" numFmtId="0" xfId="0" applyFont="1"/>
    <xf borderId="0" fillId="0" fontId="6" numFmtId="0" xfId="0" applyFont="1"/>
    <xf borderId="0" fillId="0" fontId="9" numFmtId="0" xfId="0" applyFont="1"/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6" numFmtId="0" xfId="0" applyFont="1"/>
    <xf borderId="0" fillId="0" fontId="13" numFmtId="0" xfId="0" applyAlignment="1" applyFont="1">
      <alignment shrinkToFit="0" wrapText="0"/>
    </xf>
    <xf borderId="0" fillId="0" fontId="14" numFmtId="0" xfId="0" applyAlignment="1" applyFont="1">
      <alignment shrinkToFit="0" vertical="bottom" wrapText="0"/>
    </xf>
    <xf borderId="0" fillId="2" fontId="11" numFmtId="0" xfId="0" applyAlignment="1" applyFill="1" applyFont="1">
      <alignment shrinkToFit="0" vertical="bottom" wrapText="0"/>
    </xf>
    <xf borderId="0" fillId="2" fontId="7" numFmtId="164" xfId="0" applyAlignment="1" applyFont="1" applyNumberFormat="1">
      <alignment horizontal="right" shrinkToFit="0" vertical="bottom" wrapText="0"/>
    </xf>
    <xf borderId="0" fillId="2" fontId="7" numFmtId="165" xfId="0" applyAlignment="1" applyFont="1" applyNumberFormat="1">
      <alignment horizontal="right" shrinkToFit="0" vertical="bottom" wrapText="0"/>
    </xf>
    <xf borderId="0" fillId="0" fontId="11" numFmtId="0" xfId="0" applyAlignment="1" applyFont="1">
      <alignment horizontal="left" shrinkToFit="0" vertical="bottom" wrapText="0"/>
    </xf>
    <xf borderId="0" fillId="0" fontId="11" numFmtId="49" xfId="0" applyAlignment="1" applyFont="1" applyNumberFormat="1">
      <alignment horizontal="left" shrinkToFit="0" vertical="bottom" wrapText="0"/>
    </xf>
    <xf borderId="0" fillId="0" fontId="15" numFmtId="0" xfId="0" applyAlignment="1" applyFont="1">
      <alignment readingOrder="0"/>
    </xf>
    <xf borderId="0" fillId="0" fontId="3" numFmtId="166" xfId="0" applyFont="1" applyNumberFormat="1"/>
    <xf borderId="0" fillId="0" fontId="16" numFmtId="0" xfId="0" applyAlignment="1" applyFont="1">
      <alignment horizontal="left" shrinkToFit="0" vertical="bottom" wrapText="0"/>
    </xf>
    <xf borderId="0" fillId="0" fontId="8" numFmtId="49" xfId="0" applyAlignment="1" applyFont="1" applyNumberFormat="1">
      <alignment horizontal="left"/>
    </xf>
    <xf borderId="0" fillId="0" fontId="6" numFmtId="0" xfId="0" applyAlignment="1" applyFont="1">
      <alignment readingOrder="0"/>
    </xf>
    <xf borderId="0" fillId="0" fontId="8" numFmtId="0" xfId="0" applyAlignment="1" applyFont="1">
      <alignment horizontal="left"/>
    </xf>
    <xf borderId="0" fillId="3" fontId="4" numFmtId="0" xfId="0" applyAlignment="1" applyFill="1" applyFont="1">
      <alignment horizontal="left"/>
    </xf>
    <xf borderId="0" fillId="0" fontId="7" numFmtId="166" xfId="0" applyAlignment="1" applyFont="1" applyNumberFormat="1">
      <alignment horizontal="left" shrinkToFit="0" vertical="bottom" wrapText="0"/>
    </xf>
    <xf borderId="0" fillId="0" fontId="17" numFmtId="0" xfId="0" applyAlignment="1" applyFont="1">
      <alignment horizontal="left"/>
    </xf>
    <xf borderId="0" fillId="4" fontId="16" numFmtId="0" xfId="0" applyAlignment="1" applyFill="1" applyFont="1">
      <alignment horizontal="left" shrinkToFit="0" vertical="bottom" wrapText="0"/>
    </xf>
    <xf borderId="0" fillId="4" fontId="8" numFmtId="49" xfId="0" applyAlignment="1" applyFont="1" applyNumberFormat="1">
      <alignment horizontal="left"/>
    </xf>
    <xf borderId="0" fillId="4" fontId="6" numFmtId="0" xfId="0" applyFont="1"/>
    <xf borderId="0" fillId="4" fontId="8" numFmtId="0" xfId="0" applyAlignment="1" applyFont="1">
      <alignment horizontal="left"/>
    </xf>
    <xf borderId="0" fillId="4" fontId="8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 vertical="bottom"/>
    </xf>
    <xf borderId="0" fillId="0" fontId="8" numFmtId="49" xfId="0" applyAlignment="1" applyFont="1" applyNumberFormat="1">
      <alignment horizontal="left" vertical="bottom"/>
    </xf>
    <xf borderId="0" fillId="4" fontId="17" numFmtId="0" xfId="0" applyAlignment="1" applyFont="1">
      <alignment horizontal="left"/>
    </xf>
    <xf borderId="0" fillId="0" fontId="18" numFmtId="0" xfId="0" applyAlignment="1" applyFont="1">
      <alignment horizontal="left"/>
    </xf>
    <xf borderId="0" fillId="0" fontId="5" numFmtId="49" xfId="0" applyAlignment="1" applyFont="1" applyNumberForma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3" fontId="19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4" fontId="8" numFmtId="0" xfId="0" applyAlignment="1" applyFont="1">
      <alignment horizontal="left" readingOrder="0"/>
    </xf>
    <xf borderId="0" fillId="0" fontId="18" numFmtId="49" xfId="0" applyAlignment="1" applyFont="1" applyNumberFormat="1">
      <alignment horizontal="left"/>
    </xf>
    <xf borderId="0" fillId="4" fontId="5" numFmtId="49" xfId="0" applyAlignment="1" applyFont="1" applyNumberFormat="1">
      <alignment horizontal="left" shrinkToFit="0" vertical="bottom" wrapText="0"/>
    </xf>
    <xf borderId="0" fillId="4" fontId="5" numFmtId="0" xfId="0" applyAlignment="1" applyFont="1">
      <alignment horizontal="left" shrinkToFit="0" vertical="bottom" wrapText="0"/>
    </xf>
    <xf borderId="0" fillId="4" fontId="7" numFmtId="0" xfId="0" applyAlignment="1" applyFont="1">
      <alignment horizontal="left" shrinkToFit="0" vertical="bottom" wrapText="0"/>
    </xf>
    <xf borderId="0" fillId="0" fontId="20" numFmtId="0" xfId="0" applyAlignment="1" applyFont="1">
      <alignment horizontal="left"/>
    </xf>
    <xf borderId="0" fillId="0" fontId="4" numFmtId="49" xfId="0" applyAlignment="1" applyFont="1" applyNumberFormat="1">
      <alignment horizontal="left"/>
    </xf>
    <xf borderId="0" fillId="5" fontId="6" numFmtId="0" xfId="0" applyAlignment="1" applyFill="1" applyFont="1">
      <alignment horizontal="center" readingOrder="0"/>
    </xf>
    <xf borderId="0" fillId="0" fontId="8" numFmtId="0" xfId="0" applyAlignment="1" applyFont="1">
      <alignment readingOrder="0"/>
    </xf>
    <xf borderId="0" fillId="5" fontId="1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1" fillId="0" fontId="3" numFmtId="0" xfId="0" applyAlignment="1" applyBorder="1" applyFont="1">
      <alignment horizontal="center"/>
    </xf>
    <xf borderId="2" fillId="0" fontId="21" numFmtId="0" xfId="0" applyBorder="1" applyFont="1"/>
    <xf borderId="0" fillId="0" fontId="3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left"/>
    </xf>
    <xf borderId="5" fillId="0" fontId="8" numFmtId="0" xfId="0" applyBorder="1" applyFont="1"/>
    <xf borderId="0" fillId="0" fontId="3" numFmtId="0" xfId="0" applyFont="1"/>
    <xf borderId="3" fillId="0" fontId="3" numFmtId="0" xfId="0" applyBorder="1" applyFont="1"/>
    <xf borderId="6" fillId="0" fontId="3" numFmtId="0" xfId="0" applyAlignment="1" applyBorder="1" applyFont="1">
      <alignment horizontal="left"/>
    </xf>
    <xf borderId="7" fillId="0" fontId="8" numFmtId="0" xfId="0" applyBorder="1" applyFont="1"/>
    <xf borderId="7" fillId="0" fontId="22" numFmtId="0" xfId="0" applyBorder="1" applyFont="1"/>
    <xf borderId="0" fillId="3" fontId="22" numFmtId="0" xfId="0" applyAlignment="1" applyFont="1">
      <alignment horizontal="left"/>
    </xf>
    <xf borderId="3" fillId="0" fontId="8" numFmtId="0" xfId="0" applyAlignment="1" applyBorder="1" applyFont="1">
      <alignment horizontal="left"/>
    </xf>
    <xf borderId="3" fillId="0" fontId="6" numFmtId="0" xfId="0" applyBorder="1" applyFont="1"/>
    <xf borderId="8" fillId="0" fontId="3" numFmtId="0" xfId="0" applyAlignment="1" applyBorder="1" applyFont="1">
      <alignment horizontal="left"/>
    </xf>
    <xf borderId="9" fillId="0" fontId="8" numFmtId="0" xfId="0" applyBorder="1" applyFont="1"/>
    <xf borderId="0" fillId="6" fontId="6" numFmtId="0" xfId="0" applyAlignment="1" applyFill="1" applyFont="1">
      <alignment horizontal="center" readingOrder="0"/>
    </xf>
    <xf borderId="0" fillId="3" fontId="23" numFmtId="0" xfId="0" applyAlignment="1" applyFont="1">
      <alignment horizontal="left"/>
    </xf>
    <xf borderId="10" fillId="0" fontId="8" numFmtId="0" xfId="0" applyAlignment="1" applyBorder="1" applyFont="1">
      <alignment horizontal="left"/>
    </xf>
    <xf borderId="3" fillId="0" fontId="15" numFmtId="0" xfId="0" applyBorder="1" applyFont="1"/>
    <xf borderId="0" fillId="0" fontId="15" numFmtId="0" xfId="0" applyFont="1"/>
    <xf borderId="0" fillId="0" fontId="15" numFmtId="0" xfId="0" applyAlignment="1" applyFont="1">
      <alignment horizontal="left"/>
    </xf>
    <xf borderId="0" fillId="6" fontId="15" numFmtId="0" xfId="0" applyAlignment="1" applyFont="1">
      <alignment horizontal="center" readingOrder="0"/>
    </xf>
    <xf borderId="0" fillId="3" fontId="23" numFmtId="0" xfId="0" applyAlignment="1" applyFont="1">
      <alignment horizontal="left"/>
    </xf>
    <xf borderId="3" fillId="0" fontId="15" numFmtId="0" xfId="0" applyAlignment="1" applyBorder="1" applyFont="1">
      <alignment horizontal="left"/>
    </xf>
    <xf borderId="0" fillId="7" fontId="6" numFmtId="0" xfId="0" applyFill="1" applyFont="1"/>
    <xf borderId="0" fillId="8" fontId="15" numFmtId="0" xfId="0" applyFill="1" applyFont="1"/>
    <xf borderId="0" fillId="6" fontId="15" numFmtId="0" xfId="0" applyFont="1"/>
    <xf borderId="3" fillId="0" fontId="6" numFmtId="0" xfId="0" applyAlignment="1" applyBorder="1" applyFont="1">
      <alignment horizontal="left"/>
    </xf>
    <xf borderId="0" fillId="8" fontId="6" numFmtId="0" xfId="0" applyAlignment="1" applyFont="1">
      <alignment readingOrder="0"/>
    </xf>
    <xf borderId="0" fillId="7" fontId="15" numFmtId="0" xfId="0" applyAlignment="1" applyFont="1">
      <alignment readingOrder="0"/>
    </xf>
    <xf borderId="0" fillId="8" fontId="15" numFmtId="0" xfId="0" applyAlignment="1" applyFont="1">
      <alignment readingOrder="0"/>
    </xf>
    <xf borderId="0" fillId="6" fontId="15" numFmtId="0" xfId="0" applyAlignment="1" applyFont="1">
      <alignment readingOrder="0"/>
    </xf>
    <xf borderId="0" fillId="0" fontId="6" numFmtId="167" xfId="0" applyAlignment="1" applyFont="1" applyNumberFormat="1">
      <alignment readingOrder="0"/>
    </xf>
    <xf borderId="0" fillId="0" fontId="6" numFmtId="0" xfId="0" applyAlignment="1" applyFont="1">
      <alignment horizontal="center" shrinkToFit="0" wrapText="0"/>
    </xf>
    <xf borderId="0" fillId="0" fontId="6" numFmtId="49" xfId="0" applyFont="1" applyNumberFormat="1"/>
    <xf borderId="0" fillId="3" fontId="23" numFmtId="0" xfId="0" applyAlignment="1" applyFont="1">
      <alignment readingOrder="0"/>
    </xf>
    <xf borderId="0" fillId="3" fontId="23" numFmtId="0" xfId="0" applyAlignment="1" applyFont="1">
      <alignment horizontal="left" readingOrder="0"/>
    </xf>
    <xf borderId="0" fillId="0" fontId="15" numFmtId="0" xfId="0" applyAlignment="1" applyFont="1">
      <alignment horizontal="center" readingOrder="0"/>
    </xf>
    <xf borderId="0" fillId="3" fontId="24" numFmtId="166" xfId="0" applyFont="1" applyNumberFormat="1"/>
    <xf borderId="0" fillId="0" fontId="25" numFmtId="0" xfId="0" applyFont="1"/>
    <xf borderId="0" fillId="0" fontId="26" numFmtId="0" xfId="0" applyFont="1"/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5" numFmtId="0" xfId="0" applyAlignment="1" applyFont="1">
      <alignment shrinkToFit="0" vertical="bottom" wrapText="0"/>
    </xf>
    <xf borderId="0" fillId="3" fontId="5" numFmtId="0" xfId="0" applyFont="1"/>
    <xf borderId="0" fillId="0" fontId="5" numFmtId="0" xfId="0" applyAlignment="1" applyFont="1">
      <alignment shrinkToFit="0" wrapText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6" numFmtId="1" xfId="0" applyAlignment="1" applyFont="1" applyNumberFormat="1">
      <alignment horizontal="center"/>
    </xf>
    <xf borderId="0" fillId="0" fontId="8" numFmtId="1" xfId="0" applyAlignment="1" applyFont="1" applyNumberFormat="1">
      <alignment horizontal="center"/>
    </xf>
    <xf borderId="0" fillId="0" fontId="6" numFmtId="1" xfId="0" applyFont="1" applyNumberFormat="1"/>
    <xf borderId="0" fillId="9" fontId="3" numFmtId="0" xfId="0" applyFill="1" applyFont="1"/>
    <xf borderId="0" fillId="9" fontId="8" numFmtId="0" xfId="0" applyFont="1"/>
    <xf borderId="0" fillId="9" fontId="9" numFmtId="0" xfId="0" applyFont="1"/>
    <xf borderId="0" fillId="9" fontId="27" numFmtId="0" xfId="0" applyFont="1"/>
    <xf borderId="0" fillId="0" fontId="17" numFmtId="0" xfId="0" applyFont="1"/>
    <xf borderId="11" fillId="10" fontId="3" numFmtId="0" xfId="0" applyAlignment="1" applyBorder="1" applyFill="1" applyFont="1">
      <alignment horizontal="left"/>
    </xf>
    <xf borderId="12" fillId="10" fontId="8" numFmtId="0" xfId="0" applyAlignment="1" applyBorder="1" applyFont="1">
      <alignment horizontal="left"/>
    </xf>
    <xf borderId="3" fillId="10" fontId="3" numFmtId="0" xfId="0" applyAlignment="1" applyBorder="1" applyFont="1">
      <alignment horizontal="left"/>
    </xf>
    <xf borderId="10" fillId="10" fontId="8" numFmtId="0" xfId="0" applyAlignment="1" applyBorder="1" applyFont="1">
      <alignment horizontal="left"/>
    </xf>
    <xf borderId="13" fillId="10" fontId="3" numFmtId="0" xfId="0" applyAlignment="1" applyBorder="1" applyFont="1">
      <alignment horizontal="left"/>
    </xf>
    <xf borderId="14" fillId="10" fontId="22" numFmtId="0" xfId="0" applyAlignment="1" applyBorder="1" applyFont="1">
      <alignment horizontal="left"/>
    </xf>
    <xf borderId="0" fillId="11" fontId="28" numFmtId="0" xfId="0" applyAlignment="1" applyFill="1" applyFont="1">
      <alignment horizontal="center"/>
    </xf>
    <xf borderId="0" fillId="3" fontId="22" numFmtId="166" xfId="0" applyAlignment="1" applyFont="1" applyNumberFormat="1">
      <alignment horizontal="left"/>
    </xf>
    <xf borderId="0" fillId="3" fontId="29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57BB8A"/>
          <bgColor rgb="FF57BB8A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5.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</v>
      </c>
      <c r="G1" s="2" t="s">
        <v>2</v>
      </c>
      <c r="H1" s="3" t="s">
        <v>3</v>
      </c>
      <c r="I1" s="4"/>
    </row>
    <row r="2" ht="15.75" customHeight="1">
      <c r="A2" s="5" t="s">
        <v>5</v>
      </c>
      <c r="B2" s="5" t="s">
        <v>6</v>
      </c>
      <c r="C2" s="4">
        <v>-22.83041</v>
      </c>
      <c r="D2" s="4">
        <v>-46.05217</v>
      </c>
      <c r="E2" s="5" t="s">
        <v>7</v>
      </c>
      <c r="F2" s="5" t="s">
        <v>8</v>
      </c>
      <c r="G2" s="5">
        <v>-22.83372</v>
      </c>
      <c r="H2" s="5">
        <v>-46.05878</v>
      </c>
      <c r="I2" s="4"/>
    </row>
    <row r="3" ht="15.75" customHeight="1">
      <c r="A3" s="5" t="s">
        <v>9</v>
      </c>
      <c r="B3" s="5" t="s">
        <v>10</v>
      </c>
      <c r="C3" s="4">
        <v>-22.83324</v>
      </c>
      <c r="D3" s="4">
        <v>-46.06098</v>
      </c>
      <c r="E3" s="5" t="s">
        <v>11</v>
      </c>
      <c r="F3" s="5" t="s">
        <v>12</v>
      </c>
      <c r="G3" s="5">
        <v>-22.83194</v>
      </c>
      <c r="H3" s="5">
        <v>-46.05554</v>
      </c>
      <c r="I3" s="4"/>
    </row>
    <row r="4" ht="15.75" customHeight="1">
      <c r="A4" s="5" t="s">
        <v>13</v>
      </c>
      <c r="B4" s="5" t="s">
        <v>14</v>
      </c>
      <c r="C4" s="4">
        <v>-22.82509</v>
      </c>
      <c r="D4" s="4">
        <v>-46.07903</v>
      </c>
      <c r="E4" s="5" t="s">
        <v>15</v>
      </c>
      <c r="F4" s="5" t="s">
        <v>16</v>
      </c>
      <c r="G4" s="5">
        <v>-22.82698</v>
      </c>
      <c r="H4" s="5">
        <v>-46.04581</v>
      </c>
      <c r="I4" s="4"/>
    </row>
    <row r="5" ht="15.75" customHeight="1">
      <c r="A5" s="5" t="s">
        <v>17</v>
      </c>
      <c r="B5" s="5" t="s">
        <v>18</v>
      </c>
      <c r="C5" s="4">
        <v>-22.82033</v>
      </c>
      <c r="D5" s="4">
        <v>-46.08024</v>
      </c>
      <c r="E5" s="5" t="s">
        <v>19</v>
      </c>
      <c r="F5" s="5" t="s">
        <v>20</v>
      </c>
      <c r="G5" s="5">
        <v>-22.82958</v>
      </c>
      <c r="H5" s="5">
        <v>-46.04512</v>
      </c>
      <c r="I5" s="4"/>
    </row>
    <row r="6" ht="15.75" customHeight="1">
      <c r="A6" s="5" t="s">
        <v>21</v>
      </c>
      <c r="B6" s="5" t="s">
        <v>22</v>
      </c>
      <c r="C6" s="4">
        <v>-22.82684</v>
      </c>
      <c r="D6" s="4">
        <v>-46.01931</v>
      </c>
      <c r="E6" s="5" t="s">
        <v>23</v>
      </c>
      <c r="F6" s="5" t="s">
        <v>24</v>
      </c>
      <c r="G6" s="5">
        <v>-22.84299</v>
      </c>
      <c r="H6" s="5">
        <v>-46.00911</v>
      </c>
      <c r="I6" s="4"/>
    </row>
    <row r="7" ht="15.75" customHeight="1">
      <c r="A7" s="5" t="s">
        <v>25</v>
      </c>
      <c r="B7" s="5" t="s">
        <v>26</v>
      </c>
      <c r="C7" s="4">
        <v>-22.82755</v>
      </c>
      <c r="D7" s="4">
        <v>-46.02728</v>
      </c>
      <c r="E7" s="5" t="s">
        <v>27</v>
      </c>
      <c r="F7" s="5" t="s">
        <v>28</v>
      </c>
      <c r="G7" s="5">
        <v>-22.84003</v>
      </c>
      <c r="H7" s="5">
        <v>-46.00498</v>
      </c>
      <c r="I7" s="4"/>
    </row>
    <row r="8" ht="15.75" customHeight="1">
      <c r="A8" s="5" t="s">
        <v>29</v>
      </c>
      <c r="B8" s="5" t="s">
        <v>30</v>
      </c>
      <c r="C8" s="4">
        <v>-22.81687</v>
      </c>
      <c r="D8" s="4">
        <v>-46.09632</v>
      </c>
      <c r="E8" s="5" t="s">
        <v>29</v>
      </c>
      <c r="F8" s="5" t="s">
        <v>31</v>
      </c>
      <c r="G8" s="5">
        <v>-22.82462</v>
      </c>
      <c r="H8" s="5">
        <v>-46.03363</v>
      </c>
      <c r="I8" s="4"/>
    </row>
    <row r="9" ht="15.75" customHeight="1">
      <c r="A9" s="5" t="s">
        <v>32</v>
      </c>
      <c r="B9" s="5" t="s">
        <v>33</v>
      </c>
      <c r="C9" s="4">
        <v>-22.81424</v>
      </c>
      <c r="D9" s="4">
        <v>-46.09473</v>
      </c>
      <c r="E9" s="5" t="s">
        <v>32</v>
      </c>
      <c r="F9" s="5" t="s">
        <v>34</v>
      </c>
      <c r="G9" s="5">
        <v>-22.82739</v>
      </c>
      <c r="H9" s="5">
        <v>-46.03637</v>
      </c>
      <c r="I9" s="4"/>
    </row>
    <row r="10" ht="15.75" customHeight="1">
      <c r="A10" s="5" t="s">
        <v>35</v>
      </c>
      <c r="B10" s="5" t="s">
        <v>36</v>
      </c>
      <c r="C10" s="4">
        <v>-22.82639</v>
      </c>
      <c r="D10" s="4">
        <v>-46.0659</v>
      </c>
      <c r="E10" s="5" t="s">
        <v>35</v>
      </c>
      <c r="F10" s="5" t="s">
        <v>37</v>
      </c>
      <c r="G10" s="5">
        <v>-22.82352</v>
      </c>
      <c r="H10" s="5">
        <v>-46.07201</v>
      </c>
      <c r="I10" s="4"/>
    </row>
    <row r="11" ht="15.75" customHeight="1">
      <c r="A11" s="5" t="s">
        <v>38</v>
      </c>
      <c r="B11" s="5" t="s">
        <v>39</v>
      </c>
      <c r="C11" s="4">
        <v>-22.82343</v>
      </c>
      <c r="D11" s="4">
        <v>-46.07017</v>
      </c>
      <c r="E11" s="5" t="s">
        <v>38</v>
      </c>
      <c r="F11" s="5" t="s">
        <v>40</v>
      </c>
      <c r="G11" s="5">
        <v>-22.82545</v>
      </c>
      <c r="H11" s="5">
        <v>-46.06119</v>
      </c>
      <c r="I11" s="4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</row>
    <row r="13" ht="15.75" customHeight="1">
      <c r="H13" s="6"/>
      <c r="I13" s="6"/>
    </row>
    <row r="14" ht="15.75" customHeight="1">
      <c r="A14" s="7" t="s">
        <v>41</v>
      </c>
    </row>
    <row r="15" ht="15.75" customHeight="1">
      <c r="A15" s="8" t="s">
        <v>42</v>
      </c>
    </row>
    <row r="16" ht="15.75" customHeight="1">
      <c r="A16" s="8" t="s">
        <v>43</v>
      </c>
      <c r="H16" s="9" t="str">
        <f>con</f>
        <v>#NAME?</v>
      </c>
    </row>
    <row r="17" ht="15.75" customHeight="1">
      <c r="A17" s="8" t="s">
        <v>44</v>
      </c>
    </row>
    <row r="18" ht="15.75" customHeight="1">
      <c r="A18" s="8" t="s">
        <v>45</v>
      </c>
    </row>
    <row r="19" ht="15.75" customHeight="1">
      <c r="A19" s="8" t="s">
        <v>46</v>
      </c>
    </row>
    <row r="20" ht="15.75" customHeight="1">
      <c r="A20" s="8" t="s">
        <v>47</v>
      </c>
    </row>
    <row r="21" ht="15.75" customHeight="1">
      <c r="A21" s="8" t="s">
        <v>48</v>
      </c>
    </row>
    <row r="22" ht="15.75" customHeight="1">
      <c r="A22" s="8" t="s">
        <v>49</v>
      </c>
    </row>
    <row r="23" ht="15.75" customHeight="1">
      <c r="A23" s="8" t="s">
        <v>50</v>
      </c>
    </row>
    <row r="24" ht="15.75" customHeight="1">
      <c r="A24" s="10" t="s">
        <v>51</v>
      </c>
      <c r="B24" s="10" t="s">
        <v>52</v>
      </c>
    </row>
    <row r="25" ht="15.75" customHeight="1">
      <c r="A25" s="8" t="s">
        <v>53</v>
      </c>
    </row>
    <row r="26" ht="15.75" customHeight="1"/>
    <row r="27" ht="15.75" customHeight="1">
      <c r="A27" s="11" t="s">
        <v>54</v>
      </c>
      <c r="H27" s="12"/>
      <c r="I27" s="12"/>
      <c r="J27" s="12"/>
      <c r="K27" s="12"/>
      <c r="L27" s="12"/>
      <c r="M27" s="12"/>
      <c r="N27" s="12"/>
    </row>
    <row r="28" ht="15.75" customHeight="1">
      <c r="A28" s="9" t="s">
        <v>55</v>
      </c>
      <c r="B28" s="13" t="s">
        <v>56</v>
      </c>
      <c r="D28" s="7"/>
      <c r="E28" s="12"/>
      <c r="F28" s="14"/>
      <c r="G28" s="7"/>
      <c r="H28" s="7"/>
      <c r="I28" s="7"/>
      <c r="J28" s="7"/>
      <c r="K28" s="7"/>
      <c r="L28" s="13"/>
      <c r="M28" s="7"/>
      <c r="N28" s="7"/>
    </row>
    <row r="29" ht="15.75" customHeight="1">
      <c r="A29" s="9" t="s">
        <v>57</v>
      </c>
      <c r="B29" s="13" t="s">
        <v>58</v>
      </c>
      <c r="D29" s="7"/>
      <c r="E29" s="7"/>
      <c r="F29" s="14"/>
      <c r="G29" s="7"/>
      <c r="H29" s="7"/>
      <c r="I29" s="7"/>
      <c r="J29" s="7"/>
      <c r="K29" s="7"/>
      <c r="L29" s="12"/>
      <c r="M29" s="7"/>
      <c r="N29" s="7"/>
    </row>
    <row r="30" ht="15.75" customHeight="1">
      <c r="A30" s="15" t="s">
        <v>59</v>
      </c>
      <c r="B30" s="13" t="s">
        <v>60</v>
      </c>
      <c r="D30" s="7"/>
      <c r="E30" s="7"/>
      <c r="F30" s="14"/>
      <c r="G30" s="7"/>
      <c r="H30" s="7"/>
      <c r="I30" s="7"/>
      <c r="J30" s="7"/>
      <c r="K30" s="7"/>
      <c r="L30" s="12"/>
      <c r="M30" s="7"/>
      <c r="N30" s="7"/>
    </row>
    <row r="31" ht="15.75" customHeight="1">
      <c r="A31" s="15" t="s">
        <v>61</v>
      </c>
      <c r="B31" s="13" t="s">
        <v>62</v>
      </c>
      <c r="D31" s="7"/>
      <c r="E31" s="7"/>
      <c r="F31" s="14"/>
      <c r="G31" s="7"/>
      <c r="H31" s="7"/>
      <c r="I31" s="7"/>
      <c r="J31" s="7"/>
      <c r="K31" s="7"/>
      <c r="L31" s="12"/>
      <c r="M31" s="7"/>
      <c r="N31" s="7"/>
    </row>
    <row r="32" ht="15.75" customHeight="1">
      <c r="A32" s="15" t="s">
        <v>63</v>
      </c>
      <c r="B32" s="13" t="s">
        <v>64</v>
      </c>
      <c r="D32" s="7"/>
      <c r="E32" s="7"/>
      <c r="F32" s="14"/>
      <c r="G32" s="7"/>
      <c r="H32" s="7"/>
      <c r="I32" s="7"/>
      <c r="J32" s="7"/>
      <c r="K32" s="7"/>
      <c r="L32" s="12"/>
      <c r="M32" s="7"/>
      <c r="N32" s="7"/>
    </row>
    <row r="33" ht="15.75" customHeight="1">
      <c r="A33" s="15" t="s">
        <v>65</v>
      </c>
      <c r="B33" s="13" t="s">
        <v>66</v>
      </c>
      <c r="D33" s="7"/>
      <c r="E33" s="7"/>
      <c r="F33" s="16"/>
      <c r="G33" s="7"/>
      <c r="H33" s="7"/>
      <c r="I33" s="7"/>
      <c r="J33" s="7"/>
      <c r="K33" s="7"/>
      <c r="L33" s="7"/>
      <c r="M33" s="7"/>
      <c r="N33" s="7"/>
    </row>
    <row r="34" ht="15.75" customHeight="1">
      <c r="A34" s="15" t="s">
        <v>67</v>
      </c>
      <c r="B34" s="13" t="s">
        <v>68</v>
      </c>
      <c r="D34" s="7"/>
      <c r="E34" s="7"/>
      <c r="F34" s="14"/>
      <c r="G34" s="7"/>
      <c r="H34" s="7"/>
      <c r="I34" s="7"/>
      <c r="J34" s="7"/>
      <c r="K34" s="7"/>
      <c r="L34" s="7"/>
      <c r="M34" s="7"/>
      <c r="N34" s="7"/>
    </row>
    <row r="35" ht="15.75" customHeight="1">
      <c r="A35" s="15" t="s">
        <v>69</v>
      </c>
      <c r="B35" s="13" t="s">
        <v>70</v>
      </c>
      <c r="D35" s="7"/>
      <c r="E35" s="7"/>
      <c r="F35" s="14"/>
      <c r="G35" s="7"/>
      <c r="H35" s="7"/>
      <c r="I35" s="7"/>
      <c r="J35" s="7"/>
      <c r="K35" s="7"/>
      <c r="L35" s="7"/>
      <c r="M35" s="7"/>
      <c r="N35" s="7"/>
    </row>
    <row r="36" ht="15.75" customHeight="1">
      <c r="A36" s="15" t="s">
        <v>71</v>
      </c>
      <c r="B36" s="13" t="s">
        <v>72</v>
      </c>
      <c r="D36" s="7"/>
      <c r="E36" s="7"/>
      <c r="F36" s="14"/>
      <c r="G36" s="7"/>
      <c r="H36" s="7"/>
      <c r="I36" s="7"/>
      <c r="J36" s="7"/>
      <c r="K36" s="7"/>
      <c r="L36" s="7"/>
      <c r="M36" s="7"/>
      <c r="N36" s="7"/>
    </row>
    <row r="37" ht="15.75" customHeight="1">
      <c r="A37" s="15" t="s">
        <v>73</v>
      </c>
      <c r="B37" s="13" t="s">
        <v>74</v>
      </c>
      <c r="D37" s="7"/>
      <c r="E37" s="7"/>
      <c r="F37" s="14"/>
      <c r="G37" s="7"/>
      <c r="H37" s="7"/>
      <c r="I37" s="7"/>
      <c r="J37" s="7"/>
      <c r="K37" s="7"/>
      <c r="L37" s="7"/>
      <c r="M37" s="7"/>
      <c r="N37" s="7"/>
    </row>
    <row r="38" ht="15.75" customHeight="1">
      <c r="A38" s="15" t="s">
        <v>75</v>
      </c>
      <c r="B38" s="13" t="s">
        <v>76</v>
      </c>
      <c r="D38" s="7"/>
      <c r="E38" s="7"/>
      <c r="F38" s="14"/>
      <c r="G38" s="7"/>
      <c r="H38" s="7"/>
      <c r="I38" s="7"/>
      <c r="J38" s="7"/>
      <c r="K38" s="7"/>
      <c r="L38" s="7"/>
      <c r="M38" s="7"/>
      <c r="N38" s="7"/>
    </row>
    <row r="39" ht="15.75" customHeight="1">
      <c r="A39" s="15" t="s">
        <v>77</v>
      </c>
      <c r="B39" s="13" t="s">
        <v>78</v>
      </c>
      <c r="D39" s="7"/>
      <c r="E39" s="7"/>
      <c r="F39" s="14"/>
      <c r="G39" s="7"/>
      <c r="H39" s="7"/>
      <c r="I39" s="7"/>
      <c r="J39" s="7"/>
      <c r="K39" s="7"/>
      <c r="L39" s="7"/>
      <c r="M39" s="7"/>
      <c r="N39" s="7"/>
    </row>
    <row r="40" ht="15.75" customHeight="1">
      <c r="A40" s="15" t="s">
        <v>79</v>
      </c>
      <c r="B40" s="13" t="s">
        <v>80</v>
      </c>
      <c r="D40" s="7"/>
      <c r="E40" s="7"/>
      <c r="F40" s="14"/>
      <c r="G40" s="7"/>
      <c r="H40" s="7"/>
      <c r="I40" s="7"/>
      <c r="J40" s="7"/>
      <c r="K40" s="7"/>
      <c r="L40" s="7"/>
      <c r="M40" s="7"/>
      <c r="N40" s="7"/>
    </row>
    <row r="41" ht="15.75" customHeight="1">
      <c r="A41" s="15" t="s">
        <v>81</v>
      </c>
      <c r="B41" s="13" t="s">
        <v>82</v>
      </c>
      <c r="D41" s="7"/>
      <c r="E41" s="7"/>
      <c r="F41" s="14"/>
      <c r="G41" s="7"/>
      <c r="H41" s="7"/>
      <c r="I41" s="7"/>
      <c r="J41" s="7"/>
      <c r="K41" s="7"/>
      <c r="L41" s="7"/>
      <c r="M41" s="7"/>
      <c r="N41" s="7"/>
    </row>
    <row r="42" ht="15.75" customHeight="1">
      <c r="A42" s="15" t="s">
        <v>83</v>
      </c>
      <c r="B42" s="13" t="s">
        <v>84</v>
      </c>
      <c r="D42" s="7"/>
      <c r="E42" s="7"/>
      <c r="F42" s="14"/>
      <c r="G42" s="7"/>
      <c r="H42" s="7"/>
      <c r="I42" s="7"/>
      <c r="J42" s="7"/>
      <c r="K42" s="7"/>
      <c r="L42" s="7"/>
      <c r="M42" s="7"/>
      <c r="N42" s="7"/>
    </row>
    <row r="43" ht="15.75" customHeight="1">
      <c r="A43" s="15" t="s">
        <v>85</v>
      </c>
      <c r="B43" s="13" t="s">
        <v>86</v>
      </c>
      <c r="D43" s="7"/>
      <c r="E43" s="7"/>
      <c r="F43" s="14"/>
      <c r="G43" s="7"/>
      <c r="H43" s="7"/>
      <c r="I43" s="7"/>
      <c r="J43" s="7"/>
      <c r="K43" s="7"/>
      <c r="L43" s="7"/>
      <c r="M43" s="7"/>
      <c r="N43" s="7"/>
    </row>
    <row r="44" ht="15.75" customHeight="1">
      <c r="A44" s="15" t="s">
        <v>87</v>
      </c>
      <c r="B44" s="13" t="s">
        <v>88</v>
      </c>
      <c r="D44" s="7"/>
      <c r="E44" s="7"/>
      <c r="F44" s="14"/>
      <c r="G44" s="7"/>
      <c r="H44" s="7"/>
      <c r="I44" s="7"/>
      <c r="J44" s="7"/>
      <c r="K44" s="7"/>
      <c r="L44" s="7"/>
      <c r="M44" s="7"/>
      <c r="N44" s="7"/>
    </row>
    <row r="45" ht="15.75" customHeight="1">
      <c r="A45" s="15" t="s">
        <v>89</v>
      </c>
      <c r="B45" s="13" t="s">
        <v>90</v>
      </c>
      <c r="D45" s="7"/>
      <c r="E45" s="7"/>
      <c r="F45" s="14"/>
      <c r="G45" s="7"/>
      <c r="H45" s="7"/>
      <c r="I45" s="7"/>
      <c r="J45" s="7"/>
      <c r="K45" s="7"/>
      <c r="L45" s="7"/>
      <c r="M45" s="7"/>
      <c r="N45" s="7"/>
    </row>
    <row r="46" ht="15.75" customHeight="1">
      <c r="A46" s="15" t="s">
        <v>91</v>
      </c>
      <c r="B46" s="13" t="s">
        <v>92</v>
      </c>
      <c r="D46" s="7"/>
      <c r="E46" s="7"/>
      <c r="F46" s="14"/>
      <c r="G46" s="7"/>
      <c r="H46" s="7"/>
      <c r="I46" s="7"/>
      <c r="J46" s="7"/>
      <c r="K46" s="7"/>
      <c r="L46" s="7"/>
      <c r="M46" s="7"/>
      <c r="N46" s="7"/>
    </row>
    <row r="47" ht="15.75" customHeight="1">
      <c r="A47" s="15" t="s">
        <v>93</v>
      </c>
      <c r="B47" s="13" t="s">
        <v>94</v>
      </c>
      <c r="D47" s="7"/>
      <c r="E47" s="7"/>
      <c r="F47" s="14"/>
      <c r="G47" s="7"/>
      <c r="H47" s="7"/>
      <c r="I47" s="7"/>
      <c r="J47" s="7"/>
      <c r="K47" s="7"/>
      <c r="L47" s="7"/>
      <c r="M47" s="7"/>
      <c r="N47" s="7"/>
    </row>
    <row r="48" ht="15.75" customHeight="1">
      <c r="A48" s="15" t="s">
        <v>95</v>
      </c>
      <c r="B48" s="13" t="s">
        <v>96</v>
      </c>
      <c r="D48" s="7"/>
      <c r="E48" s="7"/>
      <c r="F48" s="14"/>
      <c r="G48" s="7"/>
      <c r="H48" s="7"/>
      <c r="I48" s="7"/>
      <c r="J48" s="7"/>
      <c r="K48" s="7"/>
      <c r="L48" s="7"/>
      <c r="M48" s="7"/>
      <c r="N48" s="7"/>
    </row>
    <row r="49" ht="15.75" customHeight="1">
      <c r="A49" s="15" t="s">
        <v>97</v>
      </c>
      <c r="B49" s="13" t="s">
        <v>98</v>
      </c>
      <c r="D49" s="7"/>
      <c r="E49" s="7"/>
      <c r="F49" s="14"/>
      <c r="G49" s="7"/>
      <c r="H49" s="7"/>
      <c r="I49" s="7"/>
      <c r="J49" s="7"/>
      <c r="K49" s="7"/>
      <c r="L49" s="7"/>
      <c r="M49" s="7"/>
      <c r="N49" s="7"/>
    </row>
    <row r="50" ht="15.75" customHeight="1">
      <c r="A50" s="15" t="s">
        <v>99</v>
      </c>
      <c r="B50" s="13" t="s">
        <v>100</v>
      </c>
      <c r="D50" s="7"/>
      <c r="E50" s="7"/>
      <c r="F50" s="14"/>
      <c r="G50" s="7"/>
      <c r="H50" s="7"/>
      <c r="I50" s="7"/>
      <c r="J50" s="7"/>
      <c r="K50" s="7"/>
      <c r="L50" s="7"/>
      <c r="M50" s="7"/>
      <c r="N50" s="7"/>
    </row>
    <row r="51" ht="15.75" customHeight="1">
      <c r="A51" s="15" t="s">
        <v>101</v>
      </c>
      <c r="B51" s="13" t="s">
        <v>102</v>
      </c>
      <c r="D51" s="7"/>
      <c r="E51" s="7"/>
      <c r="F51" s="14"/>
      <c r="G51" s="7"/>
      <c r="H51" s="7"/>
      <c r="I51" s="7"/>
      <c r="J51" s="7"/>
      <c r="K51" s="7"/>
      <c r="L51" s="7"/>
      <c r="M51" s="7"/>
      <c r="N51" s="7"/>
    </row>
    <row r="52" ht="15.75" customHeight="1">
      <c r="B52" s="7"/>
      <c r="D52" s="7"/>
      <c r="E52" s="7"/>
      <c r="F52" s="14"/>
      <c r="G52" s="7"/>
      <c r="H52" s="7"/>
      <c r="I52" s="7"/>
      <c r="J52" s="7"/>
      <c r="K52" s="7"/>
      <c r="L52" s="7"/>
      <c r="M52" s="7"/>
      <c r="N52" s="7"/>
    </row>
    <row r="53" ht="15.75" customHeight="1">
      <c r="B53" s="7"/>
      <c r="D53" s="7"/>
      <c r="E53" s="7"/>
      <c r="F53" s="14"/>
      <c r="G53" s="7"/>
      <c r="H53" s="7"/>
      <c r="I53" s="7"/>
      <c r="J53" s="7"/>
      <c r="K53" s="7"/>
      <c r="L53" s="7"/>
      <c r="M53" s="7"/>
      <c r="N53" s="7"/>
    </row>
    <row r="54" ht="15.75" customHeight="1">
      <c r="B54" s="7"/>
      <c r="D54" s="7"/>
      <c r="E54" s="7"/>
      <c r="F54" s="14"/>
      <c r="G54" s="7"/>
      <c r="H54" s="7"/>
      <c r="I54" s="7"/>
      <c r="J54" s="7"/>
      <c r="K54" s="7"/>
      <c r="L54" s="7"/>
      <c r="M54" s="7"/>
      <c r="N54" s="7"/>
    </row>
    <row r="55" ht="15.75" customHeight="1">
      <c r="B55" s="7"/>
      <c r="D55" s="7"/>
      <c r="E55" s="7"/>
      <c r="F55" s="14"/>
      <c r="G55" s="7"/>
      <c r="H55" s="7"/>
      <c r="I55" s="7"/>
      <c r="J55" s="7"/>
      <c r="K55" s="7"/>
      <c r="L55" s="7"/>
      <c r="M55" s="7"/>
      <c r="N55" s="7"/>
    </row>
    <row r="56" ht="15.75" customHeight="1">
      <c r="B56" s="7"/>
      <c r="D56" s="7"/>
      <c r="E56" s="7"/>
      <c r="F56" s="14"/>
      <c r="G56" s="7"/>
      <c r="H56" s="7"/>
      <c r="I56" s="7"/>
      <c r="J56" s="7"/>
      <c r="K56" s="7"/>
      <c r="L56" s="7"/>
      <c r="M56" s="7"/>
      <c r="N56" s="7"/>
    </row>
    <row r="57" ht="15.75" customHeight="1">
      <c r="B57" s="7"/>
      <c r="D57" s="7"/>
      <c r="E57" s="7"/>
      <c r="F57" s="14"/>
      <c r="G57" s="7"/>
      <c r="H57" s="7"/>
      <c r="I57" s="7"/>
      <c r="J57" s="7"/>
      <c r="K57" s="7"/>
      <c r="L57" s="7"/>
      <c r="M57" s="7"/>
      <c r="N57" s="7"/>
    </row>
    <row r="58" ht="15.75" customHeight="1">
      <c r="B58" s="7"/>
      <c r="D58" s="7"/>
      <c r="E58" s="7"/>
      <c r="F58" s="14"/>
      <c r="G58" s="7"/>
      <c r="H58" s="7"/>
      <c r="I58" s="7"/>
      <c r="J58" s="7"/>
      <c r="K58" s="7"/>
      <c r="L58" s="7"/>
      <c r="M58" s="7"/>
      <c r="N58" s="7"/>
    </row>
    <row r="59" ht="15.75" customHeight="1">
      <c r="B59" s="7"/>
      <c r="D59" s="7"/>
      <c r="E59" s="7"/>
      <c r="F59" s="14"/>
      <c r="G59" s="7"/>
      <c r="H59" s="7"/>
      <c r="I59" s="7"/>
      <c r="J59" s="7"/>
      <c r="K59" s="7"/>
      <c r="L59" s="7"/>
      <c r="M59" s="7"/>
      <c r="N59" s="7"/>
    </row>
    <row r="60" ht="15.75" customHeight="1">
      <c r="B60" s="7"/>
      <c r="D60" s="7"/>
      <c r="E60" s="7"/>
      <c r="F60" s="14"/>
      <c r="G60" s="7"/>
      <c r="H60" s="7"/>
      <c r="I60" s="7"/>
      <c r="J60" s="7"/>
      <c r="K60" s="7"/>
      <c r="L60" s="7"/>
      <c r="M60" s="7"/>
      <c r="N60" s="7"/>
    </row>
    <row r="61" ht="15.75" customHeight="1">
      <c r="B61" s="7"/>
      <c r="D61" s="7"/>
      <c r="E61" s="7"/>
      <c r="F61" s="14"/>
      <c r="G61" s="7"/>
      <c r="H61" s="7"/>
      <c r="I61" s="7"/>
      <c r="J61" s="7"/>
      <c r="K61" s="7"/>
      <c r="L61" s="7"/>
      <c r="M61" s="7"/>
      <c r="N61" s="7"/>
    </row>
    <row r="62" ht="15.75" customHeight="1">
      <c r="B62" s="7"/>
      <c r="D62" s="7"/>
      <c r="E62" s="7"/>
      <c r="F62" s="14"/>
      <c r="G62" s="7"/>
      <c r="H62" s="7"/>
      <c r="I62" s="7"/>
      <c r="J62" s="7"/>
      <c r="K62" s="7"/>
      <c r="L62" s="7"/>
      <c r="M62" s="7"/>
      <c r="N62" s="7"/>
    </row>
    <row r="63" ht="15.75" customHeight="1">
      <c r="B63" s="7"/>
      <c r="D63" s="7"/>
      <c r="E63" s="7"/>
      <c r="F63" s="14"/>
      <c r="G63" s="7"/>
      <c r="H63" s="7"/>
      <c r="I63" s="7"/>
      <c r="J63" s="7"/>
      <c r="K63" s="7"/>
      <c r="L63" s="7"/>
      <c r="M63" s="7"/>
      <c r="N63" s="7"/>
    </row>
    <row r="64" ht="15.75" customHeight="1">
      <c r="B64" s="7"/>
      <c r="D64" s="7"/>
      <c r="E64" s="7"/>
      <c r="F64" s="14"/>
      <c r="G64" s="7"/>
      <c r="H64" s="7"/>
      <c r="I64" s="7"/>
      <c r="J64" s="7"/>
      <c r="K64" s="7"/>
      <c r="L64" s="7"/>
      <c r="M64" s="7"/>
      <c r="N64" s="7"/>
    </row>
    <row r="65" ht="15.75" customHeight="1">
      <c r="B65" s="7"/>
      <c r="D65" s="7"/>
      <c r="E65" s="7"/>
      <c r="F65" s="14"/>
      <c r="G65" s="7"/>
      <c r="H65" s="7"/>
      <c r="I65" s="7"/>
      <c r="J65" s="7"/>
      <c r="K65" s="7"/>
      <c r="L65" s="7"/>
      <c r="M65" s="7"/>
      <c r="N65" s="7"/>
    </row>
    <row r="66" ht="15.75" customHeight="1">
      <c r="B66" s="7"/>
      <c r="D66" s="7"/>
      <c r="E66" s="7"/>
      <c r="F66" s="14"/>
      <c r="G66" s="7"/>
      <c r="H66" s="7"/>
      <c r="I66" s="7"/>
      <c r="J66" s="7"/>
      <c r="K66" s="7"/>
      <c r="L66" s="7"/>
      <c r="M66" s="7"/>
      <c r="N66" s="7"/>
    </row>
    <row r="67" ht="15.75" customHeight="1">
      <c r="B67" s="7"/>
      <c r="D67" s="7"/>
      <c r="E67" s="7"/>
      <c r="F67" s="14"/>
      <c r="G67" s="7"/>
      <c r="H67" s="7"/>
      <c r="I67" s="7"/>
      <c r="J67" s="7"/>
      <c r="K67" s="7"/>
      <c r="L67" s="7"/>
      <c r="M67" s="7"/>
      <c r="N67" s="7"/>
    </row>
    <row r="68" ht="15.75" customHeight="1">
      <c r="B68" s="7"/>
      <c r="D68" s="7"/>
      <c r="E68" s="7"/>
      <c r="F68" s="14"/>
      <c r="G68" s="7"/>
      <c r="H68" s="7"/>
      <c r="I68" s="7"/>
      <c r="J68" s="7"/>
      <c r="K68" s="7"/>
      <c r="L68" s="7"/>
      <c r="M68" s="7"/>
      <c r="N68" s="7"/>
    </row>
    <row r="69" ht="15.75" customHeight="1">
      <c r="B69" s="7"/>
      <c r="D69" s="7"/>
      <c r="E69" s="7"/>
      <c r="F69" s="14"/>
      <c r="G69" s="7"/>
      <c r="H69" s="7"/>
      <c r="I69" s="7"/>
      <c r="J69" s="7"/>
      <c r="K69" s="7"/>
      <c r="L69" s="7"/>
      <c r="M69" s="7"/>
      <c r="N69" s="7"/>
    </row>
    <row r="70" ht="15.75" customHeight="1">
      <c r="B70" s="7"/>
      <c r="D70" s="7"/>
      <c r="E70" s="7"/>
      <c r="F70" s="14"/>
      <c r="G70" s="7"/>
      <c r="H70" s="7"/>
      <c r="I70" s="7"/>
      <c r="J70" s="7"/>
      <c r="K70" s="7"/>
      <c r="L70" s="7"/>
      <c r="M70" s="7"/>
      <c r="N70" s="7"/>
    </row>
    <row r="71" ht="15.75" customHeight="1">
      <c r="B71" s="7"/>
      <c r="D71" s="7"/>
      <c r="E71" s="7"/>
      <c r="F71" s="14"/>
      <c r="G71" s="7"/>
      <c r="H71" s="7"/>
      <c r="I71" s="7"/>
      <c r="J71" s="7"/>
      <c r="K71" s="7"/>
      <c r="L71" s="7"/>
      <c r="M71" s="7"/>
      <c r="N71" s="7"/>
    </row>
    <row r="72" ht="15.75" customHeight="1">
      <c r="B72" s="7"/>
      <c r="D72" s="7"/>
      <c r="E72" s="7"/>
      <c r="F72" s="14"/>
      <c r="G72" s="7"/>
      <c r="H72" s="7"/>
      <c r="I72" s="7"/>
      <c r="J72" s="7"/>
      <c r="K72" s="7"/>
      <c r="L72" s="7"/>
      <c r="M72" s="7"/>
      <c r="N72" s="7"/>
    </row>
    <row r="73" ht="15.75" customHeight="1">
      <c r="B73" s="7"/>
      <c r="D73" s="7"/>
      <c r="E73" s="7"/>
      <c r="F73" s="14"/>
      <c r="G73" s="7"/>
      <c r="H73" s="7"/>
      <c r="I73" s="7"/>
      <c r="J73" s="7"/>
      <c r="K73" s="7"/>
      <c r="L73" s="7"/>
      <c r="M73" s="7"/>
      <c r="N73" s="7"/>
    </row>
    <row r="74" ht="15.75" customHeight="1">
      <c r="B74" s="7"/>
      <c r="D74" s="7"/>
      <c r="E74" s="7"/>
      <c r="F74" s="14"/>
      <c r="G74" s="7"/>
      <c r="H74" s="7"/>
      <c r="I74" s="7"/>
      <c r="J74" s="7"/>
      <c r="K74" s="7"/>
      <c r="L74" s="7"/>
      <c r="M74" s="7"/>
      <c r="N74" s="7"/>
    </row>
    <row r="75" ht="15.75" customHeight="1">
      <c r="B75" s="7"/>
      <c r="D75" s="7"/>
      <c r="E75" s="7"/>
      <c r="F75" s="14"/>
      <c r="G75" s="7"/>
      <c r="H75" s="7"/>
      <c r="I75" s="7"/>
      <c r="J75" s="7"/>
      <c r="K75" s="7"/>
      <c r="L75" s="7"/>
      <c r="M75" s="7"/>
      <c r="N75" s="7"/>
    </row>
    <row r="76" ht="15.75" customHeight="1">
      <c r="B76" s="7"/>
      <c r="D76" s="7"/>
      <c r="E76" s="7"/>
      <c r="F76" s="14"/>
      <c r="G76" s="7"/>
      <c r="H76" s="7"/>
      <c r="I76" s="7"/>
      <c r="J76" s="7"/>
      <c r="K76" s="7"/>
      <c r="L76" s="7"/>
      <c r="M76" s="7"/>
      <c r="N76" s="7"/>
    </row>
    <row r="77" ht="15.75" customHeight="1">
      <c r="B77" s="7"/>
      <c r="D77" s="7"/>
      <c r="E77" s="7"/>
      <c r="F77" s="14"/>
      <c r="G77" s="7"/>
      <c r="H77" s="7"/>
      <c r="I77" s="7"/>
      <c r="J77" s="7"/>
      <c r="K77" s="7"/>
      <c r="L77" s="7"/>
      <c r="M77" s="7"/>
      <c r="N77" s="7"/>
    </row>
    <row r="78" ht="15.75" customHeight="1">
      <c r="B78" s="7"/>
      <c r="D78" s="7"/>
      <c r="E78" s="7"/>
      <c r="F78" s="14"/>
      <c r="G78" s="7"/>
      <c r="H78" s="7"/>
      <c r="I78" s="7"/>
      <c r="J78" s="7"/>
      <c r="K78" s="7"/>
      <c r="L78" s="7"/>
      <c r="M78" s="7"/>
      <c r="N78" s="7"/>
    </row>
    <row r="79" ht="15.75" customHeight="1">
      <c r="B79" s="7"/>
      <c r="D79" s="7"/>
      <c r="E79" s="7"/>
      <c r="F79" s="14"/>
      <c r="G79" s="7"/>
      <c r="H79" s="7"/>
      <c r="I79" s="7"/>
      <c r="J79" s="7"/>
      <c r="K79" s="7"/>
      <c r="L79" s="7"/>
      <c r="M79" s="7"/>
      <c r="N79" s="7"/>
    </row>
    <row r="80" ht="15.75" customHeight="1">
      <c r="B80" s="7"/>
      <c r="D80" s="7"/>
      <c r="E80" s="7"/>
      <c r="F80" s="14"/>
      <c r="G80" s="7"/>
      <c r="H80" s="7"/>
      <c r="I80" s="7"/>
      <c r="J80" s="7"/>
      <c r="K80" s="7"/>
      <c r="L80" s="7"/>
      <c r="M80" s="7"/>
      <c r="N80" s="7"/>
    </row>
    <row r="81" ht="15.75" customHeight="1">
      <c r="B81" s="7"/>
      <c r="D81" s="7"/>
      <c r="E81" s="7"/>
      <c r="F81" s="14"/>
      <c r="G81" s="7"/>
      <c r="H81" s="7"/>
      <c r="I81" s="7"/>
      <c r="J81" s="7"/>
      <c r="K81" s="7"/>
      <c r="L81" s="7"/>
      <c r="M81" s="7"/>
      <c r="N81" s="7"/>
    </row>
    <row r="82" ht="15.75" customHeight="1">
      <c r="B82" s="7"/>
      <c r="D82" s="7"/>
      <c r="E82" s="7"/>
      <c r="F82" s="14"/>
      <c r="G82" s="7"/>
      <c r="H82" s="7"/>
      <c r="I82" s="7"/>
      <c r="J82" s="7"/>
      <c r="K82" s="7"/>
      <c r="L82" s="7"/>
      <c r="M82" s="7"/>
      <c r="N82" s="7"/>
    </row>
    <row r="83" ht="15.75" customHeight="1">
      <c r="B83" s="7"/>
      <c r="D83" s="7"/>
      <c r="E83" s="7"/>
      <c r="F83" s="14"/>
      <c r="G83" s="7"/>
      <c r="H83" s="7"/>
      <c r="I83" s="7"/>
      <c r="J83" s="7"/>
      <c r="K83" s="7"/>
      <c r="L83" s="7"/>
      <c r="M83" s="7"/>
      <c r="N83" s="7"/>
    </row>
    <row r="84" ht="15.75" customHeight="1">
      <c r="B84" s="7"/>
      <c r="D84" s="7"/>
      <c r="E84" s="7"/>
      <c r="F84" s="14"/>
      <c r="G84" s="7"/>
      <c r="H84" s="7"/>
      <c r="I84" s="7"/>
      <c r="J84" s="7"/>
      <c r="K84" s="7"/>
      <c r="L84" s="7"/>
      <c r="M84" s="7"/>
      <c r="N84" s="7"/>
    </row>
    <row r="85" ht="15.75" customHeight="1">
      <c r="B85" s="7"/>
      <c r="D85" s="7"/>
      <c r="E85" s="7"/>
      <c r="F85" s="14"/>
      <c r="G85" s="7"/>
      <c r="H85" s="7"/>
      <c r="I85" s="7"/>
      <c r="J85" s="7"/>
      <c r="K85" s="7"/>
      <c r="L85" s="7"/>
      <c r="M85" s="7"/>
      <c r="N85" s="7"/>
    </row>
    <row r="86" ht="15.75" customHeight="1">
      <c r="B86" s="7"/>
      <c r="D86" s="7"/>
      <c r="E86" s="7"/>
      <c r="F86" s="14"/>
      <c r="G86" s="7"/>
      <c r="H86" s="7"/>
      <c r="I86" s="7"/>
      <c r="J86" s="7"/>
      <c r="K86" s="7"/>
      <c r="L86" s="7"/>
      <c r="M86" s="7"/>
      <c r="N86" s="7"/>
    </row>
    <row r="87" ht="15.75" customHeight="1">
      <c r="B87" s="7"/>
      <c r="D87" s="7"/>
      <c r="E87" s="7"/>
      <c r="F87" s="14"/>
      <c r="G87" s="7"/>
      <c r="H87" s="7"/>
      <c r="I87" s="7"/>
      <c r="J87" s="7"/>
      <c r="K87" s="7"/>
      <c r="L87" s="7"/>
      <c r="M87" s="7"/>
      <c r="N87" s="7"/>
    </row>
    <row r="88" ht="15.75" customHeight="1">
      <c r="B88" s="7"/>
      <c r="D88" s="7"/>
      <c r="E88" s="7"/>
      <c r="F88" s="14"/>
      <c r="G88" s="7"/>
      <c r="H88" s="7"/>
      <c r="I88" s="7"/>
      <c r="J88" s="7"/>
      <c r="K88" s="7"/>
      <c r="L88" s="7"/>
      <c r="M88" s="7"/>
      <c r="N88" s="7"/>
    </row>
    <row r="89" ht="15.75" customHeight="1">
      <c r="B89" s="7"/>
      <c r="D89" s="7"/>
      <c r="E89" s="7"/>
      <c r="F89" s="14"/>
      <c r="G89" s="7"/>
      <c r="H89" s="7"/>
      <c r="I89" s="7"/>
      <c r="J89" s="7"/>
      <c r="K89" s="7"/>
      <c r="L89" s="7"/>
      <c r="M89" s="7"/>
      <c r="N89" s="7"/>
    </row>
    <row r="90" ht="15.75" customHeight="1">
      <c r="B90" s="7"/>
      <c r="D90" s="7"/>
      <c r="E90" s="7"/>
      <c r="F90" s="14"/>
      <c r="G90" s="7"/>
      <c r="H90" s="7"/>
      <c r="I90" s="7"/>
      <c r="J90" s="7"/>
      <c r="K90" s="7"/>
      <c r="L90" s="7"/>
      <c r="M90" s="7"/>
      <c r="N90" s="7"/>
    </row>
    <row r="91" ht="15.75" customHeight="1">
      <c r="B91" s="7"/>
      <c r="D91" s="7"/>
      <c r="E91" s="7"/>
      <c r="F91" s="14"/>
      <c r="G91" s="7"/>
      <c r="H91" s="7"/>
      <c r="I91" s="7"/>
      <c r="J91" s="7"/>
      <c r="K91" s="7"/>
      <c r="L91" s="7"/>
      <c r="M91" s="7"/>
      <c r="N91" s="7"/>
    </row>
    <row r="92" ht="15.75" customHeight="1">
      <c r="B92" s="7"/>
      <c r="D92" s="7"/>
      <c r="E92" s="7"/>
      <c r="F92" s="14"/>
      <c r="G92" s="7"/>
      <c r="H92" s="7"/>
      <c r="I92" s="7"/>
      <c r="J92" s="7"/>
      <c r="K92" s="7"/>
      <c r="L92" s="7"/>
      <c r="M92" s="7"/>
      <c r="N92" s="7"/>
    </row>
    <row r="93" ht="15.75" customHeight="1">
      <c r="B93" s="7"/>
      <c r="D93" s="7"/>
      <c r="E93" s="7"/>
      <c r="F93" s="14"/>
      <c r="G93" s="7"/>
      <c r="H93" s="7"/>
      <c r="I93" s="7"/>
      <c r="J93" s="7"/>
      <c r="K93" s="7"/>
      <c r="L93" s="7"/>
      <c r="M93" s="7"/>
      <c r="N93" s="7"/>
    </row>
    <row r="94" ht="15.75" customHeight="1">
      <c r="B94" s="7"/>
      <c r="D94" s="7"/>
      <c r="E94" s="7"/>
      <c r="F94" s="14"/>
      <c r="G94" s="7"/>
      <c r="H94" s="7"/>
      <c r="I94" s="7"/>
      <c r="J94" s="7"/>
      <c r="K94" s="7"/>
      <c r="L94" s="7"/>
      <c r="M94" s="7"/>
      <c r="N94" s="7"/>
    </row>
    <row r="95" ht="15.75" customHeight="1">
      <c r="B95" s="7"/>
      <c r="D95" s="7"/>
      <c r="E95" s="7"/>
      <c r="F95" s="14"/>
      <c r="G95" s="7"/>
      <c r="H95" s="7"/>
      <c r="I95" s="7"/>
      <c r="J95" s="7"/>
      <c r="K95" s="7"/>
      <c r="L95" s="7"/>
      <c r="M95" s="7"/>
      <c r="N95" s="7"/>
    </row>
    <row r="96" ht="15.75" customHeight="1">
      <c r="B96" s="7"/>
      <c r="D96" s="7"/>
      <c r="E96" s="7"/>
      <c r="F96" s="14"/>
      <c r="G96" s="7"/>
      <c r="H96" s="7"/>
      <c r="I96" s="7"/>
      <c r="J96" s="7"/>
      <c r="K96" s="7"/>
      <c r="L96" s="7"/>
      <c r="M96" s="7"/>
      <c r="N96" s="7"/>
    </row>
    <row r="97" ht="15.75" customHeight="1">
      <c r="B97" s="7"/>
      <c r="D97" s="7"/>
      <c r="E97" s="7"/>
      <c r="F97" s="14"/>
      <c r="G97" s="7"/>
      <c r="H97" s="7"/>
      <c r="I97" s="7"/>
      <c r="J97" s="7"/>
      <c r="K97" s="7"/>
      <c r="L97" s="7"/>
      <c r="M97" s="7"/>
      <c r="N97" s="7"/>
    </row>
    <row r="98" ht="15.75" customHeight="1">
      <c r="B98" s="7"/>
      <c r="D98" s="7"/>
      <c r="E98" s="7"/>
      <c r="F98" s="14"/>
      <c r="G98" s="7"/>
      <c r="H98" s="7"/>
      <c r="I98" s="7"/>
      <c r="J98" s="7"/>
      <c r="K98" s="7"/>
      <c r="L98" s="7"/>
      <c r="M98" s="7"/>
      <c r="N98" s="7"/>
    </row>
    <row r="99" ht="15.75" customHeight="1">
      <c r="B99" s="7"/>
      <c r="D99" s="7"/>
      <c r="E99" s="7"/>
      <c r="F99" s="14"/>
      <c r="G99" s="7"/>
      <c r="H99" s="7"/>
      <c r="I99" s="7"/>
      <c r="J99" s="7"/>
      <c r="K99" s="7"/>
      <c r="L99" s="7"/>
      <c r="M99" s="7"/>
      <c r="N99" s="7"/>
    </row>
    <row r="100" ht="15.75" customHeight="1">
      <c r="B100" s="7"/>
      <c r="D100" s="7"/>
      <c r="E100" s="7"/>
      <c r="F100" s="14"/>
      <c r="G100" s="7"/>
      <c r="H100" s="7"/>
      <c r="I100" s="7"/>
      <c r="J100" s="7"/>
      <c r="K100" s="7"/>
      <c r="L100" s="7"/>
      <c r="M100" s="7"/>
      <c r="N100" s="7"/>
    </row>
    <row r="101" ht="15.75" customHeight="1">
      <c r="B101" s="7"/>
      <c r="D101" s="7"/>
      <c r="E101" s="7"/>
      <c r="F101" s="14"/>
      <c r="G101" s="7"/>
      <c r="H101" s="7"/>
      <c r="I101" s="7"/>
      <c r="J101" s="7"/>
      <c r="K101" s="7"/>
      <c r="L101" s="7"/>
      <c r="M101" s="7"/>
      <c r="N101" s="7"/>
    </row>
    <row r="102" ht="15.75" customHeight="1">
      <c r="B102" s="7"/>
      <c r="D102" s="7"/>
      <c r="E102" s="7"/>
      <c r="F102" s="14"/>
      <c r="G102" s="7"/>
      <c r="H102" s="7"/>
      <c r="I102" s="7"/>
      <c r="J102" s="7"/>
      <c r="K102" s="7"/>
      <c r="L102" s="7"/>
      <c r="M102" s="7"/>
      <c r="N102" s="7"/>
    </row>
    <row r="103" ht="15.75" customHeight="1">
      <c r="B103" s="7"/>
      <c r="D103" s="7"/>
      <c r="E103" s="7"/>
      <c r="F103" s="14"/>
      <c r="G103" s="7"/>
      <c r="H103" s="7"/>
      <c r="I103" s="7"/>
      <c r="J103" s="7"/>
      <c r="K103" s="7"/>
      <c r="L103" s="7"/>
      <c r="M103" s="7"/>
      <c r="N103" s="7"/>
    </row>
    <row r="104" ht="15.75" customHeight="1">
      <c r="B104" s="7"/>
      <c r="D104" s="7"/>
      <c r="E104" s="7"/>
      <c r="F104" s="14"/>
      <c r="G104" s="7"/>
      <c r="H104" s="7"/>
      <c r="I104" s="7"/>
      <c r="J104" s="7"/>
      <c r="K104" s="7"/>
      <c r="L104" s="7"/>
      <c r="M104" s="7"/>
      <c r="N104" s="7"/>
    </row>
    <row r="105" ht="15.75" customHeight="1">
      <c r="B105" s="7"/>
      <c r="D105" s="7"/>
      <c r="E105" s="7"/>
      <c r="F105" s="14"/>
      <c r="G105" s="7"/>
      <c r="H105" s="7"/>
      <c r="I105" s="7"/>
      <c r="J105" s="7"/>
      <c r="K105" s="7"/>
      <c r="L105" s="7"/>
      <c r="M105" s="7"/>
      <c r="N105" s="7"/>
    </row>
    <row r="106" ht="15.75" customHeight="1">
      <c r="B106" s="7"/>
      <c r="D106" s="7"/>
      <c r="E106" s="7"/>
      <c r="F106" s="14"/>
      <c r="G106" s="7"/>
      <c r="H106" s="7"/>
      <c r="I106" s="7"/>
      <c r="J106" s="7"/>
      <c r="K106" s="7"/>
      <c r="L106" s="7"/>
      <c r="M106" s="7"/>
      <c r="N106" s="7"/>
    </row>
    <row r="107" ht="15.75" customHeight="1">
      <c r="B107" s="7"/>
      <c r="D107" s="7"/>
      <c r="E107" s="7"/>
      <c r="F107" s="14"/>
      <c r="G107" s="7"/>
      <c r="H107" s="7"/>
      <c r="I107" s="7"/>
      <c r="J107" s="7"/>
      <c r="K107" s="7"/>
      <c r="L107" s="7"/>
      <c r="M107" s="7"/>
      <c r="N107" s="7"/>
    </row>
    <row r="108" ht="15.75" customHeight="1">
      <c r="B108" s="7"/>
      <c r="D108" s="7"/>
      <c r="E108" s="7"/>
      <c r="F108" s="14"/>
      <c r="G108" s="7"/>
      <c r="H108" s="7"/>
      <c r="I108" s="7"/>
      <c r="J108" s="7"/>
      <c r="K108" s="7"/>
      <c r="L108" s="7"/>
      <c r="M108" s="7"/>
      <c r="N108" s="7"/>
    </row>
    <row r="109" ht="15.75" customHeight="1">
      <c r="B109" s="7"/>
      <c r="D109" s="7"/>
      <c r="E109" s="7"/>
      <c r="F109" s="14"/>
      <c r="G109" s="7"/>
      <c r="H109" s="7"/>
      <c r="I109" s="7"/>
      <c r="J109" s="7"/>
      <c r="K109" s="7"/>
      <c r="L109" s="7"/>
      <c r="M109" s="7"/>
      <c r="N109" s="7"/>
    </row>
    <row r="110" ht="15.75" customHeight="1">
      <c r="B110" s="7"/>
      <c r="D110" s="7"/>
      <c r="E110" s="7"/>
      <c r="F110" s="14"/>
      <c r="G110" s="7"/>
      <c r="H110" s="7"/>
      <c r="I110" s="7"/>
      <c r="J110" s="7"/>
      <c r="K110" s="7"/>
      <c r="L110" s="7"/>
      <c r="M110" s="7"/>
      <c r="N110" s="7"/>
    </row>
    <row r="111" ht="15.75" customHeight="1">
      <c r="B111" s="7"/>
      <c r="D111" s="7"/>
      <c r="E111" s="7"/>
      <c r="F111" s="14"/>
      <c r="G111" s="7"/>
      <c r="H111" s="7"/>
      <c r="I111" s="7"/>
      <c r="J111" s="7"/>
      <c r="K111" s="7"/>
      <c r="L111" s="7"/>
      <c r="M111" s="17"/>
      <c r="N111" s="7"/>
    </row>
    <row r="112" ht="15.75" customHeight="1">
      <c r="B112" s="7"/>
      <c r="D112" s="7"/>
      <c r="E112" s="7"/>
      <c r="F112" s="14"/>
      <c r="G112" s="7"/>
      <c r="H112" s="7"/>
      <c r="I112" s="7"/>
      <c r="J112" s="7"/>
      <c r="K112" s="7"/>
      <c r="L112" s="7"/>
      <c r="M112" s="7"/>
      <c r="N112" s="7"/>
    </row>
    <row r="113" ht="15.75" customHeight="1">
      <c r="B113" s="7"/>
      <c r="D113" s="7"/>
      <c r="E113" s="7"/>
      <c r="F113" s="14"/>
      <c r="G113" s="7"/>
      <c r="H113" s="7"/>
      <c r="I113" s="7"/>
      <c r="J113" s="7"/>
      <c r="K113" s="7"/>
      <c r="L113" s="7"/>
      <c r="M113" s="7"/>
      <c r="N113" s="7"/>
    </row>
    <row r="114" ht="15.75" customHeight="1">
      <c r="B114" s="7"/>
      <c r="D114" s="7"/>
      <c r="E114" s="7"/>
      <c r="F114" s="14"/>
      <c r="G114" s="7"/>
      <c r="H114" s="7"/>
      <c r="I114" s="7"/>
      <c r="J114" s="7"/>
      <c r="K114" s="7"/>
      <c r="L114" s="7"/>
      <c r="M114" s="7"/>
      <c r="N114" s="7"/>
    </row>
    <row r="115" ht="15.75" customHeight="1">
      <c r="B115" s="7"/>
      <c r="D115" s="7"/>
      <c r="E115" s="7"/>
      <c r="F115" s="14"/>
      <c r="G115" s="7"/>
      <c r="H115" s="7"/>
      <c r="I115" s="7"/>
      <c r="J115" s="7"/>
      <c r="K115" s="7"/>
      <c r="L115" s="7"/>
      <c r="M115" s="7"/>
      <c r="N115" s="7"/>
    </row>
    <row r="116" ht="15.75" customHeight="1">
      <c r="B116" s="7"/>
      <c r="D116" s="7"/>
      <c r="E116" s="7"/>
      <c r="F116" s="14"/>
      <c r="G116" s="7"/>
      <c r="H116" s="7"/>
      <c r="I116" s="7"/>
      <c r="J116" s="7"/>
      <c r="K116" s="7"/>
      <c r="L116" s="7"/>
      <c r="M116" s="7"/>
      <c r="N116" s="7"/>
    </row>
    <row r="117" ht="15.75" customHeight="1">
      <c r="B117" s="7"/>
      <c r="D117" s="7"/>
      <c r="E117" s="7"/>
      <c r="F117" s="14"/>
      <c r="G117" s="7"/>
      <c r="H117" s="7"/>
      <c r="I117" s="7"/>
      <c r="J117" s="7"/>
      <c r="K117" s="7"/>
      <c r="L117" s="7"/>
      <c r="M117" s="7"/>
      <c r="N117" s="7"/>
    </row>
    <row r="118" ht="15.75" customHeight="1">
      <c r="B118" s="7"/>
      <c r="D118" s="7"/>
      <c r="E118" s="7"/>
      <c r="F118" s="14"/>
      <c r="G118" s="7"/>
      <c r="H118" s="7"/>
      <c r="I118" s="7"/>
      <c r="J118" s="7"/>
      <c r="K118" s="7"/>
      <c r="L118" s="7"/>
      <c r="M118" s="7"/>
      <c r="N118" s="7"/>
    </row>
    <row r="119" ht="15.75" customHeight="1">
      <c r="B119" s="7"/>
      <c r="D119" s="7"/>
      <c r="E119" s="7"/>
      <c r="F119" s="14"/>
      <c r="G119" s="7"/>
      <c r="H119" s="7"/>
      <c r="I119" s="7"/>
      <c r="J119" s="7"/>
      <c r="K119" s="7"/>
      <c r="L119" s="7"/>
      <c r="M119" s="7"/>
      <c r="N119" s="7"/>
    </row>
    <row r="120" ht="15.75" customHeight="1">
      <c r="B120" s="7"/>
      <c r="D120" s="7"/>
      <c r="E120" s="7"/>
      <c r="F120" s="14"/>
      <c r="G120" s="7"/>
      <c r="H120" s="7"/>
      <c r="I120" s="7"/>
      <c r="J120" s="7"/>
      <c r="K120" s="7"/>
      <c r="L120" s="7"/>
      <c r="M120" s="7"/>
      <c r="N120" s="7"/>
    </row>
    <row r="121" ht="15.75" customHeight="1">
      <c r="B121" s="7"/>
      <c r="D121" s="7"/>
      <c r="E121" s="7"/>
      <c r="F121" s="14"/>
      <c r="G121" s="7"/>
      <c r="H121" s="7"/>
      <c r="I121" s="7"/>
      <c r="J121" s="7"/>
      <c r="K121" s="7"/>
      <c r="L121" s="7"/>
      <c r="M121" s="7"/>
      <c r="N121" s="7"/>
    </row>
    <row r="122" ht="15.75" customHeight="1">
      <c r="B122" s="7"/>
      <c r="D122" s="7"/>
      <c r="E122" s="7"/>
      <c r="F122" s="14"/>
      <c r="G122" s="7"/>
      <c r="H122" s="7"/>
      <c r="I122" s="7"/>
      <c r="J122" s="7"/>
      <c r="K122" s="7"/>
      <c r="L122" s="7"/>
      <c r="M122" s="7"/>
      <c r="N122" s="7"/>
    </row>
    <row r="123" ht="15.75" customHeight="1">
      <c r="B123" s="7"/>
      <c r="D123" s="7"/>
      <c r="E123" s="7"/>
      <c r="F123" s="14"/>
      <c r="G123" s="7"/>
      <c r="H123" s="7"/>
      <c r="I123" s="7"/>
      <c r="J123" s="7"/>
      <c r="K123" s="7"/>
      <c r="L123" s="7"/>
      <c r="M123" s="7"/>
      <c r="N123" s="7"/>
    </row>
    <row r="124" ht="15.75" customHeight="1">
      <c r="B124" s="7"/>
      <c r="D124" s="7"/>
      <c r="E124" s="7"/>
      <c r="F124" s="14"/>
      <c r="G124" s="7"/>
      <c r="H124" s="7"/>
      <c r="I124" s="7"/>
      <c r="J124" s="7"/>
      <c r="K124" s="7"/>
      <c r="L124" s="7"/>
      <c r="M124" s="7"/>
      <c r="N124" s="7"/>
    </row>
    <row r="125" ht="15.75" customHeight="1">
      <c r="B125" s="7"/>
      <c r="D125" s="7"/>
      <c r="E125" s="7"/>
      <c r="F125" s="14"/>
      <c r="G125" s="7"/>
      <c r="H125" s="7"/>
      <c r="I125" s="7"/>
      <c r="J125" s="7"/>
      <c r="K125" s="7"/>
      <c r="L125" s="7"/>
      <c r="M125" s="7"/>
      <c r="N125" s="7"/>
    </row>
    <row r="126" ht="15.75" customHeight="1">
      <c r="B126" s="7"/>
      <c r="D126" s="7"/>
      <c r="E126" s="7"/>
      <c r="F126" s="14"/>
      <c r="G126" s="7"/>
      <c r="H126" s="7"/>
      <c r="I126" s="7"/>
      <c r="J126" s="7"/>
      <c r="K126" s="7"/>
      <c r="L126" s="7"/>
      <c r="M126" s="7"/>
      <c r="N126" s="7"/>
    </row>
    <row r="127" ht="15.75" customHeight="1">
      <c r="B127" s="7"/>
      <c r="D127" s="7"/>
      <c r="E127" s="7"/>
      <c r="F127" s="14"/>
      <c r="G127" s="7"/>
      <c r="H127" s="7"/>
      <c r="I127" s="7"/>
      <c r="J127" s="7"/>
      <c r="K127" s="7"/>
      <c r="L127" s="7"/>
      <c r="M127" s="7"/>
      <c r="N127" s="7"/>
    </row>
    <row r="128" ht="15.75" customHeight="1">
      <c r="B128" s="7"/>
      <c r="D128" s="7"/>
      <c r="E128" s="7"/>
      <c r="F128" s="14"/>
      <c r="G128" s="7"/>
      <c r="H128" s="7"/>
      <c r="I128" s="7"/>
      <c r="J128" s="7"/>
      <c r="K128" s="7"/>
      <c r="L128" s="7"/>
      <c r="M128" s="7"/>
      <c r="N128" s="7"/>
    </row>
    <row r="129" ht="15.75" customHeight="1">
      <c r="B129" s="7"/>
      <c r="D129" s="7"/>
      <c r="E129" s="7"/>
      <c r="F129" s="14"/>
      <c r="G129" s="7"/>
      <c r="H129" s="7"/>
      <c r="I129" s="7"/>
      <c r="J129" s="7"/>
      <c r="K129" s="7"/>
      <c r="L129" s="7"/>
      <c r="M129" s="7"/>
      <c r="N129" s="7"/>
    </row>
    <row r="130" ht="15.75" customHeight="1">
      <c r="B130" s="7"/>
      <c r="D130" s="7"/>
      <c r="E130" s="7"/>
      <c r="F130" s="14"/>
      <c r="G130" s="7"/>
      <c r="H130" s="7"/>
      <c r="I130" s="7"/>
      <c r="J130" s="7"/>
      <c r="K130" s="7"/>
      <c r="L130" s="7"/>
      <c r="M130" s="7"/>
      <c r="N130" s="7"/>
    </row>
    <row r="131" ht="15.75" customHeight="1">
      <c r="B131" s="7"/>
      <c r="D131" s="7"/>
      <c r="E131" s="7"/>
      <c r="F131" s="14"/>
      <c r="G131" s="7"/>
      <c r="H131" s="7"/>
      <c r="I131" s="7"/>
      <c r="J131" s="7"/>
      <c r="K131" s="7"/>
      <c r="L131" s="7"/>
      <c r="M131" s="7"/>
      <c r="N131" s="7"/>
    </row>
    <row r="132" ht="15.75" customHeight="1">
      <c r="B132" s="7"/>
      <c r="D132" s="7"/>
      <c r="E132" s="7"/>
      <c r="F132" s="14"/>
      <c r="G132" s="7"/>
      <c r="H132" s="7"/>
      <c r="I132" s="7"/>
      <c r="J132" s="7"/>
      <c r="K132" s="7"/>
      <c r="L132" s="7"/>
      <c r="M132" s="7"/>
      <c r="N132" s="7"/>
    </row>
    <row r="133" ht="15.75" customHeight="1">
      <c r="B133" s="7"/>
      <c r="D133" s="7"/>
      <c r="E133" s="7"/>
      <c r="F133" s="14"/>
      <c r="G133" s="7"/>
      <c r="H133" s="7"/>
      <c r="I133" s="7"/>
      <c r="J133" s="7"/>
      <c r="K133" s="7"/>
      <c r="L133" s="7"/>
      <c r="M133" s="7"/>
      <c r="N133" s="7"/>
    </row>
    <row r="134" ht="15.75" customHeight="1">
      <c r="B134" s="7"/>
      <c r="D134" s="7"/>
      <c r="E134" s="7"/>
      <c r="F134" s="14"/>
      <c r="G134" s="7"/>
      <c r="H134" s="7"/>
      <c r="I134" s="7"/>
      <c r="J134" s="7"/>
      <c r="K134" s="7"/>
      <c r="L134" s="7"/>
      <c r="M134" s="7"/>
      <c r="N134" s="7"/>
    </row>
    <row r="135" ht="15.75" customHeight="1">
      <c r="B135" s="7"/>
      <c r="D135" s="7"/>
      <c r="E135" s="7"/>
      <c r="F135" s="14"/>
      <c r="G135" s="7"/>
      <c r="H135" s="7"/>
      <c r="I135" s="7"/>
      <c r="J135" s="7"/>
      <c r="K135" s="7"/>
      <c r="L135" s="7"/>
      <c r="M135" s="7"/>
      <c r="N135" s="7"/>
    </row>
    <row r="136" ht="15.75" customHeight="1">
      <c r="B136" s="7"/>
      <c r="D136" s="7"/>
      <c r="E136" s="7"/>
      <c r="F136" s="14"/>
      <c r="G136" s="7"/>
      <c r="H136" s="7"/>
      <c r="I136" s="7"/>
      <c r="J136" s="7"/>
      <c r="K136" s="7"/>
      <c r="L136" s="7"/>
      <c r="M136" s="7"/>
      <c r="N136" s="7"/>
    </row>
    <row r="137" ht="15.75" customHeight="1">
      <c r="B137" s="7"/>
      <c r="D137" s="7"/>
      <c r="E137" s="7"/>
      <c r="F137" s="14"/>
      <c r="G137" s="7"/>
      <c r="H137" s="7"/>
      <c r="I137" s="7"/>
      <c r="J137" s="7"/>
      <c r="K137" s="7"/>
      <c r="L137" s="7"/>
      <c r="M137" s="7"/>
      <c r="N137" s="7"/>
    </row>
    <row r="138" ht="15.75" customHeight="1">
      <c r="B138" s="7"/>
      <c r="D138" s="7"/>
      <c r="E138" s="7"/>
      <c r="F138" s="14"/>
      <c r="G138" s="7"/>
      <c r="H138" s="7"/>
      <c r="I138" s="7"/>
      <c r="J138" s="7"/>
      <c r="K138" s="7"/>
      <c r="L138" s="7"/>
      <c r="M138" s="7"/>
      <c r="N138" s="7"/>
    </row>
    <row r="139" ht="15.75" customHeight="1">
      <c r="B139" s="7"/>
      <c r="D139" s="7"/>
      <c r="E139" s="7"/>
      <c r="F139" s="14"/>
      <c r="G139" s="7"/>
      <c r="H139" s="7"/>
      <c r="I139" s="7"/>
      <c r="J139" s="7"/>
      <c r="K139" s="7"/>
      <c r="L139" s="13"/>
      <c r="M139" s="7"/>
      <c r="N139" s="7"/>
    </row>
    <row r="140" ht="15.75" customHeight="1">
      <c r="B140" s="7"/>
      <c r="D140" s="7"/>
      <c r="E140" s="7"/>
      <c r="F140" s="14"/>
      <c r="G140" s="7"/>
      <c r="H140" s="7"/>
      <c r="I140" s="7"/>
      <c r="J140" s="7"/>
      <c r="K140" s="7"/>
      <c r="L140" s="7"/>
      <c r="M140" s="7"/>
      <c r="N140" s="7"/>
    </row>
    <row r="141" ht="15.75" customHeight="1">
      <c r="B141" s="7"/>
      <c r="D141" s="7"/>
      <c r="E141" s="7"/>
      <c r="F141" s="14"/>
      <c r="G141" s="7"/>
      <c r="H141" s="7"/>
      <c r="I141" s="7"/>
      <c r="J141" s="7"/>
      <c r="K141" s="7"/>
      <c r="L141" s="7"/>
      <c r="M141" s="7"/>
      <c r="N141" s="7"/>
    </row>
    <row r="142" ht="15.75" customHeight="1">
      <c r="B142" s="7"/>
      <c r="D142" s="7"/>
      <c r="E142" s="7"/>
      <c r="F142" s="14"/>
      <c r="G142" s="7"/>
      <c r="H142" s="7"/>
      <c r="I142" s="7"/>
      <c r="J142" s="7"/>
      <c r="K142" s="7"/>
      <c r="L142" s="7"/>
      <c r="M142" s="7"/>
      <c r="N142" s="7"/>
    </row>
    <row r="143" ht="15.75" customHeight="1">
      <c r="B143" s="7"/>
      <c r="D143" s="7"/>
      <c r="E143" s="7"/>
      <c r="F143" s="14"/>
      <c r="G143" s="7"/>
      <c r="H143" s="7"/>
      <c r="I143" s="7"/>
      <c r="J143" s="7"/>
      <c r="K143" s="7"/>
      <c r="L143" s="7"/>
      <c r="M143" s="7"/>
      <c r="N143" s="7"/>
    </row>
    <row r="144" ht="15.75" customHeight="1">
      <c r="B144" s="7"/>
      <c r="D144" s="7"/>
      <c r="E144" s="7"/>
      <c r="F144" s="14"/>
      <c r="G144" s="7"/>
      <c r="H144" s="7"/>
      <c r="I144" s="7"/>
      <c r="J144" s="7"/>
      <c r="K144" s="7"/>
      <c r="L144" s="7"/>
      <c r="M144" s="7"/>
      <c r="N144" s="7"/>
    </row>
    <row r="145" ht="15.75" customHeight="1">
      <c r="B145" s="7"/>
      <c r="D145" s="7"/>
      <c r="E145" s="7"/>
      <c r="F145" s="14"/>
      <c r="G145" s="7"/>
      <c r="H145" s="7"/>
      <c r="I145" s="7"/>
      <c r="J145" s="7"/>
      <c r="K145" s="7"/>
      <c r="L145" s="7"/>
      <c r="M145" s="7"/>
      <c r="N145" s="7"/>
    </row>
    <row r="146" ht="15.75" customHeight="1">
      <c r="B146" s="7"/>
      <c r="D146" s="7"/>
      <c r="E146" s="7"/>
      <c r="F146" s="14"/>
      <c r="G146" s="7"/>
      <c r="H146" s="7"/>
      <c r="I146" s="7"/>
      <c r="J146" s="7"/>
      <c r="K146" s="7"/>
      <c r="L146" s="7"/>
      <c r="M146" s="7"/>
      <c r="N146" s="7"/>
    </row>
    <row r="147" ht="15.75" customHeight="1">
      <c r="B147" s="7"/>
      <c r="D147" s="7"/>
      <c r="E147" s="7"/>
      <c r="F147" s="14"/>
      <c r="G147" s="7"/>
      <c r="H147" s="7"/>
      <c r="I147" s="7"/>
      <c r="J147" s="7"/>
      <c r="K147" s="7"/>
      <c r="L147" s="7"/>
      <c r="M147" s="7"/>
      <c r="N147" s="7"/>
    </row>
    <row r="148" ht="15.75" customHeight="1">
      <c r="B148" s="7"/>
      <c r="D148" s="7"/>
      <c r="E148" s="7"/>
      <c r="F148" s="14"/>
      <c r="G148" s="7"/>
      <c r="H148" s="7"/>
      <c r="I148" s="7"/>
      <c r="J148" s="7"/>
      <c r="K148" s="7"/>
      <c r="L148" s="7"/>
      <c r="M148" s="7"/>
      <c r="N148" s="7"/>
    </row>
    <row r="149" ht="15.75" customHeight="1">
      <c r="B149" s="7"/>
      <c r="D149" s="7"/>
      <c r="E149" s="7"/>
      <c r="F149" s="14"/>
      <c r="G149" s="7"/>
      <c r="H149" s="7"/>
      <c r="I149" s="7"/>
      <c r="J149" s="7"/>
      <c r="K149" s="7"/>
      <c r="L149" s="7"/>
      <c r="M149" s="7"/>
      <c r="N149" s="7"/>
    </row>
    <row r="150" ht="15.75" customHeight="1">
      <c r="B150" s="7"/>
      <c r="D150" s="7"/>
      <c r="E150" s="7"/>
      <c r="F150" s="14"/>
      <c r="G150" s="7"/>
      <c r="H150" s="7"/>
      <c r="I150" s="7"/>
      <c r="J150" s="7"/>
      <c r="K150" s="7"/>
      <c r="L150" s="7"/>
      <c r="M150" s="7"/>
      <c r="N150" s="7"/>
    </row>
    <row r="151" ht="15.75" customHeight="1">
      <c r="B151" s="7"/>
      <c r="D151" s="7"/>
      <c r="E151" s="7"/>
      <c r="F151" s="14"/>
      <c r="G151" s="7"/>
      <c r="H151" s="7"/>
      <c r="I151" s="7"/>
      <c r="J151" s="7"/>
      <c r="K151" s="7"/>
      <c r="L151" s="7"/>
      <c r="M151" s="7"/>
      <c r="N151" s="7"/>
    </row>
    <row r="152" ht="15.75" customHeight="1">
      <c r="B152" s="7"/>
      <c r="D152" s="7"/>
      <c r="E152" s="7"/>
      <c r="F152" s="14"/>
      <c r="G152" s="7"/>
      <c r="H152" s="7"/>
      <c r="I152" s="7"/>
      <c r="J152" s="7"/>
      <c r="K152" s="7"/>
      <c r="L152" s="7"/>
      <c r="M152" s="7"/>
      <c r="N152" s="7"/>
    </row>
    <row r="153" ht="15.75" customHeight="1">
      <c r="B153" s="7"/>
      <c r="D153" s="7"/>
      <c r="E153" s="7"/>
      <c r="F153" s="14"/>
      <c r="G153" s="7"/>
      <c r="H153" s="7"/>
      <c r="I153" s="7"/>
      <c r="J153" s="7"/>
      <c r="K153" s="7"/>
      <c r="L153" s="7"/>
      <c r="M153" s="7"/>
      <c r="N153" s="7"/>
    </row>
    <row r="154" ht="15.75" customHeight="1">
      <c r="B154" s="7"/>
      <c r="D154" s="7"/>
      <c r="E154" s="7"/>
      <c r="F154" s="14"/>
      <c r="G154" s="7"/>
      <c r="H154" s="7"/>
      <c r="I154" s="7"/>
      <c r="J154" s="7"/>
      <c r="K154" s="7"/>
      <c r="L154" s="7"/>
      <c r="M154" s="7"/>
      <c r="N154" s="7"/>
    </row>
    <row r="155" ht="15.75" customHeight="1">
      <c r="B155" s="7"/>
      <c r="D155" s="7"/>
      <c r="E155" s="7"/>
      <c r="F155" s="14"/>
      <c r="G155" s="7"/>
      <c r="H155" s="7"/>
      <c r="I155" s="7"/>
      <c r="J155" s="7"/>
      <c r="K155" s="7"/>
      <c r="L155" s="7"/>
      <c r="M155" s="7"/>
      <c r="N155" s="7"/>
    </row>
    <row r="156" ht="15.75" customHeight="1">
      <c r="B156" s="7"/>
      <c r="D156" s="7"/>
      <c r="E156" s="7"/>
      <c r="F156" s="14"/>
      <c r="G156" s="7"/>
      <c r="H156" s="7"/>
      <c r="I156" s="7"/>
      <c r="J156" s="7"/>
      <c r="K156" s="7"/>
      <c r="L156" s="7"/>
      <c r="M156" s="7"/>
      <c r="N156" s="7"/>
    </row>
    <row r="157" ht="15.75" customHeight="1">
      <c r="B157" s="7"/>
      <c r="D157" s="7"/>
      <c r="E157" s="7"/>
      <c r="F157" s="14"/>
      <c r="G157" s="7"/>
      <c r="H157" s="7"/>
      <c r="I157" s="7"/>
      <c r="J157" s="7"/>
      <c r="K157" s="7"/>
      <c r="L157" s="7"/>
      <c r="M157" s="7"/>
      <c r="N157" s="7"/>
    </row>
    <row r="158" ht="15.75" customHeight="1">
      <c r="B158" s="7"/>
      <c r="D158" s="7"/>
      <c r="E158" s="7"/>
      <c r="F158" s="14"/>
      <c r="G158" s="7"/>
      <c r="H158" s="7"/>
      <c r="I158" s="7"/>
      <c r="J158" s="7"/>
      <c r="K158" s="7"/>
      <c r="L158" s="7"/>
      <c r="M158" s="7"/>
      <c r="N158" s="7"/>
    </row>
    <row r="159" ht="15.75" customHeight="1">
      <c r="B159" s="7"/>
      <c r="D159" s="7"/>
      <c r="E159" s="7"/>
      <c r="F159" s="14"/>
      <c r="G159" s="7"/>
      <c r="H159" s="7"/>
      <c r="I159" s="7"/>
      <c r="J159" s="7"/>
      <c r="K159" s="7"/>
      <c r="L159" s="7"/>
      <c r="M159" s="7"/>
      <c r="N159" s="7"/>
    </row>
    <row r="160" ht="15.75" customHeight="1">
      <c r="B160" s="7"/>
      <c r="D160" s="7"/>
      <c r="E160" s="7"/>
      <c r="F160" s="14"/>
      <c r="G160" s="7"/>
      <c r="H160" s="7"/>
      <c r="I160" s="7"/>
      <c r="J160" s="7"/>
      <c r="K160" s="7"/>
      <c r="L160" s="7"/>
      <c r="M160" s="7"/>
      <c r="N160" s="7"/>
    </row>
    <row r="161" ht="15.75" customHeight="1">
      <c r="B161" s="7"/>
      <c r="D161" s="7"/>
      <c r="E161" s="7"/>
      <c r="F161" s="14"/>
      <c r="G161" s="7"/>
      <c r="H161" s="7"/>
      <c r="I161" s="7"/>
      <c r="J161" s="7"/>
      <c r="K161" s="7"/>
      <c r="L161" s="7"/>
      <c r="M161" s="7"/>
      <c r="N161" s="7"/>
    </row>
    <row r="162" ht="15.75" customHeight="1">
      <c r="B162" s="7"/>
      <c r="D162" s="7"/>
      <c r="E162" s="7"/>
      <c r="F162" s="14"/>
      <c r="G162" s="7"/>
      <c r="H162" s="7"/>
      <c r="I162" s="7"/>
      <c r="J162" s="7"/>
      <c r="K162" s="7"/>
      <c r="L162" s="7"/>
      <c r="M162" s="7"/>
      <c r="N162" s="7"/>
    </row>
    <row r="163" ht="15.75" customHeight="1">
      <c r="B163" s="7"/>
      <c r="D163" s="7"/>
      <c r="E163" s="7"/>
      <c r="F163" s="14"/>
      <c r="G163" s="7"/>
      <c r="H163" s="7"/>
      <c r="I163" s="7"/>
      <c r="J163" s="7"/>
      <c r="K163" s="7"/>
      <c r="L163" s="7"/>
      <c r="M163" s="7"/>
      <c r="N163" s="7"/>
    </row>
    <row r="164" ht="15.75" customHeight="1">
      <c r="B164" s="7"/>
      <c r="D164" s="7"/>
      <c r="E164" s="7"/>
      <c r="F164" s="14"/>
      <c r="G164" s="7"/>
      <c r="H164" s="7"/>
      <c r="I164" s="7"/>
      <c r="J164" s="7"/>
      <c r="K164" s="7"/>
      <c r="L164" s="7"/>
      <c r="M164" s="7"/>
      <c r="N164" s="7"/>
    </row>
    <row r="165" ht="15.75" customHeight="1">
      <c r="B165" s="7"/>
      <c r="D165" s="7"/>
      <c r="E165" s="7"/>
      <c r="F165" s="14"/>
      <c r="G165" s="7"/>
      <c r="H165" s="7"/>
      <c r="I165" s="7"/>
      <c r="J165" s="7"/>
      <c r="K165" s="7"/>
      <c r="L165" s="7"/>
      <c r="M165" s="7"/>
      <c r="N165" s="7"/>
    </row>
    <row r="166" ht="15.75" customHeight="1">
      <c r="B166" s="7"/>
      <c r="D166" s="7"/>
      <c r="E166" s="7"/>
      <c r="F166" s="14"/>
      <c r="G166" s="7"/>
      <c r="H166" s="7"/>
      <c r="I166" s="7"/>
      <c r="J166" s="7"/>
      <c r="K166" s="7"/>
      <c r="L166" s="7"/>
      <c r="M166" s="7"/>
      <c r="N166" s="7"/>
    </row>
    <row r="167" ht="15.75" customHeight="1">
      <c r="B167" s="7"/>
      <c r="D167" s="7"/>
      <c r="E167" s="7"/>
      <c r="F167" s="14"/>
      <c r="G167" s="7"/>
      <c r="H167" s="7"/>
      <c r="I167" s="7"/>
      <c r="J167" s="7"/>
      <c r="K167" s="7"/>
      <c r="L167" s="7"/>
      <c r="M167" s="7"/>
      <c r="N167" s="7"/>
    </row>
    <row r="168" ht="15.75" customHeight="1">
      <c r="B168" s="7"/>
      <c r="D168" s="7"/>
      <c r="E168" s="7"/>
      <c r="F168" s="14"/>
      <c r="G168" s="7"/>
      <c r="H168" s="7"/>
      <c r="I168" s="7"/>
      <c r="J168" s="7"/>
      <c r="K168" s="7"/>
      <c r="L168" s="7"/>
      <c r="M168" s="7"/>
      <c r="N168" s="7"/>
    </row>
    <row r="169" ht="15.75" customHeight="1">
      <c r="B169" s="7"/>
      <c r="D169" s="7"/>
      <c r="E169" s="7"/>
      <c r="F169" s="14"/>
      <c r="G169" s="7"/>
      <c r="H169" s="7"/>
      <c r="I169" s="7"/>
      <c r="J169" s="7"/>
      <c r="K169" s="7"/>
      <c r="L169" s="7"/>
      <c r="M169" s="7"/>
      <c r="N169" s="7"/>
    </row>
    <row r="170" ht="15.75" customHeight="1">
      <c r="B170" s="7"/>
      <c r="D170" s="7"/>
      <c r="E170" s="7"/>
      <c r="F170" s="14"/>
      <c r="G170" s="7"/>
      <c r="H170" s="7"/>
      <c r="I170" s="7"/>
      <c r="J170" s="7"/>
      <c r="K170" s="7"/>
      <c r="L170" s="7"/>
      <c r="M170" s="7"/>
      <c r="N170" s="7"/>
    </row>
    <row r="171" ht="15.75" customHeight="1">
      <c r="B171" s="7"/>
      <c r="D171" s="7"/>
      <c r="E171" s="7"/>
      <c r="F171" s="14"/>
      <c r="G171" s="7"/>
      <c r="H171" s="7"/>
      <c r="I171" s="7"/>
      <c r="J171" s="7"/>
      <c r="K171" s="7"/>
      <c r="L171" s="7"/>
      <c r="M171" s="7"/>
      <c r="N171" s="7"/>
    </row>
    <row r="172" ht="15.75" customHeight="1">
      <c r="B172" s="7"/>
      <c r="D172" s="7"/>
      <c r="E172" s="7"/>
      <c r="F172" s="14"/>
      <c r="G172" s="7"/>
      <c r="H172" s="7"/>
      <c r="I172" s="7"/>
      <c r="J172" s="7"/>
      <c r="K172" s="7"/>
      <c r="L172" s="13"/>
      <c r="M172" s="7"/>
      <c r="N172" s="7"/>
    </row>
    <row r="173" ht="15.75" customHeight="1">
      <c r="B173" s="7"/>
      <c r="D173" s="7"/>
      <c r="E173" s="7"/>
      <c r="F173" s="14"/>
      <c r="G173" s="7"/>
      <c r="H173" s="7"/>
      <c r="I173" s="7"/>
      <c r="J173" s="7"/>
      <c r="K173" s="7"/>
      <c r="L173" s="7"/>
      <c r="M173" s="7"/>
      <c r="N173" s="7"/>
    </row>
    <row r="174" ht="15.75" customHeight="1">
      <c r="B174" s="7"/>
      <c r="D174" s="7"/>
      <c r="E174" s="7"/>
      <c r="F174" s="14"/>
      <c r="G174" s="7"/>
      <c r="H174" s="7"/>
      <c r="I174" s="7"/>
      <c r="J174" s="7"/>
      <c r="K174" s="7"/>
      <c r="L174" s="7"/>
      <c r="M174" s="7"/>
      <c r="N174" s="7"/>
    </row>
    <row r="175" ht="15.75" customHeight="1">
      <c r="B175" s="7"/>
      <c r="D175" s="7"/>
      <c r="E175" s="7"/>
      <c r="F175" s="14"/>
      <c r="G175" s="7"/>
      <c r="H175" s="7"/>
      <c r="I175" s="7"/>
      <c r="J175" s="7"/>
      <c r="K175" s="7"/>
      <c r="L175" s="7"/>
      <c r="M175" s="7"/>
      <c r="N175" s="7"/>
    </row>
    <row r="176" ht="15.75" customHeight="1">
      <c r="B176" s="7"/>
      <c r="D176" s="7"/>
      <c r="E176" s="7"/>
      <c r="F176" s="14"/>
      <c r="G176" s="7"/>
      <c r="H176" s="7"/>
      <c r="I176" s="7"/>
      <c r="J176" s="7"/>
      <c r="K176" s="7"/>
      <c r="L176" s="7"/>
      <c r="M176" s="7"/>
      <c r="N176" s="7"/>
    </row>
    <row r="177" ht="15.75" customHeight="1">
      <c r="B177" s="7"/>
      <c r="D177" s="7"/>
      <c r="E177" s="7"/>
      <c r="F177" s="14"/>
      <c r="G177" s="7"/>
      <c r="H177" s="7"/>
      <c r="I177" s="7"/>
      <c r="J177" s="7"/>
      <c r="K177" s="7"/>
      <c r="L177" s="7"/>
      <c r="M177" s="7"/>
      <c r="N177" s="7"/>
    </row>
    <row r="178" ht="15.75" customHeight="1">
      <c r="B178" s="7"/>
      <c r="D178" s="7"/>
      <c r="E178" s="7"/>
      <c r="F178" s="14"/>
      <c r="G178" s="7"/>
      <c r="H178" s="7"/>
      <c r="I178" s="7"/>
      <c r="J178" s="7"/>
      <c r="K178" s="7"/>
      <c r="L178" s="7"/>
      <c r="M178" s="7"/>
      <c r="N178" s="7"/>
    </row>
    <row r="179" ht="15.75" customHeight="1">
      <c r="B179" s="7"/>
      <c r="D179" s="7"/>
      <c r="E179" s="7"/>
      <c r="F179" s="14"/>
      <c r="G179" s="7"/>
      <c r="H179" s="7"/>
      <c r="I179" s="7"/>
      <c r="J179" s="7"/>
      <c r="K179" s="7"/>
      <c r="L179" s="7"/>
      <c r="M179" s="7"/>
      <c r="N179" s="7"/>
    </row>
    <row r="180" ht="15.75" customHeight="1">
      <c r="B180" s="7"/>
      <c r="D180" s="7"/>
      <c r="E180" s="7"/>
      <c r="F180" s="14"/>
      <c r="G180" s="7"/>
      <c r="H180" s="7"/>
      <c r="I180" s="7"/>
      <c r="J180" s="7"/>
      <c r="K180" s="7"/>
      <c r="L180" s="7"/>
      <c r="M180" s="7"/>
      <c r="N180" s="7"/>
    </row>
    <row r="181" ht="15.75" customHeight="1">
      <c r="B181" s="7"/>
      <c r="D181" s="7"/>
      <c r="E181" s="7"/>
      <c r="F181" s="14"/>
      <c r="G181" s="7"/>
      <c r="H181" s="7"/>
      <c r="I181" s="7"/>
      <c r="J181" s="7"/>
      <c r="K181" s="7"/>
      <c r="L181" s="7"/>
      <c r="M181" s="7"/>
      <c r="N181" s="7"/>
    </row>
    <row r="182" ht="15.75" customHeight="1">
      <c r="B182" s="7"/>
      <c r="D182" s="7"/>
      <c r="E182" s="7"/>
      <c r="F182" s="14"/>
      <c r="G182" s="7"/>
      <c r="H182" s="7"/>
      <c r="I182" s="7"/>
      <c r="J182" s="7"/>
      <c r="K182" s="7"/>
      <c r="L182" s="7"/>
      <c r="M182" s="7"/>
      <c r="N182" s="7"/>
    </row>
    <row r="183" ht="15.75" customHeight="1">
      <c r="B183" s="7"/>
      <c r="D183" s="7"/>
      <c r="E183" s="7"/>
      <c r="F183" s="14"/>
      <c r="G183" s="7"/>
      <c r="H183" s="7"/>
      <c r="I183" s="7"/>
      <c r="J183" s="7"/>
      <c r="K183" s="7"/>
      <c r="L183" s="7"/>
      <c r="M183" s="7"/>
      <c r="N183" s="7"/>
    </row>
    <row r="184" ht="15.75" customHeight="1">
      <c r="B184" s="7"/>
      <c r="D184" s="7"/>
      <c r="E184" s="7"/>
      <c r="F184" s="14"/>
      <c r="G184" s="7"/>
      <c r="H184" s="7"/>
      <c r="I184" s="7"/>
      <c r="J184" s="7"/>
      <c r="K184" s="7"/>
      <c r="L184" s="7"/>
      <c r="M184" s="7"/>
      <c r="N184" s="7"/>
    </row>
    <row r="185" ht="15.75" customHeight="1">
      <c r="B185" s="7"/>
      <c r="D185" s="7"/>
      <c r="E185" s="7"/>
      <c r="F185" s="14"/>
      <c r="G185" s="7"/>
      <c r="H185" s="7"/>
      <c r="I185" s="7"/>
      <c r="J185" s="7"/>
      <c r="K185" s="7"/>
      <c r="L185" s="7"/>
      <c r="M185" s="7"/>
      <c r="N185" s="7"/>
    </row>
    <row r="186" ht="15.75" customHeight="1">
      <c r="B186" s="7"/>
      <c r="D186" s="7"/>
      <c r="E186" s="7"/>
      <c r="F186" s="14"/>
      <c r="G186" s="7"/>
      <c r="H186" s="7"/>
      <c r="I186" s="7"/>
      <c r="J186" s="7"/>
      <c r="K186" s="7"/>
      <c r="L186" s="7"/>
      <c r="M186" s="7"/>
      <c r="N186" s="7"/>
    </row>
    <row r="187" ht="15.75" customHeight="1">
      <c r="B187" s="7"/>
      <c r="D187" s="7"/>
      <c r="E187" s="7"/>
      <c r="F187" s="14"/>
      <c r="G187" s="7"/>
      <c r="H187" s="7"/>
      <c r="I187" s="7"/>
      <c r="J187" s="7"/>
      <c r="K187" s="7"/>
      <c r="L187" s="7"/>
      <c r="M187" s="7"/>
      <c r="N187" s="7"/>
    </row>
    <row r="188" ht="15.75" customHeight="1">
      <c r="B188" s="7"/>
      <c r="D188" s="7"/>
      <c r="E188" s="7"/>
      <c r="F188" s="14"/>
      <c r="G188" s="7"/>
      <c r="H188" s="7"/>
      <c r="I188" s="7"/>
      <c r="J188" s="7"/>
      <c r="K188" s="7"/>
      <c r="L188" s="7"/>
      <c r="M188" s="7"/>
      <c r="N188" s="7"/>
    </row>
    <row r="189" ht="15.75" customHeight="1">
      <c r="B189" s="7"/>
      <c r="D189" s="7"/>
      <c r="E189" s="7"/>
      <c r="F189" s="14"/>
      <c r="G189" s="7"/>
      <c r="H189" s="7"/>
      <c r="I189" s="7"/>
      <c r="J189" s="7"/>
      <c r="K189" s="7"/>
      <c r="L189" s="7"/>
      <c r="M189" s="7"/>
      <c r="N189" s="7"/>
    </row>
    <row r="190" ht="15.75" customHeight="1">
      <c r="B190" s="7"/>
      <c r="D190" s="7"/>
      <c r="E190" s="7"/>
      <c r="F190" s="14"/>
      <c r="G190" s="7"/>
      <c r="H190" s="7"/>
      <c r="I190" s="7"/>
      <c r="J190" s="7"/>
      <c r="K190" s="7"/>
      <c r="L190" s="7"/>
      <c r="M190" s="7"/>
      <c r="N190" s="7"/>
    </row>
    <row r="191" ht="15.75" customHeight="1">
      <c r="B191" s="7"/>
      <c r="D191" s="7"/>
      <c r="E191" s="7"/>
      <c r="F191" s="14"/>
      <c r="G191" s="7"/>
      <c r="H191" s="7"/>
      <c r="I191" s="7"/>
      <c r="J191" s="7"/>
      <c r="K191" s="7"/>
      <c r="L191" s="7"/>
      <c r="M191" s="7"/>
      <c r="N191" s="7"/>
    </row>
    <row r="192" ht="15.75" customHeight="1">
      <c r="B192" s="7"/>
      <c r="D192" s="7"/>
      <c r="E192" s="7"/>
      <c r="F192" s="14"/>
      <c r="G192" s="7"/>
      <c r="H192" s="7"/>
      <c r="I192" s="7"/>
      <c r="J192" s="7"/>
      <c r="K192" s="7"/>
      <c r="L192" s="7"/>
      <c r="M192" s="7"/>
      <c r="N192" s="7"/>
    </row>
    <row r="193" ht="15.75" customHeight="1">
      <c r="B193" s="7"/>
      <c r="D193" s="7"/>
      <c r="E193" s="7"/>
      <c r="F193" s="14"/>
      <c r="G193" s="7"/>
      <c r="H193" s="7"/>
      <c r="I193" s="7"/>
      <c r="J193" s="7"/>
      <c r="K193" s="7"/>
      <c r="L193" s="7"/>
      <c r="M193" s="7"/>
      <c r="N193" s="7"/>
    </row>
    <row r="194" ht="15.75" customHeight="1">
      <c r="B194" s="7"/>
      <c r="D194" s="7"/>
      <c r="E194" s="7"/>
      <c r="F194" s="14"/>
      <c r="G194" s="7"/>
      <c r="H194" s="7"/>
      <c r="I194" s="7"/>
      <c r="J194" s="7"/>
      <c r="K194" s="7"/>
      <c r="L194" s="7"/>
      <c r="M194" s="7"/>
      <c r="N194" s="7"/>
    </row>
    <row r="195" ht="15.75" customHeight="1">
      <c r="B195" s="7"/>
      <c r="D195" s="7"/>
      <c r="E195" s="7"/>
      <c r="F195" s="14"/>
      <c r="G195" s="7"/>
      <c r="H195" s="7"/>
      <c r="I195" s="7"/>
      <c r="J195" s="7"/>
      <c r="K195" s="7"/>
      <c r="L195" s="7"/>
      <c r="M195" s="7"/>
      <c r="N195" s="7"/>
    </row>
    <row r="196" ht="15.75" customHeight="1">
      <c r="B196" s="7"/>
      <c r="D196" s="7"/>
      <c r="E196" s="7"/>
      <c r="F196" s="14"/>
      <c r="G196" s="7"/>
      <c r="H196" s="7"/>
      <c r="I196" s="7"/>
      <c r="J196" s="7"/>
      <c r="K196" s="7"/>
      <c r="L196" s="7"/>
      <c r="M196" s="7"/>
      <c r="N196" s="7"/>
    </row>
    <row r="197" ht="15.75" customHeight="1">
      <c r="B197" s="7"/>
      <c r="D197" s="7"/>
      <c r="E197" s="7"/>
      <c r="F197" s="14"/>
      <c r="G197" s="7"/>
      <c r="H197" s="7"/>
      <c r="I197" s="7"/>
      <c r="J197" s="7"/>
      <c r="K197" s="7"/>
      <c r="L197" s="7"/>
      <c r="M197" s="7"/>
      <c r="N197" s="7"/>
    </row>
    <row r="198" ht="15.75" customHeight="1">
      <c r="B198" s="7"/>
      <c r="D198" s="7"/>
      <c r="E198" s="7"/>
      <c r="F198" s="14"/>
      <c r="G198" s="7"/>
      <c r="H198" s="7"/>
      <c r="I198" s="7"/>
      <c r="J198" s="7"/>
      <c r="K198" s="7"/>
      <c r="L198" s="7"/>
      <c r="M198" s="7"/>
      <c r="N198" s="7"/>
    </row>
    <row r="199" ht="15.75" customHeight="1">
      <c r="B199" s="7"/>
      <c r="D199" s="7"/>
      <c r="E199" s="7"/>
      <c r="F199" s="14"/>
      <c r="G199" s="7"/>
      <c r="H199" s="7"/>
      <c r="I199" s="7"/>
      <c r="J199" s="7"/>
      <c r="K199" s="7"/>
      <c r="L199" s="7"/>
      <c r="M199" s="7"/>
      <c r="N199" s="7"/>
    </row>
    <row r="200" ht="15.75" customHeight="1">
      <c r="B200" s="7"/>
      <c r="D200" s="7"/>
      <c r="E200" s="7"/>
      <c r="F200" s="14"/>
      <c r="G200" s="7"/>
      <c r="H200" s="7"/>
      <c r="I200" s="7"/>
      <c r="J200" s="7"/>
      <c r="K200" s="7"/>
      <c r="L200" s="7"/>
      <c r="M200" s="7"/>
      <c r="N200" s="7"/>
    </row>
    <row r="201" ht="15.75" customHeight="1">
      <c r="B201" s="7"/>
      <c r="D201" s="7"/>
      <c r="E201" s="7"/>
      <c r="F201" s="14"/>
      <c r="G201" s="7"/>
      <c r="H201" s="7"/>
      <c r="I201" s="7"/>
      <c r="J201" s="7"/>
      <c r="K201" s="7"/>
      <c r="L201" s="7"/>
      <c r="M201" s="7"/>
      <c r="N201" s="7"/>
    </row>
    <row r="202" ht="15.75" customHeight="1">
      <c r="B202" s="7"/>
      <c r="D202" s="7"/>
      <c r="E202" s="7"/>
      <c r="F202" s="14"/>
      <c r="G202" s="7"/>
      <c r="H202" s="7"/>
      <c r="I202" s="7"/>
      <c r="J202" s="7"/>
      <c r="K202" s="7"/>
      <c r="L202" s="7"/>
      <c r="M202" s="7"/>
      <c r="N202" s="7"/>
    </row>
    <row r="203" ht="15.75" customHeight="1">
      <c r="B203" s="7"/>
      <c r="D203" s="7"/>
      <c r="E203" s="7"/>
      <c r="F203" s="14"/>
      <c r="G203" s="7"/>
      <c r="H203" s="7"/>
      <c r="I203" s="7"/>
      <c r="J203" s="7"/>
      <c r="K203" s="7"/>
      <c r="L203" s="7"/>
      <c r="M203" s="7"/>
      <c r="N203" s="7"/>
    </row>
    <row r="204" ht="15.75" customHeight="1">
      <c r="B204" s="7"/>
      <c r="D204" s="7"/>
      <c r="E204" s="7"/>
      <c r="F204" s="14"/>
      <c r="G204" s="7"/>
      <c r="H204" s="7"/>
      <c r="I204" s="7"/>
      <c r="J204" s="7"/>
      <c r="K204" s="7"/>
      <c r="L204" s="13"/>
      <c r="M204" s="7"/>
      <c r="N204" s="7"/>
    </row>
    <row r="205" ht="15.75" customHeight="1">
      <c r="B205" s="7"/>
      <c r="D205" s="7"/>
      <c r="E205" s="7"/>
      <c r="F205" s="14"/>
      <c r="G205" s="7"/>
      <c r="H205" s="7"/>
      <c r="I205" s="7"/>
      <c r="J205" s="7"/>
      <c r="K205" s="7"/>
      <c r="L205" s="7"/>
      <c r="M205" s="7"/>
      <c r="N205" s="7"/>
    </row>
    <row r="206" ht="15.75" customHeight="1">
      <c r="B206" s="7"/>
      <c r="D206" s="7"/>
      <c r="E206" s="7"/>
      <c r="F206" s="14"/>
      <c r="G206" s="7"/>
      <c r="H206" s="7"/>
      <c r="I206" s="7"/>
      <c r="J206" s="7"/>
      <c r="K206" s="7"/>
      <c r="L206" s="7"/>
      <c r="M206" s="7"/>
      <c r="N206" s="7"/>
    </row>
    <row r="207" ht="15.75" customHeight="1">
      <c r="B207" s="7"/>
      <c r="D207" s="7"/>
      <c r="E207" s="7"/>
      <c r="F207" s="14"/>
      <c r="G207" s="7"/>
      <c r="H207" s="7"/>
      <c r="I207" s="7"/>
      <c r="J207" s="7"/>
      <c r="K207" s="7"/>
      <c r="L207" s="7"/>
      <c r="M207" s="7"/>
      <c r="N207" s="7"/>
    </row>
    <row r="208" ht="15.75" customHeight="1">
      <c r="B208" s="7"/>
      <c r="D208" s="7"/>
      <c r="E208" s="7"/>
      <c r="F208" s="14"/>
      <c r="G208" s="7"/>
      <c r="H208" s="7"/>
      <c r="I208" s="7"/>
      <c r="J208" s="7"/>
      <c r="K208" s="7"/>
      <c r="L208" s="7"/>
      <c r="M208" s="7"/>
      <c r="N208" s="7"/>
    </row>
    <row r="209" ht="15.75" customHeight="1">
      <c r="B209" s="7"/>
      <c r="D209" s="7"/>
      <c r="E209" s="7"/>
      <c r="F209" s="14"/>
      <c r="G209" s="7"/>
      <c r="H209" s="7"/>
      <c r="I209" s="7"/>
      <c r="J209" s="7"/>
      <c r="K209" s="7"/>
      <c r="L209" s="7"/>
      <c r="M209" s="7"/>
      <c r="N209" s="7"/>
    </row>
    <row r="210" ht="15.75" customHeight="1">
      <c r="B210" s="7"/>
      <c r="D210" s="7"/>
      <c r="E210" s="7"/>
      <c r="F210" s="14"/>
      <c r="G210" s="7"/>
      <c r="H210" s="7"/>
      <c r="I210" s="7"/>
      <c r="J210" s="7"/>
      <c r="K210" s="7"/>
      <c r="L210" s="7"/>
      <c r="M210" s="7"/>
      <c r="N210" s="7"/>
    </row>
    <row r="211" ht="15.75" customHeight="1">
      <c r="B211" s="7"/>
      <c r="D211" s="7"/>
      <c r="E211" s="7"/>
      <c r="F211" s="14"/>
      <c r="G211" s="7"/>
      <c r="H211" s="7"/>
      <c r="I211" s="7"/>
      <c r="J211" s="7"/>
      <c r="K211" s="7"/>
      <c r="L211" s="7"/>
      <c r="M211" s="7"/>
      <c r="N211" s="7"/>
    </row>
    <row r="212" ht="15.75" customHeight="1">
      <c r="B212" s="7"/>
      <c r="D212" s="7"/>
      <c r="E212" s="7"/>
      <c r="F212" s="14"/>
      <c r="G212" s="7"/>
      <c r="H212" s="7"/>
      <c r="I212" s="7"/>
      <c r="J212" s="17"/>
      <c r="K212" s="17"/>
      <c r="L212" s="7"/>
      <c r="M212" s="7"/>
      <c r="N212" s="7"/>
    </row>
    <row r="213" ht="15.75" customHeight="1">
      <c r="B213" s="7"/>
      <c r="D213" s="7"/>
      <c r="E213" s="7"/>
      <c r="F213" s="14"/>
      <c r="G213" s="7"/>
      <c r="H213" s="7"/>
      <c r="I213" s="7"/>
      <c r="J213" s="17"/>
      <c r="K213" s="17"/>
      <c r="L213" s="7"/>
      <c r="M213" s="7"/>
      <c r="N213" s="7"/>
    </row>
    <row r="214" ht="15.75" customHeight="1">
      <c r="B214" s="7"/>
      <c r="D214" s="7"/>
      <c r="E214" s="7"/>
      <c r="F214" s="14"/>
      <c r="G214" s="7"/>
      <c r="H214" s="7"/>
      <c r="I214" s="7"/>
      <c r="J214" s="7"/>
      <c r="K214" s="7"/>
      <c r="L214" s="7"/>
      <c r="M214" s="7"/>
      <c r="N214" s="7"/>
    </row>
    <row r="215" ht="15.75" customHeight="1">
      <c r="B215" s="7"/>
      <c r="D215" s="7"/>
      <c r="E215" s="7"/>
      <c r="F215" s="14"/>
      <c r="G215" s="7"/>
      <c r="H215" s="7"/>
      <c r="I215" s="7"/>
      <c r="J215" s="7"/>
      <c r="K215" s="7"/>
      <c r="L215" s="7"/>
      <c r="M215" s="7"/>
      <c r="N215" s="7"/>
    </row>
    <row r="216" ht="15.75" customHeight="1">
      <c r="B216" s="7"/>
      <c r="D216" s="7"/>
      <c r="E216" s="7"/>
      <c r="F216" s="14"/>
      <c r="G216" s="7"/>
      <c r="H216" s="7"/>
      <c r="I216" s="7"/>
      <c r="J216" s="7"/>
      <c r="K216" s="7"/>
      <c r="L216" s="7"/>
      <c r="M216" s="7"/>
      <c r="N216" s="7"/>
    </row>
    <row r="217" ht="15.75" customHeight="1">
      <c r="B217" s="7"/>
      <c r="D217" s="7"/>
      <c r="E217" s="7"/>
      <c r="F217" s="14"/>
      <c r="G217" s="7"/>
      <c r="H217" s="7"/>
      <c r="I217" s="7"/>
      <c r="J217" s="7"/>
      <c r="K217" s="7"/>
      <c r="L217" s="7"/>
      <c r="M217" s="7"/>
      <c r="N217" s="7"/>
    </row>
    <row r="218" ht="15.75" customHeight="1">
      <c r="B218" s="7"/>
      <c r="D218" s="7"/>
      <c r="E218" s="7"/>
      <c r="F218" s="14"/>
      <c r="G218" s="7"/>
      <c r="H218" s="7"/>
      <c r="I218" s="7"/>
      <c r="J218" s="7"/>
      <c r="K218" s="7"/>
      <c r="L218" s="7"/>
      <c r="M218" s="7"/>
      <c r="N218" s="7"/>
    </row>
    <row r="219" ht="15.75" customHeight="1">
      <c r="B219" s="7"/>
      <c r="D219" s="7"/>
      <c r="E219" s="7"/>
      <c r="F219" s="14"/>
      <c r="G219" s="7"/>
      <c r="H219" s="7"/>
      <c r="I219" s="7"/>
      <c r="J219" s="7"/>
      <c r="K219" s="7"/>
      <c r="L219" s="7"/>
      <c r="M219" s="7"/>
      <c r="N219" s="7"/>
    </row>
    <row r="220" ht="15.75" customHeight="1">
      <c r="B220" s="7"/>
      <c r="D220" s="7"/>
      <c r="E220" s="7"/>
      <c r="F220" s="14"/>
      <c r="G220" s="7"/>
      <c r="H220" s="7"/>
      <c r="I220" s="7"/>
      <c r="J220" s="7"/>
      <c r="K220" s="7"/>
      <c r="L220" s="7"/>
      <c r="M220" s="7"/>
      <c r="N220" s="7"/>
    </row>
    <row r="221" ht="15.75" customHeight="1">
      <c r="B221" s="7"/>
      <c r="D221" s="7"/>
      <c r="E221" s="7"/>
      <c r="F221" s="14"/>
      <c r="G221" s="7"/>
      <c r="H221" s="7"/>
      <c r="I221" s="7"/>
      <c r="J221" s="7"/>
      <c r="K221" s="7"/>
      <c r="L221" s="7"/>
      <c r="M221" s="7"/>
      <c r="N221" s="7"/>
    </row>
    <row r="222" ht="15.75" customHeight="1">
      <c r="B222" s="7"/>
      <c r="D222" s="7"/>
      <c r="E222" s="7"/>
      <c r="F222" s="14"/>
      <c r="G222" s="7"/>
      <c r="H222" s="7"/>
      <c r="I222" s="7"/>
      <c r="J222" s="7"/>
      <c r="K222" s="7"/>
      <c r="L222" s="7"/>
      <c r="M222" s="7"/>
      <c r="N222" s="7"/>
    </row>
    <row r="223" ht="15.75" customHeight="1">
      <c r="B223" s="7"/>
      <c r="D223" s="7"/>
      <c r="E223" s="7"/>
      <c r="F223" s="14"/>
      <c r="G223" s="7"/>
      <c r="H223" s="7"/>
      <c r="I223" s="7"/>
      <c r="J223" s="7"/>
      <c r="K223" s="7"/>
      <c r="L223" s="7"/>
      <c r="M223" s="7"/>
      <c r="N223" s="7"/>
    </row>
    <row r="224" ht="15.75" customHeight="1">
      <c r="B224" s="7"/>
      <c r="D224" s="7"/>
      <c r="E224" s="7"/>
      <c r="F224" s="14"/>
      <c r="G224" s="7"/>
      <c r="H224" s="7"/>
      <c r="I224" s="7"/>
      <c r="J224" s="7"/>
      <c r="K224" s="7"/>
      <c r="L224" s="7"/>
      <c r="M224" s="7"/>
      <c r="N224" s="7"/>
    </row>
    <row r="225" ht="15.75" customHeight="1">
      <c r="B225" s="7"/>
      <c r="D225" s="7"/>
      <c r="E225" s="7"/>
      <c r="F225" s="14"/>
      <c r="G225" s="7"/>
      <c r="H225" s="7"/>
      <c r="I225" s="7"/>
      <c r="J225" s="7"/>
      <c r="K225" s="7"/>
      <c r="L225" s="7"/>
      <c r="M225" s="7"/>
      <c r="N225" s="7"/>
    </row>
    <row r="226" ht="15.75" customHeight="1">
      <c r="B226" s="7"/>
      <c r="D226" s="7"/>
      <c r="E226" s="7"/>
      <c r="F226" s="14"/>
      <c r="G226" s="7"/>
      <c r="H226" s="7"/>
      <c r="I226" s="7"/>
      <c r="J226" s="7"/>
      <c r="K226" s="7"/>
      <c r="L226" s="7"/>
      <c r="M226" s="7"/>
      <c r="N226" s="7"/>
    </row>
    <row r="227" ht="15.75" customHeight="1">
      <c r="B227" s="7"/>
      <c r="D227" s="7"/>
      <c r="E227" s="7"/>
      <c r="F227" s="14"/>
      <c r="G227" s="7"/>
      <c r="H227" s="7"/>
      <c r="I227" s="7"/>
      <c r="J227" s="7"/>
      <c r="K227" s="7"/>
      <c r="L227" s="7"/>
      <c r="M227" s="7"/>
      <c r="N227" s="7"/>
    </row>
    <row r="228" ht="15.75" customHeight="1">
      <c r="B228" s="7"/>
      <c r="D228" s="7"/>
      <c r="E228" s="7"/>
      <c r="F228" s="14"/>
      <c r="G228" s="7"/>
      <c r="H228" s="7"/>
      <c r="I228" s="7"/>
      <c r="J228" s="7"/>
      <c r="K228" s="7"/>
      <c r="L228" s="7"/>
      <c r="M228" s="7"/>
      <c r="N228" s="7"/>
    </row>
    <row r="229" ht="15.75" customHeight="1">
      <c r="B229" s="7"/>
      <c r="D229" s="7"/>
      <c r="E229" s="7"/>
      <c r="F229" s="14"/>
      <c r="G229" s="7"/>
      <c r="H229" s="7"/>
      <c r="I229" s="7"/>
      <c r="J229" s="7"/>
      <c r="K229" s="7"/>
      <c r="L229" s="7"/>
      <c r="M229" s="7"/>
      <c r="N229" s="7"/>
    </row>
    <row r="230" ht="15.75" customHeight="1">
      <c r="B230" s="7"/>
      <c r="D230" s="7"/>
      <c r="E230" s="7"/>
      <c r="F230" s="14"/>
      <c r="G230" s="7"/>
      <c r="H230" s="7"/>
      <c r="I230" s="7"/>
      <c r="J230" s="7"/>
      <c r="K230" s="7"/>
      <c r="L230" s="7"/>
      <c r="M230" s="7"/>
      <c r="N230" s="7"/>
    </row>
    <row r="231" ht="15.75" customHeight="1">
      <c r="B231" s="7"/>
      <c r="D231" s="7"/>
      <c r="E231" s="7"/>
      <c r="F231" s="14"/>
      <c r="G231" s="7"/>
      <c r="H231" s="7"/>
      <c r="I231" s="7"/>
      <c r="J231" s="7"/>
      <c r="K231" s="7"/>
      <c r="L231" s="7"/>
      <c r="M231" s="7"/>
      <c r="N231" s="7"/>
    </row>
    <row r="232" ht="15.75" customHeight="1">
      <c r="B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ht="15.75" customHeight="1">
      <c r="B233" s="7"/>
      <c r="D233" s="7"/>
      <c r="E233" s="7"/>
      <c r="F233" s="14"/>
      <c r="G233" s="7"/>
      <c r="H233" s="7"/>
      <c r="I233" s="7"/>
      <c r="J233" s="7"/>
      <c r="K233" s="7"/>
      <c r="L233" s="7"/>
      <c r="M233" s="7"/>
      <c r="N233" s="7"/>
    </row>
    <row r="234" ht="15.75" customHeight="1">
      <c r="B234" s="7"/>
      <c r="D234" s="7"/>
      <c r="E234" s="7"/>
      <c r="F234" s="14"/>
      <c r="G234" s="7"/>
      <c r="H234" s="7"/>
      <c r="I234" s="7"/>
      <c r="J234" s="7"/>
      <c r="K234" s="7"/>
      <c r="L234" s="7"/>
      <c r="M234" s="7"/>
      <c r="N234" s="7"/>
    </row>
    <row r="235" ht="15.75" customHeight="1">
      <c r="B235" s="7"/>
      <c r="D235" s="7"/>
      <c r="E235" s="7"/>
      <c r="F235" s="14"/>
      <c r="G235" s="7"/>
      <c r="H235" s="7"/>
      <c r="I235" s="7"/>
      <c r="J235" s="7"/>
      <c r="K235" s="7"/>
      <c r="L235" s="7"/>
      <c r="M235" s="7"/>
      <c r="N235" s="7"/>
    </row>
    <row r="236" ht="15.75" customHeight="1">
      <c r="B236" s="7"/>
      <c r="D236" s="7"/>
      <c r="E236" s="7"/>
      <c r="F236" s="14"/>
      <c r="G236" s="7"/>
      <c r="H236" s="7"/>
      <c r="I236" s="7"/>
      <c r="J236" s="7"/>
      <c r="K236" s="7"/>
      <c r="L236" s="7"/>
      <c r="M236" s="7"/>
      <c r="N236" s="7"/>
    </row>
    <row r="237" ht="15.75" customHeight="1">
      <c r="B237" s="7"/>
      <c r="D237" s="7"/>
      <c r="E237" s="7"/>
      <c r="F237" s="14"/>
      <c r="G237" s="7"/>
      <c r="H237" s="7"/>
      <c r="I237" s="7"/>
      <c r="J237" s="7"/>
      <c r="K237" s="7"/>
      <c r="L237" s="7"/>
      <c r="M237" s="7"/>
      <c r="N237" s="7"/>
    </row>
    <row r="238" ht="15.75" customHeight="1">
      <c r="B238" s="7"/>
      <c r="D238" s="7"/>
      <c r="E238" s="7"/>
      <c r="F238" s="14"/>
      <c r="G238" s="7"/>
      <c r="H238" s="7"/>
      <c r="I238" s="7"/>
      <c r="J238" s="7"/>
      <c r="K238" s="7"/>
      <c r="L238" s="7"/>
      <c r="M238" s="7"/>
      <c r="N238" s="7"/>
    </row>
    <row r="239" ht="15.75" customHeight="1">
      <c r="B239" s="7"/>
      <c r="D239" s="7"/>
      <c r="E239" s="7"/>
      <c r="F239" s="14"/>
      <c r="G239" s="7"/>
      <c r="H239" s="7"/>
      <c r="I239" s="7"/>
      <c r="J239" s="7"/>
      <c r="K239" s="7"/>
      <c r="L239" s="7"/>
      <c r="M239" s="7"/>
      <c r="N239" s="7"/>
    </row>
    <row r="240" ht="15.75" customHeight="1">
      <c r="B240" s="7"/>
      <c r="D240" s="7"/>
      <c r="E240" s="7"/>
      <c r="F240" s="14"/>
      <c r="G240" s="7"/>
      <c r="H240" s="7"/>
      <c r="I240" s="7"/>
      <c r="J240" s="7"/>
      <c r="K240" s="7"/>
      <c r="L240" s="7"/>
      <c r="M240" s="7"/>
      <c r="N240" s="7"/>
    </row>
    <row r="241" ht="15.75" customHeight="1">
      <c r="B241" s="7"/>
      <c r="D241" s="7"/>
      <c r="E241" s="7"/>
      <c r="F241" s="14"/>
      <c r="G241" s="7"/>
      <c r="H241" s="7"/>
      <c r="I241" s="7"/>
      <c r="J241" s="7"/>
      <c r="K241" s="7"/>
      <c r="L241" s="7"/>
      <c r="M241" s="7"/>
      <c r="N241" s="7"/>
    </row>
    <row r="242" ht="15.75" customHeight="1">
      <c r="B242" s="7"/>
      <c r="D242" s="7"/>
      <c r="E242" s="7"/>
      <c r="F242" s="14"/>
      <c r="G242" s="7"/>
      <c r="H242" s="7"/>
      <c r="I242" s="7"/>
      <c r="J242" s="7"/>
      <c r="K242" s="7"/>
      <c r="L242" s="7"/>
      <c r="M242" s="7"/>
      <c r="N242" s="7"/>
    </row>
    <row r="243" ht="15.75" customHeight="1">
      <c r="B243" s="7"/>
      <c r="D243" s="7"/>
      <c r="E243" s="7"/>
      <c r="F243" s="14"/>
      <c r="G243" s="7"/>
      <c r="H243" s="7"/>
      <c r="I243" s="7"/>
      <c r="J243" s="7"/>
      <c r="K243" s="7"/>
      <c r="L243" s="7"/>
      <c r="M243" s="7"/>
      <c r="N243" s="7"/>
    </row>
    <row r="244" ht="15.75" customHeight="1">
      <c r="B244" s="7"/>
      <c r="D244" s="7"/>
      <c r="E244" s="7"/>
      <c r="F244" s="14"/>
      <c r="G244" s="7"/>
      <c r="H244" s="7"/>
      <c r="I244" s="7"/>
      <c r="J244" s="7"/>
      <c r="K244" s="7"/>
      <c r="L244" s="7"/>
      <c r="M244" s="7"/>
      <c r="N244" s="7"/>
    </row>
    <row r="245" ht="15.75" customHeight="1">
      <c r="B245" s="7"/>
      <c r="D245" s="7"/>
      <c r="E245" s="7"/>
      <c r="F245" s="14"/>
      <c r="G245" s="7"/>
      <c r="H245" s="7"/>
      <c r="I245" s="7"/>
      <c r="J245" s="7"/>
      <c r="K245" s="7"/>
      <c r="L245" s="7"/>
      <c r="M245" s="7"/>
      <c r="N245" s="7"/>
    </row>
    <row r="246" ht="15.75" customHeight="1">
      <c r="B246" s="7"/>
      <c r="D246" s="7"/>
      <c r="E246" s="7"/>
      <c r="F246" s="14"/>
      <c r="G246" s="7"/>
      <c r="H246" s="7"/>
      <c r="I246" s="7"/>
      <c r="J246" s="7"/>
      <c r="K246" s="7"/>
      <c r="L246" s="7"/>
      <c r="M246" s="7"/>
      <c r="N246" s="7"/>
    </row>
    <row r="247" ht="15.75" customHeight="1">
      <c r="B247" s="7"/>
      <c r="D247" s="7"/>
      <c r="E247" s="7"/>
      <c r="F247" s="14"/>
      <c r="G247" s="7"/>
      <c r="H247" s="7"/>
      <c r="I247" s="7"/>
      <c r="J247" s="7"/>
      <c r="K247" s="7"/>
      <c r="L247" s="7"/>
      <c r="M247" s="7"/>
      <c r="N247" s="7"/>
    </row>
    <row r="248" ht="15.75" customHeight="1">
      <c r="B248" s="7"/>
      <c r="D248" s="7"/>
      <c r="E248" s="7"/>
      <c r="F248" s="14"/>
      <c r="G248" s="7"/>
      <c r="H248" s="7"/>
      <c r="I248" s="7"/>
      <c r="J248" s="7"/>
      <c r="K248" s="7"/>
      <c r="L248" s="7"/>
      <c r="M248" s="7"/>
      <c r="N248" s="7"/>
    </row>
    <row r="249" ht="15.75" customHeight="1">
      <c r="B249" s="7"/>
      <c r="D249" s="7"/>
      <c r="E249" s="7"/>
      <c r="F249" s="14"/>
      <c r="G249" s="7"/>
      <c r="H249" s="7"/>
      <c r="I249" s="7"/>
      <c r="J249" s="7"/>
      <c r="K249" s="7"/>
      <c r="L249" s="7"/>
      <c r="M249" s="7"/>
      <c r="N249" s="7"/>
    </row>
    <row r="250" ht="15.75" customHeight="1">
      <c r="B250" s="7"/>
      <c r="D250" s="7"/>
      <c r="E250" s="7"/>
      <c r="F250" s="14"/>
      <c r="G250" s="7"/>
      <c r="H250" s="7"/>
      <c r="I250" s="7"/>
      <c r="J250" s="7"/>
      <c r="K250" s="7"/>
      <c r="L250" s="7"/>
      <c r="M250" s="7"/>
      <c r="N250" s="7"/>
    </row>
    <row r="251" ht="15.75" customHeight="1">
      <c r="B251" s="7"/>
      <c r="D251" s="7"/>
      <c r="E251" s="7"/>
      <c r="F251" s="14"/>
      <c r="G251" s="7"/>
      <c r="H251" s="7"/>
      <c r="I251" s="7"/>
      <c r="J251" s="7"/>
      <c r="K251" s="7"/>
      <c r="L251" s="7"/>
      <c r="M251" s="7"/>
      <c r="N251" s="7"/>
    </row>
    <row r="252" ht="15.75" customHeight="1">
      <c r="B252" s="7"/>
      <c r="D252" s="7"/>
      <c r="E252" s="7"/>
      <c r="F252" s="14"/>
      <c r="G252" s="7"/>
      <c r="H252" s="7"/>
      <c r="I252" s="7"/>
      <c r="J252" s="7"/>
      <c r="K252" s="7"/>
      <c r="L252" s="7"/>
      <c r="M252" s="7"/>
      <c r="N252" s="7"/>
    </row>
    <row r="253" ht="15.75" customHeight="1">
      <c r="B253" s="7"/>
      <c r="D253" s="7"/>
      <c r="E253" s="7"/>
      <c r="F253" s="14"/>
      <c r="G253" s="7"/>
      <c r="H253" s="7"/>
      <c r="I253" s="7"/>
      <c r="J253" s="7"/>
      <c r="K253" s="7"/>
      <c r="L253" s="7"/>
      <c r="M253" s="7"/>
      <c r="N253" s="7"/>
    </row>
    <row r="254" ht="15.75" customHeight="1">
      <c r="B254" s="7"/>
      <c r="D254" s="7"/>
      <c r="E254" s="7"/>
      <c r="F254" s="14"/>
      <c r="G254" s="7"/>
      <c r="H254" s="7"/>
      <c r="I254" s="7"/>
      <c r="J254" s="7"/>
      <c r="K254" s="7"/>
      <c r="L254" s="7"/>
      <c r="M254" s="7"/>
      <c r="N254" s="7"/>
    </row>
    <row r="255" ht="15.75" customHeight="1">
      <c r="B255" s="7"/>
      <c r="D255" s="7"/>
      <c r="E255" s="7"/>
      <c r="F255" s="14"/>
      <c r="G255" s="7"/>
      <c r="H255" s="7"/>
      <c r="I255" s="7"/>
      <c r="J255" s="7"/>
      <c r="K255" s="7"/>
      <c r="L255" s="7"/>
      <c r="M255" s="7"/>
      <c r="N255" s="7"/>
    </row>
    <row r="256" ht="15.75" customHeight="1">
      <c r="B256" s="7"/>
      <c r="D256" s="7"/>
      <c r="E256" s="7"/>
      <c r="F256" s="14"/>
      <c r="G256" s="7"/>
      <c r="H256" s="7"/>
      <c r="I256" s="7"/>
      <c r="J256" s="7"/>
      <c r="K256" s="7"/>
      <c r="L256" s="7"/>
      <c r="M256" s="7"/>
      <c r="N256" s="7"/>
    </row>
    <row r="257" ht="15.75" customHeight="1">
      <c r="B257" s="7"/>
      <c r="D257" s="7"/>
      <c r="E257" s="7"/>
      <c r="F257" s="14"/>
      <c r="G257" s="7"/>
      <c r="H257" s="7"/>
      <c r="I257" s="7"/>
      <c r="J257" s="7"/>
      <c r="K257" s="7"/>
      <c r="L257" s="7"/>
      <c r="M257" s="7"/>
      <c r="N257" s="7"/>
    </row>
    <row r="258" ht="15.75" customHeight="1">
      <c r="B258" s="7"/>
      <c r="D258" s="7"/>
      <c r="E258" s="7"/>
      <c r="F258" s="14"/>
      <c r="G258" s="7"/>
      <c r="H258" s="7"/>
      <c r="I258" s="7"/>
      <c r="J258" s="7"/>
      <c r="K258" s="7"/>
      <c r="L258" s="7"/>
      <c r="M258" s="7"/>
      <c r="N258" s="7"/>
    </row>
    <row r="259" ht="15.75" customHeight="1">
      <c r="B259" s="7"/>
      <c r="D259" s="7"/>
      <c r="E259" s="7"/>
      <c r="F259" s="14"/>
      <c r="G259" s="7"/>
      <c r="H259" s="7"/>
      <c r="I259" s="7"/>
      <c r="J259" s="7"/>
      <c r="K259" s="7"/>
      <c r="L259" s="7"/>
      <c r="M259" s="7"/>
      <c r="N259" s="7"/>
    </row>
    <row r="260" ht="15.75" customHeight="1">
      <c r="B260" s="7"/>
      <c r="D260" s="7"/>
      <c r="E260" s="7"/>
      <c r="F260" s="14"/>
      <c r="G260" s="7"/>
      <c r="H260" s="7"/>
      <c r="I260" s="7"/>
      <c r="J260" s="7"/>
      <c r="K260" s="7"/>
      <c r="L260" s="7"/>
      <c r="M260" s="7"/>
      <c r="N260" s="7"/>
    </row>
    <row r="261" ht="15.75" customHeight="1">
      <c r="B261" s="7"/>
      <c r="D261" s="7"/>
      <c r="E261" s="7"/>
      <c r="F261" s="14"/>
      <c r="G261" s="7"/>
      <c r="H261" s="7"/>
      <c r="I261" s="7"/>
      <c r="J261" s="7"/>
      <c r="K261" s="7"/>
      <c r="L261" s="7"/>
      <c r="M261" s="7"/>
      <c r="N261" s="7"/>
    </row>
    <row r="262" ht="15.75" customHeight="1">
      <c r="B262" s="7"/>
      <c r="D262" s="7"/>
      <c r="E262" s="7"/>
      <c r="F262" s="14"/>
      <c r="G262" s="7"/>
      <c r="H262" s="7"/>
      <c r="I262" s="7"/>
      <c r="J262" s="7"/>
      <c r="K262" s="7"/>
      <c r="L262" s="7"/>
      <c r="M262" s="7"/>
      <c r="N262" s="7"/>
    </row>
    <row r="263" ht="15.75" customHeight="1">
      <c r="B263" s="7"/>
      <c r="D263" s="7"/>
      <c r="E263" s="7"/>
      <c r="F263" s="14"/>
      <c r="G263" s="7"/>
      <c r="H263" s="7"/>
      <c r="I263" s="7"/>
      <c r="J263" s="7"/>
      <c r="K263" s="7"/>
      <c r="L263" s="7"/>
      <c r="M263" s="7"/>
      <c r="N263" s="7"/>
    </row>
    <row r="264" ht="15.75" customHeight="1">
      <c r="B264" s="7"/>
      <c r="D264" s="7"/>
      <c r="E264" s="7"/>
      <c r="F264" s="14"/>
      <c r="G264" s="7"/>
      <c r="H264" s="7"/>
      <c r="I264" s="7"/>
      <c r="J264" s="7"/>
      <c r="K264" s="7"/>
      <c r="L264" s="7"/>
      <c r="M264" s="7"/>
      <c r="N264" s="7"/>
    </row>
    <row r="265" ht="15.75" customHeight="1">
      <c r="B265" s="7"/>
      <c r="D265" s="7"/>
      <c r="E265" s="7"/>
      <c r="F265" s="14"/>
      <c r="G265" s="7"/>
      <c r="H265" s="7"/>
      <c r="I265" s="7"/>
      <c r="J265" s="7"/>
      <c r="K265" s="7"/>
      <c r="L265" s="7"/>
      <c r="M265" s="7"/>
      <c r="N265" s="7"/>
    </row>
    <row r="266" ht="15.75" customHeight="1">
      <c r="B266" s="7"/>
      <c r="D266" s="7"/>
      <c r="E266" s="7"/>
      <c r="F266" s="14"/>
      <c r="G266" s="7"/>
      <c r="H266" s="7"/>
      <c r="I266" s="7"/>
      <c r="J266" s="7"/>
      <c r="K266" s="7"/>
      <c r="L266" s="7"/>
      <c r="M266" s="7"/>
      <c r="N266" s="7"/>
    </row>
    <row r="267" ht="15.75" customHeight="1">
      <c r="B267" s="7"/>
      <c r="D267" s="7"/>
      <c r="E267" s="7"/>
      <c r="F267" s="14"/>
      <c r="G267" s="7"/>
      <c r="H267" s="7"/>
      <c r="I267" s="7"/>
      <c r="J267" s="7"/>
      <c r="K267" s="7"/>
      <c r="L267" s="7"/>
      <c r="M267" s="7"/>
      <c r="N267" s="7"/>
    </row>
    <row r="268" ht="15.75" customHeight="1">
      <c r="B268" s="7"/>
      <c r="D268" s="7"/>
      <c r="E268" s="7"/>
      <c r="F268" s="14"/>
      <c r="G268" s="7"/>
      <c r="H268" s="7"/>
      <c r="I268" s="7"/>
      <c r="J268" s="7"/>
      <c r="K268" s="7"/>
      <c r="L268" s="7"/>
      <c r="M268" s="7"/>
      <c r="N268" s="7"/>
    </row>
    <row r="269" ht="15.75" customHeight="1">
      <c r="B269" s="7"/>
      <c r="D269" s="7"/>
      <c r="E269" s="7"/>
      <c r="F269" s="14"/>
      <c r="G269" s="7"/>
      <c r="H269" s="7"/>
      <c r="I269" s="7"/>
      <c r="J269" s="7"/>
      <c r="K269" s="7"/>
      <c r="L269" s="7"/>
      <c r="M269" s="7"/>
      <c r="N269" s="7"/>
    </row>
    <row r="270" ht="15.75" customHeight="1">
      <c r="B270" s="7"/>
      <c r="D270" s="7"/>
      <c r="E270" s="7"/>
      <c r="F270" s="14"/>
      <c r="G270" s="7"/>
      <c r="H270" s="7"/>
      <c r="I270" s="7"/>
      <c r="J270" s="7"/>
      <c r="K270" s="7"/>
      <c r="L270" s="7"/>
      <c r="M270" s="7"/>
      <c r="N270" s="7"/>
    </row>
    <row r="271" ht="15.75" customHeight="1">
      <c r="B271" s="7"/>
      <c r="D271" s="7"/>
      <c r="E271" s="7"/>
      <c r="F271" s="14"/>
      <c r="G271" s="7"/>
      <c r="H271" s="7"/>
      <c r="I271" s="7"/>
      <c r="J271" s="7"/>
      <c r="K271" s="7"/>
      <c r="L271" s="7"/>
      <c r="M271" s="7"/>
      <c r="N271" s="7"/>
    </row>
    <row r="272" ht="15.75" customHeight="1">
      <c r="B272" s="7"/>
      <c r="D272" s="7"/>
      <c r="E272" s="7"/>
      <c r="F272" s="14"/>
      <c r="G272" s="7"/>
      <c r="H272" s="7"/>
      <c r="I272" s="7"/>
      <c r="J272" s="7"/>
      <c r="K272" s="7"/>
      <c r="L272" s="7"/>
      <c r="M272" s="7"/>
      <c r="N272" s="7"/>
    </row>
    <row r="273" ht="15.75" customHeight="1">
      <c r="B273" s="7"/>
      <c r="D273" s="7"/>
      <c r="E273" s="7"/>
      <c r="F273" s="14"/>
      <c r="G273" s="7"/>
      <c r="H273" s="7"/>
      <c r="I273" s="7"/>
      <c r="J273" s="7"/>
      <c r="K273" s="7"/>
      <c r="L273" s="7"/>
      <c r="M273" s="7"/>
      <c r="N273" s="7"/>
    </row>
    <row r="274" ht="15.75" customHeight="1">
      <c r="B274" s="7"/>
      <c r="D274" s="7"/>
      <c r="E274" s="7"/>
      <c r="F274" s="14"/>
      <c r="G274" s="7"/>
      <c r="H274" s="7"/>
      <c r="I274" s="7"/>
      <c r="J274" s="7"/>
      <c r="K274" s="7"/>
      <c r="L274" s="7"/>
      <c r="M274" s="7"/>
      <c r="N274" s="7"/>
    </row>
    <row r="275" ht="15.75" customHeight="1">
      <c r="B275" s="7"/>
      <c r="D275" s="7"/>
      <c r="E275" s="7"/>
      <c r="F275" s="14"/>
      <c r="G275" s="7"/>
      <c r="H275" s="7"/>
      <c r="I275" s="7"/>
      <c r="J275" s="7"/>
      <c r="K275" s="7"/>
      <c r="L275" s="7"/>
      <c r="M275" s="7"/>
      <c r="N275" s="7"/>
    </row>
    <row r="276" ht="15.75" customHeight="1">
      <c r="B276" s="7"/>
      <c r="D276" s="7"/>
      <c r="E276" s="7"/>
      <c r="F276" s="14"/>
      <c r="G276" s="7"/>
      <c r="H276" s="7"/>
      <c r="I276" s="7"/>
      <c r="J276" s="7"/>
      <c r="K276" s="7"/>
      <c r="L276" s="7"/>
      <c r="M276" s="7"/>
      <c r="N276" s="7"/>
    </row>
    <row r="277" ht="15.75" customHeight="1">
      <c r="B277" s="7"/>
      <c r="D277" s="7"/>
      <c r="E277" s="7"/>
      <c r="F277" s="14"/>
      <c r="G277" s="7"/>
      <c r="H277" s="7"/>
      <c r="I277" s="7"/>
      <c r="J277" s="7"/>
      <c r="K277" s="7"/>
      <c r="L277" s="7"/>
      <c r="M277" s="7"/>
      <c r="N277" s="7"/>
    </row>
    <row r="278" ht="15.75" customHeight="1">
      <c r="B278" s="7"/>
      <c r="D278" s="7"/>
      <c r="E278" s="7"/>
      <c r="F278" s="14"/>
      <c r="G278" s="7"/>
      <c r="H278" s="7"/>
      <c r="I278" s="7"/>
      <c r="J278" s="7"/>
      <c r="K278" s="7"/>
      <c r="L278" s="7"/>
      <c r="M278" s="7"/>
      <c r="N278" s="7"/>
    </row>
    <row r="279" ht="15.75" customHeight="1">
      <c r="B279" s="7"/>
      <c r="D279" s="7"/>
      <c r="E279" s="7"/>
      <c r="F279" s="14"/>
      <c r="G279" s="7"/>
      <c r="H279" s="7"/>
      <c r="I279" s="7"/>
      <c r="J279" s="7"/>
      <c r="K279" s="7"/>
      <c r="L279" s="7"/>
      <c r="M279" s="7"/>
      <c r="N279" s="7"/>
    </row>
    <row r="280" ht="15.75" customHeight="1">
      <c r="B280" s="7"/>
      <c r="D280" s="7"/>
      <c r="E280" s="7"/>
      <c r="F280" s="14"/>
      <c r="G280" s="7"/>
      <c r="H280" s="7"/>
      <c r="I280" s="7"/>
      <c r="J280" s="7"/>
      <c r="K280" s="7"/>
      <c r="L280" s="7"/>
      <c r="M280" s="7"/>
      <c r="N280" s="7"/>
    </row>
    <row r="281" ht="15.75" customHeight="1">
      <c r="B281" s="7"/>
      <c r="D281" s="7"/>
      <c r="E281" s="7"/>
      <c r="F281" s="14"/>
      <c r="G281" s="7"/>
      <c r="H281" s="7"/>
      <c r="I281" s="7"/>
      <c r="J281" s="7"/>
      <c r="K281" s="7"/>
      <c r="L281" s="7"/>
      <c r="M281" s="7"/>
      <c r="N281" s="7"/>
    </row>
    <row r="282" ht="15.75" customHeight="1">
      <c r="B282" s="7"/>
      <c r="D282" s="7"/>
      <c r="E282" s="7"/>
      <c r="F282" s="14"/>
      <c r="G282" s="7"/>
      <c r="H282" s="7"/>
      <c r="I282" s="7"/>
      <c r="J282" s="7"/>
      <c r="K282" s="7"/>
      <c r="L282" s="7"/>
      <c r="M282" s="7"/>
      <c r="N282" s="7"/>
    </row>
    <row r="283" ht="15.75" customHeight="1">
      <c r="B283" s="7"/>
      <c r="D283" s="7"/>
      <c r="E283" s="7"/>
      <c r="F283" s="14"/>
      <c r="G283" s="7"/>
      <c r="H283" s="7"/>
      <c r="I283" s="7"/>
      <c r="J283" s="7"/>
      <c r="K283" s="7"/>
      <c r="L283" s="7"/>
      <c r="M283" s="7"/>
      <c r="N283" s="7"/>
    </row>
    <row r="284" ht="15.75" customHeight="1">
      <c r="B284" s="7"/>
      <c r="D284" s="7"/>
      <c r="E284" s="7"/>
      <c r="F284" s="14"/>
      <c r="G284" s="7"/>
      <c r="H284" s="7"/>
      <c r="I284" s="7"/>
      <c r="J284" s="7"/>
      <c r="K284" s="7"/>
      <c r="L284" s="7"/>
      <c r="M284" s="7"/>
      <c r="N284" s="7"/>
    </row>
    <row r="285" ht="15.75" customHeight="1">
      <c r="B285" s="7"/>
      <c r="D285" s="7"/>
      <c r="E285" s="7"/>
      <c r="F285" s="14"/>
      <c r="G285" s="7"/>
      <c r="H285" s="7"/>
      <c r="I285" s="7"/>
      <c r="J285" s="7"/>
      <c r="K285" s="7"/>
      <c r="L285" s="7"/>
      <c r="M285" s="7"/>
      <c r="N285" s="7"/>
    </row>
    <row r="286" ht="15.75" customHeight="1">
      <c r="B286" s="7"/>
      <c r="D286" s="7"/>
      <c r="E286" s="7"/>
      <c r="F286" s="14"/>
      <c r="G286" s="7"/>
      <c r="H286" s="7"/>
      <c r="I286" s="7"/>
      <c r="J286" s="7"/>
      <c r="K286" s="7"/>
      <c r="L286" s="7"/>
      <c r="M286" s="7"/>
      <c r="N286" s="7"/>
    </row>
    <row r="287" ht="15.75" customHeight="1">
      <c r="B287" s="7"/>
      <c r="D287" s="7"/>
      <c r="E287" s="7"/>
      <c r="F287" s="14"/>
      <c r="G287" s="7"/>
      <c r="H287" s="7"/>
      <c r="I287" s="7"/>
      <c r="J287" s="7"/>
      <c r="K287" s="7"/>
      <c r="L287" s="7"/>
      <c r="M287" s="7"/>
      <c r="N287" s="7"/>
    </row>
    <row r="288" ht="15.75" customHeight="1">
      <c r="B288" s="7"/>
      <c r="D288" s="7"/>
      <c r="E288" s="7"/>
      <c r="F288" s="14"/>
      <c r="G288" s="7"/>
      <c r="H288" s="7"/>
      <c r="I288" s="7"/>
      <c r="J288" s="7"/>
      <c r="K288" s="7"/>
      <c r="L288" s="7"/>
      <c r="M288" s="7"/>
      <c r="N288" s="7"/>
    </row>
    <row r="289" ht="15.75" customHeight="1">
      <c r="B289" s="7"/>
      <c r="D289" s="7"/>
      <c r="E289" s="7"/>
      <c r="F289" s="14"/>
      <c r="G289" s="7"/>
      <c r="H289" s="7"/>
      <c r="I289" s="7"/>
      <c r="J289" s="7"/>
      <c r="K289" s="7"/>
      <c r="L289" s="7"/>
      <c r="M289" s="7"/>
      <c r="N289" s="7"/>
    </row>
    <row r="290" ht="15.75" customHeight="1">
      <c r="B290" s="7"/>
      <c r="D290" s="7"/>
      <c r="E290" s="7"/>
      <c r="F290" s="14"/>
      <c r="G290" s="7"/>
      <c r="H290" s="7"/>
      <c r="I290" s="7"/>
      <c r="J290" s="7"/>
      <c r="K290" s="7"/>
      <c r="L290" s="7"/>
      <c r="M290" s="7"/>
      <c r="N290" s="7"/>
    </row>
    <row r="291" ht="15.75" customHeight="1">
      <c r="B291" s="7"/>
      <c r="D291" s="7"/>
      <c r="E291" s="7"/>
      <c r="F291" s="14"/>
      <c r="G291" s="7"/>
      <c r="H291" s="7"/>
      <c r="I291" s="7"/>
      <c r="J291" s="7"/>
      <c r="K291" s="7"/>
      <c r="L291" s="7"/>
      <c r="M291" s="7"/>
      <c r="N291" s="7"/>
    </row>
    <row r="292" ht="15.75" customHeight="1">
      <c r="B292" s="7"/>
      <c r="D292" s="7"/>
      <c r="E292" s="7"/>
      <c r="F292" s="14"/>
      <c r="G292" s="7"/>
      <c r="H292" s="7"/>
      <c r="I292" s="7"/>
      <c r="J292" s="7"/>
      <c r="K292" s="7"/>
      <c r="L292" s="7"/>
      <c r="M292" s="7"/>
      <c r="N292" s="7"/>
    </row>
    <row r="293" ht="15.75" customHeight="1">
      <c r="B293" s="7"/>
      <c r="D293" s="7"/>
      <c r="E293" s="7"/>
      <c r="F293" s="14"/>
      <c r="G293" s="7"/>
      <c r="H293" s="7"/>
      <c r="I293" s="7"/>
      <c r="J293" s="7"/>
      <c r="K293" s="7"/>
      <c r="L293" s="7"/>
      <c r="M293" s="7"/>
      <c r="N293" s="7"/>
    </row>
    <row r="294" ht="15.75" customHeight="1">
      <c r="B294" s="7"/>
      <c r="D294" s="7"/>
      <c r="E294" s="7"/>
      <c r="F294" s="14"/>
      <c r="G294" s="7"/>
      <c r="H294" s="7"/>
      <c r="I294" s="7"/>
      <c r="J294" s="7"/>
      <c r="K294" s="7"/>
      <c r="L294" s="7"/>
      <c r="M294" s="7"/>
      <c r="N294" s="7"/>
    </row>
    <row r="295" ht="15.75" customHeight="1">
      <c r="B295" s="7"/>
      <c r="D295" s="7"/>
      <c r="E295" s="7"/>
      <c r="F295" s="14"/>
      <c r="G295" s="7"/>
      <c r="H295" s="7"/>
      <c r="I295" s="7"/>
      <c r="J295" s="7"/>
      <c r="K295" s="7"/>
      <c r="L295" s="7"/>
      <c r="M295" s="7"/>
      <c r="N295" s="7"/>
    </row>
    <row r="296" ht="15.75" customHeight="1">
      <c r="B296" s="7"/>
      <c r="D296" s="7"/>
      <c r="E296" s="7"/>
      <c r="F296" s="14"/>
      <c r="G296" s="7"/>
      <c r="H296" s="7"/>
      <c r="I296" s="7"/>
      <c r="J296" s="7"/>
      <c r="K296" s="7"/>
      <c r="L296" s="7"/>
      <c r="M296" s="7"/>
      <c r="N296" s="7"/>
    </row>
    <row r="297" ht="15.75" customHeight="1">
      <c r="B297" s="7"/>
      <c r="D297" s="7"/>
      <c r="E297" s="7"/>
      <c r="F297" s="14"/>
      <c r="G297" s="7"/>
      <c r="H297" s="7"/>
      <c r="I297" s="7"/>
      <c r="J297" s="7"/>
      <c r="K297" s="7"/>
      <c r="L297" s="7"/>
      <c r="M297" s="7"/>
      <c r="N297" s="7"/>
    </row>
    <row r="298" ht="15.75" customHeight="1">
      <c r="B298" s="7"/>
      <c r="D298" s="7"/>
      <c r="E298" s="7"/>
      <c r="F298" s="14"/>
      <c r="G298" s="7"/>
      <c r="H298" s="7"/>
      <c r="I298" s="7"/>
      <c r="J298" s="7"/>
      <c r="K298" s="7"/>
      <c r="L298" s="7"/>
      <c r="M298" s="7"/>
      <c r="N298" s="7"/>
    </row>
    <row r="299" ht="15.75" customHeight="1">
      <c r="B299" s="7"/>
      <c r="D299" s="7"/>
      <c r="E299" s="7"/>
      <c r="F299" s="14"/>
      <c r="G299" s="7"/>
      <c r="H299" s="7"/>
      <c r="I299" s="7"/>
      <c r="J299" s="7"/>
      <c r="K299" s="7"/>
      <c r="L299" s="7"/>
      <c r="M299" s="7"/>
      <c r="N299" s="7"/>
    </row>
    <row r="300" ht="15.75" customHeight="1">
      <c r="B300" s="7"/>
      <c r="D300" s="7"/>
      <c r="E300" s="7"/>
      <c r="F300" s="14"/>
      <c r="G300" s="7"/>
      <c r="H300" s="7"/>
      <c r="I300" s="7"/>
      <c r="J300" s="7"/>
      <c r="K300" s="7"/>
      <c r="L300" s="7"/>
      <c r="M300" s="7"/>
      <c r="N300" s="7"/>
    </row>
    <row r="301" ht="15.75" customHeight="1">
      <c r="B301" s="7"/>
      <c r="D301" s="7"/>
      <c r="E301" s="7"/>
      <c r="F301" s="14"/>
      <c r="G301" s="7"/>
      <c r="H301" s="7"/>
      <c r="I301" s="7"/>
      <c r="J301" s="7"/>
      <c r="K301" s="7"/>
      <c r="L301" s="7"/>
      <c r="M301" s="7"/>
      <c r="N301" s="7"/>
    </row>
    <row r="302" ht="15.75" customHeight="1">
      <c r="B302" s="7"/>
      <c r="D302" s="7"/>
      <c r="E302" s="7"/>
      <c r="F302" s="14"/>
      <c r="G302" s="7"/>
      <c r="H302" s="7"/>
      <c r="I302" s="7"/>
      <c r="J302" s="7"/>
      <c r="K302" s="7"/>
      <c r="L302" s="7"/>
      <c r="M302" s="7"/>
      <c r="N302" s="7"/>
    </row>
    <row r="303" ht="15.75" customHeight="1">
      <c r="B303" s="7"/>
      <c r="D303" s="7"/>
      <c r="E303" s="7"/>
      <c r="F303" s="14"/>
      <c r="G303" s="7"/>
      <c r="H303" s="7"/>
      <c r="I303" s="7"/>
      <c r="J303" s="7"/>
      <c r="K303" s="7"/>
      <c r="L303" s="7"/>
      <c r="M303" s="7"/>
      <c r="N303" s="7"/>
    </row>
    <row r="304" ht="15.75" customHeight="1">
      <c r="B304" s="7"/>
      <c r="D304" s="7"/>
      <c r="E304" s="7"/>
      <c r="F304" s="14"/>
      <c r="G304" s="7"/>
      <c r="H304" s="7"/>
      <c r="I304" s="7"/>
      <c r="J304" s="7"/>
      <c r="K304" s="7"/>
      <c r="L304" s="7"/>
      <c r="M304" s="7"/>
      <c r="N304" s="7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7:B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" t="s">
        <v>103</v>
      </c>
      <c r="B1" s="12" t="s">
        <v>104</v>
      </c>
      <c r="C1" s="12" t="s">
        <v>105</v>
      </c>
      <c r="D1" s="12" t="s">
        <v>106</v>
      </c>
      <c r="E1" s="12" t="s">
        <v>107</v>
      </c>
      <c r="F1" s="12" t="s">
        <v>108</v>
      </c>
      <c r="G1" s="12" t="s">
        <v>109</v>
      </c>
      <c r="H1" s="12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</row>
    <row r="2">
      <c r="A2" s="19">
        <v>43443.0</v>
      </c>
      <c r="B2" s="7" t="s">
        <v>116</v>
      </c>
      <c r="C2" s="7" t="s">
        <v>117</v>
      </c>
      <c r="D2" s="7" t="s">
        <v>118</v>
      </c>
      <c r="E2" s="7"/>
      <c r="F2" s="16" t="s">
        <v>119</v>
      </c>
      <c r="G2" s="7" t="s">
        <v>120</v>
      </c>
      <c r="H2" s="7" t="s">
        <v>121</v>
      </c>
      <c r="I2" s="7" t="s">
        <v>122</v>
      </c>
      <c r="J2" s="7"/>
      <c r="K2" s="7"/>
      <c r="L2" s="7" t="s">
        <v>121</v>
      </c>
      <c r="M2" s="7"/>
    </row>
    <row r="3">
      <c r="A3" s="19">
        <v>43443.0</v>
      </c>
      <c r="B3" s="7" t="s">
        <v>123</v>
      </c>
      <c r="C3" s="7" t="s">
        <v>124</v>
      </c>
      <c r="D3" s="7" t="s">
        <v>125</v>
      </c>
      <c r="E3" s="7"/>
      <c r="F3" s="14" t="s">
        <v>126</v>
      </c>
      <c r="G3" s="7" t="s">
        <v>120</v>
      </c>
      <c r="H3" s="7" t="s">
        <v>121</v>
      </c>
      <c r="I3" s="7" t="s">
        <v>122</v>
      </c>
      <c r="J3" s="7"/>
      <c r="K3" s="7"/>
      <c r="L3" s="7" t="s">
        <v>121</v>
      </c>
      <c r="M3" s="7"/>
    </row>
    <row r="4">
      <c r="A4" s="20">
        <v>43444.0</v>
      </c>
      <c r="B4" s="7" t="s">
        <v>127</v>
      </c>
      <c r="C4" s="7" t="s">
        <v>23</v>
      </c>
      <c r="D4" s="7" t="s">
        <v>125</v>
      </c>
      <c r="E4" s="7" t="s">
        <v>128</v>
      </c>
      <c r="F4" s="14" t="s">
        <v>129</v>
      </c>
      <c r="G4" s="7" t="s">
        <v>120</v>
      </c>
      <c r="H4" s="7" t="s">
        <v>121</v>
      </c>
      <c r="I4" s="7" t="s">
        <v>122</v>
      </c>
      <c r="J4" s="7"/>
      <c r="K4" s="7"/>
      <c r="L4" s="7" t="s">
        <v>121</v>
      </c>
      <c r="M4" s="7" t="s">
        <v>130</v>
      </c>
    </row>
    <row r="5">
      <c r="A5" s="20">
        <v>43448.0</v>
      </c>
      <c r="B5" s="7" t="s">
        <v>131</v>
      </c>
      <c r="C5" s="7" t="s">
        <v>132</v>
      </c>
      <c r="D5" s="7" t="s">
        <v>125</v>
      </c>
      <c r="E5" s="7" t="s">
        <v>133</v>
      </c>
      <c r="F5" s="14" t="s">
        <v>134</v>
      </c>
      <c r="G5" s="7" t="s">
        <v>120</v>
      </c>
      <c r="H5" s="7" t="s">
        <v>121</v>
      </c>
      <c r="I5" s="7" t="s">
        <v>122</v>
      </c>
      <c r="J5" s="7"/>
      <c r="K5" s="7"/>
      <c r="L5" s="7" t="s">
        <v>121</v>
      </c>
      <c r="M5" s="7" t="s">
        <v>130</v>
      </c>
    </row>
    <row r="6">
      <c r="A6" s="20">
        <v>43446.0</v>
      </c>
      <c r="B6" s="7" t="s">
        <v>135</v>
      </c>
      <c r="C6" s="7" t="s">
        <v>117</v>
      </c>
      <c r="D6" s="7" t="s">
        <v>125</v>
      </c>
      <c r="E6" s="7" t="s">
        <v>136</v>
      </c>
      <c r="F6" s="14" t="s">
        <v>137</v>
      </c>
      <c r="G6" s="7" t="s">
        <v>120</v>
      </c>
      <c r="H6" s="7" t="s">
        <v>121</v>
      </c>
      <c r="I6" s="7" t="s">
        <v>122</v>
      </c>
      <c r="J6" s="7"/>
      <c r="K6" s="7"/>
      <c r="L6" s="7"/>
      <c r="M6" s="7" t="s">
        <v>130</v>
      </c>
    </row>
    <row r="7">
      <c r="A7" s="19">
        <v>43473.0</v>
      </c>
      <c r="B7" s="7" t="s">
        <v>138</v>
      </c>
      <c r="C7" s="7" t="s">
        <v>139</v>
      </c>
      <c r="D7" s="7" t="s">
        <v>125</v>
      </c>
      <c r="E7" s="7" t="s">
        <v>140</v>
      </c>
      <c r="F7" s="14" t="s">
        <v>137</v>
      </c>
      <c r="G7" s="7" t="s">
        <v>120</v>
      </c>
      <c r="H7" s="7" t="s">
        <v>121</v>
      </c>
      <c r="I7" s="7" t="s">
        <v>121</v>
      </c>
      <c r="J7" s="7" t="s">
        <v>141</v>
      </c>
      <c r="K7" s="7"/>
      <c r="L7" s="7"/>
      <c r="M7" s="7" t="s">
        <v>142</v>
      </c>
    </row>
    <row r="8">
      <c r="A8" s="19">
        <v>43473.0</v>
      </c>
      <c r="B8" s="7" t="s">
        <v>143</v>
      </c>
      <c r="C8" s="7" t="s">
        <v>139</v>
      </c>
      <c r="D8" s="7" t="s">
        <v>125</v>
      </c>
      <c r="E8" s="7" t="s">
        <v>144</v>
      </c>
      <c r="F8" s="14" t="s">
        <v>145</v>
      </c>
      <c r="G8" s="7" t="s">
        <v>120</v>
      </c>
      <c r="H8" s="7" t="s">
        <v>121</v>
      </c>
      <c r="I8" s="7" t="s">
        <v>121</v>
      </c>
      <c r="J8" s="7" t="s">
        <v>141</v>
      </c>
      <c r="K8" s="7"/>
      <c r="L8" s="7" t="s">
        <v>121</v>
      </c>
      <c r="M8" s="7" t="s">
        <v>146</v>
      </c>
    </row>
    <row r="9">
      <c r="A9" s="19">
        <v>43474.0</v>
      </c>
      <c r="B9" s="7" t="s">
        <v>147</v>
      </c>
      <c r="C9" s="7" t="s">
        <v>148</v>
      </c>
      <c r="D9" s="7" t="s">
        <v>125</v>
      </c>
      <c r="E9" s="7" t="s">
        <v>149</v>
      </c>
      <c r="F9" s="14" t="s">
        <v>150</v>
      </c>
      <c r="G9" s="7" t="s">
        <v>120</v>
      </c>
      <c r="H9" s="7" t="s">
        <v>121</v>
      </c>
      <c r="I9" s="7" t="s">
        <v>121</v>
      </c>
      <c r="J9" s="7" t="s">
        <v>151</v>
      </c>
      <c r="K9" s="7"/>
      <c r="L9" s="7" t="s">
        <v>121</v>
      </c>
      <c r="M9" s="7" t="s">
        <v>130</v>
      </c>
    </row>
    <row r="10">
      <c r="A10" s="19">
        <v>43474.0</v>
      </c>
      <c r="B10" s="7" t="s">
        <v>152</v>
      </c>
      <c r="C10" s="7" t="s">
        <v>148</v>
      </c>
      <c r="D10" s="7" t="s">
        <v>125</v>
      </c>
      <c r="E10" s="7" t="s">
        <v>153</v>
      </c>
      <c r="F10" s="14" t="s">
        <v>154</v>
      </c>
      <c r="G10" s="7" t="s">
        <v>120</v>
      </c>
      <c r="H10" s="7" t="s">
        <v>121</v>
      </c>
      <c r="I10" s="7" t="s">
        <v>121</v>
      </c>
      <c r="J10" s="7" t="s">
        <v>155</v>
      </c>
      <c r="K10" s="7"/>
      <c r="L10" s="7" t="s">
        <v>121</v>
      </c>
      <c r="M10" s="7" t="s">
        <v>130</v>
      </c>
    </row>
    <row r="11">
      <c r="A11" s="19">
        <v>43474.0</v>
      </c>
      <c r="B11" s="7" t="s">
        <v>156</v>
      </c>
      <c r="C11" s="7" t="s">
        <v>148</v>
      </c>
      <c r="D11" s="7" t="s">
        <v>125</v>
      </c>
      <c r="E11" s="7" t="s">
        <v>157</v>
      </c>
      <c r="F11" s="14" t="s">
        <v>158</v>
      </c>
      <c r="G11" s="7" t="s">
        <v>120</v>
      </c>
      <c r="H11" s="7" t="s">
        <v>121</v>
      </c>
      <c r="I11" s="7" t="s">
        <v>121</v>
      </c>
      <c r="J11" s="7" t="s">
        <v>159</v>
      </c>
      <c r="K11" s="7"/>
      <c r="L11" s="7" t="s">
        <v>121</v>
      </c>
      <c r="M11" s="7" t="s">
        <v>146</v>
      </c>
    </row>
    <row r="12">
      <c r="A12" s="19">
        <v>43474.0</v>
      </c>
      <c r="B12" s="7" t="s">
        <v>160</v>
      </c>
      <c r="C12" s="7" t="s">
        <v>148</v>
      </c>
      <c r="D12" s="7" t="s">
        <v>125</v>
      </c>
      <c r="E12" s="7" t="s">
        <v>161</v>
      </c>
      <c r="F12" s="14" t="s">
        <v>162</v>
      </c>
      <c r="G12" s="7" t="s">
        <v>120</v>
      </c>
      <c r="H12" s="7" t="s">
        <v>121</v>
      </c>
      <c r="I12" s="7" t="s">
        <v>121</v>
      </c>
      <c r="J12" s="7" t="s">
        <v>141</v>
      </c>
      <c r="K12" s="7"/>
      <c r="L12" s="7" t="s">
        <v>121</v>
      </c>
      <c r="M12" s="7" t="s">
        <v>142</v>
      </c>
    </row>
    <row r="13">
      <c r="A13" s="19">
        <v>43474.0</v>
      </c>
      <c r="B13" s="7" t="s">
        <v>163</v>
      </c>
      <c r="C13" s="7" t="s">
        <v>148</v>
      </c>
      <c r="D13" s="7" t="s">
        <v>125</v>
      </c>
      <c r="E13" s="7" t="s">
        <v>164</v>
      </c>
      <c r="F13" s="14" t="s">
        <v>165</v>
      </c>
      <c r="G13" s="7" t="s">
        <v>120</v>
      </c>
      <c r="H13" s="7" t="s">
        <v>121</v>
      </c>
      <c r="I13" s="7" t="s">
        <v>121</v>
      </c>
      <c r="J13" s="7" t="s">
        <v>141</v>
      </c>
      <c r="K13" s="7"/>
      <c r="L13" s="7" t="s">
        <v>121</v>
      </c>
      <c r="M13" s="7" t="s">
        <v>166</v>
      </c>
    </row>
    <row r="14">
      <c r="A14" s="19">
        <v>43475.0</v>
      </c>
      <c r="B14" s="7" t="s">
        <v>167</v>
      </c>
      <c r="C14" s="7" t="s">
        <v>168</v>
      </c>
      <c r="D14" s="7" t="s">
        <v>125</v>
      </c>
      <c r="E14" s="7" t="s">
        <v>169</v>
      </c>
      <c r="F14" s="14" t="s">
        <v>170</v>
      </c>
      <c r="G14" s="7" t="s">
        <v>120</v>
      </c>
      <c r="H14" s="7" t="s">
        <v>121</v>
      </c>
      <c r="I14" s="7" t="s">
        <v>121</v>
      </c>
      <c r="J14" s="7" t="s">
        <v>171</v>
      </c>
      <c r="K14" s="7"/>
      <c r="L14" s="7" t="s">
        <v>121</v>
      </c>
      <c r="M14" s="7" t="s">
        <v>130</v>
      </c>
    </row>
    <row r="15">
      <c r="A15" s="19">
        <v>43475.0</v>
      </c>
      <c r="B15" s="7" t="s">
        <v>172</v>
      </c>
      <c r="C15" s="7" t="s">
        <v>173</v>
      </c>
      <c r="D15" s="7" t="s">
        <v>125</v>
      </c>
      <c r="E15" s="7" t="s">
        <v>174</v>
      </c>
      <c r="F15" s="14" t="s">
        <v>175</v>
      </c>
      <c r="G15" s="7" t="s">
        <v>120</v>
      </c>
      <c r="H15" s="7" t="s">
        <v>121</v>
      </c>
      <c r="I15" s="7" t="s">
        <v>121</v>
      </c>
      <c r="J15" s="7" t="s">
        <v>141</v>
      </c>
      <c r="K15" s="7" t="s">
        <v>176</v>
      </c>
      <c r="L15" s="7" t="s">
        <v>121</v>
      </c>
      <c r="M15" s="7" t="s">
        <v>177</v>
      </c>
    </row>
    <row r="16">
      <c r="A16" s="19">
        <v>43475.0</v>
      </c>
      <c r="B16" s="7" t="s">
        <v>178</v>
      </c>
      <c r="C16" s="7" t="s">
        <v>179</v>
      </c>
      <c r="D16" s="7" t="s">
        <v>125</v>
      </c>
      <c r="E16" s="7" t="s">
        <v>133</v>
      </c>
      <c r="F16" s="14" t="s">
        <v>158</v>
      </c>
      <c r="G16" s="7" t="s">
        <v>120</v>
      </c>
      <c r="H16" s="7" t="s">
        <v>121</v>
      </c>
      <c r="I16" s="7" t="s">
        <v>121</v>
      </c>
      <c r="J16" s="7" t="s">
        <v>180</v>
      </c>
      <c r="K16" s="7" t="s">
        <v>181</v>
      </c>
      <c r="L16" s="7" t="s">
        <v>121</v>
      </c>
      <c r="M16" s="7" t="s">
        <v>182</v>
      </c>
    </row>
    <row r="17">
      <c r="A17" s="19">
        <v>43476.0</v>
      </c>
      <c r="B17" s="7" t="s">
        <v>183</v>
      </c>
      <c r="C17" s="7" t="s">
        <v>132</v>
      </c>
      <c r="D17" s="7" t="s">
        <v>125</v>
      </c>
      <c r="E17" s="7" t="s">
        <v>184</v>
      </c>
      <c r="F17" s="14" t="s">
        <v>129</v>
      </c>
      <c r="G17" s="7" t="s">
        <v>120</v>
      </c>
      <c r="H17" s="7" t="s">
        <v>121</v>
      </c>
      <c r="I17" s="7" t="s">
        <v>121</v>
      </c>
      <c r="J17" s="7" t="s">
        <v>171</v>
      </c>
      <c r="K17" s="7"/>
      <c r="L17" s="7" t="s">
        <v>121</v>
      </c>
      <c r="M17" s="7" t="s">
        <v>146</v>
      </c>
    </row>
    <row r="18">
      <c r="A18" s="19">
        <v>43477.0</v>
      </c>
      <c r="B18" s="7" t="s">
        <v>185</v>
      </c>
      <c r="C18" s="7" t="s">
        <v>117</v>
      </c>
      <c r="D18" s="7" t="s">
        <v>125</v>
      </c>
      <c r="E18" s="7" t="s">
        <v>186</v>
      </c>
      <c r="F18" s="14" t="s">
        <v>119</v>
      </c>
      <c r="G18" s="7" t="s">
        <v>120</v>
      </c>
      <c r="H18" s="7" t="s">
        <v>121</v>
      </c>
      <c r="I18" s="7" t="s">
        <v>121</v>
      </c>
      <c r="J18" s="7" t="s">
        <v>141</v>
      </c>
      <c r="K18" s="7"/>
      <c r="L18" s="7" t="s">
        <v>121</v>
      </c>
      <c r="M18" s="7" t="s">
        <v>146</v>
      </c>
    </row>
    <row r="19">
      <c r="A19" s="19">
        <v>43477.0</v>
      </c>
      <c r="B19" s="7" t="s">
        <v>187</v>
      </c>
      <c r="C19" s="7" t="s">
        <v>117</v>
      </c>
      <c r="D19" s="7" t="s">
        <v>125</v>
      </c>
      <c r="E19" s="7" t="s">
        <v>188</v>
      </c>
      <c r="F19" s="14" t="s">
        <v>137</v>
      </c>
      <c r="G19" s="7" t="s">
        <v>120</v>
      </c>
      <c r="H19" s="7" t="s">
        <v>121</v>
      </c>
      <c r="I19" s="7" t="s">
        <v>121</v>
      </c>
      <c r="J19" s="7" t="s">
        <v>141</v>
      </c>
      <c r="K19" s="7" t="s">
        <v>189</v>
      </c>
      <c r="L19" s="7" t="s">
        <v>121</v>
      </c>
      <c r="M19" s="7" t="s">
        <v>130</v>
      </c>
    </row>
    <row r="20">
      <c r="A20" s="19">
        <v>43477.0</v>
      </c>
      <c r="B20" s="7" t="s">
        <v>190</v>
      </c>
      <c r="C20" s="7" t="s">
        <v>191</v>
      </c>
      <c r="D20" s="7" t="s">
        <v>125</v>
      </c>
      <c r="E20" s="7" t="s">
        <v>192</v>
      </c>
      <c r="F20" s="14" t="s">
        <v>137</v>
      </c>
      <c r="G20" s="7" t="s">
        <v>120</v>
      </c>
      <c r="H20" s="7" t="s">
        <v>121</v>
      </c>
      <c r="I20" s="7" t="s">
        <v>121</v>
      </c>
      <c r="J20" s="7" t="s">
        <v>141</v>
      </c>
      <c r="K20" s="7"/>
      <c r="L20" s="7"/>
      <c r="M20" s="7" t="s">
        <v>193</v>
      </c>
    </row>
    <row r="21">
      <c r="A21" s="19">
        <v>43477.0</v>
      </c>
      <c r="B21" s="7" t="s">
        <v>194</v>
      </c>
      <c r="C21" s="7" t="s">
        <v>191</v>
      </c>
      <c r="D21" s="7" t="s">
        <v>125</v>
      </c>
      <c r="E21" s="7" t="s">
        <v>192</v>
      </c>
      <c r="F21" s="14" t="s">
        <v>137</v>
      </c>
      <c r="G21" s="7" t="s">
        <v>120</v>
      </c>
      <c r="H21" s="7" t="s">
        <v>121</v>
      </c>
      <c r="I21" s="7" t="s">
        <v>121</v>
      </c>
      <c r="J21" s="7" t="s">
        <v>141</v>
      </c>
      <c r="K21" s="7"/>
      <c r="L21" s="7" t="s">
        <v>121</v>
      </c>
      <c r="M21" s="7" t="s">
        <v>193</v>
      </c>
    </row>
    <row r="22">
      <c r="A22" s="19">
        <v>43477.0</v>
      </c>
      <c r="B22" s="7" t="s">
        <v>195</v>
      </c>
      <c r="C22" s="7" t="s">
        <v>191</v>
      </c>
      <c r="D22" s="7" t="s">
        <v>125</v>
      </c>
      <c r="E22" s="7" t="s">
        <v>196</v>
      </c>
      <c r="F22" s="14" t="s">
        <v>175</v>
      </c>
      <c r="G22" s="7" t="s">
        <v>120</v>
      </c>
      <c r="H22" s="7" t="s">
        <v>121</v>
      </c>
      <c r="I22" s="7" t="s">
        <v>121</v>
      </c>
      <c r="J22" s="7" t="s">
        <v>197</v>
      </c>
      <c r="K22" s="7"/>
      <c r="L22" s="7" t="s">
        <v>121</v>
      </c>
      <c r="M22" s="7" t="s">
        <v>130</v>
      </c>
    </row>
    <row r="23">
      <c r="A23" s="19">
        <v>43478.0</v>
      </c>
      <c r="B23" s="7" t="s">
        <v>198</v>
      </c>
      <c r="C23" s="7" t="s">
        <v>13</v>
      </c>
      <c r="D23" s="7" t="s">
        <v>118</v>
      </c>
      <c r="E23" s="7" t="s">
        <v>199</v>
      </c>
      <c r="F23" s="14" t="s">
        <v>145</v>
      </c>
      <c r="G23" s="7" t="s">
        <v>120</v>
      </c>
      <c r="H23" s="7" t="s">
        <v>121</v>
      </c>
      <c r="I23" s="7" t="s">
        <v>121</v>
      </c>
      <c r="J23" s="7" t="s">
        <v>141</v>
      </c>
      <c r="K23" s="7"/>
      <c r="L23" s="7" t="s">
        <v>121</v>
      </c>
      <c r="M23" s="7" t="s">
        <v>130</v>
      </c>
    </row>
    <row r="24">
      <c r="A24" s="19">
        <v>43478.0</v>
      </c>
      <c r="B24" s="7" t="s">
        <v>200</v>
      </c>
      <c r="C24" s="7" t="s">
        <v>15</v>
      </c>
      <c r="D24" s="7" t="s">
        <v>125</v>
      </c>
      <c r="E24" s="7" t="s">
        <v>201</v>
      </c>
      <c r="F24" s="14" t="s">
        <v>170</v>
      </c>
      <c r="G24" s="7" t="s">
        <v>120</v>
      </c>
      <c r="H24" s="7" t="s">
        <v>121</v>
      </c>
      <c r="I24" s="7" t="s">
        <v>121</v>
      </c>
      <c r="J24" s="7" t="s">
        <v>202</v>
      </c>
      <c r="K24" s="7"/>
      <c r="L24" s="7" t="s">
        <v>121</v>
      </c>
      <c r="M24" s="7" t="s">
        <v>130</v>
      </c>
    </row>
    <row r="25">
      <c r="A25" s="19">
        <v>43478.0</v>
      </c>
      <c r="B25" s="7" t="s">
        <v>203</v>
      </c>
      <c r="C25" s="7" t="s">
        <v>15</v>
      </c>
      <c r="D25" s="7" t="s">
        <v>125</v>
      </c>
      <c r="E25" s="7" t="s">
        <v>204</v>
      </c>
      <c r="F25" s="14" t="s">
        <v>175</v>
      </c>
      <c r="G25" s="7" t="s">
        <v>120</v>
      </c>
      <c r="H25" s="7" t="s">
        <v>121</v>
      </c>
      <c r="I25" s="7" t="s">
        <v>121</v>
      </c>
      <c r="J25" s="7" t="s">
        <v>202</v>
      </c>
      <c r="K25" s="7"/>
      <c r="L25" s="7" t="s">
        <v>121</v>
      </c>
      <c r="M25" s="7" t="s">
        <v>146</v>
      </c>
    </row>
    <row r="26">
      <c r="A26" s="19">
        <v>43479.0</v>
      </c>
      <c r="B26" s="7" t="s">
        <v>205</v>
      </c>
      <c r="C26" s="7" t="s">
        <v>148</v>
      </c>
      <c r="D26" s="7" t="s">
        <v>118</v>
      </c>
      <c r="E26" s="7" t="s">
        <v>206</v>
      </c>
      <c r="F26" s="14" t="s">
        <v>207</v>
      </c>
      <c r="G26" s="7" t="s">
        <v>120</v>
      </c>
      <c r="H26" s="7" t="s">
        <v>121</v>
      </c>
      <c r="I26" s="7" t="s">
        <v>121</v>
      </c>
      <c r="J26" s="7" t="s">
        <v>141</v>
      </c>
      <c r="K26" s="7"/>
      <c r="L26" s="7" t="s">
        <v>121</v>
      </c>
      <c r="M26" s="7" t="s">
        <v>130</v>
      </c>
    </row>
    <row r="27">
      <c r="A27" s="19">
        <v>43480.0</v>
      </c>
      <c r="B27" s="7" t="s">
        <v>208</v>
      </c>
      <c r="C27" s="7" t="s">
        <v>23</v>
      </c>
      <c r="D27" s="7" t="s">
        <v>125</v>
      </c>
      <c r="E27" s="7" t="s">
        <v>209</v>
      </c>
      <c r="F27" s="14" t="s">
        <v>210</v>
      </c>
      <c r="G27" s="7" t="s">
        <v>120</v>
      </c>
      <c r="H27" s="7" t="s">
        <v>121</v>
      </c>
      <c r="I27" s="7" t="s">
        <v>121</v>
      </c>
      <c r="J27" s="7" t="s">
        <v>141</v>
      </c>
      <c r="K27" s="7" t="s">
        <v>181</v>
      </c>
      <c r="L27" s="7" t="s">
        <v>121</v>
      </c>
      <c r="M27" s="7" t="s">
        <v>146</v>
      </c>
    </row>
    <row r="28">
      <c r="A28" s="19">
        <v>43479.0</v>
      </c>
      <c r="B28" s="7" t="s">
        <v>211</v>
      </c>
      <c r="C28" s="7" t="s">
        <v>148</v>
      </c>
      <c r="D28" s="7" t="s">
        <v>125</v>
      </c>
      <c r="E28" s="7" t="s">
        <v>209</v>
      </c>
      <c r="F28" s="14" t="s">
        <v>207</v>
      </c>
      <c r="G28" s="7" t="s">
        <v>120</v>
      </c>
      <c r="H28" s="7" t="s">
        <v>121</v>
      </c>
      <c r="I28" s="7" t="s">
        <v>121</v>
      </c>
      <c r="J28" s="7" t="s">
        <v>141</v>
      </c>
      <c r="K28" s="7"/>
      <c r="L28" s="7" t="s">
        <v>121</v>
      </c>
      <c r="M28" s="7" t="s">
        <v>146</v>
      </c>
    </row>
    <row r="29">
      <c r="A29" s="19">
        <v>43478.0</v>
      </c>
      <c r="B29" s="7" t="s">
        <v>212</v>
      </c>
      <c r="C29" s="7" t="s">
        <v>213</v>
      </c>
      <c r="D29" s="7" t="s">
        <v>125</v>
      </c>
      <c r="E29" s="7" t="s">
        <v>128</v>
      </c>
      <c r="F29" s="14" t="s">
        <v>214</v>
      </c>
      <c r="G29" s="7" t="s">
        <v>120</v>
      </c>
      <c r="H29" s="7" t="s">
        <v>121</v>
      </c>
      <c r="I29" s="7" t="s">
        <v>121</v>
      </c>
      <c r="J29" s="7" t="s">
        <v>151</v>
      </c>
      <c r="K29" s="7"/>
      <c r="L29" s="7" t="s">
        <v>121</v>
      </c>
      <c r="M29" s="7" t="s">
        <v>130</v>
      </c>
    </row>
    <row r="30">
      <c r="A30" s="19">
        <v>43479.0</v>
      </c>
      <c r="B30" s="7" t="s">
        <v>215</v>
      </c>
      <c r="C30" s="7" t="s">
        <v>148</v>
      </c>
      <c r="D30" s="7" t="s">
        <v>125</v>
      </c>
      <c r="E30" s="7" t="s">
        <v>174</v>
      </c>
      <c r="F30" s="14" t="s">
        <v>207</v>
      </c>
      <c r="G30" s="7" t="s">
        <v>120</v>
      </c>
      <c r="H30" s="7" t="s">
        <v>121</v>
      </c>
      <c r="I30" s="7" t="s">
        <v>121</v>
      </c>
      <c r="J30" s="7" t="s">
        <v>141</v>
      </c>
      <c r="K30" s="7" t="s">
        <v>181</v>
      </c>
      <c r="L30" s="7" t="s">
        <v>121</v>
      </c>
      <c r="M30" s="7" t="s">
        <v>130</v>
      </c>
    </row>
    <row r="31">
      <c r="A31" s="19">
        <v>43478.0</v>
      </c>
      <c r="B31" s="7" t="s">
        <v>216</v>
      </c>
      <c r="C31" s="7" t="s">
        <v>15</v>
      </c>
      <c r="D31" s="7" t="s">
        <v>125</v>
      </c>
      <c r="E31" s="7" t="s">
        <v>188</v>
      </c>
      <c r="F31" s="14" t="s">
        <v>137</v>
      </c>
      <c r="G31" s="7" t="s">
        <v>120</v>
      </c>
      <c r="H31" s="7" t="s">
        <v>121</v>
      </c>
      <c r="I31" s="7" t="s">
        <v>121</v>
      </c>
      <c r="J31" s="7" t="s">
        <v>141</v>
      </c>
      <c r="K31" s="7"/>
      <c r="L31" s="7" t="s">
        <v>121</v>
      </c>
      <c r="M31" s="7" t="s">
        <v>146</v>
      </c>
    </row>
    <row r="32">
      <c r="A32" s="19">
        <v>43478.0</v>
      </c>
      <c r="B32" s="7" t="s">
        <v>217</v>
      </c>
      <c r="C32" s="7" t="s">
        <v>15</v>
      </c>
      <c r="D32" s="7" t="s">
        <v>125</v>
      </c>
      <c r="E32" s="7" t="s">
        <v>218</v>
      </c>
      <c r="F32" s="14" t="s">
        <v>137</v>
      </c>
      <c r="G32" s="7" t="s">
        <v>219</v>
      </c>
      <c r="H32" s="7" t="s">
        <v>121</v>
      </c>
      <c r="I32" s="7" t="s">
        <v>121</v>
      </c>
      <c r="J32" s="7" t="s">
        <v>141</v>
      </c>
      <c r="K32" s="7"/>
      <c r="L32" s="7"/>
      <c r="M32" s="7" t="s">
        <v>130</v>
      </c>
    </row>
    <row r="33">
      <c r="A33" s="19">
        <v>43481.0</v>
      </c>
      <c r="B33" s="7" t="s">
        <v>220</v>
      </c>
      <c r="C33" s="7" t="s">
        <v>221</v>
      </c>
      <c r="D33" s="7" t="s">
        <v>222</v>
      </c>
      <c r="E33" s="7" t="s">
        <v>223</v>
      </c>
      <c r="F33" s="14" t="s">
        <v>145</v>
      </c>
      <c r="G33" s="7" t="s">
        <v>120</v>
      </c>
      <c r="H33" s="7" t="s">
        <v>121</v>
      </c>
      <c r="I33" s="7" t="s">
        <v>122</v>
      </c>
      <c r="J33" s="7" t="s">
        <v>141</v>
      </c>
      <c r="K33" s="7"/>
      <c r="L33" s="7" t="s">
        <v>121</v>
      </c>
      <c r="M33" s="7" t="s">
        <v>130</v>
      </c>
    </row>
    <row r="34">
      <c r="A34" s="19">
        <v>43480.0</v>
      </c>
      <c r="B34" s="7" t="s">
        <v>224</v>
      </c>
      <c r="C34" s="7" t="s">
        <v>23</v>
      </c>
      <c r="D34" s="7" t="s">
        <v>125</v>
      </c>
      <c r="E34" s="7" t="s">
        <v>225</v>
      </c>
      <c r="F34" s="14" t="s">
        <v>207</v>
      </c>
      <c r="G34" s="7" t="s">
        <v>120</v>
      </c>
      <c r="H34" s="7" t="s">
        <v>121</v>
      </c>
      <c r="I34" s="7" t="s">
        <v>122</v>
      </c>
      <c r="J34" s="7" t="s">
        <v>141</v>
      </c>
      <c r="K34" s="7"/>
      <c r="L34" s="7" t="s">
        <v>121</v>
      </c>
      <c r="M34" s="7" t="s">
        <v>226</v>
      </c>
    </row>
    <row r="35">
      <c r="A35" s="19">
        <v>43482.0</v>
      </c>
      <c r="B35" s="7" t="s">
        <v>227</v>
      </c>
      <c r="C35" s="7" t="s">
        <v>221</v>
      </c>
      <c r="D35" s="7" t="s">
        <v>125</v>
      </c>
      <c r="E35" s="7" t="s">
        <v>228</v>
      </c>
      <c r="F35" s="14" t="s">
        <v>145</v>
      </c>
      <c r="G35" s="7" t="s">
        <v>219</v>
      </c>
      <c r="H35" s="7" t="s">
        <v>121</v>
      </c>
      <c r="I35" s="7" t="s">
        <v>122</v>
      </c>
      <c r="J35" s="7" t="s">
        <v>141</v>
      </c>
      <c r="K35" s="7"/>
      <c r="L35" s="7" t="s">
        <v>121</v>
      </c>
      <c r="M35" s="7" t="s">
        <v>226</v>
      </c>
    </row>
    <row r="36">
      <c r="A36" s="19">
        <v>43482.0</v>
      </c>
      <c r="B36" s="7" t="s">
        <v>229</v>
      </c>
      <c r="C36" s="7" t="s">
        <v>221</v>
      </c>
      <c r="D36" s="7" t="s">
        <v>125</v>
      </c>
      <c r="E36" s="7" t="s">
        <v>230</v>
      </c>
      <c r="F36" s="14" t="s">
        <v>145</v>
      </c>
      <c r="G36" s="7" t="s">
        <v>120</v>
      </c>
      <c r="H36" s="7" t="s">
        <v>121</v>
      </c>
      <c r="I36" s="7" t="s">
        <v>121</v>
      </c>
      <c r="J36" s="7" t="s">
        <v>141</v>
      </c>
      <c r="K36" s="7"/>
      <c r="L36" s="7" t="s">
        <v>121</v>
      </c>
      <c r="M36" s="7" t="s">
        <v>130</v>
      </c>
    </row>
    <row r="37">
      <c r="A37" s="19">
        <v>43483.0</v>
      </c>
      <c r="B37" s="7" t="s">
        <v>231</v>
      </c>
      <c r="C37" s="7" t="s">
        <v>179</v>
      </c>
      <c r="D37" s="7" t="s">
        <v>118</v>
      </c>
      <c r="E37" s="7" t="s">
        <v>232</v>
      </c>
      <c r="F37" s="14" t="s">
        <v>119</v>
      </c>
      <c r="G37" s="7" t="s">
        <v>120</v>
      </c>
      <c r="H37" s="7" t="s">
        <v>121</v>
      </c>
      <c r="I37" s="7" t="s">
        <v>121</v>
      </c>
      <c r="J37" s="7" t="s">
        <v>141</v>
      </c>
      <c r="K37" s="7"/>
      <c r="L37" s="7" t="s">
        <v>121</v>
      </c>
      <c r="M37" s="7" t="s">
        <v>146</v>
      </c>
    </row>
    <row r="38">
      <c r="A38" s="19">
        <v>43484.0</v>
      </c>
      <c r="B38" s="7" t="s">
        <v>233</v>
      </c>
      <c r="C38" s="7" t="s">
        <v>148</v>
      </c>
      <c r="D38" s="7" t="s">
        <v>125</v>
      </c>
      <c r="E38" s="7" t="s">
        <v>234</v>
      </c>
      <c r="F38" s="14" t="s">
        <v>158</v>
      </c>
      <c r="G38" s="7" t="s">
        <v>120</v>
      </c>
      <c r="H38" s="7" t="s">
        <v>121</v>
      </c>
      <c r="I38" s="7" t="s">
        <v>121</v>
      </c>
      <c r="J38" s="7" t="s">
        <v>159</v>
      </c>
      <c r="K38" s="7" t="s">
        <v>235</v>
      </c>
      <c r="L38" s="7" t="s">
        <v>121</v>
      </c>
      <c r="M38" s="7" t="s">
        <v>226</v>
      </c>
    </row>
    <row r="39">
      <c r="A39" s="19">
        <v>43484.0</v>
      </c>
      <c r="B39" s="7" t="s">
        <v>236</v>
      </c>
      <c r="C39" s="7" t="s">
        <v>124</v>
      </c>
      <c r="D39" s="7" t="s">
        <v>125</v>
      </c>
      <c r="E39" s="7" t="s">
        <v>237</v>
      </c>
      <c r="F39" s="14" t="s">
        <v>150</v>
      </c>
      <c r="G39" s="7" t="s">
        <v>120</v>
      </c>
      <c r="H39" s="7" t="s">
        <v>121</v>
      </c>
      <c r="I39" s="7" t="s">
        <v>121</v>
      </c>
      <c r="J39" s="7" t="s">
        <v>202</v>
      </c>
      <c r="K39" s="7"/>
      <c r="L39" s="7" t="s">
        <v>121</v>
      </c>
      <c r="M39" s="7" t="s">
        <v>146</v>
      </c>
    </row>
    <row r="40">
      <c r="A40" s="19">
        <v>43484.0</v>
      </c>
      <c r="B40" s="7" t="s">
        <v>238</v>
      </c>
      <c r="C40" s="7" t="s">
        <v>148</v>
      </c>
      <c r="D40" s="7" t="s">
        <v>125</v>
      </c>
      <c r="E40" s="7" t="s">
        <v>239</v>
      </c>
      <c r="F40" s="14" t="s">
        <v>126</v>
      </c>
      <c r="G40" s="7" t="s">
        <v>120</v>
      </c>
      <c r="H40" s="7" t="s">
        <v>121</v>
      </c>
      <c r="I40" s="7" t="s">
        <v>121</v>
      </c>
      <c r="J40" s="7" t="s">
        <v>240</v>
      </c>
      <c r="K40" s="7"/>
      <c r="L40" s="7" t="s">
        <v>121</v>
      </c>
      <c r="M40" s="7" t="s">
        <v>130</v>
      </c>
    </row>
    <row r="41">
      <c r="A41" s="19">
        <v>43485.0</v>
      </c>
      <c r="B41" s="7" t="s">
        <v>241</v>
      </c>
      <c r="C41" s="7" t="s">
        <v>32</v>
      </c>
      <c r="D41" s="7" t="s">
        <v>125</v>
      </c>
      <c r="E41" s="7" t="s">
        <v>242</v>
      </c>
      <c r="F41" s="14" t="s">
        <v>207</v>
      </c>
      <c r="G41" s="7" t="s">
        <v>120</v>
      </c>
      <c r="H41" s="7" t="s">
        <v>121</v>
      </c>
      <c r="I41" s="7" t="s">
        <v>121</v>
      </c>
      <c r="J41" s="7" t="s">
        <v>141</v>
      </c>
      <c r="K41" s="7"/>
      <c r="L41" s="7" t="s">
        <v>121</v>
      </c>
      <c r="M41" s="7" t="s">
        <v>130</v>
      </c>
    </row>
    <row r="42">
      <c r="A42" s="19">
        <v>43484.0</v>
      </c>
      <c r="B42" s="7" t="s">
        <v>243</v>
      </c>
      <c r="C42" s="7" t="s">
        <v>148</v>
      </c>
      <c r="D42" s="7" t="s">
        <v>125</v>
      </c>
      <c r="E42" s="7" t="s">
        <v>244</v>
      </c>
      <c r="F42" s="14" t="s">
        <v>154</v>
      </c>
      <c r="G42" s="7" t="s">
        <v>120</v>
      </c>
      <c r="H42" s="7" t="s">
        <v>121</v>
      </c>
      <c r="I42" s="7" t="s">
        <v>121</v>
      </c>
      <c r="J42" s="7" t="s">
        <v>240</v>
      </c>
      <c r="K42" s="7" t="s">
        <v>235</v>
      </c>
      <c r="L42" s="7" t="s">
        <v>121</v>
      </c>
      <c r="M42" s="7" t="s">
        <v>130</v>
      </c>
    </row>
    <row r="43">
      <c r="A43" s="19">
        <v>43485.0</v>
      </c>
      <c r="B43" s="7" t="s">
        <v>245</v>
      </c>
      <c r="C43" s="7" t="s">
        <v>19</v>
      </c>
      <c r="D43" s="7" t="s">
        <v>118</v>
      </c>
      <c r="E43" s="7" t="s">
        <v>246</v>
      </c>
      <c r="F43" s="14" t="s">
        <v>175</v>
      </c>
      <c r="G43" s="7" t="s">
        <v>120</v>
      </c>
      <c r="H43" s="7" t="s">
        <v>121</v>
      </c>
      <c r="I43" s="7" t="s">
        <v>121</v>
      </c>
      <c r="J43" s="7" t="s">
        <v>202</v>
      </c>
      <c r="K43" s="7"/>
      <c r="L43" s="7" t="s">
        <v>121</v>
      </c>
      <c r="M43" s="7" t="s">
        <v>130</v>
      </c>
    </row>
    <row r="44">
      <c r="A44" s="19">
        <v>43485.0</v>
      </c>
      <c r="B44" s="7" t="s">
        <v>247</v>
      </c>
      <c r="C44" s="7" t="s">
        <v>32</v>
      </c>
      <c r="D44" s="7" t="s">
        <v>125</v>
      </c>
      <c r="E44" s="7" t="s">
        <v>248</v>
      </c>
      <c r="F44" s="14" t="s">
        <v>129</v>
      </c>
      <c r="G44" s="7" t="s">
        <v>120</v>
      </c>
      <c r="H44" s="7" t="s">
        <v>121</v>
      </c>
      <c r="I44" s="7" t="s">
        <v>122</v>
      </c>
      <c r="J44" s="7" t="s">
        <v>202</v>
      </c>
      <c r="K44" s="7"/>
      <c r="L44" s="7" t="s">
        <v>121</v>
      </c>
      <c r="M44" s="7" t="s">
        <v>226</v>
      </c>
    </row>
    <row r="45">
      <c r="A45" s="19">
        <v>43485.0</v>
      </c>
      <c r="B45" s="7" t="s">
        <v>249</v>
      </c>
      <c r="C45" s="7" t="s">
        <v>32</v>
      </c>
      <c r="D45" s="7" t="s">
        <v>125</v>
      </c>
      <c r="E45" s="7" t="s">
        <v>250</v>
      </c>
      <c r="F45" s="14" t="s">
        <v>175</v>
      </c>
      <c r="G45" s="7" t="s">
        <v>120</v>
      </c>
      <c r="H45" s="7" t="s">
        <v>121</v>
      </c>
      <c r="I45" s="7" t="s">
        <v>122</v>
      </c>
      <c r="J45" s="7" t="s">
        <v>202</v>
      </c>
      <c r="K45" s="7"/>
      <c r="L45" s="7" t="s">
        <v>121</v>
      </c>
      <c r="M45" s="7" t="s">
        <v>146</v>
      </c>
    </row>
    <row r="46">
      <c r="A46" s="19">
        <v>43485.0</v>
      </c>
      <c r="B46" s="7" t="s">
        <v>251</v>
      </c>
      <c r="C46" s="7" t="s">
        <v>32</v>
      </c>
      <c r="D46" s="7" t="s">
        <v>125</v>
      </c>
      <c r="E46" s="7" t="s">
        <v>252</v>
      </c>
      <c r="F46" s="14" t="s">
        <v>129</v>
      </c>
      <c r="G46" s="7" t="s">
        <v>120</v>
      </c>
      <c r="H46" s="7" t="s">
        <v>121</v>
      </c>
      <c r="I46" s="7" t="s">
        <v>121</v>
      </c>
      <c r="J46" s="7" t="s">
        <v>202</v>
      </c>
      <c r="K46" s="7"/>
      <c r="L46" s="7" t="s">
        <v>121</v>
      </c>
      <c r="M46" s="7" t="s">
        <v>130</v>
      </c>
    </row>
    <row r="47">
      <c r="A47" s="19">
        <v>43486.0</v>
      </c>
      <c r="B47" s="7" t="s">
        <v>253</v>
      </c>
      <c r="C47" s="7" t="s">
        <v>254</v>
      </c>
      <c r="D47" s="7" t="s">
        <v>125</v>
      </c>
      <c r="E47" s="7" t="s">
        <v>255</v>
      </c>
      <c r="F47" s="14" t="s">
        <v>145</v>
      </c>
      <c r="G47" s="7" t="s">
        <v>120</v>
      </c>
      <c r="H47" s="7" t="s">
        <v>121</v>
      </c>
      <c r="I47" s="7" t="s">
        <v>121</v>
      </c>
      <c r="J47" s="7" t="s">
        <v>141</v>
      </c>
      <c r="K47" s="7"/>
      <c r="L47" s="7" t="s">
        <v>121</v>
      </c>
      <c r="M47" s="7" t="s">
        <v>130</v>
      </c>
    </row>
    <row r="48">
      <c r="A48" s="19">
        <v>43486.0</v>
      </c>
      <c r="B48" s="7" t="s">
        <v>256</v>
      </c>
      <c r="C48" s="7" t="s">
        <v>23</v>
      </c>
      <c r="D48" s="7" t="s">
        <v>125</v>
      </c>
      <c r="E48" s="7" t="s">
        <v>257</v>
      </c>
      <c r="F48" s="14" t="s">
        <v>170</v>
      </c>
      <c r="G48" s="7" t="s">
        <v>120</v>
      </c>
      <c r="H48" s="7" t="s">
        <v>121</v>
      </c>
      <c r="I48" s="7" t="s">
        <v>121</v>
      </c>
      <c r="J48" s="7" t="s">
        <v>240</v>
      </c>
      <c r="K48" s="7"/>
      <c r="L48" s="7" t="s">
        <v>121</v>
      </c>
      <c r="M48" s="7" t="s">
        <v>146</v>
      </c>
    </row>
    <row r="49">
      <c r="A49" s="19">
        <v>43486.0</v>
      </c>
      <c r="B49" s="7" t="s">
        <v>258</v>
      </c>
      <c r="C49" s="7" t="s">
        <v>23</v>
      </c>
      <c r="D49" s="7" t="s">
        <v>125</v>
      </c>
      <c r="E49" s="7" t="s">
        <v>140</v>
      </c>
      <c r="F49" s="14" t="s">
        <v>129</v>
      </c>
      <c r="G49" s="7" t="s">
        <v>120</v>
      </c>
      <c r="H49" s="7" t="s">
        <v>121</v>
      </c>
      <c r="I49" s="7" t="s">
        <v>121</v>
      </c>
      <c r="J49" s="7" t="s">
        <v>151</v>
      </c>
      <c r="K49" s="7"/>
      <c r="L49" s="7" t="s">
        <v>121</v>
      </c>
      <c r="M49" s="7" t="s">
        <v>226</v>
      </c>
    </row>
    <row r="50">
      <c r="A50" s="19">
        <v>43486.0</v>
      </c>
      <c r="B50" s="7" t="s">
        <v>259</v>
      </c>
      <c r="C50" s="7" t="s">
        <v>23</v>
      </c>
      <c r="D50" s="7" t="s">
        <v>125</v>
      </c>
      <c r="E50" s="7" t="s">
        <v>260</v>
      </c>
      <c r="F50" s="14" t="s">
        <v>150</v>
      </c>
      <c r="G50" s="7" t="s">
        <v>120</v>
      </c>
      <c r="H50" s="7" t="s">
        <v>121</v>
      </c>
      <c r="I50" s="7" t="s">
        <v>121</v>
      </c>
      <c r="J50" s="7" t="s">
        <v>151</v>
      </c>
      <c r="K50" s="7"/>
      <c r="L50" s="7" t="s">
        <v>121</v>
      </c>
      <c r="M50" s="7" t="s">
        <v>130</v>
      </c>
    </row>
    <row r="51">
      <c r="A51" s="19">
        <v>43486.0</v>
      </c>
      <c r="B51" s="7" t="s">
        <v>261</v>
      </c>
      <c r="C51" s="7" t="s">
        <v>23</v>
      </c>
      <c r="D51" s="7" t="s">
        <v>125</v>
      </c>
      <c r="E51" s="7" t="s">
        <v>204</v>
      </c>
      <c r="F51" s="14" t="s">
        <v>150</v>
      </c>
      <c r="G51" s="7" t="s">
        <v>120</v>
      </c>
      <c r="H51" s="7" t="s">
        <v>121</v>
      </c>
      <c r="I51" s="7" t="s">
        <v>121</v>
      </c>
      <c r="J51" s="7" t="s">
        <v>202</v>
      </c>
      <c r="K51" s="7"/>
      <c r="L51" s="7" t="s">
        <v>121</v>
      </c>
      <c r="M51" s="7" t="s">
        <v>226</v>
      </c>
    </row>
    <row r="52">
      <c r="A52" s="19">
        <v>43487.0</v>
      </c>
      <c r="B52" s="7" t="s">
        <v>262</v>
      </c>
      <c r="C52" s="7" t="s">
        <v>29</v>
      </c>
      <c r="D52" s="7" t="s">
        <v>125</v>
      </c>
      <c r="E52" s="7" t="s">
        <v>263</v>
      </c>
      <c r="F52" s="14" t="s">
        <v>175</v>
      </c>
      <c r="G52" s="7" t="s">
        <v>120</v>
      </c>
      <c r="H52" s="7" t="s">
        <v>121</v>
      </c>
      <c r="I52" s="7" t="s">
        <v>122</v>
      </c>
      <c r="J52" s="7" t="s">
        <v>264</v>
      </c>
      <c r="K52" s="7"/>
      <c r="L52" s="7" t="s">
        <v>121</v>
      </c>
      <c r="M52" s="7" t="s">
        <v>130</v>
      </c>
    </row>
    <row r="53">
      <c r="A53" s="19">
        <v>43487.0</v>
      </c>
      <c r="B53" s="7" t="s">
        <v>265</v>
      </c>
      <c r="C53" s="7" t="s">
        <v>29</v>
      </c>
      <c r="D53" s="7" t="s">
        <v>125</v>
      </c>
      <c r="E53" s="7" t="s">
        <v>188</v>
      </c>
      <c r="F53" s="14" t="s">
        <v>129</v>
      </c>
      <c r="G53" s="7" t="s">
        <v>120</v>
      </c>
      <c r="H53" s="7" t="s">
        <v>121</v>
      </c>
      <c r="I53" s="7" t="s">
        <v>122</v>
      </c>
      <c r="J53" s="7" t="s">
        <v>264</v>
      </c>
      <c r="K53" s="7"/>
      <c r="L53" s="7" t="s">
        <v>121</v>
      </c>
      <c r="M53" s="7" t="s">
        <v>130</v>
      </c>
    </row>
    <row r="54">
      <c r="A54" s="19">
        <v>43487.0</v>
      </c>
      <c r="B54" s="7" t="s">
        <v>266</v>
      </c>
      <c r="C54" s="7" t="s">
        <v>29</v>
      </c>
      <c r="D54" s="7" t="s">
        <v>125</v>
      </c>
      <c r="E54" s="7" t="s">
        <v>140</v>
      </c>
      <c r="F54" s="14" t="s">
        <v>145</v>
      </c>
      <c r="G54" s="7" t="s">
        <v>219</v>
      </c>
      <c r="H54" s="7" t="s">
        <v>121</v>
      </c>
      <c r="I54" s="7" t="s">
        <v>122</v>
      </c>
      <c r="J54" s="7" t="s">
        <v>151</v>
      </c>
      <c r="K54" s="7"/>
      <c r="L54" s="7" t="s">
        <v>121</v>
      </c>
      <c r="M54" s="7" t="s">
        <v>130</v>
      </c>
    </row>
    <row r="55">
      <c r="A55" s="19">
        <v>43488.0</v>
      </c>
      <c r="B55" s="7" t="s">
        <v>267</v>
      </c>
      <c r="C55" s="7" t="s">
        <v>117</v>
      </c>
      <c r="D55" s="7" t="s">
        <v>222</v>
      </c>
      <c r="E55" s="7" t="s">
        <v>268</v>
      </c>
      <c r="F55" s="14" t="s">
        <v>119</v>
      </c>
      <c r="G55" s="7" t="s">
        <v>120</v>
      </c>
      <c r="H55" s="7" t="s">
        <v>121</v>
      </c>
      <c r="I55" s="7" t="s">
        <v>122</v>
      </c>
      <c r="J55" s="7" t="s">
        <v>141</v>
      </c>
      <c r="K55" s="7"/>
      <c r="L55" s="7" t="s">
        <v>121</v>
      </c>
      <c r="M55" s="7" t="s">
        <v>130</v>
      </c>
    </row>
    <row r="56">
      <c r="A56" s="19">
        <v>43488.0</v>
      </c>
      <c r="B56" s="7" t="s">
        <v>269</v>
      </c>
      <c r="C56" s="7" t="s">
        <v>13</v>
      </c>
      <c r="D56" s="7" t="s">
        <v>125</v>
      </c>
      <c r="E56" s="7" t="s">
        <v>270</v>
      </c>
      <c r="F56" s="14" t="s">
        <v>119</v>
      </c>
      <c r="G56" s="7" t="s">
        <v>120</v>
      </c>
      <c r="H56" s="7" t="s">
        <v>121</v>
      </c>
      <c r="I56" s="7" t="s">
        <v>122</v>
      </c>
      <c r="J56" s="7" t="s">
        <v>141</v>
      </c>
      <c r="K56" s="7"/>
      <c r="L56" s="7" t="s">
        <v>121</v>
      </c>
      <c r="M56" s="7" t="s">
        <v>146</v>
      </c>
    </row>
    <row r="57">
      <c r="A57" s="19">
        <v>43489.0</v>
      </c>
      <c r="B57" s="7" t="s">
        <v>271</v>
      </c>
      <c r="C57" s="7" t="s">
        <v>132</v>
      </c>
      <c r="D57" s="7" t="s">
        <v>222</v>
      </c>
      <c r="E57" s="7" t="s">
        <v>272</v>
      </c>
      <c r="F57" s="14" t="s">
        <v>134</v>
      </c>
      <c r="G57" s="7" t="s">
        <v>120</v>
      </c>
      <c r="H57" s="7" t="s">
        <v>121</v>
      </c>
      <c r="I57" s="7" t="s">
        <v>121</v>
      </c>
      <c r="J57" s="7" t="s">
        <v>141</v>
      </c>
      <c r="K57" s="7"/>
      <c r="L57" s="7" t="s">
        <v>121</v>
      </c>
      <c r="M57" s="7" t="s">
        <v>146</v>
      </c>
    </row>
    <row r="58">
      <c r="A58" s="19">
        <v>43489.0</v>
      </c>
      <c r="B58" s="7" t="s">
        <v>273</v>
      </c>
      <c r="C58" s="7" t="s">
        <v>132</v>
      </c>
      <c r="D58" s="7" t="s">
        <v>222</v>
      </c>
      <c r="E58" s="7" t="s">
        <v>274</v>
      </c>
      <c r="F58" s="14" t="s">
        <v>170</v>
      </c>
      <c r="G58" s="7" t="s">
        <v>120</v>
      </c>
      <c r="H58" s="7" t="s">
        <v>121</v>
      </c>
      <c r="I58" s="7" t="s">
        <v>122</v>
      </c>
      <c r="J58" s="7" t="s">
        <v>275</v>
      </c>
      <c r="K58" s="7"/>
      <c r="L58" s="7" t="s">
        <v>121</v>
      </c>
      <c r="M58" s="7" t="s">
        <v>130</v>
      </c>
    </row>
    <row r="59">
      <c r="A59" s="19">
        <v>43489.0</v>
      </c>
      <c r="B59" s="7" t="s">
        <v>276</v>
      </c>
      <c r="C59" s="7" t="s">
        <v>132</v>
      </c>
      <c r="D59" s="7" t="s">
        <v>125</v>
      </c>
      <c r="E59" s="7" t="s">
        <v>277</v>
      </c>
      <c r="F59" s="14" t="s">
        <v>134</v>
      </c>
      <c r="G59" s="7" t="s">
        <v>120</v>
      </c>
      <c r="H59" s="7" t="s">
        <v>121</v>
      </c>
      <c r="I59" s="7" t="s">
        <v>121</v>
      </c>
      <c r="J59" s="7" t="s">
        <v>240</v>
      </c>
      <c r="K59" s="7"/>
      <c r="L59" s="7" t="s">
        <v>121</v>
      </c>
      <c r="M59" s="7" t="s">
        <v>130</v>
      </c>
    </row>
    <row r="60">
      <c r="A60" s="19">
        <v>43489.0</v>
      </c>
      <c r="B60" s="7" t="s">
        <v>278</v>
      </c>
      <c r="C60" s="7" t="s">
        <v>132</v>
      </c>
      <c r="D60" s="7" t="s">
        <v>125</v>
      </c>
      <c r="E60" s="7" t="s">
        <v>279</v>
      </c>
      <c r="F60" s="14" t="s">
        <v>134</v>
      </c>
      <c r="G60" s="7" t="s">
        <v>120</v>
      </c>
      <c r="H60" s="7" t="s">
        <v>121</v>
      </c>
      <c r="I60" s="7" t="s">
        <v>122</v>
      </c>
      <c r="J60" s="7" t="s">
        <v>141</v>
      </c>
      <c r="K60" s="7"/>
      <c r="L60" s="7" t="s">
        <v>121</v>
      </c>
      <c r="M60" s="7" t="s">
        <v>146</v>
      </c>
    </row>
    <row r="61">
      <c r="A61" s="19">
        <v>43489.0</v>
      </c>
      <c r="B61" s="7" t="s">
        <v>280</v>
      </c>
      <c r="C61" s="7" t="s">
        <v>281</v>
      </c>
      <c r="D61" s="7" t="s">
        <v>125</v>
      </c>
      <c r="E61" s="7" t="s">
        <v>282</v>
      </c>
      <c r="F61" s="14" t="s">
        <v>175</v>
      </c>
      <c r="G61" s="7" t="s">
        <v>120</v>
      </c>
      <c r="H61" s="7" t="s">
        <v>121</v>
      </c>
      <c r="I61" s="7" t="s">
        <v>121</v>
      </c>
      <c r="J61" s="7" t="s">
        <v>240</v>
      </c>
      <c r="K61" s="7"/>
      <c r="L61" s="7" t="s">
        <v>121</v>
      </c>
      <c r="M61" s="7" t="s">
        <v>130</v>
      </c>
    </row>
    <row r="62">
      <c r="A62" s="19">
        <v>43490.0</v>
      </c>
      <c r="B62" s="7" t="s">
        <v>283</v>
      </c>
      <c r="C62" s="7" t="s">
        <v>27</v>
      </c>
      <c r="D62" s="7" t="s">
        <v>118</v>
      </c>
      <c r="E62" s="7" t="s">
        <v>284</v>
      </c>
      <c r="F62" s="14" t="s">
        <v>119</v>
      </c>
      <c r="G62" s="7" t="s">
        <v>120</v>
      </c>
      <c r="H62" s="7" t="s">
        <v>121</v>
      </c>
      <c r="I62" s="7" t="s">
        <v>122</v>
      </c>
      <c r="J62" s="7" t="s">
        <v>141</v>
      </c>
      <c r="K62" s="7"/>
      <c r="L62" s="7" t="s">
        <v>121</v>
      </c>
      <c r="M62" s="7" t="s">
        <v>130</v>
      </c>
    </row>
    <row r="63">
      <c r="A63" s="19">
        <v>43490.0</v>
      </c>
      <c r="B63" s="7" t="s">
        <v>285</v>
      </c>
      <c r="C63" s="7" t="s">
        <v>27</v>
      </c>
      <c r="D63" s="7" t="s">
        <v>118</v>
      </c>
      <c r="E63" s="7" t="s">
        <v>286</v>
      </c>
      <c r="F63" s="14" t="s">
        <v>210</v>
      </c>
      <c r="G63" s="7" t="s">
        <v>120</v>
      </c>
      <c r="H63" s="7" t="s">
        <v>121</v>
      </c>
      <c r="I63" s="7" t="s">
        <v>121</v>
      </c>
      <c r="J63" s="7" t="s">
        <v>141</v>
      </c>
      <c r="K63" s="7" t="s">
        <v>181</v>
      </c>
      <c r="L63" s="7" t="s">
        <v>121</v>
      </c>
      <c r="M63" s="7" t="s">
        <v>146</v>
      </c>
    </row>
    <row r="64">
      <c r="A64" s="19">
        <v>43494.0</v>
      </c>
      <c r="B64" s="7" t="s">
        <v>287</v>
      </c>
      <c r="C64" s="7" t="s">
        <v>288</v>
      </c>
      <c r="D64" s="7" t="s">
        <v>118</v>
      </c>
      <c r="E64" s="7" t="s">
        <v>289</v>
      </c>
      <c r="F64" s="14" t="s">
        <v>145</v>
      </c>
      <c r="G64" s="7" t="s">
        <v>120</v>
      </c>
      <c r="H64" s="7" t="s">
        <v>121</v>
      </c>
      <c r="I64" s="7" t="s">
        <v>122</v>
      </c>
      <c r="J64" s="7" t="s">
        <v>141</v>
      </c>
      <c r="K64" s="7"/>
      <c r="L64" s="7" t="s">
        <v>121</v>
      </c>
      <c r="M64" s="7" t="s">
        <v>130</v>
      </c>
    </row>
    <row r="65">
      <c r="A65" s="19">
        <v>43495.0</v>
      </c>
      <c r="B65" s="7" t="s">
        <v>290</v>
      </c>
      <c r="C65" s="7" t="s">
        <v>179</v>
      </c>
      <c r="D65" s="7" t="s">
        <v>125</v>
      </c>
      <c r="E65" s="7" t="s">
        <v>291</v>
      </c>
      <c r="F65" s="14" t="s">
        <v>119</v>
      </c>
      <c r="G65" s="7" t="s">
        <v>120</v>
      </c>
      <c r="H65" s="7" t="s">
        <v>121</v>
      </c>
      <c r="I65" s="7" t="s">
        <v>121</v>
      </c>
      <c r="J65" s="7" t="s">
        <v>141</v>
      </c>
      <c r="K65" s="7"/>
      <c r="L65" s="7" t="s">
        <v>121</v>
      </c>
      <c r="M65" s="7" t="s">
        <v>130</v>
      </c>
    </row>
    <row r="66">
      <c r="A66" s="19">
        <v>43495.0</v>
      </c>
      <c r="B66" s="7" t="s">
        <v>292</v>
      </c>
      <c r="C66" s="7" t="s">
        <v>179</v>
      </c>
      <c r="D66" s="7" t="s">
        <v>125</v>
      </c>
      <c r="E66" s="7" t="s">
        <v>293</v>
      </c>
      <c r="F66" s="14" t="s">
        <v>119</v>
      </c>
      <c r="G66" s="7" t="s">
        <v>120</v>
      </c>
      <c r="H66" s="7" t="s">
        <v>121</v>
      </c>
      <c r="I66" s="7" t="s">
        <v>121</v>
      </c>
      <c r="J66" s="7" t="s">
        <v>141</v>
      </c>
      <c r="K66" s="7"/>
      <c r="L66" s="7" t="s">
        <v>121</v>
      </c>
      <c r="M66" s="7" t="s">
        <v>146</v>
      </c>
    </row>
    <row r="67">
      <c r="A67" s="19">
        <v>43495.0</v>
      </c>
      <c r="B67" s="7" t="s">
        <v>294</v>
      </c>
      <c r="C67" s="7" t="s">
        <v>139</v>
      </c>
      <c r="D67" s="7" t="s">
        <v>125</v>
      </c>
      <c r="E67" s="7" t="s">
        <v>295</v>
      </c>
      <c r="F67" s="14" t="s">
        <v>145</v>
      </c>
      <c r="G67" s="7" t="s">
        <v>120</v>
      </c>
      <c r="H67" s="7" t="s">
        <v>121</v>
      </c>
      <c r="I67" s="7" t="s">
        <v>121</v>
      </c>
      <c r="J67" s="7" t="s">
        <v>141</v>
      </c>
      <c r="K67" s="7"/>
      <c r="L67" s="7" t="s">
        <v>121</v>
      </c>
      <c r="M67" s="7" t="s">
        <v>130</v>
      </c>
    </row>
    <row r="68">
      <c r="A68" s="19">
        <v>43498.0</v>
      </c>
      <c r="B68" s="7" t="s">
        <v>296</v>
      </c>
      <c r="C68" s="7" t="s">
        <v>124</v>
      </c>
      <c r="D68" s="7" t="s">
        <v>118</v>
      </c>
      <c r="E68" s="7" t="s">
        <v>297</v>
      </c>
      <c r="F68" s="14" t="s">
        <v>210</v>
      </c>
      <c r="G68" s="7" t="s">
        <v>120</v>
      </c>
      <c r="H68" s="7" t="s">
        <v>121</v>
      </c>
      <c r="I68" s="7" t="s">
        <v>121</v>
      </c>
      <c r="J68" s="7" t="s">
        <v>298</v>
      </c>
      <c r="K68" s="7" t="s">
        <v>299</v>
      </c>
      <c r="L68" s="7" t="s">
        <v>121</v>
      </c>
      <c r="M68" s="7" t="s">
        <v>146</v>
      </c>
    </row>
    <row r="69">
      <c r="A69" s="19">
        <v>43497.0</v>
      </c>
      <c r="B69" s="7" t="s">
        <v>300</v>
      </c>
      <c r="C69" s="7" t="s">
        <v>191</v>
      </c>
      <c r="D69" s="7" t="s">
        <v>125</v>
      </c>
      <c r="E69" s="7" t="s">
        <v>204</v>
      </c>
      <c r="F69" s="14" t="s">
        <v>137</v>
      </c>
      <c r="G69" s="7" t="s">
        <v>120</v>
      </c>
      <c r="H69" s="7" t="s">
        <v>121</v>
      </c>
      <c r="I69" s="7" t="s">
        <v>121</v>
      </c>
      <c r="J69" s="7" t="s">
        <v>141</v>
      </c>
      <c r="K69" s="7"/>
      <c r="L69" s="7"/>
      <c r="M69" s="7" t="s">
        <v>146</v>
      </c>
    </row>
    <row r="70">
      <c r="A70" s="19">
        <v>43497.0</v>
      </c>
      <c r="B70" s="7" t="s">
        <v>301</v>
      </c>
      <c r="C70" s="7" t="s">
        <v>191</v>
      </c>
      <c r="D70" s="7" t="s">
        <v>125</v>
      </c>
      <c r="E70" s="7" t="s">
        <v>252</v>
      </c>
      <c r="F70" s="14" t="s">
        <v>145</v>
      </c>
      <c r="G70" s="7" t="s">
        <v>120</v>
      </c>
      <c r="H70" s="7" t="s">
        <v>121</v>
      </c>
      <c r="I70" s="7" t="s">
        <v>121</v>
      </c>
      <c r="J70" s="7" t="s">
        <v>141</v>
      </c>
      <c r="K70" s="7"/>
      <c r="L70" s="7" t="s">
        <v>121</v>
      </c>
      <c r="M70" s="7" t="s">
        <v>130</v>
      </c>
    </row>
    <row r="71">
      <c r="A71" s="19">
        <v>43497.0</v>
      </c>
      <c r="B71" s="7" t="s">
        <v>302</v>
      </c>
      <c r="C71" s="7" t="s">
        <v>191</v>
      </c>
      <c r="D71" s="7" t="s">
        <v>125</v>
      </c>
      <c r="E71" s="7" t="s">
        <v>201</v>
      </c>
      <c r="F71" s="14" t="s">
        <v>119</v>
      </c>
      <c r="G71" s="7" t="s">
        <v>120</v>
      </c>
      <c r="H71" s="7" t="s">
        <v>121</v>
      </c>
      <c r="I71" s="7" t="s">
        <v>121</v>
      </c>
      <c r="J71" s="7" t="s">
        <v>141</v>
      </c>
      <c r="K71" s="7"/>
      <c r="L71" s="7" t="s">
        <v>121</v>
      </c>
      <c r="M71" s="7" t="s">
        <v>130</v>
      </c>
    </row>
    <row r="72">
      <c r="A72" s="19">
        <v>43498.0</v>
      </c>
      <c r="B72" s="7" t="s">
        <v>303</v>
      </c>
      <c r="C72" s="7" t="s">
        <v>124</v>
      </c>
      <c r="D72" s="7" t="s">
        <v>118</v>
      </c>
      <c r="E72" s="7" t="s">
        <v>304</v>
      </c>
      <c r="F72" s="14" t="s">
        <v>305</v>
      </c>
      <c r="G72" s="7" t="s">
        <v>120</v>
      </c>
      <c r="H72" s="7" t="s">
        <v>121</v>
      </c>
      <c r="I72" s="7" t="s">
        <v>121</v>
      </c>
      <c r="J72" s="7" t="s">
        <v>306</v>
      </c>
      <c r="K72" s="7" t="s">
        <v>307</v>
      </c>
      <c r="L72" s="7" t="s">
        <v>121</v>
      </c>
      <c r="M72" s="7" t="s">
        <v>146</v>
      </c>
    </row>
    <row r="73">
      <c r="A73" s="19">
        <v>43498.0</v>
      </c>
      <c r="B73" s="7" t="s">
        <v>308</v>
      </c>
      <c r="C73" s="7" t="s">
        <v>124</v>
      </c>
      <c r="D73" s="7" t="s">
        <v>118</v>
      </c>
      <c r="E73" s="7" t="s">
        <v>309</v>
      </c>
      <c r="F73" s="14" t="s">
        <v>305</v>
      </c>
      <c r="G73" s="7" t="s">
        <v>120</v>
      </c>
      <c r="H73" s="7" t="s">
        <v>121</v>
      </c>
      <c r="I73" s="7" t="s">
        <v>121</v>
      </c>
      <c r="J73" s="7" t="s">
        <v>306</v>
      </c>
      <c r="K73" s="7" t="s">
        <v>299</v>
      </c>
      <c r="L73" s="7" t="s">
        <v>121</v>
      </c>
      <c r="M73" s="7" t="s">
        <v>130</v>
      </c>
    </row>
    <row r="74">
      <c r="A74" s="19">
        <v>43499.0</v>
      </c>
      <c r="B74" s="7" t="s">
        <v>310</v>
      </c>
      <c r="C74" s="7" t="s">
        <v>311</v>
      </c>
      <c r="D74" s="7" t="s">
        <v>125</v>
      </c>
      <c r="E74" s="7" t="s">
        <v>250</v>
      </c>
      <c r="F74" s="14" t="s">
        <v>119</v>
      </c>
      <c r="G74" s="7" t="s">
        <v>120</v>
      </c>
      <c r="H74" s="7" t="s">
        <v>121</v>
      </c>
      <c r="I74" s="7" t="s">
        <v>121</v>
      </c>
      <c r="J74" s="7" t="s">
        <v>141</v>
      </c>
      <c r="K74" s="7"/>
      <c r="L74" s="7" t="s">
        <v>121</v>
      </c>
      <c r="M74" s="7" t="s">
        <v>130</v>
      </c>
    </row>
    <row r="75">
      <c r="A75" s="19">
        <v>43499.0</v>
      </c>
      <c r="B75" s="7" t="s">
        <v>312</v>
      </c>
      <c r="C75" s="7" t="s">
        <v>311</v>
      </c>
      <c r="D75" s="7" t="s">
        <v>125</v>
      </c>
      <c r="E75" s="7" t="s">
        <v>313</v>
      </c>
      <c r="F75" s="14" t="s">
        <v>175</v>
      </c>
      <c r="G75" s="7" t="s">
        <v>120</v>
      </c>
      <c r="H75" s="7" t="s">
        <v>121</v>
      </c>
      <c r="I75" s="7" t="s">
        <v>121</v>
      </c>
      <c r="J75" s="7" t="s">
        <v>314</v>
      </c>
      <c r="K75" s="7"/>
      <c r="L75" s="7" t="s">
        <v>121</v>
      </c>
      <c r="M75" s="7" t="s">
        <v>142</v>
      </c>
    </row>
    <row r="76">
      <c r="A76" s="19">
        <v>43522.0</v>
      </c>
      <c r="B76" s="7" t="s">
        <v>315</v>
      </c>
      <c r="C76" s="7" t="s">
        <v>316</v>
      </c>
      <c r="D76" s="7" t="s">
        <v>125</v>
      </c>
      <c r="E76" s="7" t="s">
        <v>317</v>
      </c>
      <c r="F76" s="14" t="s">
        <v>318</v>
      </c>
      <c r="G76" s="7" t="s">
        <v>120</v>
      </c>
      <c r="H76" s="7" t="s">
        <v>121</v>
      </c>
      <c r="I76" s="7" t="s">
        <v>121</v>
      </c>
      <c r="J76" s="7" t="s">
        <v>319</v>
      </c>
      <c r="K76" s="7" t="s">
        <v>181</v>
      </c>
      <c r="L76" s="7" t="s">
        <v>121</v>
      </c>
      <c r="M76" s="7" t="s">
        <v>130</v>
      </c>
    </row>
    <row r="77">
      <c r="A77" s="19">
        <v>43523.0</v>
      </c>
      <c r="B77" s="7" t="s">
        <v>320</v>
      </c>
      <c r="C77" s="7" t="s">
        <v>168</v>
      </c>
      <c r="D77" s="7" t="s">
        <v>125</v>
      </c>
      <c r="E77" s="7" t="s">
        <v>250</v>
      </c>
      <c r="F77" s="14" t="s">
        <v>170</v>
      </c>
      <c r="G77" s="7" t="s">
        <v>120</v>
      </c>
      <c r="H77" s="7" t="s">
        <v>121</v>
      </c>
      <c r="I77" s="7" t="s">
        <v>122</v>
      </c>
      <c r="J77" s="7" t="s">
        <v>321</v>
      </c>
      <c r="K77" s="7" t="s">
        <v>235</v>
      </c>
      <c r="L77" s="7" t="s">
        <v>121</v>
      </c>
      <c r="M77" s="7" t="s">
        <v>322</v>
      </c>
    </row>
    <row r="78">
      <c r="A78" s="19">
        <v>43523.0</v>
      </c>
      <c r="B78" s="7" t="s">
        <v>323</v>
      </c>
      <c r="C78" s="7" t="s">
        <v>168</v>
      </c>
      <c r="D78" s="7" t="s">
        <v>125</v>
      </c>
      <c r="E78" s="7" t="s">
        <v>250</v>
      </c>
      <c r="F78" s="14" t="s">
        <v>170</v>
      </c>
      <c r="G78" s="7" t="s">
        <v>120</v>
      </c>
      <c r="H78" s="7" t="s">
        <v>121</v>
      </c>
      <c r="I78" s="7" t="s">
        <v>122</v>
      </c>
      <c r="J78" s="7" t="s">
        <v>321</v>
      </c>
      <c r="K78" s="7" t="s">
        <v>235</v>
      </c>
      <c r="L78" s="7" t="s">
        <v>121</v>
      </c>
      <c r="M78" s="7" t="s">
        <v>322</v>
      </c>
    </row>
    <row r="79">
      <c r="A79" s="19">
        <v>43523.0</v>
      </c>
      <c r="B79" s="7" t="s">
        <v>324</v>
      </c>
      <c r="C79" s="7" t="s">
        <v>179</v>
      </c>
      <c r="D79" s="7" t="s">
        <v>125</v>
      </c>
      <c r="E79" s="7" t="s">
        <v>174</v>
      </c>
      <c r="F79" s="14" t="s">
        <v>137</v>
      </c>
      <c r="G79" s="7" t="s">
        <v>120</v>
      </c>
      <c r="H79" s="7" t="s">
        <v>121</v>
      </c>
      <c r="I79" s="7" t="s">
        <v>122</v>
      </c>
      <c r="J79" s="7" t="s">
        <v>141</v>
      </c>
      <c r="K79" s="7"/>
      <c r="L79" s="7" t="s">
        <v>121</v>
      </c>
      <c r="M79" s="7" t="s">
        <v>146</v>
      </c>
    </row>
    <row r="80">
      <c r="A80" s="19">
        <v>43523.0</v>
      </c>
      <c r="B80" s="7" t="s">
        <v>325</v>
      </c>
      <c r="C80" s="7" t="s">
        <v>179</v>
      </c>
      <c r="D80" s="7" t="s">
        <v>125</v>
      </c>
      <c r="E80" s="7" t="s">
        <v>326</v>
      </c>
      <c r="F80" s="14" t="s">
        <v>134</v>
      </c>
      <c r="G80" s="7" t="s">
        <v>120</v>
      </c>
      <c r="H80" s="7" t="s">
        <v>121</v>
      </c>
      <c r="I80" s="7" t="s">
        <v>122</v>
      </c>
      <c r="J80" s="7" t="s">
        <v>327</v>
      </c>
      <c r="K80" s="7"/>
      <c r="L80" s="7" t="s">
        <v>121</v>
      </c>
      <c r="M80" s="7" t="s">
        <v>322</v>
      </c>
    </row>
    <row r="81">
      <c r="A81" s="19">
        <v>43524.0</v>
      </c>
      <c r="B81" s="7" t="s">
        <v>328</v>
      </c>
      <c r="C81" s="7" t="s">
        <v>13</v>
      </c>
      <c r="D81" s="7" t="s">
        <v>125</v>
      </c>
      <c r="E81" s="7" t="s">
        <v>329</v>
      </c>
      <c r="F81" s="14" t="s">
        <v>145</v>
      </c>
      <c r="G81" s="7" t="s">
        <v>120</v>
      </c>
      <c r="H81" s="7" t="s">
        <v>121</v>
      </c>
      <c r="I81" s="7" t="s">
        <v>121</v>
      </c>
      <c r="J81" s="7" t="s">
        <v>141</v>
      </c>
      <c r="K81" s="7" t="s">
        <v>330</v>
      </c>
      <c r="L81" s="7" t="s">
        <v>121</v>
      </c>
      <c r="M81" s="7" t="s">
        <v>146</v>
      </c>
    </row>
    <row r="82">
      <c r="A82" s="19">
        <v>43547.0</v>
      </c>
      <c r="B82" s="7" t="s">
        <v>331</v>
      </c>
      <c r="C82" s="7" t="s">
        <v>29</v>
      </c>
      <c r="D82" s="7" t="s">
        <v>118</v>
      </c>
      <c r="E82" s="7" t="s">
        <v>332</v>
      </c>
      <c r="F82" s="14" t="s">
        <v>150</v>
      </c>
      <c r="G82" s="7" t="s">
        <v>219</v>
      </c>
      <c r="H82" s="7" t="s">
        <v>121</v>
      </c>
      <c r="I82" s="7" t="s">
        <v>122</v>
      </c>
      <c r="J82" s="7"/>
      <c r="K82" s="7" t="s">
        <v>333</v>
      </c>
      <c r="L82" s="7" t="s">
        <v>121</v>
      </c>
      <c r="M82" s="7" t="s">
        <v>130</v>
      </c>
    </row>
    <row r="83">
      <c r="A83" s="19">
        <v>43547.0</v>
      </c>
      <c r="B83" s="7" t="s">
        <v>334</v>
      </c>
      <c r="C83" s="7" t="s">
        <v>29</v>
      </c>
      <c r="D83" s="7" t="s">
        <v>118</v>
      </c>
      <c r="E83" s="7" t="s">
        <v>335</v>
      </c>
      <c r="F83" s="14" t="s">
        <v>207</v>
      </c>
      <c r="G83" s="7" t="s">
        <v>219</v>
      </c>
      <c r="H83" s="7" t="s">
        <v>121</v>
      </c>
      <c r="I83" s="7" t="s">
        <v>122</v>
      </c>
      <c r="J83" s="7" t="s">
        <v>141</v>
      </c>
      <c r="K83" s="7"/>
      <c r="L83" s="7" t="s">
        <v>121</v>
      </c>
      <c r="M83" s="7" t="s">
        <v>336</v>
      </c>
    </row>
    <row r="84">
      <c r="A84" s="19">
        <v>43546.0</v>
      </c>
      <c r="B84" s="7" t="s">
        <v>337</v>
      </c>
      <c r="C84" s="7" t="s">
        <v>15</v>
      </c>
      <c r="D84" s="7" t="s">
        <v>125</v>
      </c>
      <c r="E84" s="7" t="s">
        <v>338</v>
      </c>
      <c r="F84" s="14" t="s">
        <v>129</v>
      </c>
      <c r="G84" s="7" t="s">
        <v>120</v>
      </c>
      <c r="H84" s="7" t="s">
        <v>121</v>
      </c>
      <c r="I84" s="7" t="s">
        <v>122</v>
      </c>
      <c r="J84" s="7" t="s">
        <v>151</v>
      </c>
      <c r="K84" s="7"/>
      <c r="L84" s="7" t="s">
        <v>121</v>
      </c>
      <c r="M84" s="7" t="s">
        <v>146</v>
      </c>
    </row>
    <row r="85">
      <c r="A85" s="19">
        <v>43547.0</v>
      </c>
      <c r="B85" s="7" t="s">
        <v>339</v>
      </c>
      <c r="C85" s="7" t="s">
        <v>29</v>
      </c>
      <c r="D85" s="7" t="s">
        <v>118</v>
      </c>
      <c r="E85" s="7" t="s">
        <v>340</v>
      </c>
      <c r="F85" s="14" t="s">
        <v>207</v>
      </c>
      <c r="G85" s="7" t="s">
        <v>219</v>
      </c>
      <c r="H85" s="7" t="s">
        <v>121</v>
      </c>
      <c r="I85" s="7" t="s">
        <v>122</v>
      </c>
      <c r="J85" s="7" t="s">
        <v>141</v>
      </c>
      <c r="K85" s="7"/>
      <c r="L85" s="7" t="s">
        <v>121</v>
      </c>
      <c r="M85" s="7" t="s">
        <v>336</v>
      </c>
    </row>
    <row r="86">
      <c r="A86" s="19">
        <v>43547.0</v>
      </c>
      <c r="B86" s="7" t="s">
        <v>341</v>
      </c>
      <c r="C86" s="7" t="s">
        <v>29</v>
      </c>
      <c r="D86" s="7" t="s">
        <v>125</v>
      </c>
      <c r="E86" s="7" t="s">
        <v>342</v>
      </c>
      <c r="F86" s="14" t="s">
        <v>343</v>
      </c>
      <c r="G86" s="7" t="s">
        <v>120</v>
      </c>
      <c r="H86" s="7" t="s">
        <v>121</v>
      </c>
      <c r="I86" s="7" t="s">
        <v>121</v>
      </c>
      <c r="J86" s="7" t="s">
        <v>141</v>
      </c>
      <c r="K86" s="7"/>
      <c r="L86" s="7" t="s">
        <v>121</v>
      </c>
      <c r="M86" s="7" t="s">
        <v>146</v>
      </c>
    </row>
    <row r="87">
      <c r="A87" s="19">
        <v>43547.0</v>
      </c>
      <c r="B87" s="7" t="s">
        <v>344</v>
      </c>
      <c r="C87" s="7" t="s">
        <v>29</v>
      </c>
      <c r="D87" s="7" t="s">
        <v>125</v>
      </c>
      <c r="E87" s="7" t="s">
        <v>248</v>
      </c>
      <c r="F87" s="14" t="s">
        <v>150</v>
      </c>
      <c r="G87" s="7" t="s">
        <v>120</v>
      </c>
      <c r="H87" s="7" t="s">
        <v>121</v>
      </c>
      <c r="I87" s="7" t="s">
        <v>122</v>
      </c>
      <c r="J87" s="7" t="s">
        <v>151</v>
      </c>
      <c r="K87" s="7"/>
      <c r="L87" s="7" t="s">
        <v>121</v>
      </c>
      <c r="M87" s="7" t="s">
        <v>146</v>
      </c>
    </row>
    <row r="88">
      <c r="A88" s="19">
        <v>43547.0</v>
      </c>
      <c r="B88" s="7" t="s">
        <v>345</v>
      </c>
      <c r="C88" s="7" t="s">
        <v>32</v>
      </c>
      <c r="D88" s="7" t="s">
        <v>125</v>
      </c>
      <c r="E88" s="7" t="s">
        <v>346</v>
      </c>
      <c r="F88" s="14" t="s">
        <v>129</v>
      </c>
      <c r="G88" s="7" t="s">
        <v>120</v>
      </c>
      <c r="H88" s="7" t="s">
        <v>121</v>
      </c>
      <c r="I88" s="7" t="s">
        <v>122</v>
      </c>
      <c r="J88" s="7" t="s">
        <v>264</v>
      </c>
      <c r="K88" s="7"/>
      <c r="L88" s="7" t="s">
        <v>121</v>
      </c>
      <c r="M88" s="7" t="s">
        <v>146</v>
      </c>
    </row>
    <row r="89">
      <c r="A89" s="19">
        <v>43548.0</v>
      </c>
      <c r="B89" s="7" t="s">
        <v>347</v>
      </c>
      <c r="C89" s="7" t="s">
        <v>19</v>
      </c>
      <c r="D89" s="7" t="s">
        <v>118</v>
      </c>
      <c r="E89" s="7" t="s">
        <v>348</v>
      </c>
      <c r="F89" s="14" t="s">
        <v>349</v>
      </c>
      <c r="G89" s="7" t="s">
        <v>219</v>
      </c>
      <c r="H89" s="7" t="s">
        <v>121</v>
      </c>
      <c r="I89" s="7" t="s">
        <v>121</v>
      </c>
      <c r="J89" s="7" t="s">
        <v>141</v>
      </c>
      <c r="K89" s="7"/>
      <c r="L89" s="7" t="s">
        <v>121</v>
      </c>
      <c r="M89" s="7" t="s">
        <v>336</v>
      </c>
    </row>
    <row r="90">
      <c r="A90" s="19">
        <v>43738.0</v>
      </c>
      <c r="B90" s="7" t="s">
        <v>350</v>
      </c>
      <c r="C90" s="7" t="s">
        <v>168</v>
      </c>
      <c r="D90" s="7" t="s">
        <v>118</v>
      </c>
      <c r="E90" s="7" t="s">
        <v>351</v>
      </c>
      <c r="F90" s="14" t="s">
        <v>210</v>
      </c>
      <c r="G90" s="7" t="s">
        <v>120</v>
      </c>
      <c r="H90" s="7" t="s">
        <v>121</v>
      </c>
      <c r="I90" s="7" t="s">
        <v>121</v>
      </c>
      <c r="J90" s="7" t="s">
        <v>141</v>
      </c>
      <c r="K90" s="7" t="s">
        <v>299</v>
      </c>
      <c r="L90" s="7" t="s">
        <v>121</v>
      </c>
      <c r="M90" s="7" t="s">
        <v>352</v>
      </c>
    </row>
    <row r="91">
      <c r="A91" s="19">
        <v>43739.0</v>
      </c>
      <c r="B91" s="7" t="s">
        <v>353</v>
      </c>
      <c r="C91" s="7" t="s">
        <v>15</v>
      </c>
      <c r="D91" s="7" t="s">
        <v>118</v>
      </c>
      <c r="E91" s="7" t="s">
        <v>354</v>
      </c>
      <c r="F91" s="14" t="s">
        <v>134</v>
      </c>
      <c r="G91" s="7" t="s">
        <v>120</v>
      </c>
      <c r="H91" s="7" t="s">
        <v>121</v>
      </c>
      <c r="I91" s="7" t="s">
        <v>121</v>
      </c>
      <c r="J91" s="7" t="s">
        <v>141</v>
      </c>
      <c r="K91" s="7"/>
      <c r="L91" s="7" t="s">
        <v>121</v>
      </c>
      <c r="M91" s="7" t="s">
        <v>355</v>
      </c>
    </row>
    <row r="92">
      <c r="A92" s="19">
        <v>43738.0</v>
      </c>
      <c r="B92" s="7" t="s">
        <v>356</v>
      </c>
      <c r="C92" s="7" t="s">
        <v>179</v>
      </c>
      <c r="D92" s="7" t="s">
        <v>125</v>
      </c>
      <c r="E92" s="7" t="s">
        <v>357</v>
      </c>
      <c r="F92" s="14" t="s">
        <v>119</v>
      </c>
      <c r="G92" s="7" t="s">
        <v>120</v>
      </c>
      <c r="H92" s="7" t="s">
        <v>121</v>
      </c>
      <c r="I92" s="7" t="s">
        <v>121</v>
      </c>
      <c r="J92" s="7" t="s">
        <v>358</v>
      </c>
      <c r="K92" s="7"/>
      <c r="L92" s="7" t="s">
        <v>121</v>
      </c>
      <c r="M92" s="7" t="s">
        <v>355</v>
      </c>
    </row>
    <row r="93">
      <c r="A93" s="19">
        <v>43738.0</v>
      </c>
      <c r="B93" s="7" t="s">
        <v>359</v>
      </c>
      <c r="C93" s="7" t="s">
        <v>179</v>
      </c>
      <c r="D93" s="7" t="s">
        <v>125</v>
      </c>
      <c r="E93" s="7" t="s">
        <v>188</v>
      </c>
      <c r="F93" s="14" t="s">
        <v>360</v>
      </c>
      <c r="G93" s="7" t="s">
        <v>219</v>
      </c>
      <c r="H93" s="7" t="s">
        <v>121</v>
      </c>
      <c r="I93" s="7" t="s">
        <v>121</v>
      </c>
      <c r="J93" s="7" t="s">
        <v>141</v>
      </c>
      <c r="K93" s="7"/>
      <c r="L93" s="7" t="s">
        <v>121</v>
      </c>
      <c r="M93" s="7" t="s">
        <v>146</v>
      </c>
    </row>
    <row r="94">
      <c r="A94" s="19">
        <v>43739.0</v>
      </c>
      <c r="B94" s="7" t="s">
        <v>361</v>
      </c>
      <c r="C94" s="7" t="s">
        <v>19</v>
      </c>
      <c r="D94" s="7" t="s">
        <v>125</v>
      </c>
      <c r="E94" s="7" t="s">
        <v>362</v>
      </c>
      <c r="F94" s="14" t="s">
        <v>129</v>
      </c>
      <c r="G94" s="7" t="s">
        <v>120</v>
      </c>
      <c r="H94" s="7" t="s">
        <v>121</v>
      </c>
      <c r="I94" s="7" t="s">
        <v>121</v>
      </c>
      <c r="J94" s="7" t="s">
        <v>151</v>
      </c>
      <c r="K94" s="7" t="s">
        <v>181</v>
      </c>
      <c r="L94" s="7" t="s">
        <v>121</v>
      </c>
      <c r="M94" s="7" t="s">
        <v>352</v>
      </c>
    </row>
    <row r="95">
      <c r="A95" s="19">
        <v>43739.0</v>
      </c>
      <c r="B95" s="7" t="s">
        <v>363</v>
      </c>
      <c r="C95" s="7" t="s">
        <v>15</v>
      </c>
      <c r="D95" s="7" t="s">
        <v>125</v>
      </c>
      <c r="E95" s="7" t="s">
        <v>364</v>
      </c>
      <c r="F95" s="14" t="s">
        <v>175</v>
      </c>
      <c r="G95" s="7" t="s">
        <v>120</v>
      </c>
      <c r="H95" s="7" t="s">
        <v>121</v>
      </c>
      <c r="I95" s="7" t="s">
        <v>121</v>
      </c>
      <c r="J95" s="7" t="s">
        <v>365</v>
      </c>
      <c r="K95" s="7"/>
      <c r="L95" s="7" t="s">
        <v>121</v>
      </c>
      <c r="M95" s="7" t="s">
        <v>146</v>
      </c>
    </row>
    <row r="96">
      <c r="A96" s="19">
        <v>43739.0</v>
      </c>
      <c r="B96" s="7" t="s">
        <v>366</v>
      </c>
      <c r="C96" s="7" t="s">
        <v>15</v>
      </c>
      <c r="D96" s="7" t="s">
        <v>125</v>
      </c>
      <c r="E96" s="7" t="s">
        <v>367</v>
      </c>
      <c r="F96" s="14" t="s">
        <v>129</v>
      </c>
      <c r="G96" s="7" t="s">
        <v>120</v>
      </c>
      <c r="H96" s="7" t="s">
        <v>121</v>
      </c>
      <c r="I96" s="7" t="s">
        <v>121</v>
      </c>
      <c r="J96" s="7" t="s">
        <v>151</v>
      </c>
      <c r="K96" s="7" t="s">
        <v>181</v>
      </c>
      <c r="L96" s="7" t="s">
        <v>121</v>
      </c>
      <c r="M96" s="7" t="s">
        <v>146</v>
      </c>
    </row>
    <row r="97">
      <c r="A97" s="19">
        <v>43741.0</v>
      </c>
      <c r="B97" s="7" t="s">
        <v>368</v>
      </c>
      <c r="C97" s="7" t="s">
        <v>124</v>
      </c>
      <c r="D97" s="7" t="s">
        <v>118</v>
      </c>
      <c r="E97" s="7" t="s">
        <v>369</v>
      </c>
      <c r="F97" s="14" t="s">
        <v>145</v>
      </c>
      <c r="G97" s="7" t="s">
        <v>120</v>
      </c>
      <c r="H97" s="7" t="s">
        <v>121</v>
      </c>
      <c r="I97" s="7" t="s">
        <v>121</v>
      </c>
      <c r="J97" s="7" t="s">
        <v>370</v>
      </c>
      <c r="K97" s="7"/>
      <c r="L97" s="7" t="s">
        <v>121</v>
      </c>
      <c r="M97" s="7" t="s">
        <v>355</v>
      </c>
    </row>
    <row r="98">
      <c r="A98" s="19">
        <v>43741.0</v>
      </c>
      <c r="B98" s="7" t="s">
        <v>371</v>
      </c>
      <c r="C98" s="7" t="s">
        <v>124</v>
      </c>
      <c r="D98" s="7" t="s">
        <v>118</v>
      </c>
      <c r="E98" s="7" t="s">
        <v>372</v>
      </c>
      <c r="F98" s="14" t="s">
        <v>129</v>
      </c>
      <c r="G98" s="7" t="s">
        <v>120</v>
      </c>
      <c r="H98" s="7" t="s">
        <v>121</v>
      </c>
      <c r="I98" s="7" t="s">
        <v>121</v>
      </c>
      <c r="J98" s="7" t="s">
        <v>151</v>
      </c>
      <c r="K98" s="7"/>
      <c r="L98" s="7" t="s">
        <v>121</v>
      </c>
      <c r="M98" s="7" t="s">
        <v>355</v>
      </c>
    </row>
    <row r="99">
      <c r="A99" s="19">
        <v>43741.0</v>
      </c>
      <c r="B99" s="7" t="s">
        <v>373</v>
      </c>
      <c r="C99" s="7" t="s">
        <v>124</v>
      </c>
      <c r="D99" s="7" t="s">
        <v>118</v>
      </c>
      <c r="E99" s="7" t="s">
        <v>374</v>
      </c>
      <c r="F99" s="14" t="s">
        <v>170</v>
      </c>
      <c r="G99" s="7" t="s">
        <v>120</v>
      </c>
      <c r="H99" s="7" t="s">
        <v>121</v>
      </c>
      <c r="I99" s="7" t="s">
        <v>121</v>
      </c>
      <c r="J99" s="7" t="s">
        <v>151</v>
      </c>
      <c r="K99" s="7" t="s">
        <v>181</v>
      </c>
      <c r="L99" s="7" t="s">
        <v>121</v>
      </c>
      <c r="M99" s="7" t="s">
        <v>355</v>
      </c>
    </row>
    <row r="100">
      <c r="A100" s="19">
        <v>43741.0</v>
      </c>
      <c r="B100" s="7" t="s">
        <v>375</v>
      </c>
      <c r="C100" s="7" t="s">
        <v>124</v>
      </c>
      <c r="D100" s="7" t="s">
        <v>118</v>
      </c>
      <c r="E100" s="7" t="s">
        <v>376</v>
      </c>
      <c r="F100" s="14" t="s">
        <v>145</v>
      </c>
      <c r="G100" s="7" t="s">
        <v>120</v>
      </c>
      <c r="H100" s="7" t="s">
        <v>121</v>
      </c>
      <c r="I100" s="7" t="s">
        <v>121</v>
      </c>
      <c r="J100" s="7" t="s">
        <v>141</v>
      </c>
      <c r="K100" s="7"/>
      <c r="L100" s="7" t="s">
        <v>121</v>
      </c>
      <c r="M100" s="7" t="s">
        <v>355</v>
      </c>
    </row>
    <row r="101">
      <c r="A101" s="19">
        <v>43741.0</v>
      </c>
      <c r="B101" s="7" t="s">
        <v>377</v>
      </c>
      <c r="C101" s="7" t="s">
        <v>378</v>
      </c>
      <c r="D101" s="7" t="s">
        <v>125</v>
      </c>
      <c r="E101" s="7" t="s">
        <v>379</v>
      </c>
      <c r="F101" s="14" t="s">
        <v>360</v>
      </c>
      <c r="G101" s="7" t="s">
        <v>120</v>
      </c>
      <c r="H101" s="7" t="s">
        <v>121</v>
      </c>
      <c r="I101" s="7" t="s">
        <v>121</v>
      </c>
      <c r="J101" s="7" t="s">
        <v>380</v>
      </c>
      <c r="K101" s="7"/>
      <c r="L101" s="7" t="s">
        <v>121</v>
      </c>
      <c r="M101" s="7" t="s">
        <v>355</v>
      </c>
    </row>
    <row r="102">
      <c r="A102" s="20">
        <v>43764.0</v>
      </c>
      <c r="B102" s="7" t="s">
        <v>381</v>
      </c>
      <c r="C102" s="7" t="s">
        <v>382</v>
      </c>
      <c r="D102" s="7" t="s">
        <v>118</v>
      </c>
      <c r="E102" s="7" t="s">
        <v>383</v>
      </c>
      <c r="F102" s="14" t="s">
        <v>170</v>
      </c>
      <c r="G102" s="7" t="s">
        <v>120</v>
      </c>
      <c r="H102" s="7" t="s">
        <v>121</v>
      </c>
      <c r="I102" s="7" t="s">
        <v>122</v>
      </c>
      <c r="J102" s="7" t="s">
        <v>384</v>
      </c>
      <c r="K102" s="7" t="s">
        <v>385</v>
      </c>
      <c r="L102" s="7" t="s">
        <v>121</v>
      </c>
      <c r="M102" s="7" t="s">
        <v>355</v>
      </c>
    </row>
    <row r="103">
      <c r="A103" s="20">
        <v>43763.0</v>
      </c>
      <c r="B103" s="7" t="s">
        <v>386</v>
      </c>
      <c r="C103" s="7" t="s">
        <v>148</v>
      </c>
      <c r="D103" s="7" t="s">
        <v>125</v>
      </c>
      <c r="E103" s="7" t="s">
        <v>387</v>
      </c>
      <c r="F103" s="14" t="s">
        <v>388</v>
      </c>
      <c r="G103" s="7" t="s">
        <v>120</v>
      </c>
      <c r="H103" s="7" t="s">
        <v>121</v>
      </c>
      <c r="I103" s="7" t="s">
        <v>122</v>
      </c>
      <c r="J103" s="7" t="s">
        <v>264</v>
      </c>
      <c r="K103" s="7"/>
      <c r="L103" s="7" t="s">
        <v>121</v>
      </c>
      <c r="M103" s="7" t="s">
        <v>146</v>
      </c>
    </row>
    <row r="104">
      <c r="A104" s="20">
        <v>43763.0</v>
      </c>
      <c r="B104" s="7" t="s">
        <v>389</v>
      </c>
      <c r="C104" s="7" t="s">
        <v>124</v>
      </c>
      <c r="D104" s="7" t="s">
        <v>125</v>
      </c>
      <c r="E104" s="7" t="s">
        <v>390</v>
      </c>
      <c r="F104" s="14" t="s">
        <v>126</v>
      </c>
      <c r="G104" s="7" t="s">
        <v>120</v>
      </c>
      <c r="H104" s="7" t="s">
        <v>121</v>
      </c>
      <c r="I104" s="7" t="s">
        <v>122</v>
      </c>
      <c r="J104" s="7" t="s">
        <v>264</v>
      </c>
      <c r="K104" s="7"/>
      <c r="L104" s="7" t="s">
        <v>121</v>
      </c>
      <c r="M104" s="7" t="s">
        <v>391</v>
      </c>
    </row>
    <row r="105">
      <c r="A105" s="20">
        <v>43763.0</v>
      </c>
      <c r="B105" s="7" t="s">
        <v>392</v>
      </c>
      <c r="C105" s="7" t="s">
        <v>124</v>
      </c>
      <c r="D105" s="7" t="s">
        <v>125</v>
      </c>
      <c r="E105" s="7" t="s">
        <v>230</v>
      </c>
      <c r="F105" s="14" t="s">
        <v>126</v>
      </c>
      <c r="G105" s="7" t="s">
        <v>120</v>
      </c>
      <c r="H105" s="7" t="s">
        <v>121</v>
      </c>
      <c r="I105" s="7" t="s">
        <v>121</v>
      </c>
      <c r="J105" s="7" t="s">
        <v>393</v>
      </c>
      <c r="K105" s="7"/>
      <c r="L105" s="7" t="s">
        <v>121</v>
      </c>
      <c r="M105" s="7" t="s">
        <v>391</v>
      </c>
    </row>
    <row r="106">
      <c r="A106" s="20">
        <v>43763.0</v>
      </c>
      <c r="B106" s="7" t="s">
        <v>394</v>
      </c>
      <c r="C106" s="7" t="s">
        <v>378</v>
      </c>
      <c r="D106" s="7" t="s">
        <v>125</v>
      </c>
      <c r="E106" s="7" t="s">
        <v>248</v>
      </c>
      <c r="F106" s="14" t="s">
        <v>388</v>
      </c>
      <c r="G106" s="7" t="s">
        <v>120</v>
      </c>
      <c r="H106" s="7" t="s">
        <v>121</v>
      </c>
      <c r="I106" s="7" t="s">
        <v>121</v>
      </c>
      <c r="J106" s="7" t="s">
        <v>240</v>
      </c>
      <c r="K106" s="7"/>
      <c r="L106" s="7" t="s">
        <v>121</v>
      </c>
      <c r="M106" s="7" t="s">
        <v>130</v>
      </c>
    </row>
    <row r="107">
      <c r="A107" s="20">
        <v>43763.0</v>
      </c>
      <c r="B107" s="7" t="s">
        <v>395</v>
      </c>
      <c r="C107" s="7" t="s">
        <v>124</v>
      </c>
      <c r="D107" s="7" t="s">
        <v>125</v>
      </c>
      <c r="E107" s="7" t="s">
        <v>396</v>
      </c>
      <c r="F107" s="14" t="s">
        <v>145</v>
      </c>
      <c r="G107" s="7" t="s">
        <v>120</v>
      </c>
      <c r="H107" s="7" t="s">
        <v>121</v>
      </c>
      <c r="I107" s="7" t="s">
        <v>122</v>
      </c>
      <c r="J107" s="7" t="s">
        <v>393</v>
      </c>
      <c r="K107" s="7"/>
      <c r="L107" s="7" t="s">
        <v>121</v>
      </c>
      <c r="M107" s="7" t="s">
        <v>391</v>
      </c>
    </row>
    <row r="108">
      <c r="A108" s="20">
        <v>43764.0</v>
      </c>
      <c r="B108" s="7" t="s">
        <v>397</v>
      </c>
      <c r="C108" s="7" t="s">
        <v>311</v>
      </c>
      <c r="D108" s="7" t="s">
        <v>125</v>
      </c>
      <c r="E108" s="7" t="s">
        <v>398</v>
      </c>
      <c r="F108" s="14" t="s">
        <v>210</v>
      </c>
      <c r="G108" s="7" t="s">
        <v>120</v>
      </c>
      <c r="H108" s="7" t="s">
        <v>121</v>
      </c>
      <c r="I108" s="7" t="s">
        <v>122</v>
      </c>
      <c r="J108" s="7" t="s">
        <v>141</v>
      </c>
      <c r="K108" s="7" t="s">
        <v>307</v>
      </c>
      <c r="L108" s="7" t="s">
        <v>121</v>
      </c>
      <c r="M108" s="7" t="s">
        <v>355</v>
      </c>
    </row>
    <row r="109">
      <c r="A109" s="20">
        <v>43765.0</v>
      </c>
      <c r="B109" s="7" t="s">
        <v>399</v>
      </c>
      <c r="C109" s="7" t="s">
        <v>132</v>
      </c>
      <c r="D109" s="7" t="s">
        <v>118</v>
      </c>
      <c r="E109" s="7" t="s">
        <v>400</v>
      </c>
      <c r="F109" s="14" t="s">
        <v>175</v>
      </c>
      <c r="G109" s="7" t="s">
        <v>120</v>
      </c>
      <c r="H109" s="7" t="s">
        <v>121</v>
      </c>
      <c r="I109" s="7" t="s">
        <v>121</v>
      </c>
      <c r="J109" s="7" t="s">
        <v>151</v>
      </c>
      <c r="K109" s="7" t="s">
        <v>307</v>
      </c>
      <c r="L109" s="7" t="s">
        <v>121</v>
      </c>
      <c r="M109" s="7" t="s">
        <v>146</v>
      </c>
    </row>
    <row r="110">
      <c r="A110" s="20">
        <v>43765.0</v>
      </c>
      <c r="B110" s="7" t="s">
        <v>401</v>
      </c>
      <c r="C110" s="7" t="s">
        <v>132</v>
      </c>
      <c r="D110" s="7" t="s">
        <v>118</v>
      </c>
      <c r="E110" s="7" t="s">
        <v>402</v>
      </c>
      <c r="F110" s="14" t="s">
        <v>134</v>
      </c>
      <c r="G110" s="7" t="s">
        <v>120</v>
      </c>
      <c r="H110" s="7" t="s">
        <v>121</v>
      </c>
      <c r="I110" s="7" t="s">
        <v>122</v>
      </c>
      <c r="J110" s="7" t="s">
        <v>141</v>
      </c>
      <c r="K110" s="7"/>
      <c r="L110" s="7" t="s">
        <v>121</v>
      </c>
      <c r="M110" s="7" t="s">
        <v>146</v>
      </c>
    </row>
    <row r="111">
      <c r="A111" s="20">
        <v>43766.0</v>
      </c>
      <c r="B111" s="7" t="s">
        <v>403</v>
      </c>
      <c r="C111" s="7" t="s">
        <v>191</v>
      </c>
      <c r="D111" s="7" t="s">
        <v>118</v>
      </c>
      <c r="E111" s="7" t="s">
        <v>404</v>
      </c>
      <c r="F111" s="14" t="s">
        <v>119</v>
      </c>
      <c r="G111" s="7" t="s">
        <v>120</v>
      </c>
      <c r="H111" s="7" t="s">
        <v>121</v>
      </c>
      <c r="I111" s="7" t="s">
        <v>121</v>
      </c>
      <c r="J111" s="7" t="s">
        <v>405</v>
      </c>
      <c r="K111" s="7"/>
      <c r="L111" s="7" t="s">
        <v>121</v>
      </c>
      <c r="M111" s="7" t="s">
        <v>355</v>
      </c>
    </row>
    <row r="112">
      <c r="A112" s="20">
        <v>43766.0</v>
      </c>
      <c r="B112" s="7" t="s">
        <v>406</v>
      </c>
      <c r="C112" s="7" t="s">
        <v>117</v>
      </c>
      <c r="D112" s="7" t="s">
        <v>125</v>
      </c>
      <c r="E112" s="7" t="s">
        <v>407</v>
      </c>
      <c r="F112" s="14" t="s">
        <v>137</v>
      </c>
      <c r="G112" s="7" t="s">
        <v>120</v>
      </c>
      <c r="H112" s="7" t="s">
        <v>121</v>
      </c>
      <c r="I112" s="7" t="s">
        <v>122</v>
      </c>
      <c r="J112" s="7" t="s">
        <v>141</v>
      </c>
      <c r="K112" s="7"/>
      <c r="L112" s="7" t="s">
        <v>121</v>
      </c>
      <c r="M112" s="7" t="s">
        <v>355</v>
      </c>
    </row>
    <row r="113">
      <c r="A113" s="20">
        <v>43766.0</v>
      </c>
      <c r="B113" s="7" t="s">
        <v>408</v>
      </c>
      <c r="C113" s="7" t="s">
        <v>117</v>
      </c>
      <c r="D113" s="7" t="s">
        <v>125</v>
      </c>
      <c r="E113" s="7" t="s">
        <v>409</v>
      </c>
      <c r="F113" s="14" t="s">
        <v>145</v>
      </c>
      <c r="G113" s="7" t="s">
        <v>120</v>
      </c>
      <c r="H113" s="7" t="s">
        <v>121</v>
      </c>
      <c r="I113" s="7" t="s">
        <v>122</v>
      </c>
      <c r="J113" s="7" t="s">
        <v>410</v>
      </c>
      <c r="K113" s="7"/>
      <c r="L113" s="7" t="s">
        <v>121</v>
      </c>
      <c r="M113" s="7" t="s">
        <v>146</v>
      </c>
    </row>
    <row r="114">
      <c r="A114" s="20">
        <v>43766.0</v>
      </c>
      <c r="B114" s="7" t="s">
        <v>411</v>
      </c>
      <c r="C114" s="7" t="s">
        <v>117</v>
      </c>
      <c r="D114" s="7" t="s">
        <v>125</v>
      </c>
      <c r="E114" s="7" t="s">
        <v>412</v>
      </c>
      <c r="F114" s="14" t="s">
        <v>137</v>
      </c>
      <c r="G114" s="7" t="s">
        <v>120</v>
      </c>
      <c r="H114" s="7" t="s">
        <v>121</v>
      </c>
      <c r="I114" s="7" t="s">
        <v>122</v>
      </c>
      <c r="J114" s="7" t="s">
        <v>141</v>
      </c>
      <c r="K114" s="7" t="s">
        <v>181</v>
      </c>
      <c r="L114" s="7" t="s">
        <v>121</v>
      </c>
      <c r="M114" s="7" t="s">
        <v>355</v>
      </c>
    </row>
    <row r="115">
      <c r="A115" s="20">
        <v>43766.0</v>
      </c>
      <c r="B115" s="7" t="s">
        <v>413</v>
      </c>
      <c r="C115" s="7" t="s">
        <v>191</v>
      </c>
      <c r="D115" s="7" t="s">
        <v>125</v>
      </c>
      <c r="E115" s="7" t="s">
        <v>414</v>
      </c>
      <c r="F115" s="14" t="s">
        <v>137</v>
      </c>
      <c r="G115" s="7" t="s">
        <v>120</v>
      </c>
      <c r="H115" s="7" t="s">
        <v>121</v>
      </c>
      <c r="I115" s="7" t="s">
        <v>121</v>
      </c>
      <c r="J115" s="7" t="s">
        <v>141</v>
      </c>
      <c r="K115" s="7" t="s">
        <v>181</v>
      </c>
      <c r="L115" s="7" t="s">
        <v>121</v>
      </c>
      <c r="M115" s="7" t="s">
        <v>355</v>
      </c>
    </row>
    <row r="116">
      <c r="A116" s="20">
        <v>43766.0</v>
      </c>
      <c r="B116" s="7" t="s">
        <v>415</v>
      </c>
      <c r="C116" s="7" t="s">
        <v>191</v>
      </c>
      <c r="D116" s="7" t="s">
        <v>125</v>
      </c>
      <c r="E116" s="7" t="s">
        <v>416</v>
      </c>
      <c r="F116" s="14" t="s">
        <v>119</v>
      </c>
      <c r="G116" s="7" t="s">
        <v>120</v>
      </c>
      <c r="H116" s="7" t="s">
        <v>121</v>
      </c>
      <c r="I116" s="7" t="s">
        <v>121</v>
      </c>
      <c r="J116" s="7" t="s">
        <v>405</v>
      </c>
      <c r="K116" s="7" t="s">
        <v>417</v>
      </c>
      <c r="L116" s="7" t="s">
        <v>121</v>
      </c>
      <c r="M116" s="7" t="s">
        <v>355</v>
      </c>
    </row>
    <row r="117">
      <c r="A117" s="20">
        <v>43766.0</v>
      </c>
      <c r="B117" s="7" t="s">
        <v>418</v>
      </c>
      <c r="C117" s="7" t="s">
        <v>191</v>
      </c>
      <c r="D117" s="7" t="s">
        <v>125</v>
      </c>
      <c r="E117" s="7" t="s">
        <v>416</v>
      </c>
      <c r="F117" s="14" t="s">
        <v>119</v>
      </c>
      <c r="G117" s="7" t="s">
        <v>120</v>
      </c>
      <c r="H117" s="7" t="s">
        <v>121</v>
      </c>
      <c r="I117" s="7" t="s">
        <v>122</v>
      </c>
      <c r="J117" s="7" t="s">
        <v>405</v>
      </c>
      <c r="K117" s="7" t="s">
        <v>419</v>
      </c>
      <c r="L117" s="7" t="s">
        <v>121</v>
      </c>
      <c r="M117" s="7" t="s">
        <v>355</v>
      </c>
    </row>
    <row r="118">
      <c r="A118" s="20">
        <v>43766.0</v>
      </c>
      <c r="B118" s="7" t="s">
        <v>420</v>
      </c>
      <c r="C118" s="7" t="s">
        <v>191</v>
      </c>
      <c r="D118" s="7" t="s">
        <v>125</v>
      </c>
      <c r="E118" s="7" t="s">
        <v>270</v>
      </c>
      <c r="F118" s="14" t="s">
        <v>137</v>
      </c>
      <c r="G118" s="7" t="s">
        <v>120</v>
      </c>
      <c r="H118" s="7" t="s">
        <v>121</v>
      </c>
      <c r="I118" s="7" t="s">
        <v>122</v>
      </c>
      <c r="J118" s="7" t="s">
        <v>141</v>
      </c>
      <c r="K118" s="7"/>
      <c r="L118" s="7" t="s">
        <v>121</v>
      </c>
      <c r="M118" s="7" t="s">
        <v>355</v>
      </c>
    </row>
    <row r="119">
      <c r="A119" s="20">
        <v>43766.0</v>
      </c>
      <c r="B119" s="7" t="s">
        <v>421</v>
      </c>
      <c r="C119" s="7" t="s">
        <v>191</v>
      </c>
      <c r="D119" s="7" t="s">
        <v>125</v>
      </c>
      <c r="E119" s="7" t="s">
        <v>422</v>
      </c>
      <c r="F119" s="14" t="s">
        <v>129</v>
      </c>
      <c r="G119" s="7" t="s">
        <v>120</v>
      </c>
      <c r="H119" s="7" t="s">
        <v>121</v>
      </c>
      <c r="I119" s="7" t="s">
        <v>121</v>
      </c>
      <c r="J119" s="7" t="s">
        <v>423</v>
      </c>
      <c r="K119" s="7" t="s">
        <v>181</v>
      </c>
      <c r="L119" s="7" t="s">
        <v>122</v>
      </c>
      <c r="M119" s="7" t="s">
        <v>355</v>
      </c>
    </row>
    <row r="120">
      <c r="A120" s="19">
        <v>43405.0</v>
      </c>
      <c r="B120" s="7" t="s">
        <v>424</v>
      </c>
      <c r="C120" s="7" t="s">
        <v>124</v>
      </c>
      <c r="D120" s="7" t="s">
        <v>222</v>
      </c>
      <c r="E120" s="7"/>
      <c r="F120" s="14" t="s">
        <v>305</v>
      </c>
      <c r="G120" s="7" t="s">
        <v>120</v>
      </c>
      <c r="H120" s="7" t="s">
        <v>121</v>
      </c>
      <c r="I120" s="7"/>
      <c r="J120" s="7" t="s">
        <v>425</v>
      </c>
      <c r="K120" s="12"/>
      <c r="L120" s="7" t="s">
        <v>121</v>
      </c>
      <c r="M120" s="7" t="s">
        <v>426</v>
      </c>
    </row>
    <row r="121">
      <c r="A121" s="19">
        <v>43405.0</v>
      </c>
      <c r="B121" s="7" t="s">
        <v>427</v>
      </c>
      <c r="C121" s="7" t="s">
        <v>124</v>
      </c>
      <c r="D121" s="7" t="s">
        <v>222</v>
      </c>
      <c r="E121" s="7"/>
      <c r="F121" s="14" t="s">
        <v>305</v>
      </c>
      <c r="G121" s="7" t="s">
        <v>120</v>
      </c>
      <c r="H121" s="7" t="s">
        <v>121</v>
      </c>
      <c r="I121" s="7"/>
      <c r="J121" s="7" t="s">
        <v>425</v>
      </c>
      <c r="K121" s="12"/>
      <c r="L121" s="7" t="s">
        <v>121</v>
      </c>
      <c r="M121" s="7" t="s">
        <v>426</v>
      </c>
    </row>
    <row r="122">
      <c r="A122" s="19">
        <v>43405.0</v>
      </c>
      <c r="B122" s="7" t="s">
        <v>428</v>
      </c>
      <c r="C122" s="7" t="s">
        <v>124</v>
      </c>
      <c r="D122" s="7" t="s">
        <v>222</v>
      </c>
      <c r="E122" s="7"/>
      <c r="F122" s="14" t="s">
        <v>305</v>
      </c>
      <c r="G122" s="7" t="s">
        <v>120</v>
      </c>
      <c r="H122" s="7" t="s">
        <v>121</v>
      </c>
      <c r="I122" s="7"/>
      <c r="J122" s="7" t="s">
        <v>425</v>
      </c>
      <c r="K122" s="12"/>
      <c r="L122" s="7" t="s">
        <v>121</v>
      </c>
      <c r="M122" s="7" t="s">
        <v>426</v>
      </c>
    </row>
    <row r="123">
      <c r="A123" s="19">
        <v>43887.0</v>
      </c>
      <c r="B123" s="7" t="s">
        <v>429</v>
      </c>
      <c r="C123" s="7" t="s">
        <v>27</v>
      </c>
      <c r="D123" s="7" t="s">
        <v>118</v>
      </c>
      <c r="E123" s="7" t="s">
        <v>430</v>
      </c>
      <c r="F123" s="14" t="s">
        <v>343</v>
      </c>
      <c r="G123" s="7" t="s">
        <v>120</v>
      </c>
      <c r="H123" s="7" t="s">
        <v>121</v>
      </c>
      <c r="I123" s="7" t="s">
        <v>121</v>
      </c>
      <c r="J123" s="7" t="s">
        <v>141</v>
      </c>
      <c r="K123" s="7"/>
      <c r="L123" s="7" t="s">
        <v>121</v>
      </c>
      <c r="M123" s="7" t="s">
        <v>355</v>
      </c>
    </row>
    <row r="124">
      <c r="A124" s="19">
        <v>43887.0</v>
      </c>
      <c r="B124" s="7" t="s">
        <v>431</v>
      </c>
      <c r="C124" s="7" t="s">
        <v>23</v>
      </c>
      <c r="D124" s="7" t="s">
        <v>118</v>
      </c>
      <c r="E124" s="7" t="s">
        <v>372</v>
      </c>
      <c r="F124" s="14" t="s">
        <v>207</v>
      </c>
      <c r="G124" s="7" t="s">
        <v>120</v>
      </c>
      <c r="H124" s="7" t="s">
        <v>121</v>
      </c>
      <c r="I124" s="7" t="s">
        <v>122</v>
      </c>
      <c r="J124" s="7"/>
      <c r="K124" s="7" t="s">
        <v>432</v>
      </c>
      <c r="L124" s="7"/>
      <c r="M124" s="7" t="s">
        <v>146</v>
      </c>
    </row>
    <row r="125">
      <c r="A125" s="19">
        <v>43887.0</v>
      </c>
      <c r="B125" s="7" t="s">
        <v>433</v>
      </c>
      <c r="C125" s="7" t="s">
        <v>23</v>
      </c>
      <c r="D125" s="7" t="s">
        <v>125</v>
      </c>
      <c r="E125" s="7" t="s">
        <v>250</v>
      </c>
      <c r="F125" s="14" t="s">
        <v>434</v>
      </c>
      <c r="G125" s="7" t="s">
        <v>120</v>
      </c>
      <c r="H125" s="7" t="s">
        <v>121</v>
      </c>
      <c r="I125" s="7" t="s">
        <v>122</v>
      </c>
      <c r="J125" s="7" t="s">
        <v>240</v>
      </c>
      <c r="K125" s="7"/>
      <c r="L125" s="7" t="s">
        <v>121</v>
      </c>
      <c r="M125" s="7" t="s">
        <v>355</v>
      </c>
    </row>
    <row r="126">
      <c r="A126" s="19">
        <v>43887.0</v>
      </c>
      <c r="B126" s="7" t="s">
        <v>435</v>
      </c>
      <c r="C126" s="7" t="s">
        <v>23</v>
      </c>
      <c r="D126" s="7" t="s">
        <v>125</v>
      </c>
      <c r="E126" s="7" t="s">
        <v>416</v>
      </c>
      <c r="F126" s="14" t="s">
        <v>434</v>
      </c>
      <c r="G126" s="7" t="s">
        <v>120</v>
      </c>
      <c r="H126" s="7" t="s">
        <v>121</v>
      </c>
      <c r="I126" s="7" t="s">
        <v>122</v>
      </c>
      <c r="J126" s="7" t="s">
        <v>240</v>
      </c>
      <c r="K126" s="7"/>
      <c r="L126" s="7" t="s">
        <v>121</v>
      </c>
      <c r="M126" s="7" t="s">
        <v>355</v>
      </c>
    </row>
    <row r="127">
      <c r="A127" s="20">
        <v>44127.0</v>
      </c>
      <c r="B127" s="7" t="s">
        <v>436</v>
      </c>
      <c r="C127" s="7" t="s">
        <v>382</v>
      </c>
      <c r="D127" s="7" t="s">
        <v>125</v>
      </c>
      <c r="E127" s="7" t="s">
        <v>437</v>
      </c>
      <c r="F127" s="14" t="s">
        <v>129</v>
      </c>
      <c r="G127" s="7" t="s">
        <v>120</v>
      </c>
      <c r="H127" s="7" t="s">
        <v>121</v>
      </c>
      <c r="I127" s="7" t="s">
        <v>122</v>
      </c>
      <c r="J127" s="7" t="s">
        <v>202</v>
      </c>
      <c r="K127" s="7"/>
      <c r="L127" s="7" t="s">
        <v>121</v>
      </c>
      <c r="M127" s="7" t="s">
        <v>438</v>
      </c>
    </row>
    <row r="128">
      <c r="A128" s="20">
        <v>44128.0</v>
      </c>
      <c r="B128" s="7" t="s">
        <v>439</v>
      </c>
      <c r="C128" s="7" t="s">
        <v>132</v>
      </c>
      <c r="D128" s="7" t="s">
        <v>125</v>
      </c>
      <c r="E128" s="7" t="s">
        <v>440</v>
      </c>
      <c r="F128" s="14" t="s">
        <v>441</v>
      </c>
      <c r="G128" s="7" t="s">
        <v>120</v>
      </c>
      <c r="H128" s="7" t="s">
        <v>121</v>
      </c>
      <c r="I128" s="7" t="s">
        <v>121</v>
      </c>
      <c r="J128" s="7" t="s">
        <v>442</v>
      </c>
      <c r="K128" s="7"/>
      <c r="L128" s="7" t="s">
        <v>121</v>
      </c>
      <c r="M128" s="7" t="s">
        <v>146</v>
      </c>
    </row>
    <row r="129">
      <c r="A129" s="20">
        <v>44129.0</v>
      </c>
      <c r="B129" s="7" t="s">
        <v>443</v>
      </c>
      <c r="C129" s="7" t="s">
        <v>124</v>
      </c>
      <c r="D129" s="7" t="s">
        <v>125</v>
      </c>
      <c r="E129" s="7" t="s">
        <v>444</v>
      </c>
      <c r="F129" s="14" t="s">
        <v>150</v>
      </c>
      <c r="G129" s="7" t="s">
        <v>120</v>
      </c>
      <c r="H129" s="7" t="s">
        <v>121</v>
      </c>
      <c r="I129" s="7" t="s">
        <v>122</v>
      </c>
      <c r="J129" s="7" t="s">
        <v>445</v>
      </c>
      <c r="K129" s="7" t="s">
        <v>181</v>
      </c>
      <c r="L129" s="7" t="s">
        <v>121</v>
      </c>
      <c r="M129" s="7" t="s">
        <v>146</v>
      </c>
    </row>
    <row r="130">
      <c r="A130" s="20">
        <v>44129.0</v>
      </c>
      <c r="B130" s="7" t="s">
        <v>446</v>
      </c>
      <c r="C130" s="7" t="s">
        <v>124</v>
      </c>
      <c r="D130" s="7" t="s">
        <v>125</v>
      </c>
      <c r="E130" s="7" t="s">
        <v>447</v>
      </c>
      <c r="F130" s="14" t="s">
        <v>448</v>
      </c>
      <c r="G130" s="7" t="s">
        <v>120</v>
      </c>
      <c r="H130" s="7" t="s">
        <v>121</v>
      </c>
      <c r="I130" s="7" t="s">
        <v>121</v>
      </c>
      <c r="J130" s="7" t="s">
        <v>449</v>
      </c>
      <c r="K130" s="7" t="s">
        <v>450</v>
      </c>
      <c r="L130" s="7" t="s">
        <v>121</v>
      </c>
      <c r="M130" s="7" t="s">
        <v>146</v>
      </c>
    </row>
    <row r="131">
      <c r="A131" s="20">
        <v>44130.0</v>
      </c>
      <c r="B131" s="7" t="s">
        <v>451</v>
      </c>
      <c r="C131" s="7" t="s">
        <v>168</v>
      </c>
      <c r="D131" s="7" t="s">
        <v>125</v>
      </c>
      <c r="E131" s="7" t="s">
        <v>452</v>
      </c>
      <c r="F131" s="14" t="s">
        <v>129</v>
      </c>
      <c r="G131" s="7" t="s">
        <v>120</v>
      </c>
      <c r="H131" s="7" t="s">
        <v>121</v>
      </c>
      <c r="I131" s="7" t="s">
        <v>122</v>
      </c>
      <c r="J131" s="7" t="s">
        <v>453</v>
      </c>
      <c r="K131" s="7"/>
      <c r="L131" s="7" t="s">
        <v>121</v>
      </c>
      <c r="M131" s="7" t="s">
        <v>454</v>
      </c>
    </row>
    <row r="132">
      <c r="A132" s="20">
        <v>44131.0</v>
      </c>
      <c r="B132" s="7" t="s">
        <v>455</v>
      </c>
      <c r="C132" s="7" t="s">
        <v>117</v>
      </c>
      <c r="D132" s="7" t="s">
        <v>125</v>
      </c>
      <c r="E132" s="7" t="s">
        <v>144</v>
      </c>
      <c r="F132" s="14" t="s">
        <v>175</v>
      </c>
      <c r="G132" s="7" t="s">
        <v>120</v>
      </c>
      <c r="H132" s="7" t="s">
        <v>121</v>
      </c>
      <c r="I132" s="7"/>
      <c r="J132" s="7" t="s">
        <v>456</v>
      </c>
      <c r="K132" s="7" t="s">
        <v>181</v>
      </c>
      <c r="L132" s="7" t="s">
        <v>121</v>
      </c>
      <c r="M132" s="7" t="s">
        <v>146</v>
      </c>
    </row>
    <row r="133">
      <c r="A133" s="20">
        <v>44132.0</v>
      </c>
      <c r="B133" s="7" t="s">
        <v>457</v>
      </c>
      <c r="C133" s="7" t="s">
        <v>29</v>
      </c>
      <c r="D133" s="7" t="s">
        <v>125</v>
      </c>
      <c r="E133" s="7" t="s">
        <v>458</v>
      </c>
      <c r="F133" s="14" t="s">
        <v>349</v>
      </c>
      <c r="G133" s="7" t="s">
        <v>120</v>
      </c>
      <c r="H133" s="7" t="s">
        <v>121</v>
      </c>
      <c r="I133" s="7" t="s">
        <v>121</v>
      </c>
      <c r="J133" s="7" t="s">
        <v>459</v>
      </c>
      <c r="K133" s="7"/>
      <c r="L133" s="7" t="s">
        <v>121</v>
      </c>
      <c r="M133" s="7" t="s">
        <v>146</v>
      </c>
    </row>
    <row r="134">
      <c r="A134" s="20">
        <v>44132.0</v>
      </c>
      <c r="B134" s="7" t="s">
        <v>460</v>
      </c>
      <c r="C134" s="7" t="s">
        <v>32</v>
      </c>
      <c r="D134" s="7" t="s">
        <v>125</v>
      </c>
      <c r="E134" s="7" t="s">
        <v>390</v>
      </c>
      <c r="F134" s="14" t="s">
        <v>175</v>
      </c>
      <c r="G134" s="7" t="s">
        <v>120</v>
      </c>
      <c r="H134" s="7" t="s">
        <v>121</v>
      </c>
      <c r="I134" s="7" t="s">
        <v>122</v>
      </c>
      <c r="J134" s="7" t="s">
        <v>461</v>
      </c>
      <c r="K134" s="7"/>
      <c r="L134" s="7" t="s">
        <v>121</v>
      </c>
      <c r="M134" s="7" t="s">
        <v>146</v>
      </c>
    </row>
    <row r="135">
      <c r="A135" s="20">
        <v>44133.0</v>
      </c>
      <c r="B135" s="7" t="s">
        <v>462</v>
      </c>
      <c r="C135" s="7" t="s">
        <v>19</v>
      </c>
      <c r="D135" s="7" t="s">
        <v>125</v>
      </c>
      <c r="E135" s="7" t="s">
        <v>463</v>
      </c>
      <c r="F135" s="14" t="s">
        <v>343</v>
      </c>
      <c r="G135" s="7" t="s">
        <v>120</v>
      </c>
      <c r="H135" s="7" t="s">
        <v>121</v>
      </c>
      <c r="I135" s="7" t="s">
        <v>122</v>
      </c>
      <c r="J135" s="7" t="s">
        <v>141</v>
      </c>
      <c r="K135" s="7"/>
      <c r="L135" s="7" t="s">
        <v>121</v>
      </c>
      <c r="M135" s="7" t="s">
        <v>146</v>
      </c>
    </row>
    <row r="136">
      <c r="A136" s="20">
        <v>44133.0</v>
      </c>
      <c r="B136" s="7" t="s">
        <v>464</v>
      </c>
      <c r="C136" s="7" t="s">
        <v>15</v>
      </c>
      <c r="D136" s="7" t="s">
        <v>125</v>
      </c>
      <c r="E136" s="7" t="s">
        <v>465</v>
      </c>
      <c r="F136" s="14" t="s">
        <v>175</v>
      </c>
      <c r="G136" s="7" t="s">
        <v>120</v>
      </c>
      <c r="H136" s="7" t="s">
        <v>121</v>
      </c>
      <c r="I136" s="7" t="s">
        <v>122</v>
      </c>
      <c r="J136" s="7" t="s">
        <v>240</v>
      </c>
      <c r="K136" s="7"/>
      <c r="L136" s="7" t="s">
        <v>121</v>
      </c>
      <c r="M136" s="7" t="s">
        <v>146</v>
      </c>
    </row>
    <row r="137">
      <c r="A137" s="20">
        <v>44133.0</v>
      </c>
      <c r="B137" s="7" t="s">
        <v>466</v>
      </c>
      <c r="C137" s="7" t="s">
        <v>15</v>
      </c>
      <c r="D137" s="7" t="s">
        <v>125</v>
      </c>
      <c r="E137" s="7" t="s">
        <v>467</v>
      </c>
      <c r="F137" s="14" t="s">
        <v>175</v>
      </c>
      <c r="G137" s="7" t="s">
        <v>120</v>
      </c>
      <c r="H137" s="7" t="s">
        <v>121</v>
      </c>
      <c r="I137" s="7" t="s">
        <v>122</v>
      </c>
      <c r="J137" s="7" t="s">
        <v>240</v>
      </c>
      <c r="K137" s="7"/>
      <c r="L137" s="7" t="s">
        <v>121</v>
      </c>
      <c r="M137" s="7" t="s">
        <v>146</v>
      </c>
    </row>
    <row r="138">
      <c r="A138" s="20">
        <v>44133.0</v>
      </c>
      <c r="B138" s="7" t="s">
        <v>468</v>
      </c>
      <c r="C138" s="7" t="s">
        <v>15</v>
      </c>
      <c r="D138" s="7" t="s">
        <v>125</v>
      </c>
      <c r="E138" s="7" t="s">
        <v>469</v>
      </c>
      <c r="F138" s="14" t="s">
        <v>134</v>
      </c>
      <c r="G138" s="7" t="s">
        <v>120</v>
      </c>
      <c r="H138" s="7" t="s">
        <v>121</v>
      </c>
      <c r="I138" s="7"/>
      <c r="J138" s="7" t="s">
        <v>141</v>
      </c>
      <c r="K138" s="7" t="s">
        <v>330</v>
      </c>
      <c r="L138" s="7" t="s">
        <v>121</v>
      </c>
      <c r="M138" s="7" t="s">
        <v>146</v>
      </c>
    </row>
    <row r="139">
      <c r="A139" s="20">
        <v>44133.0</v>
      </c>
      <c r="B139" s="7" t="s">
        <v>470</v>
      </c>
      <c r="C139" s="7" t="s">
        <v>15</v>
      </c>
      <c r="D139" s="7" t="s">
        <v>125</v>
      </c>
      <c r="E139" s="7" t="s">
        <v>204</v>
      </c>
      <c r="F139" s="14" t="s">
        <v>129</v>
      </c>
      <c r="G139" s="7" t="s">
        <v>120</v>
      </c>
      <c r="H139" s="7" t="s">
        <v>121</v>
      </c>
      <c r="I139" s="7" t="s">
        <v>122</v>
      </c>
      <c r="J139" s="7" t="s">
        <v>240</v>
      </c>
      <c r="K139" s="7" t="s">
        <v>181</v>
      </c>
      <c r="L139" s="7" t="s">
        <v>121</v>
      </c>
      <c r="M139" s="7" t="s">
        <v>146</v>
      </c>
    </row>
    <row r="140">
      <c r="A140" s="20">
        <v>44134.0</v>
      </c>
      <c r="B140" s="7" t="s">
        <v>471</v>
      </c>
      <c r="C140" s="7" t="s">
        <v>23</v>
      </c>
      <c r="D140" s="7" t="s">
        <v>125</v>
      </c>
      <c r="E140" s="7" t="s">
        <v>472</v>
      </c>
      <c r="F140" s="14" t="s">
        <v>175</v>
      </c>
      <c r="G140" s="7" t="s">
        <v>120</v>
      </c>
      <c r="H140" s="7" t="s">
        <v>121</v>
      </c>
      <c r="I140" s="7" t="s">
        <v>122</v>
      </c>
      <c r="J140" s="7" t="s">
        <v>453</v>
      </c>
      <c r="K140" s="7"/>
      <c r="L140" s="7" t="s">
        <v>121</v>
      </c>
      <c r="M140" s="7" t="s">
        <v>146</v>
      </c>
    </row>
    <row r="141">
      <c r="A141" s="20">
        <v>44134.0</v>
      </c>
      <c r="B141" s="7" t="s">
        <v>473</v>
      </c>
      <c r="C141" s="7" t="s">
        <v>23</v>
      </c>
      <c r="D141" s="7" t="s">
        <v>125</v>
      </c>
      <c r="E141" s="7" t="s">
        <v>161</v>
      </c>
      <c r="F141" s="14" t="s">
        <v>207</v>
      </c>
      <c r="G141" s="7" t="s">
        <v>120</v>
      </c>
      <c r="H141" s="7" t="s">
        <v>121</v>
      </c>
      <c r="I141" s="7" t="s">
        <v>122</v>
      </c>
      <c r="J141" s="7" t="s">
        <v>442</v>
      </c>
      <c r="K141" s="7" t="s">
        <v>474</v>
      </c>
      <c r="L141" s="7" t="s">
        <v>121</v>
      </c>
      <c r="M141" s="7" t="s">
        <v>146</v>
      </c>
    </row>
    <row r="142">
      <c r="A142" s="20">
        <v>44146.0</v>
      </c>
      <c r="B142" s="7" t="s">
        <v>475</v>
      </c>
      <c r="C142" s="7" t="s">
        <v>132</v>
      </c>
      <c r="D142" s="7" t="s">
        <v>125</v>
      </c>
      <c r="E142" s="7" t="s">
        <v>458</v>
      </c>
      <c r="F142" s="14" t="s">
        <v>175</v>
      </c>
      <c r="G142" s="7" t="s">
        <v>120</v>
      </c>
      <c r="H142" s="7" t="s">
        <v>121</v>
      </c>
      <c r="I142" s="7" t="s">
        <v>122</v>
      </c>
      <c r="J142" s="7" t="s">
        <v>476</v>
      </c>
      <c r="K142" s="7" t="s">
        <v>181</v>
      </c>
      <c r="L142" s="7" t="s">
        <v>121</v>
      </c>
      <c r="M142" s="7" t="s">
        <v>146</v>
      </c>
    </row>
    <row r="143">
      <c r="A143" s="20">
        <v>44146.0</v>
      </c>
      <c r="B143" s="7" t="s">
        <v>477</v>
      </c>
      <c r="C143" s="7" t="s">
        <v>132</v>
      </c>
      <c r="D143" s="7" t="s">
        <v>125</v>
      </c>
      <c r="E143" s="7" t="s">
        <v>478</v>
      </c>
      <c r="F143" s="14" t="s">
        <v>175</v>
      </c>
      <c r="G143" s="7" t="s">
        <v>120</v>
      </c>
      <c r="H143" s="7" t="s">
        <v>121</v>
      </c>
      <c r="I143" s="7" t="s">
        <v>122</v>
      </c>
      <c r="J143" s="7" t="s">
        <v>240</v>
      </c>
      <c r="K143" s="7"/>
      <c r="L143" s="7" t="s">
        <v>121</v>
      </c>
      <c r="M143" s="7" t="s">
        <v>146</v>
      </c>
    </row>
    <row r="144">
      <c r="A144" s="20">
        <v>44146.0</v>
      </c>
      <c r="B144" s="7" t="s">
        <v>479</v>
      </c>
      <c r="C144" s="7" t="s">
        <v>132</v>
      </c>
      <c r="D144" s="7" t="s">
        <v>125</v>
      </c>
      <c r="E144" s="7" t="s">
        <v>480</v>
      </c>
      <c r="F144" s="14" t="s">
        <v>175</v>
      </c>
      <c r="G144" s="7" t="s">
        <v>120</v>
      </c>
      <c r="H144" s="7" t="s">
        <v>121</v>
      </c>
      <c r="I144" s="7" t="s">
        <v>122</v>
      </c>
      <c r="J144" s="7" t="s">
        <v>240</v>
      </c>
      <c r="K144" s="7"/>
      <c r="L144" s="7" t="s">
        <v>121</v>
      </c>
      <c r="M144" s="7" t="s">
        <v>438</v>
      </c>
    </row>
    <row r="145">
      <c r="A145" s="20">
        <v>44146.0</v>
      </c>
      <c r="B145" s="7" t="s">
        <v>481</v>
      </c>
      <c r="C145" s="7" t="s">
        <v>132</v>
      </c>
      <c r="D145" s="7" t="s">
        <v>125</v>
      </c>
      <c r="E145" s="7" t="s">
        <v>482</v>
      </c>
      <c r="F145" s="14" t="s">
        <v>175</v>
      </c>
      <c r="G145" s="7" t="s">
        <v>120</v>
      </c>
      <c r="H145" s="7" t="s">
        <v>121</v>
      </c>
      <c r="I145" s="7" t="s">
        <v>122</v>
      </c>
      <c r="J145" s="7" t="s">
        <v>240</v>
      </c>
      <c r="K145" s="7"/>
      <c r="L145" s="7" t="s">
        <v>121</v>
      </c>
      <c r="M145" s="7" t="s">
        <v>146</v>
      </c>
    </row>
    <row r="146">
      <c r="A146" s="20">
        <v>44146.0</v>
      </c>
      <c r="B146" s="7" t="s">
        <v>483</v>
      </c>
      <c r="C146" s="7" t="s">
        <v>132</v>
      </c>
      <c r="D146" s="7" t="s">
        <v>125</v>
      </c>
      <c r="E146" s="7" t="s">
        <v>484</v>
      </c>
      <c r="F146" s="14" t="s">
        <v>207</v>
      </c>
      <c r="G146" s="7" t="s">
        <v>120</v>
      </c>
      <c r="H146" s="7" t="s">
        <v>121</v>
      </c>
      <c r="I146" s="7" t="s">
        <v>122</v>
      </c>
      <c r="J146" s="7" t="s">
        <v>442</v>
      </c>
      <c r="K146" s="7"/>
      <c r="L146" s="7" t="s">
        <v>121</v>
      </c>
      <c r="M146" s="7" t="s">
        <v>146</v>
      </c>
    </row>
    <row r="147">
      <c r="A147" s="20">
        <v>44147.0</v>
      </c>
      <c r="B147" s="7" t="s">
        <v>485</v>
      </c>
      <c r="C147" s="7" t="s">
        <v>191</v>
      </c>
      <c r="D147" s="7" t="s">
        <v>125</v>
      </c>
      <c r="E147" s="7" t="s">
        <v>486</v>
      </c>
      <c r="F147" s="14" t="s">
        <v>175</v>
      </c>
      <c r="G147" s="7" t="s">
        <v>120</v>
      </c>
      <c r="H147" s="7" t="s">
        <v>121</v>
      </c>
      <c r="I147" s="7" t="s">
        <v>122</v>
      </c>
      <c r="J147" s="7" t="s">
        <v>487</v>
      </c>
      <c r="K147" s="7"/>
      <c r="L147" s="7" t="s">
        <v>121</v>
      </c>
      <c r="M147" s="7" t="s">
        <v>146</v>
      </c>
    </row>
    <row r="148">
      <c r="A148" s="20">
        <v>44149.0</v>
      </c>
      <c r="B148" s="7" t="s">
        <v>488</v>
      </c>
      <c r="C148" s="7" t="s">
        <v>32</v>
      </c>
      <c r="D148" s="7" t="s">
        <v>125</v>
      </c>
      <c r="E148" s="7" t="s">
        <v>357</v>
      </c>
      <c r="F148" s="14" t="s">
        <v>150</v>
      </c>
      <c r="G148" s="7" t="s">
        <v>120</v>
      </c>
      <c r="H148" s="7" t="s">
        <v>121</v>
      </c>
      <c r="I148" s="7" t="s">
        <v>122</v>
      </c>
      <c r="J148" s="7" t="s">
        <v>240</v>
      </c>
      <c r="K148" s="7"/>
      <c r="L148" s="7" t="s">
        <v>121</v>
      </c>
      <c r="M148" s="7" t="s">
        <v>438</v>
      </c>
    </row>
    <row r="149">
      <c r="A149" s="19">
        <v>43375.0</v>
      </c>
      <c r="B149" s="7" t="s">
        <v>489</v>
      </c>
      <c r="C149" s="7" t="s">
        <v>490</v>
      </c>
      <c r="D149" s="7" t="s">
        <v>125</v>
      </c>
      <c r="E149" s="12"/>
      <c r="F149" s="14" t="s">
        <v>491</v>
      </c>
      <c r="G149" s="7" t="s">
        <v>120</v>
      </c>
      <c r="H149" s="7" t="s">
        <v>121</v>
      </c>
      <c r="I149" s="7" t="s">
        <v>121</v>
      </c>
      <c r="J149" s="7" t="s">
        <v>393</v>
      </c>
      <c r="K149" s="12"/>
      <c r="L149" s="7" t="s">
        <v>121</v>
      </c>
      <c r="M149" s="7" t="s">
        <v>130</v>
      </c>
    </row>
    <row r="150">
      <c r="A150" s="20">
        <v>43404.0</v>
      </c>
      <c r="B150" s="7" t="s">
        <v>492</v>
      </c>
      <c r="C150" s="7" t="s">
        <v>213</v>
      </c>
      <c r="D150" s="7" t="s">
        <v>125</v>
      </c>
      <c r="E150" s="7"/>
      <c r="F150" s="14" t="s">
        <v>343</v>
      </c>
      <c r="G150" s="7" t="s">
        <v>120</v>
      </c>
      <c r="H150" s="7" t="s">
        <v>121</v>
      </c>
      <c r="I150" s="7"/>
      <c r="J150" s="7"/>
      <c r="K150" s="12"/>
      <c r="L150" s="7" t="s">
        <v>121</v>
      </c>
      <c r="M150" s="7" t="s">
        <v>130</v>
      </c>
    </row>
    <row r="151">
      <c r="A151" s="19">
        <v>43443.0</v>
      </c>
      <c r="B151" s="7" t="s">
        <v>493</v>
      </c>
      <c r="C151" s="7" t="s">
        <v>124</v>
      </c>
      <c r="D151" s="7" t="s">
        <v>125</v>
      </c>
      <c r="E151" s="7" t="s">
        <v>494</v>
      </c>
      <c r="F151" s="14" t="s">
        <v>170</v>
      </c>
      <c r="G151" s="7" t="s">
        <v>120</v>
      </c>
      <c r="H151" s="7" t="s">
        <v>121</v>
      </c>
      <c r="I151" s="7" t="s">
        <v>122</v>
      </c>
      <c r="J151" s="7"/>
      <c r="K151" s="7"/>
      <c r="L151" s="7" t="s">
        <v>121</v>
      </c>
      <c r="M151" s="7" t="s">
        <v>130</v>
      </c>
    </row>
    <row r="152">
      <c r="A152" s="19">
        <v>43500.0</v>
      </c>
      <c r="B152" s="7" t="s">
        <v>495</v>
      </c>
      <c r="C152" s="7" t="s">
        <v>15</v>
      </c>
      <c r="D152" s="7" t="s">
        <v>125</v>
      </c>
      <c r="E152" s="7" t="s">
        <v>144</v>
      </c>
      <c r="F152" s="14" t="s">
        <v>137</v>
      </c>
      <c r="G152" s="7" t="s">
        <v>219</v>
      </c>
      <c r="H152" s="7" t="s">
        <v>121</v>
      </c>
      <c r="I152" s="7" t="s">
        <v>122</v>
      </c>
      <c r="J152" s="7" t="s">
        <v>141</v>
      </c>
      <c r="K152" s="7"/>
      <c r="L152" s="7"/>
      <c r="M152" s="7" t="s">
        <v>130</v>
      </c>
    </row>
    <row r="153">
      <c r="A153" s="19">
        <v>43500.0</v>
      </c>
      <c r="B153" s="7" t="s">
        <v>496</v>
      </c>
      <c r="C153" s="7" t="s">
        <v>15</v>
      </c>
      <c r="D153" s="7" t="s">
        <v>125</v>
      </c>
      <c r="E153" s="7" t="s">
        <v>250</v>
      </c>
      <c r="F153" s="14" t="s">
        <v>129</v>
      </c>
      <c r="G153" s="7" t="s">
        <v>120</v>
      </c>
      <c r="H153" s="7" t="s">
        <v>121</v>
      </c>
      <c r="I153" s="7" t="s">
        <v>122</v>
      </c>
      <c r="J153" s="7" t="s">
        <v>240</v>
      </c>
      <c r="K153" s="7"/>
      <c r="L153" s="7" t="s">
        <v>121</v>
      </c>
      <c r="M153" s="7" t="s">
        <v>142</v>
      </c>
    </row>
    <row r="154">
      <c r="A154" s="19">
        <v>43500.0</v>
      </c>
      <c r="B154" s="7" t="s">
        <v>497</v>
      </c>
      <c r="C154" s="7" t="s">
        <v>15</v>
      </c>
      <c r="D154" s="7" t="s">
        <v>125</v>
      </c>
      <c r="E154" s="7" t="s">
        <v>252</v>
      </c>
      <c r="F154" s="14" t="s">
        <v>129</v>
      </c>
      <c r="G154" s="7" t="s">
        <v>120</v>
      </c>
      <c r="H154" s="7" t="s">
        <v>121</v>
      </c>
      <c r="I154" s="7" t="s">
        <v>122</v>
      </c>
      <c r="J154" s="7" t="s">
        <v>240</v>
      </c>
      <c r="K154" s="7" t="s">
        <v>498</v>
      </c>
      <c r="L154" s="7" t="s">
        <v>121</v>
      </c>
      <c r="M154" s="7" t="s">
        <v>130</v>
      </c>
    </row>
    <row r="155">
      <c r="A155" s="19">
        <v>43500.0</v>
      </c>
      <c r="B155" s="7" t="s">
        <v>499</v>
      </c>
      <c r="C155" s="7" t="s">
        <v>15</v>
      </c>
      <c r="D155" s="7" t="s">
        <v>125</v>
      </c>
      <c r="E155" s="7" t="s">
        <v>252</v>
      </c>
      <c r="F155" s="14" t="s">
        <v>175</v>
      </c>
      <c r="G155" s="7" t="s">
        <v>120</v>
      </c>
      <c r="H155" s="7" t="s">
        <v>121</v>
      </c>
      <c r="I155" s="7" t="s">
        <v>122</v>
      </c>
      <c r="J155" s="7" t="s">
        <v>240</v>
      </c>
      <c r="K155" s="7"/>
      <c r="L155" s="17" t="s">
        <v>500</v>
      </c>
      <c r="M155" s="7" t="s">
        <v>130</v>
      </c>
    </row>
    <row r="156">
      <c r="A156" s="20">
        <v>43811.0</v>
      </c>
      <c r="B156" s="7" t="s">
        <v>501</v>
      </c>
      <c r="C156" s="7" t="s">
        <v>17</v>
      </c>
      <c r="D156" s="7" t="s">
        <v>125</v>
      </c>
      <c r="E156" s="7" t="s">
        <v>502</v>
      </c>
      <c r="F156" s="14" t="s">
        <v>145</v>
      </c>
      <c r="G156" s="7" t="s">
        <v>120</v>
      </c>
      <c r="H156" s="7" t="s">
        <v>121</v>
      </c>
      <c r="I156" s="7" t="s">
        <v>122</v>
      </c>
      <c r="J156" s="7" t="s">
        <v>141</v>
      </c>
      <c r="K156" s="7"/>
      <c r="L156" s="7" t="s">
        <v>121</v>
      </c>
      <c r="M156" s="7" t="s">
        <v>503</v>
      </c>
    </row>
    <row r="157">
      <c r="A157" s="20">
        <v>43811.0</v>
      </c>
      <c r="B157" s="7" t="s">
        <v>504</v>
      </c>
      <c r="C157" s="7" t="s">
        <v>17</v>
      </c>
      <c r="D157" s="7" t="s">
        <v>125</v>
      </c>
      <c r="E157" s="7" t="s">
        <v>505</v>
      </c>
      <c r="F157" s="14" t="s">
        <v>119</v>
      </c>
      <c r="G157" s="7" t="s">
        <v>120</v>
      </c>
      <c r="H157" s="7" t="s">
        <v>121</v>
      </c>
      <c r="I157" s="7" t="s">
        <v>122</v>
      </c>
      <c r="J157" s="7" t="s">
        <v>141</v>
      </c>
      <c r="K157" s="7"/>
      <c r="L157" s="7" t="s">
        <v>121</v>
      </c>
      <c r="M157" s="7" t="s">
        <v>146</v>
      </c>
    </row>
    <row r="158">
      <c r="A158" s="20">
        <v>43811.0</v>
      </c>
      <c r="B158" s="7" t="s">
        <v>506</v>
      </c>
      <c r="C158" s="7" t="s">
        <v>17</v>
      </c>
      <c r="D158" s="7" t="s">
        <v>125</v>
      </c>
      <c r="E158" s="7" t="s">
        <v>507</v>
      </c>
      <c r="F158" s="14" t="s">
        <v>119</v>
      </c>
      <c r="G158" s="7" t="s">
        <v>120</v>
      </c>
      <c r="H158" s="7" t="s">
        <v>121</v>
      </c>
      <c r="I158" s="7" t="s">
        <v>122</v>
      </c>
      <c r="J158" s="7" t="s">
        <v>141</v>
      </c>
      <c r="K158" s="7"/>
      <c r="L158" s="7" t="s">
        <v>121</v>
      </c>
      <c r="M158" s="7" t="s">
        <v>503</v>
      </c>
    </row>
    <row r="159">
      <c r="A159" s="20">
        <v>43812.0</v>
      </c>
      <c r="B159" s="7" t="s">
        <v>508</v>
      </c>
      <c r="C159" s="7" t="s">
        <v>139</v>
      </c>
      <c r="D159" s="7" t="s">
        <v>125</v>
      </c>
      <c r="E159" s="7" t="s">
        <v>509</v>
      </c>
      <c r="F159" s="14" t="s">
        <v>134</v>
      </c>
      <c r="G159" s="7" t="s">
        <v>120</v>
      </c>
      <c r="H159" s="7" t="s">
        <v>121</v>
      </c>
      <c r="I159" s="7" t="s">
        <v>121</v>
      </c>
      <c r="J159" s="7" t="s">
        <v>141</v>
      </c>
      <c r="K159" s="7" t="s">
        <v>181</v>
      </c>
      <c r="L159" s="7" t="s">
        <v>121</v>
      </c>
      <c r="M159" s="7" t="s">
        <v>510</v>
      </c>
    </row>
    <row r="160">
      <c r="A160" s="20">
        <v>43812.0</v>
      </c>
      <c r="B160" s="7" t="s">
        <v>511</v>
      </c>
      <c r="C160" s="7" t="s">
        <v>139</v>
      </c>
      <c r="D160" s="7" t="s">
        <v>125</v>
      </c>
      <c r="E160" s="7" t="s">
        <v>512</v>
      </c>
      <c r="F160" s="14" t="s">
        <v>137</v>
      </c>
      <c r="G160" s="7" t="s">
        <v>120</v>
      </c>
      <c r="H160" s="7" t="s">
        <v>121</v>
      </c>
      <c r="I160" s="7" t="s">
        <v>122</v>
      </c>
      <c r="J160" s="7" t="s">
        <v>141</v>
      </c>
      <c r="K160" s="7"/>
      <c r="L160" s="7" t="s">
        <v>121</v>
      </c>
      <c r="M160" s="7" t="s">
        <v>146</v>
      </c>
    </row>
    <row r="161">
      <c r="A161" s="20">
        <v>43813.0</v>
      </c>
      <c r="B161" s="7" t="s">
        <v>513</v>
      </c>
      <c r="C161" s="7" t="s">
        <v>124</v>
      </c>
      <c r="D161" s="7" t="s">
        <v>118</v>
      </c>
      <c r="E161" s="7" t="s">
        <v>514</v>
      </c>
      <c r="F161" s="14" t="s">
        <v>126</v>
      </c>
      <c r="G161" s="7" t="s">
        <v>120</v>
      </c>
      <c r="H161" s="7" t="s">
        <v>121</v>
      </c>
      <c r="I161" s="7" t="s">
        <v>122</v>
      </c>
      <c r="J161" s="7" t="s">
        <v>141</v>
      </c>
      <c r="K161" s="7" t="s">
        <v>181</v>
      </c>
      <c r="L161" s="7" t="s">
        <v>121</v>
      </c>
      <c r="M161" s="7" t="s">
        <v>510</v>
      </c>
    </row>
    <row r="162">
      <c r="A162" s="20">
        <v>43813.0</v>
      </c>
      <c r="B162" s="7" t="s">
        <v>515</v>
      </c>
      <c r="C162" s="7" t="s">
        <v>117</v>
      </c>
      <c r="D162" s="7" t="s">
        <v>125</v>
      </c>
      <c r="E162" s="7" t="s">
        <v>516</v>
      </c>
      <c r="F162" s="14" t="s">
        <v>207</v>
      </c>
      <c r="G162" s="7" t="s">
        <v>120</v>
      </c>
      <c r="H162" s="7" t="s">
        <v>121</v>
      </c>
      <c r="I162" s="7" t="s">
        <v>121</v>
      </c>
      <c r="J162" s="7" t="s">
        <v>141</v>
      </c>
      <c r="K162" s="7"/>
      <c r="L162" s="7" t="s">
        <v>121</v>
      </c>
      <c r="M162" s="7" t="s">
        <v>146</v>
      </c>
    </row>
    <row r="163">
      <c r="A163" s="20">
        <v>43813.0</v>
      </c>
      <c r="B163" s="7" t="s">
        <v>517</v>
      </c>
      <c r="C163" s="7" t="s">
        <v>117</v>
      </c>
      <c r="D163" s="7" t="s">
        <v>125</v>
      </c>
      <c r="E163" s="7" t="s">
        <v>518</v>
      </c>
      <c r="F163" s="14" t="s">
        <v>137</v>
      </c>
      <c r="G163" s="7" t="s">
        <v>120</v>
      </c>
      <c r="H163" s="7" t="s">
        <v>121</v>
      </c>
      <c r="I163" s="7" t="s">
        <v>122</v>
      </c>
      <c r="J163" s="7" t="s">
        <v>141</v>
      </c>
      <c r="K163" s="7" t="s">
        <v>181</v>
      </c>
      <c r="L163" s="7" t="s">
        <v>121</v>
      </c>
      <c r="M163" s="7" t="s">
        <v>146</v>
      </c>
    </row>
    <row r="164">
      <c r="A164" s="20">
        <v>43813.0</v>
      </c>
      <c r="B164" s="7" t="s">
        <v>519</v>
      </c>
      <c r="C164" s="7" t="s">
        <v>117</v>
      </c>
      <c r="D164" s="7" t="s">
        <v>125</v>
      </c>
      <c r="E164" s="7" t="s">
        <v>192</v>
      </c>
      <c r="F164" s="14" t="s">
        <v>137</v>
      </c>
      <c r="G164" s="7" t="s">
        <v>120</v>
      </c>
      <c r="H164" s="7" t="s">
        <v>121</v>
      </c>
      <c r="I164" s="7" t="s">
        <v>122</v>
      </c>
      <c r="J164" s="7" t="s">
        <v>141</v>
      </c>
      <c r="K164" s="7"/>
      <c r="L164" s="7" t="s">
        <v>121</v>
      </c>
      <c r="M164" s="7" t="s">
        <v>146</v>
      </c>
    </row>
    <row r="165">
      <c r="A165" s="20">
        <v>43813.0</v>
      </c>
      <c r="B165" s="7" t="s">
        <v>520</v>
      </c>
      <c r="C165" s="7" t="s">
        <v>191</v>
      </c>
      <c r="D165" s="7" t="s">
        <v>125</v>
      </c>
      <c r="E165" s="7" t="s">
        <v>412</v>
      </c>
      <c r="F165" s="14" t="s">
        <v>145</v>
      </c>
      <c r="G165" s="7" t="s">
        <v>120</v>
      </c>
      <c r="H165" s="7" t="s">
        <v>121</v>
      </c>
      <c r="I165" s="7" t="s">
        <v>122</v>
      </c>
      <c r="J165" s="7"/>
      <c r="K165" s="7"/>
      <c r="L165" s="7" t="s">
        <v>121</v>
      </c>
      <c r="M165" s="7" t="s">
        <v>146</v>
      </c>
    </row>
    <row r="166">
      <c r="A166" s="20">
        <v>43814.0</v>
      </c>
      <c r="B166" s="7" t="s">
        <v>521</v>
      </c>
      <c r="C166" s="7" t="s">
        <v>117</v>
      </c>
      <c r="D166" s="7" t="s">
        <v>118</v>
      </c>
      <c r="E166" s="7" t="s">
        <v>522</v>
      </c>
      <c r="F166" s="14" t="s">
        <v>150</v>
      </c>
      <c r="G166" s="7" t="s">
        <v>219</v>
      </c>
      <c r="H166" s="7" t="s">
        <v>121</v>
      </c>
      <c r="I166" s="7" t="s">
        <v>122</v>
      </c>
      <c r="J166" s="7" t="s">
        <v>141</v>
      </c>
      <c r="K166" s="7"/>
      <c r="L166" s="7" t="s">
        <v>121</v>
      </c>
      <c r="M166" s="7" t="s">
        <v>130</v>
      </c>
    </row>
    <row r="167">
      <c r="A167" s="20">
        <v>43813.0</v>
      </c>
      <c r="B167" s="7" t="s">
        <v>523</v>
      </c>
      <c r="C167" s="7" t="s">
        <v>191</v>
      </c>
      <c r="D167" s="7" t="s">
        <v>125</v>
      </c>
      <c r="E167" s="7" t="s">
        <v>357</v>
      </c>
      <c r="F167" s="14" t="s">
        <v>145</v>
      </c>
      <c r="G167" s="7" t="s">
        <v>120</v>
      </c>
      <c r="H167" s="7" t="s">
        <v>121</v>
      </c>
      <c r="I167" s="7" t="s">
        <v>121</v>
      </c>
      <c r="J167" s="7"/>
      <c r="K167" s="7" t="s">
        <v>181</v>
      </c>
      <c r="L167" s="7" t="s">
        <v>121</v>
      </c>
      <c r="M167" s="7" t="s">
        <v>146</v>
      </c>
    </row>
    <row r="168">
      <c r="A168" s="20">
        <v>43814.0</v>
      </c>
      <c r="B168" s="7" t="s">
        <v>524</v>
      </c>
      <c r="C168" s="7" t="s">
        <v>168</v>
      </c>
      <c r="D168" s="7" t="s">
        <v>125</v>
      </c>
      <c r="E168" s="7" t="s">
        <v>525</v>
      </c>
      <c r="F168" s="14" t="s">
        <v>175</v>
      </c>
      <c r="G168" s="7" t="s">
        <v>120</v>
      </c>
      <c r="H168" s="7" t="s">
        <v>121</v>
      </c>
      <c r="I168" s="7" t="s">
        <v>122</v>
      </c>
      <c r="J168" s="7" t="s">
        <v>526</v>
      </c>
      <c r="K168" s="7"/>
      <c r="L168" s="7" t="s">
        <v>121</v>
      </c>
      <c r="M168" s="7" t="s">
        <v>146</v>
      </c>
    </row>
    <row r="169">
      <c r="A169" s="20">
        <v>43815.0</v>
      </c>
      <c r="B169" s="7" t="s">
        <v>527</v>
      </c>
      <c r="C169" s="7" t="s">
        <v>124</v>
      </c>
      <c r="D169" s="7" t="s">
        <v>125</v>
      </c>
      <c r="E169" s="7" t="s">
        <v>157</v>
      </c>
      <c r="F169" s="14" t="s">
        <v>210</v>
      </c>
      <c r="G169" s="7" t="s">
        <v>120</v>
      </c>
      <c r="H169" s="7" t="s">
        <v>121</v>
      </c>
      <c r="I169" s="7" t="s">
        <v>122</v>
      </c>
      <c r="J169" s="7" t="s">
        <v>141</v>
      </c>
      <c r="K169" s="7" t="s">
        <v>307</v>
      </c>
      <c r="L169" s="7" t="s">
        <v>121</v>
      </c>
      <c r="M169" s="7" t="s">
        <v>146</v>
      </c>
    </row>
    <row r="170">
      <c r="A170" s="20">
        <v>43815.0</v>
      </c>
      <c r="B170" s="7" t="s">
        <v>528</v>
      </c>
      <c r="C170" s="7" t="s">
        <v>529</v>
      </c>
      <c r="D170" s="7" t="s">
        <v>125</v>
      </c>
      <c r="E170" s="7" t="s">
        <v>530</v>
      </c>
      <c r="F170" s="14" t="s">
        <v>531</v>
      </c>
      <c r="G170" s="7" t="s">
        <v>120</v>
      </c>
      <c r="H170" s="7" t="s">
        <v>121</v>
      </c>
      <c r="I170" s="7" t="s">
        <v>121</v>
      </c>
      <c r="J170" s="7" t="s">
        <v>442</v>
      </c>
      <c r="K170" s="7"/>
      <c r="L170" s="7" t="s">
        <v>121</v>
      </c>
      <c r="M170" s="7" t="s">
        <v>146</v>
      </c>
    </row>
    <row r="171">
      <c r="A171" s="19">
        <v>43808.0</v>
      </c>
      <c r="B171" s="7" t="s">
        <v>532</v>
      </c>
      <c r="C171" s="7" t="s">
        <v>281</v>
      </c>
      <c r="D171" s="7" t="s">
        <v>125</v>
      </c>
      <c r="E171" s="7" t="s">
        <v>293</v>
      </c>
      <c r="F171" s="14" t="s">
        <v>119</v>
      </c>
      <c r="G171" s="7" t="s">
        <v>120</v>
      </c>
      <c r="H171" s="7" t="s">
        <v>121</v>
      </c>
      <c r="I171" s="7" t="s">
        <v>122</v>
      </c>
      <c r="J171" s="7" t="s">
        <v>141</v>
      </c>
      <c r="K171" s="7"/>
      <c r="L171" s="7" t="s">
        <v>121</v>
      </c>
      <c r="M171" s="7" t="s">
        <v>146</v>
      </c>
    </row>
    <row r="172">
      <c r="A172" s="19">
        <v>43808.0</v>
      </c>
      <c r="B172" s="7" t="s">
        <v>533</v>
      </c>
      <c r="C172" s="7" t="s">
        <v>132</v>
      </c>
      <c r="D172" s="7" t="s">
        <v>125</v>
      </c>
      <c r="E172" s="7" t="s">
        <v>512</v>
      </c>
      <c r="F172" s="14" t="s">
        <v>170</v>
      </c>
      <c r="G172" s="7" t="s">
        <v>120</v>
      </c>
      <c r="H172" s="7" t="s">
        <v>121</v>
      </c>
      <c r="I172" s="7" t="s">
        <v>122</v>
      </c>
      <c r="J172" s="7" t="s">
        <v>240</v>
      </c>
      <c r="K172" s="7"/>
      <c r="L172" s="7" t="s">
        <v>121</v>
      </c>
      <c r="M172" s="7" t="s">
        <v>510</v>
      </c>
    </row>
    <row r="173">
      <c r="A173" s="19">
        <v>43808.0</v>
      </c>
      <c r="B173" s="7" t="s">
        <v>534</v>
      </c>
      <c r="C173" s="7" t="s">
        <v>132</v>
      </c>
      <c r="D173" s="7" t="s">
        <v>125</v>
      </c>
      <c r="E173" s="7" t="s">
        <v>535</v>
      </c>
      <c r="F173" s="14" t="s">
        <v>207</v>
      </c>
      <c r="G173" s="7" t="s">
        <v>120</v>
      </c>
      <c r="H173" s="7" t="s">
        <v>121</v>
      </c>
      <c r="I173" s="7" t="s">
        <v>122</v>
      </c>
      <c r="J173" s="7" t="s">
        <v>141</v>
      </c>
      <c r="K173" s="7"/>
      <c r="L173" s="7" t="s">
        <v>121</v>
      </c>
      <c r="M173" s="7" t="s">
        <v>146</v>
      </c>
    </row>
    <row r="174">
      <c r="A174" s="19">
        <v>43808.0</v>
      </c>
      <c r="B174" s="7" t="s">
        <v>536</v>
      </c>
      <c r="C174" s="7" t="s">
        <v>132</v>
      </c>
      <c r="D174" s="7" t="s">
        <v>125</v>
      </c>
      <c r="E174" s="7" t="s">
        <v>537</v>
      </c>
      <c r="F174" s="14" t="s">
        <v>129</v>
      </c>
      <c r="G174" s="7" t="s">
        <v>120</v>
      </c>
      <c r="H174" s="7" t="s">
        <v>121</v>
      </c>
      <c r="I174" s="7" t="s">
        <v>122</v>
      </c>
      <c r="J174" s="7" t="s">
        <v>240</v>
      </c>
      <c r="K174" s="7"/>
      <c r="L174" s="7" t="s">
        <v>121</v>
      </c>
      <c r="M174" s="7" t="s">
        <v>146</v>
      </c>
    </row>
    <row r="175">
      <c r="A175" s="19">
        <v>43808.0</v>
      </c>
      <c r="B175" s="7" t="s">
        <v>538</v>
      </c>
      <c r="C175" s="7" t="s">
        <v>179</v>
      </c>
      <c r="D175" s="7" t="s">
        <v>118</v>
      </c>
      <c r="E175" s="7" t="s">
        <v>539</v>
      </c>
      <c r="F175" s="14" t="s">
        <v>119</v>
      </c>
      <c r="G175" s="7" t="s">
        <v>120</v>
      </c>
      <c r="H175" s="7" t="s">
        <v>121</v>
      </c>
      <c r="I175" s="7" t="s">
        <v>122</v>
      </c>
      <c r="J175" s="7" t="s">
        <v>141</v>
      </c>
      <c r="K175" s="7"/>
      <c r="L175" s="7" t="s">
        <v>121</v>
      </c>
      <c r="M175" s="7" t="s">
        <v>510</v>
      </c>
    </row>
    <row r="176">
      <c r="A176" s="20">
        <v>43779.0</v>
      </c>
      <c r="B176" s="7" t="s">
        <v>540</v>
      </c>
      <c r="C176" s="7" t="s">
        <v>213</v>
      </c>
      <c r="D176" s="7" t="s">
        <v>125</v>
      </c>
      <c r="E176" s="7" t="s">
        <v>541</v>
      </c>
      <c r="F176" s="14" t="s">
        <v>214</v>
      </c>
      <c r="G176" s="7" t="s">
        <v>120</v>
      </c>
      <c r="H176" s="7" t="s">
        <v>121</v>
      </c>
      <c r="I176" s="7" t="s">
        <v>121</v>
      </c>
      <c r="J176" s="7" t="s">
        <v>445</v>
      </c>
      <c r="K176" s="7"/>
      <c r="L176" s="7" t="s">
        <v>121</v>
      </c>
      <c r="M176" s="7" t="s">
        <v>542</v>
      </c>
    </row>
    <row r="177">
      <c r="A177" s="20">
        <v>43779.0</v>
      </c>
      <c r="B177" s="7" t="s">
        <v>543</v>
      </c>
      <c r="C177" s="7" t="s">
        <v>15</v>
      </c>
      <c r="D177" s="7" t="s">
        <v>125</v>
      </c>
      <c r="E177" s="7" t="s">
        <v>544</v>
      </c>
      <c r="F177" s="14" t="s">
        <v>170</v>
      </c>
      <c r="G177" s="7" t="s">
        <v>120</v>
      </c>
      <c r="H177" s="7" t="s">
        <v>121</v>
      </c>
      <c r="I177" s="7" t="s">
        <v>122</v>
      </c>
      <c r="J177" s="7" t="s">
        <v>240</v>
      </c>
      <c r="K177" s="7"/>
      <c r="L177" s="7" t="s">
        <v>121</v>
      </c>
      <c r="M177" s="7" t="s">
        <v>542</v>
      </c>
    </row>
    <row r="178">
      <c r="A178" s="20">
        <v>43779.0</v>
      </c>
      <c r="B178" s="7" t="s">
        <v>545</v>
      </c>
      <c r="C178" s="7" t="s">
        <v>15</v>
      </c>
      <c r="D178" s="7" t="s">
        <v>125</v>
      </c>
      <c r="E178" s="7" t="s">
        <v>546</v>
      </c>
      <c r="F178" s="14" t="s">
        <v>150</v>
      </c>
      <c r="G178" s="7" t="s">
        <v>219</v>
      </c>
      <c r="H178" s="7" t="s">
        <v>121</v>
      </c>
      <c r="I178" s="7" t="s">
        <v>122</v>
      </c>
      <c r="J178" s="7" t="s">
        <v>151</v>
      </c>
      <c r="K178" s="7" t="s">
        <v>181</v>
      </c>
      <c r="L178" s="7" t="s">
        <v>121</v>
      </c>
      <c r="M178" s="7" t="s">
        <v>542</v>
      </c>
    </row>
    <row r="179">
      <c r="A179" s="20">
        <v>43779.0</v>
      </c>
      <c r="B179" s="7" t="s">
        <v>547</v>
      </c>
      <c r="C179" s="7" t="s">
        <v>132</v>
      </c>
      <c r="D179" s="7" t="s">
        <v>118</v>
      </c>
      <c r="E179" s="7" t="s">
        <v>548</v>
      </c>
      <c r="F179" s="14" t="s">
        <v>175</v>
      </c>
      <c r="G179" s="7" t="s">
        <v>120</v>
      </c>
      <c r="H179" s="7" t="s">
        <v>121</v>
      </c>
      <c r="I179" s="7" t="s">
        <v>122</v>
      </c>
      <c r="J179" s="7" t="s">
        <v>151</v>
      </c>
      <c r="K179" s="7" t="s">
        <v>181</v>
      </c>
      <c r="L179" s="7" t="s">
        <v>121</v>
      </c>
      <c r="M179" s="7" t="s">
        <v>542</v>
      </c>
    </row>
    <row r="180">
      <c r="A180" s="19">
        <v>43776.0</v>
      </c>
      <c r="B180" s="7" t="s">
        <v>549</v>
      </c>
      <c r="C180" s="7" t="s">
        <v>29</v>
      </c>
      <c r="D180" s="7" t="s">
        <v>125</v>
      </c>
      <c r="E180" s="7" t="s">
        <v>550</v>
      </c>
      <c r="F180" s="14" t="s">
        <v>207</v>
      </c>
      <c r="G180" s="7" t="s">
        <v>120</v>
      </c>
      <c r="H180" s="7" t="s">
        <v>121</v>
      </c>
      <c r="I180" s="7" t="s">
        <v>122</v>
      </c>
      <c r="J180" s="7" t="s">
        <v>551</v>
      </c>
      <c r="K180" s="7"/>
      <c r="L180" s="7" t="s">
        <v>121</v>
      </c>
      <c r="M180" s="7" t="s">
        <v>552</v>
      </c>
    </row>
    <row r="181">
      <c r="A181" s="19">
        <v>43776.0</v>
      </c>
      <c r="B181" s="7" t="s">
        <v>553</v>
      </c>
      <c r="C181" s="7" t="s">
        <v>29</v>
      </c>
      <c r="D181" s="7" t="s">
        <v>125</v>
      </c>
      <c r="E181" s="7" t="s">
        <v>554</v>
      </c>
      <c r="F181" s="14" t="s">
        <v>170</v>
      </c>
      <c r="G181" s="7" t="s">
        <v>120</v>
      </c>
      <c r="H181" s="7" t="s">
        <v>121</v>
      </c>
      <c r="I181" s="7" t="s">
        <v>122</v>
      </c>
      <c r="J181" s="7" t="s">
        <v>202</v>
      </c>
      <c r="K181" s="7"/>
      <c r="L181" s="7" t="s">
        <v>121</v>
      </c>
      <c r="M181" s="7" t="s">
        <v>552</v>
      </c>
    </row>
    <row r="182">
      <c r="A182" s="19">
        <v>43776.0</v>
      </c>
      <c r="B182" s="7" t="s">
        <v>555</v>
      </c>
      <c r="C182" s="7" t="s">
        <v>29</v>
      </c>
      <c r="D182" s="7" t="s">
        <v>125</v>
      </c>
      <c r="E182" s="7" t="s">
        <v>556</v>
      </c>
      <c r="F182" s="14" t="s">
        <v>150</v>
      </c>
      <c r="G182" s="7" t="s">
        <v>120</v>
      </c>
      <c r="H182" s="7" t="s">
        <v>121</v>
      </c>
      <c r="I182" s="7" t="s">
        <v>122</v>
      </c>
      <c r="J182" s="7" t="s">
        <v>159</v>
      </c>
      <c r="K182" s="7" t="s">
        <v>307</v>
      </c>
      <c r="L182" s="7" t="s">
        <v>121</v>
      </c>
      <c r="M182" s="7" t="s">
        <v>552</v>
      </c>
    </row>
    <row r="183">
      <c r="A183" s="19">
        <v>43776.0</v>
      </c>
      <c r="B183" s="7" t="s">
        <v>557</v>
      </c>
      <c r="C183" s="7" t="s">
        <v>29</v>
      </c>
      <c r="D183" s="7" t="s">
        <v>125</v>
      </c>
      <c r="E183" s="7" t="s">
        <v>364</v>
      </c>
      <c r="F183" s="14" t="s">
        <v>129</v>
      </c>
      <c r="G183" s="7" t="s">
        <v>120</v>
      </c>
      <c r="H183" s="7" t="s">
        <v>121</v>
      </c>
      <c r="I183" s="7" t="s">
        <v>122</v>
      </c>
      <c r="J183" s="7" t="s">
        <v>159</v>
      </c>
      <c r="K183" s="7"/>
      <c r="L183" s="7" t="s">
        <v>121</v>
      </c>
      <c r="M183" s="7" t="s">
        <v>552</v>
      </c>
    </row>
    <row r="184">
      <c r="A184" s="19">
        <v>43778.0</v>
      </c>
      <c r="B184" s="7" t="s">
        <v>558</v>
      </c>
      <c r="C184" s="7" t="s">
        <v>132</v>
      </c>
      <c r="D184" s="7" t="s">
        <v>125</v>
      </c>
      <c r="E184" s="7" t="s">
        <v>559</v>
      </c>
      <c r="F184" s="14" t="s">
        <v>207</v>
      </c>
      <c r="G184" s="7" t="s">
        <v>120</v>
      </c>
      <c r="H184" s="7" t="s">
        <v>121</v>
      </c>
      <c r="I184" s="7" t="s">
        <v>121</v>
      </c>
      <c r="J184" s="7" t="s">
        <v>141</v>
      </c>
      <c r="K184" s="7" t="s">
        <v>181</v>
      </c>
      <c r="L184" s="7" t="s">
        <v>121</v>
      </c>
      <c r="M184" s="7" t="s">
        <v>146</v>
      </c>
    </row>
    <row r="185">
      <c r="A185" s="19">
        <v>43778.0</v>
      </c>
      <c r="B185" s="7" t="s">
        <v>560</v>
      </c>
      <c r="C185" s="7" t="s">
        <v>132</v>
      </c>
      <c r="D185" s="7" t="s">
        <v>125</v>
      </c>
      <c r="E185" s="7" t="s">
        <v>218</v>
      </c>
      <c r="F185" s="14" t="s">
        <v>150</v>
      </c>
      <c r="G185" s="7" t="s">
        <v>120</v>
      </c>
      <c r="H185" s="7" t="s">
        <v>121</v>
      </c>
      <c r="I185" s="7" t="s">
        <v>121</v>
      </c>
      <c r="J185" s="7" t="s">
        <v>561</v>
      </c>
      <c r="K185" s="7"/>
      <c r="L185" s="7" t="s">
        <v>121</v>
      </c>
      <c r="M185" s="7" t="s">
        <v>146</v>
      </c>
    </row>
    <row r="186">
      <c r="A186" s="19">
        <v>43775.0</v>
      </c>
      <c r="B186" s="7" t="s">
        <v>562</v>
      </c>
      <c r="C186" s="7" t="s">
        <v>563</v>
      </c>
      <c r="D186" s="7" t="s">
        <v>125</v>
      </c>
      <c r="E186" s="7" t="s">
        <v>472</v>
      </c>
      <c r="F186" s="14" t="s">
        <v>145</v>
      </c>
      <c r="G186" s="7" t="s">
        <v>120</v>
      </c>
      <c r="H186" s="7" t="s">
        <v>121</v>
      </c>
      <c r="I186" s="7" t="s">
        <v>122</v>
      </c>
      <c r="J186" s="7" t="s">
        <v>141</v>
      </c>
      <c r="K186" s="7"/>
      <c r="L186" s="7" t="s">
        <v>121</v>
      </c>
      <c r="M186" s="7" t="s">
        <v>146</v>
      </c>
    </row>
    <row r="187">
      <c r="A187" s="19">
        <v>43775.0</v>
      </c>
      <c r="B187" s="7" t="s">
        <v>564</v>
      </c>
      <c r="C187" s="7" t="s">
        <v>27</v>
      </c>
      <c r="D187" s="7" t="s">
        <v>118</v>
      </c>
      <c r="E187" s="7" t="s">
        <v>565</v>
      </c>
      <c r="F187" s="14" t="s">
        <v>210</v>
      </c>
      <c r="G187" s="7" t="s">
        <v>120</v>
      </c>
      <c r="H187" s="7" t="s">
        <v>121</v>
      </c>
      <c r="I187" s="7" t="s">
        <v>122</v>
      </c>
      <c r="J187" s="7" t="s">
        <v>141</v>
      </c>
      <c r="K187" s="7" t="s">
        <v>307</v>
      </c>
      <c r="L187" s="7" t="s">
        <v>121</v>
      </c>
      <c r="M187" s="7" t="s">
        <v>146</v>
      </c>
    </row>
    <row r="188">
      <c r="A188" s="19">
        <v>43774.0</v>
      </c>
      <c r="B188" s="7" t="s">
        <v>566</v>
      </c>
      <c r="C188" s="7" t="s">
        <v>139</v>
      </c>
      <c r="D188" s="7" t="s">
        <v>125</v>
      </c>
      <c r="E188" s="7" t="s">
        <v>567</v>
      </c>
      <c r="F188" s="14" t="s">
        <v>129</v>
      </c>
      <c r="G188" s="7" t="s">
        <v>120</v>
      </c>
      <c r="H188" s="7" t="s">
        <v>121</v>
      </c>
      <c r="I188" s="7" t="s">
        <v>122</v>
      </c>
      <c r="J188" s="7" t="s">
        <v>423</v>
      </c>
      <c r="K188" s="7"/>
      <c r="L188" s="7" t="s">
        <v>121</v>
      </c>
      <c r="M188" s="7" t="s">
        <v>146</v>
      </c>
    </row>
    <row r="189">
      <c r="A189" s="19">
        <v>43774.0</v>
      </c>
      <c r="B189" s="7" t="s">
        <v>568</v>
      </c>
      <c r="C189" s="7" t="s">
        <v>139</v>
      </c>
      <c r="D189" s="7" t="s">
        <v>125</v>
      </c>
      <c r="E189" s="7" t="s">
        <v>569</v>
      </c>
      <c r="F189" s="14" t="s">
        <v>175</v>
      </c>
      <c r="G189" s="7" t="s">
        <v>120</v>
      </c>
      <c r="H189" s="7" t="s">
        <v>121</v>
      </c>
      <c r="I189" s="7" t="s">
        <v>122</v>
      </c>
      <c r="J189" s="7" t="s">
        <v>423</v>
      </c>
      <c r="K189" s="7" t="s">
        <v>181</v>
      </c>
      <c r="L189" s="7" t="s">
        <v>121</v>
      </c>
      <c r="M189" s="7" t="s">
        <v>552</v>
      </c>
    </row>
    <row r="190">
      <c r="A190" s="19">
        <v>43774.0</v>
      </c>
      <c r="B190" s="7" t="s">
        <v>570</v>
      </c>
      <c r="C190" s="7" t="s">
        <v>139</v>
      </c>
      <c r="D190" s="7" t="s">
        <v>125</v>
      </c>
      <c r="E190" s="7" t="s">
        <v>571</v>
      </c>
      <c r="F190" s="14" t="s">
        <v>137</v>
      </c>
      <c r="G190" s="7" t="s">
        <v>120</v>
      </c>
      <c r="H190" s="7" t="s">
        <v>121</v>
      </c>
      <c r="I190" s="7" t="s">
        <v>122</v>
      </c>
      <c r="J190" s="7" t="s">
        <v>141</v>
      </c>
      <c r="K190" s="7"/>
      <c r="L190" s="7" t="s">
        <v>121</v>
      </c>
      <c r="M190" s="7" t="s">
        <v>552</v>
      </c>
    </row>
    <row r="191">
      <c r="A191" s="19">
        <v>43772.0</v>
      </c>
      <c r="B191" s="7" t="s">
        <v>572</v>
      </c>
      <c r="C191" s="7" t="s">
        <v>311</v>
      </c>
      <c r="D191" s="7" t="s">
        <v>125</v>
      </c>
      <c r="E191" s="7" t="s">
        <v>573</v>
      </c>
      <c r="F191" s="14" t="s">
        <v>210</v>
      </c>
      <c r="G191" s="7" t="s">
        <v>120</v>
      </c>
      <c r="H191" s="7" t="s">
        <v>121</v>
      </c>
      <c r="I191" s="7" t="s">
        <v>122</v>
      </c>
      <c r="J191" s="7" t="s">
        <v>141</v>
      </c>
      <c r="K191" s="7" t="s">
        <v>307</v>
      </c>
      <c r="L191" s="7" t="s">
        <v>121</v>
      </c>
      <c r="M191" s="7" t="s">
        <v>574</v>
      </c>
    </row>
    <row r="192">
      <c r="A192" s="19">
        <v>43771.0</v>
      </c>
      <c r="B192" s="7" t="s">
        <v>575</v>
      </c>
      <c r="C192" s="7" t="s">
        <v>576</v>
      </c>
      <c r="D192" s="7" t="s">
        <v>125</v>
      </c>
      <c r="E192" s="7" t="s">
        <v>577</v>
      </c>
      <c r="F192" s="14" t="s">
        <v>360</v>
      </c>
      <c r="G192" s="7" t="s">
        <v>120</v>
      </c>
      <c r="H192" s="7" t="s">
        <v>121</v>
      </c>
      <c r="I192" s="7" t="s">
        <v>121</v>
      </c>
      <c r="J192" s="7" t="s">
        <v>578</v>
      </c>
      <c r="K192" s="7"/>
      <c r="L192" s="7" t="s">
        <v>121</v>
      </c>
      <c r="M192" s="7" t="s">
        <v>552</v>
      </c>
    </row>
    <row r="193">
      <c r="A193" s="19">
        <v>43771.0</v>
      </c>
      <c r="B193" s="7" t="s">
        <v>579</v>
      </c>
      <c r="C193" s="7" t="s">
        <v>580</v>
      </c>
      <c r="D193" s="7" t="s">
        <v>125</v>
      </c>
      <c r="E193" s="7" t="s">
        <v>396</v>
      </c>
      <c r="F193" s="14" t="s">
        <v>349</v>
      </c>
      <c r="G193" s="7" t="s">
        <v>120</v>
      </c>
      <c r="H193" s="7" t="s">
        <v>121</v>
      </c>
      <c r="I193" s="7" t="s">
        <v>121</v>
      </c>
      <c r="J193" s="7" t="s">
        <v>581</v>
      </c>
      <c r="K193" s="7"/>
      <c r="L193" s="7" t="s">
        <v>121</v>
      </c>
      <c r="M193" s="7" t="s">
        <v>552</v>
      </c>
    </row>
    <row r="194">
      <c r="A194" s="19">
        <v>43772.0</v>
      </c>
      <c r="B194" s="7" t="s">
        <v>582</v>
      </c>
      <c r="C194" s="7" t="s">
        <v>124</v>
      </c>
      <c r="D194" s="7" t="s">
        <v>118</v>
      </c>
      <c r="E194" s="7" t="s">
        <v>583</v>
      </c>
      <c r="F194" s="14" t="s">
        <v>441</v>
      </c>
      <c r="G194" s="7" t="s">
        <v>120</v>
      </c>
      <c r="H194" s="7" t="s">
        <v>121</v>
      </c>
      <c r="I194" s="7" t="s">
        <v>121</v>
      </c>
      <c r="J194" s="7" t="s">
        <v>141</v>
      </c>
      <c r="K194" s="7"/>
      <c r="L194" s="7" t="s">
        <v>121</v>
      </c>
      <c r="M194" s="7" t="s">
        <v>584</v>
      </c>
    </row>
    <row r="195">
      <c r="A195" s="20">
        <v>43769.0</v>
      </c>
      <c r="B195" s="7" t="s">
        <v>585</v>
      </c>
      <c r="C195" s="7" t="s">
        <v>132</v>
      </c>
      <c r="D195" s="7" t="s">
        <v>125</v>
      </c>
      <c r="E195" s="7" t="s">
        <v>586</v>
      </c>
      <c r="F195" s="14" t="s">
        <v>150</v>
      </c>
      <c r="G195" s="7" t="s">
        <v>219</v>
      </c>
      <c r="H195" s="7" t="s">
        <v>121</v>
      </c>
      <c r="I195" s="7" t="s">
        <v>122</v>
      </c>
      <c r="J195" s="7" t="s">
        <v>202</v>
      </c>
      <c r="K195" s="7"/>
      <c r="L195" s="7" t="s">
        <v>121</v>
      </c>
      <c r="M195" s="7" t="s">
        <v>391</v>
      </c>
    </row>
    <row r="196">
      <c r="A196" s="20">
        <v>43769.0</v>
      </c>
      <c r="B196" s="7" t="s">
        <v>587</v>
      </c>
      <c r="C196" s="7" t="s">
        <v>132</v>
      </c>
      <c r="D196" s="7" t="s">
        <v>125</v>
      </c>
      <c r="E196" s="7" t="s">
        <v>234</v>
      </c>
      <c r="F196" s="14" t="s">
        <v>175</v>
      </c>
      <c r="G196" s="7" t="s">
        <v>219</v>
      </c>
      <c r="H196" s="7" t="s">
        <v>121</v>
      </c>
      <c r="I196" s="7" t="s">
        <v>122</v>
      </c>
      <c r="J196" s="7" t="s">
        <v>202</v>
      </c>
      <c r="K196" s="7"/>
      <c r="L196" s="7" t="s">
        <v>121</v>
      </c>
      <c r="M196" s="7" t="s">
        <v>146</v>
      </c>
    </row>
    <row r="197">
      <c r="A197" s="20">
        <v>43768.0</v>
      </c>
      <c r="B197" s="7" t="s">
        <v>588</v>
      </c>
      <c r="C197" s="7" t="s">
        <v>29</v>
      </c>
      <c r="D197" s="7" t="s">
        <v>125</v>
      </c>
      <c r="E197" s="7" t="s">
        <v>569</v>
      </c>
      <c r="F197" s="14" t="s">
        <v>214</v>
      </c>
      <c r="G197" s="7" t="s">
        <v>120</v>
      </c>
      <c r="H197" s="7" t="s">
        <v>121</v>
      </c>
      <c r="I197" s="7" t="s">
        <v>121</v>
      </c>
      <c r="J197" s="7" t="s">
        <v>589</v>
      </c>
      <c r="K197" s="7" t="s">
        <v>235</v>
      </c>
      <c r="L197" s="7" t="s">
        <v>121</v>
      </c>
      <c r="M197" s="7" t="s">
        <v>146</v>
      </c>
    </row>
    <row r="198">
      <c r="A198" s="20">
        <v>43768.0</v>
      </c>
      <c r="B198" s="7" t="s">
        <v>590</v>
      </c>
      <c r="C198" s="7" t="s">
        <v>29</v>
      </c>
      <c r="D198" s="7" t="s">
        <v>125</v>
      </c>
      <c r="E198" s="7" t="s">
        <v>591</v>
      </c>
      <c r="F198" s="14" t="s">
        <v>207</v>
      </c>
      <c r="G198" s="7" t="s">
        <v>120</v>
      </c>
      <c r="H198" s="7" t="s">
        <v>121</v>
      </c>
      <c r="I198" s="7" t="s">
        <v>122</v>
      </c>
      <c r="J198" s="7" t="s">
        <v>592</v>
      </c>
      <c r="K198" s="7" t="s">
        <v>299</v>
      </c>
      <c r="L198" s="7" t="s">
        <v>121</v>
      </c>
      <c r="M198" s="7" t="s">
        <v>355</v>
      </c>
    </row>
    <row r="199">
      <c r="A199" s="20">
        <v>43767.0</v>
      </c>
      <c r="B199" s="7" t="s">
        <v>593</v>
      </c>
      <c r="C199" s="7" t="s">
        <v>17</v>
      </c>
      <c r="D199" s="7" t="s">
        <v>125</v>
      </c>
      <c r="E199" s="7" t="s">
        <v>594</v>
      </c>
      <c r="F199" s="14" t="s">
        <v>145</v>
      </c>
      <c r="G199" s="7" t="s">
        <v>120</v>
      </c>
      <c r="H199" s="7" t="s">
        <v>121</v>
      </c>
      <c r="I199" s="7" t="s">
        <v>122</v>
      </c>
      <c r="J199" s="7" t="s">
        <v>141</v>
      </c>
      <c r="K199" s="7"/>
      <c r="L199" s="7" t="s">
        <v>121</v>
      </c>
      <c r="M199" s="7" t="s">
        <v>146</v>
      </c>
    </row>
    <row r="200">
      <c r="A200" s="20">
        <v>43767.0</v>
      </c>
      <c r="B200" s="7" t="s">
        <v>595</v>
      </c>
      <c r="C200" s="7" t="s">
        <v>17</v>
      </c>
      <c r="D200" s="7" t="s">
        <v>125</v>
      </c>
      <c r="E200" s="7" t="s">
        <v>596</v>
      </c>
      <c r="F200" s="14" t="s">
        <v>119</v>
      </c>
      <c r="G200" s="7" t="s">
        <v>120</v>
      </c>
      <c r="H200" s="7" t="s">
        <v>121</v>
      </c>
      <c r="I200" s="7" t="s">
        <v>122</v>
      </c>
      <c r="J200" s="7" t="s">
        <v>141</v>
      </c>
      <c r="K200" s="7" t="s">
        <v>307</v>
      </c>
      <c r="L200" s="7" t="s">
        <v>121</v>
      </c>
      <c r="M200" s="7" t="s">
        <v>391</v>
      </c>
    </row>
    <row r="201">
      <c r="A201" s="20">
        <v>43767.0</v>
      </c>
      <c r="B201" s="7" t="s">
        <v>597</v>
      </c>
      <c r="C201" s="7" t="s">
        <v>17</v>
      </c>
      <c r="D201" s="7" t="s">
        <v>125</v>
      </c>
      <c r="E201" s="7" t="s">
        <v>257</v>
      </c>
      <c r="F201" s="14" t="s">
        <v>119</v>
      </c>
      <c r="G201" s="7" t="s">
        <v>120</v>
      </c>
      <c r="H201" s="7" t="s">
        <v>121</v>
      </c>
      <c r="I201" s="7" t="s">
        <v>122</v>
      </c>
      <c r="J201" s="7" t="s">
        <v>141</v>
      </c>
      <c r="K201" s="7"/>
      <c r="L201" s="7" t="s">
        <v>121</v>
      </c>
      <c r="M201" s="7" t="s">
        <v>146</v>
      </c>
    </row>
    <row r="202">
      <c r="A202" s="20">
        <v>43767.0</v>
      </c>
      <c r="B202" s="7" t="s">
        <v>598</v>
      </c>
      <c r="C202" s="7" t="s">
        <v>378</v>
      </c>
      <c r="D202" s="7" t="s">
        <v>125</v>
      </c>
      <c r="E202" s="7" t="s">
        <v>252</v>
      </c>
      <c r="F202" s="14" t="s">
        <v>318</v>
      </c>
      <c r="G202" s="7" t="s">
        <v>120</v>
      </c>
      <c r="H202" s="7" t="s">
        <v>121</v>
      </c>
      <c r="I202" s="7" t="s">
        <v>122</v>
      </c>
      <c r="J202" s="7" t="s">
        <v>599</v>
      </c>
      <c r="K202" s="7"/>
      <c r="L202" s="7" t="s">
        <v>121</v>
      </c>
      <c r="M202" s="7" t="s">
        <v>355</v>
      </c>
    </row>
    <row r="203">
      <c r="A203" s="20">
        <v>43815.0</v>
      </c>
      <c r="B203" s="7" t="s">
        <v>600</v>
      </c>
      <c r="C203" s="7" t="s">
        <v>601</v>
      </c>
      <c r="D203" s="7" t="s">
        <v>125</v>
      </c>
      <c r="E203" s="7" t="s">
        <v>317</v>
      </c>
      <c r="F203" s="14" t="s">
        <v>349</v>
      </c>
      <c r="G203" s="7" t="s">
        <v>120</v>
      </c>
      <c r="H203" s="7" t="s">
        <v>121</v>
      </c>
      <c r="I203" s="7" t="s">
        <v>121</v>
      </c>
      <c r="J203" s="7" t="s">
        <v>602</v>
      </c>
      <c r="K203" s="7"/>
      <c r="L203" s="7" t="s">
        <v>121</v>
      </c>
      <c r="M203" s="7" t="s">
        <v>130</v>
      </c>
    </row>
    <row r="204">
      <c r="A204" s="20">
        <v>43814.0</v>
      </c>
      <c r="B204" s="7" t="s">
        <v>603</v>
      </c>
      <c r="C204" s="7" t="s">
        <v>179</v>
      </c>
      <c r="D204" s="7" t="s">
        <v>125</v>
      </c>
      <c r="E204" s="7" t="s">
        <v>416</v>
      </c>
      <c r="F204" s="14" t="s">
        <v>137</v>
      </c>
      <c r="G204" s="7" t="s">
        <v>120</v>
      </c>
      <c r="H204" s="7" t="s">
        <v>121</v>
      </c>
      <c r="I204" s="7" t="s">
        <v>122</v>
      </c>
      <c r="J204" s="7" t="s">
        <v>141</v>
      </c>
      <c r="K204" s="7"/>
      <c r="L204" s="7" t="s">
        <v>121</v>
      </c>
      <c r="M204" s="7" t="s">
        <v>146</v>
      </c>
    </row>
    <row r="205">
      <c r="A205" s="20">
        <v>43816.0</v>
      </c>
      <c r="B205" s="7" t="s">
        <v>604</v>
      </c>
      <c r="C205" s="7" t="s">
        <v>23</v>
      </c>
      <c r="D205" s="7" t="s">
        <v>125</v>
      </c>
      <c r="E205" s="7" t="s">
        <v>530</v>
      </c>
      <c r="F205" s="14" t="s">
        <v>150</v>
      </c>
      <c r="G205" s="7" t="s">
        <v>120</v>
      </c>
      <c r="H205" s="7" t="s">
        <v>121</v>
      </c>
      <c r="I205" s="7" t="s">
        <v>122</v>
      </c>
      <c r="J205" s="7" t="s">
        <v>151</v>
      </c>
      <c r="K205" s="7"/>
      <c r="L205" s="7" t="s">
        <v>121</v>
      </c>
      <c r="M205" s="7" t="s">
        <v>146</v>
      </c>
    </row>
    <row r="206">
      <c r="A206" s="20">
        <v>43816.0</v>
      </c>
      <c r="B206" s="7" t="s">
        <v>605</v>
      </c>
      <c r="C206" s="7" t="s">
        <v>606</v>
      </c>
      <c r="D206" s="7" t="s">
        <v>125</v>
      </c>
      <c r="E206" s="7" t="s">
        <v>607</v>
      </c>
      <c r="F206" s="14" t="s">
        <v>491</v>
      </c>
      <c r="G206" s="7" t="s">
        <v>120</v>
      </c>
      <c r="H206" s="7" t="s">
        <v>121</v>
      </c>
      <c r="I206" s="7" t="s">
        <v>121</v>
      </c>
      <c r="J206" s="7" t="s">
        <v>141</v>
      </c>
      <c r="K206" s="7"/>
      <c r="L206" s="7" t="s">
        <v>121</v>
      </c>
      <c r="M206" s="7" t="s">
        <v>146</v>
      </c>
    </row>
    <row r="207">
      <c r="A207" s="19">
        <v>43840.0</v>
      </c>
      <c r="B207" s="7" t="s">
        <v>608</v>
      </c>
      <c r="C207" s="7" t="s">
        <v>17</v>
      </c>
      <c r="D207" s="7" t="s">
        <v>125</v>
      </c>
      <c r="E207" s="7" t="s">
        <v>609</v>
      </c>
      <c r="F207" s="14" t="s">
        <v>134</v>
      </c>
      <c r="G207" s="7" t="s">
        <v>120</v>
      </c>
      <c r="H207" s="7" t="s">
        <v>121</v>
      </c>
      <c r="I207" s="7" t="s">
        <v>122</v>
      </c>
      <c r="J207" s="7" t="s">
        <v>141</v>
      </c>
      <c r="K207" s="7"/>
      <c r="L207" s="7" t="s">
        <v>121</v>
      </c>
      <c r="M207" s="7" t="s">
        <v>355</v>
      </c>
    </row>
    <row r="208">
      <c r="A208" s="19">
        <v>43841.0</v>
      </c>
      <c r="B208" s="7" t="s">
        <v>610</v>
      </c>
      <c r="C208" s="7" t="s">
        <v>124</v>
      </c>
      <c r="D208" s="7" t="s">
        <v>125</v>
      </c>
      <c r="E208" s="7" t="s">
        <v>465</v>
      </c>
      <c r="F208" s="14" t="s">
        <v>150</v>
      </c>
      <c r="G208" s="7" t="s">
        <v>120</v>
      </c>
      <c r="H208" s="7" t="s">
        <v>121</v>
      </c>
      <c r="I208" s="7" t="s">
        <v>121</v>
      </c>
      <c r="J208" s="7" t="s">
        <v>611</v>
      </c>
      <c r="K208" s="7"/>
      <c r="L208" s="7" t="s">
        <v>121</v>
      </c>
      <c r="M208" s="7" t="s">
        <v>612</v>
      </c>
    </row>
    <row r="209">
      <c r="A209" s="19">
        <v>43841.0</v>
      </c>
      <c r="B209" s="7" t="s">
        <v>613</v>
      </c>
      <c r="C209" s="7" t="s">
        <v>311</v>
      </c>
      <c r="D209" s="7" t="s">
        <v>125</v>
      </c>
      <c r="E209" s="7" t="s">
        <v>614</v>
      </c>
      <c r="F209" s="14" t="s">
        <v>158</v>
      </c>
      <c r="G209" s="7" t="s">
        <v>219</v>
      </c>
      <c r="H209" s="7" t="s">
        <v>121</v>
      </c>
      <c r="I209" s="7" t="s">
        <v>121</v>
      </c>
      <c r="J209" s="7" t="s">
        <v>615</v>
      </c>
      <c r="K209" s="7"/>
      <c r="L209" s="7" t="s">
        <v>121</v>
      </c>
      <c r="M209" s="7" t="s">
        <v>146</v>
      </c>
    </row>
    <row r="210">
      <c r="A210" s="19">
        <v>43842.0</v>
      </c>
      <c r="B210" s="17" t="s">
        <v>616</v>
      </c>
      <c r="C210" s="7" t="s">
        <v>132</v>
      </c>
      <c r="D210" s="7" t="s">
        <v>125</v>
      </c>
      <c r="E210" s="7" t="s">
        <v>518</v>
      </c>
      <c r="F210" s="14" t="s">
        <v>175</v>
      </c>
      <c r="G210" s="7" t="s">
        <v>120</v>
      </c>
      <c r="H210" s="7" t="s">
        <v>121</v>
      </c>
      <c r="I210" s="7" t="s">
        <v>122</v>
      </c>
      <c r="J210" s="17" t="s">
        <v>240</v>
      </c>
      <c r="K210" s="7"/>
      <c r="L210" s="7" t="s">
        <v>121</v>
      </c>
      <c r="M210" s="7" t="s">
        <v>355</v>
      </c>
    </row>
    <row r="211">
      <c r="A211" s="19">
        <v>43842.0</v>
      </c>
      <c r="B211" s="17" t="s">
        <v>617</v>
      </c>
      <c r="C211" s="7" t="s">
        <v>132</v>
      </c>
      <c r="D211" s="7" t="s">
        <v>125</v>
      </c>
      <c r="E211" s="7" t="s">
        <v>230</v>
      </c>
      <c r="F211" s="14" t="s">
        <v>150</v>
      </c>
      <c r="G211" s="7" t="s">
        <v>219</v>
      </c>
      <c r="H211" s="7" t="s">
        <v>121</v>
      </c>
      <c r="I211" s="7" t="s">
        <v>122</v>
      </c>
      <c r="J211" s="17" t="s">
        <v>240</v>
      </c>
      <c r="K211" s="7"/>
      <c r="L211" s="7" t="s">
        <v>121</v>
      </c>
      <c r="M211" s="7" t="s">
        <v>355</v>
      </c>
    </row>
    <row r="212">
      <c r="A212" s="19">
        <v>43842.0</v>
      </c>
      <c r="B212" s="7" t="s">
        <v>618</v>
      </c>
      <c r="C212" s="7" t="s">
        <v>132</v>
      </c>
      <c r="D212" s="7" t="s">
        <v>125</v>
      </c>
      <c r="E212" s="7" t="s">
        <v>619</v>
      </c>
      <c r="F212" s="14" t="s">
        <v>175</v>
      </c>
      <c r="G212" s="7" t="s">
        <v>120</v>
      </c>
      <c r="H212" s="7" t="s">
        <v>121</v>
      </c>
      <c r="I212" s="7" t="s">
        <v>122</v>
      </c>
      <c r="J212" s="7" t="s">
        <v>240</v>
      </c>
      <c r="K212" s="7"/>
      <c r="L212" s="7" t="s">
        <v>121</v>
      </c>
      <c r="M212" s="7" t="s">
        <v>355</v>
      </c>
    </row>
    <row r="213">
      <c r="A213" s="19">
        <v>43842.0</v>
      </c>
      <c r="B213" s="7" t="s">
        <v>620</v>
      </c>
      <c r="C213" s="7" t="s">
        <v>132</v>
      </c>
      <c r="D213" s="7" t="s">
        <v>125</v>
      </c>
      <c r="E213" s="7" t="s">
        <v>192</v>
      </c>
      <c r="F213" s="14" t="s">
        <v>170</v>
      </c>
      <c r="G213" s="7" t="s">
        <v>120</v>
      </c>
      <c r="H213" s="7" t="s">
        <v>121</v>
      </c>
      <c r="I213" s="7" t="s">
        <v>122</v>
      </c>
      <c r="J213" s="7" t="s">
        <v>445</v>
      </c>
      <c r="K213" s="7"/>
      <c r="L213" s="7" t="s">
        <v>121</v>
      </c>
      <c r="M213" s="7" t="s">
        <v>355</v>
      </c>
    </row>
    <row r="214">
      <c r="A214" s="19">
        <v>43842.0</v>
      </c>
      <c r="B214" s="7" t="s">
        <v>621</v>
      </c>
      <c r="C214" s="7" t="s">
        <v>132</v>
      </c>
      <c r="D214" s="7" t="s">
        <v>125</v>
      </c>
      <c r="E214" s="7" t="s">
        <v>252</v>
      </c>
      <c r="F214" s="14" t="s">
        <v>207</v>
      </c>
      <c r="G214" s="7" t="s">
        <v>120</v>
      </c>
      <c r="H214" s="7" t="s">
        <v>121</v>
      </c>
      <c r="I214" s="7" t="s">
        <v>122</v>
      </c>
      <c r="J214" s="7" t="s">
        <v>141</v>
      </c>
      <c r="K214" s="7"/>
      <c r="L214" s="7" t="s">
        <v>121</v>
      </c>
      <c r="M214" s="7" t="s">
        <v>355</v>
      </c>
    </row>
    <row r="215">
      <c r="A215" s="19">
        <v>43842.0</v>
      </c>
      <c r="B215" s="7" t="s">
        <v>622</v>
      </c>
      <c r="C215" s="7" t="s">
        <v>132</v>
      </c>
      <c r="D215" s="7" t="s">
        <v>125</v>
      </c>
      <c r="E215" s="7" t="s">
        <v>346</v>
      </c>
      <c r="F215" s="14" t="s">
        <v>210</v>
      </c>
      <c r="G215" s="7" t="s">
        <v>120</v>
      </c>
      <c r="H215" s="7" t="s">
        <v>121</v>
      </c>
      <c r="I215" s="7" t="s">
        <v>122</v>
      </c>
      <c r="J215" s="7" t="s">
        <v>141</v>
      </c>
      <c r="K215" s="7" t="s">
        <v>623</v>
      </c>
      <c r="L215" s="7" t="s">
        <v>121</v>
      </c>
      <c r="M215" s="7" t="s">
        <v>355</v>
      </c>
    </row>
    <row r="216">
      <c r="A216" s="19">
        <v>43843.0</v>
      </c>
      <c r="B216" s="7" t="s">
        <v>624</v>
      </c>
      <c r="C216" s="7" t="s">
        <v>625</v>
      </c>
      <c r="D216" s="7" t="s">
        <v>125</v>
      </c>
      <c r="E216" s="7" t="s">
        <v>626</v>
      </c>
      <c r="F216" s="14" t="s">
        <v>162</v>
      </c>
      <c r="G216" s="7" t="s">
        <v>120</v>
      </c>
      <c r="H216" s="7" t="s">
        <v>121</v>
      </c>
      <c r="I216" s="7" t="s">
        <v>121</v>
      </c>
      <c r="J216" s="7" t="s">
        <v>627</v>
      </c>
      <c r="K216" s="7"/>
      <c r="L216" s="7" t="s">
        <v>121</v>
      </c>
      <c r="M216" s="7" t="s">
        <v>130</v>
      </c>
    </row>
    <row r="217">
      <c r="A217" s="19">
        <v>43843.0</v>
      </c>
      <c r="B217" s="7" t="s">
        <v>628</v>
      </c>
      <c r="C217" s="7" t="s">
        <v>29</v>
      </c>
      <c r="D217" s="7" t="s">
        <v>125</v>
      </c>
      <c r="E217" s="7" t="s">
        <v>204</v>
      </c>
      <c r="F217" s="14" t="s">
        <v>150</v>
      </c>
      <c r="G217" s="7" t="s">
        <v>120</v>
      </c>
      <c r="H217" s="7" t="s">
        <v>121</v>
      </c>
      <c r="I217" s="7" t="s">
        <v>122</v>
      </c>
      <c r="J217" s="7" t="s">
        <v>561</v>
      </c>
      <c r="K217" s="7" t="s">
        <v>181</v>
      </c>
      <c r="L217" s="7" t="s">
        <v>121</v>
      </c>
      <c r="M217" s="7" t="s">
        <v>355</v>
      </c>
    </row>
    <row r="218">
      <c r="A218" s="19">
        <v>43843.0</v>
      </c>
      <c r="B218" s="7" t="s">
        <v>629</v>
      </c>
      <c r="C218" s="7" t="s">
        <v>29</v>
      </c>
      <c r="D218" s="7" t="s">
        <v>125</v>
      </c>
      <c r="E218" s="7" t="s">
        <v>188</v>
      </c>
      <c r="F218" s="14" t="s">
        <v>129</v>
      </c>
      <c r="G218" s="7" t="s">
        <v>120</v>
      </c>
      <c r="H218" s="7" t="s">
        <v>121</v>
      </c>
      <c r="I218" s="7" t="s">
        <v>122</v>
      </c>
      <c r="J218" s="7" t="s">
        <v>445</v>
      </c>
      <c r="K218" s="7"/>
      <c r="L218" s="7" t="s">
        <v>121</v>
      </c>
      <c r="M218" s="7" t="s">
        <v>146</v>
      </c>
    </row>
    <row r="219">
      <c r="A219" s="19">
        <v>43843.0</v>
      </c>
      <c r="B219" s="7" t="s">
        <v>630</v>
      </c>
      <c r="C219" s="7" t="s">
        <v>29</v>
      </c>
      <c r="D219" s="7" t="s">
        <v>125</v>
      </c>
      <c r="E219" s="7" t="s">
        <v>218</v>
      </c>
      <c r="F219" s="14" t="s">
        <v>119</v>
      </c>
      <c r="G219" s="7" t="s">
        <v>120</v>
      </c>
      <c r="H219" s="7" t="s">
        <v>121</v>
      </c>
      <c r="I219" s="7" t="s">
        <v>121</v>
      </c>
      <c r="J219" s="7" t="s">
        <v>240</v>
      </c>
      <c r="K219" s="7"/>
      <c r="L219" s="7" t="s">
        <v>121</v>
      </c>
      <c r="M219" s="7" t="s">
        <v>355</v>
      </c>
    </row>
    <row r="220">
      <c r="A220" s="19">
        <v>43844.0</v>
      </c>
      <c r="B220" s="7" t="s">
        <v>631</v>
      </c>
      <c r="C220" s="7" t="s">
        <v>168</v>
      </c>
      <c r="D220" s="7" t="s">
        <v>125</v>
      </c>
      <c r="E220" s="7" t="s">
        <v>250</v>
      </c>
      <c r="F220" s="14" t="s">
        <v>129</v>
      </c>
      <c r="G220" s="7" t="s">
        <v>120</v>
      </c>
      <c r="H220" s="7" t="s">
        <v>121</v>
      </c>
      <c r="I220" s="7" t="s">
        <v>121</v>
      </c>
      <c r="J220" s="7" t="s">
        <v>240</v>
      </c>
      <c r="K220" s="7"/>
      <c r="L220" s="7" t="s">
        <v>121</v>
      </c>
      <c r="M220" s="7" t="s">
        <v>146</v>
      </c>
    </row>
    <row r="221">
      <c r="A221" s="19">
        <v>43844.0</v>
      </c>
      <c r="B221" s="7" t="s">
        <v>632</v>
      </c>
      <c r="C221" s="7" t="s">
        <v>179</v>
      </c>
      <c r="D221" s="7" t="s">
        <v>125</v>
      </c>
      <c r="E221" s="7" t="s">
        <v>398</v>
      </c>
      <c r="F221" s="14" t="s">
        <v>137</v>
      </c>
      <c r="G221" s="7" t="s">
        <v>120</v>
      </c>
      <c r="H221" s="7" t="s">
        <v>121</v>
      </c>
      <c r="I221" s="7" t="s">
        <v>121</v>
      </c>
      <c r="J221" s="7" t="s">
        <v>141</v>
      </c>
      <c r="K221" s="7"/>
      <c r="L221" s="7" t="s">
        <v>121</v>
      </c>
      <c r="M221" s="7" t="s">
        <v>612</v>
      </c>
    </row>
    <row r="222">
      <c r="A222" s="19">
        <v>43845.0</v>
      </c>
      <c r="B222" s="7" t="s">
        <v>633</v>
      </c>
      <c r="C222" s="7" t="s">
        <v>27</v>
      </c>
      <c r="D222" s="7" t="s">
        <v>125</v>
      </c>
      <c r="E222" s="7" t="s">
        <v>634</v>
      </c>
      <c r="F222" s="14" t="s">
        <v>434</v>
      </c>
      <c r="G222" s="7" t="s">
        <v>120</v>
      </c>
      <c r="H222" s="7" t="s">
        <v>121</v>
      </c>
      <c r="I222" s="7" t="s">
        <v>121</v>
      </c>
      <c r="J222" s="7" t="s">
        <v>141</v>
      </c>
      <c r="K222" s="7"/>
      <c r="L222" s="7" t="s">
        <v>121</v>
      </c>
      <c r="M222" s="7" t="s">
        <v>355</v>
      </c>
    </row>
    <row r="223">
      <c r="A223" s="19">
        <v>43845.0</v>
      </c>
      <c r="B223" s="7" t="s">
        <v>635</v>
      </c>
      <c r="C223" s="7" t="s">
        <v>27</v>
      </c>
      <c r="D223" s="7" t="s">
        <v>125</v>
      </c>
      <c r="E223" s="7" t="s">
        <v>636</v>
      </c>
      <c r="F223" s="14" t="s">
        <v>343</v>
      </c>
      <c r="G223" s="7" t="s">
        <v>219</v>
      </c>
      <c r="H223" s="7" t="s">
        <v>121</v>
      </c>
      <c r="I223" s="7" t="s">
        <v>121</v>
      </c>
      <c r="J223" s="7" t="s">
        <v>141</v>
      </c>
      <c r="K223" s="7"/>
      <c r="L223" s="7" t="s">
        <v>121</v>
      </c>
      <c r="M223" s="7" t="s">
        <v>355</v>
      </c>
    </row>
    <row r="224">
      <c r="A224" s="19">
        <v>43846.0</v>
      </c>
      <c r="B224" s="7" t="s">
        <v>637</v>
      </c>
      <c r="C224" s="7" t="s">
        <v>382</v>
      </c>
      <c r="D224" s="7" t="s">
        <v>125</v>
      </c>
      <c r="E224" s="7" t="s">
        <v>638</v>
      </c>
      <c r="F224" s="14" t="s">
        <v>137</v>
      </c>
      <c r="G224" s="7" t="s">
        <v>120</v>
      </c>
      <c r="H224" s="7" t="s">
        <v>121</v>
      </c>
      <c r="I224" s="7" t="s">
        <v>122</v>
      </c>
      <c r="J224" s="7" t="s">
        <v>639</v>
      </c>
      <c r="K224" s="7"/>
      <c r="L224" s="7" t="s">
        <v>121</v>
      </c>
      <c r="M224" s="7" t="s">
        <v>146</v>
      </c>
    </row>
    <row r="225">
      <c r="A225" s="19">
        <v>43846.0</v>
      </c>
      <c r="B225" s="7" t="s">
        <v>640</v>
      </c>
      <c r="C225" s="7" t="s">
        <v>139</v>
      </c>
      <c r="D225" s="7" t="s">
        <v>125</v>
      </c>
      <c r="E225" s="7" t="s">
        <v>367</v>
      </c>
      <c r="F225" s="14" t="s">
        <v>137</v>
      </c>
      <c r="G225" s="7" t="s">
        <v>120</v>
      </c>
      <c r="H225" s="7" t="s">
        <v>121</v>
      </c>
      <c r="I225" s="7" t="s">
        <v>122</v>
      </c>
      <c r="J225" s="7" t="s">
        <v>141</v>
      </c>
      <c r="K225" s="7" t="s">
        <v>181</v>
      </c>
      <c r="L225" s="7" t="s">
        <v>121</v>
      </c>
      <c r="M225" s="7" t="s">
        <v>612</v>
      </c>
    </row>
    <row r="226">
      <c r="A226" s="19">
        <v>43847.0</v>
      </c>
      <c r="B226" s="7" t="s">
        <v>641</v>
      </c>
      <c r="C226" s="7" t="s">
        <v>15</v>
      </c>
      <c r="D226" s="7" t="s">
        <v>118</v>
      </c>
      <c r="E226" s="7" t="s">
        <v>642</v>
      </c>
      <c r="F226" s="14" t="s">
        <v>207</v>
      </c>
      <c r="G226" s="7" t="s">
        <v>120</v>
      </c>
      <c r="H226" s="7" t="s">
        <v>121</v>
      </c>
      <c r="I226" s="7" t="s">
        <v>121</v>
      </c>
      <c r="J226" s="7" t="s">
        <v>141</v>
      </c>
      <c r="K226" s="7" t="s">
        <v>181</v>
      </c>
      <c r="L226" s="7" t="s">
        <v>121</v>
      </c>
      <c r="M226" s="7" t="s">
        <v>355</v>
      </c>
    </row>
    <row r="227">
      <c r="A227" s="19">
        <v>43847.0</v>
      </c>
      <c r="B227" s="7" t="s">
        <v>643</v>
      </c>
      <c r="C227" s="7" t="s">
        <v>19</v>
      </c>
      <c r="D227" s="7" t="s">
        <v>125</v>
      </c>
      <c r="E227" s="7" t="s">
        <v>644</v>
      </c>
      <c r="F227" s="14" t="s">
        <v>129</v>
      </c>
      <c r="G227" s="7" t="s">
        <v>120</v>
      </c>
      <c r="H227" s="7" t="s">
        <v>121</v>
      </c>
      <c r="I227" s="7" t="s">
        <v>122</v>
      </c>
      <c r="J227" s="7" t="s">
        <v>240</v>
      </c>
      <c r="K227" s="7"/>
      <c r="L227" s="7" t="s">
        <v>121</v>
      </c>
      <c r="M227" s="7" t="s">
        <v>454</v>
      </c>
    </row>
    <row r="228">
      <c r="A228" s="19">
        <v>43847.0</v>
      </c>
      <c r="B228" s="7" t="s">
        <v>645</v>
      </c>
      <c r="C228" s="7" t="s">
        <v>19</v>
      </c>
      <c r="D228" s="7" t="s">
        <v>125</v>
      </c>
      <c r="E228" s="7" t="s">
        <v>646</v>
      </c>
      <c r="F228" s="14" t="s">
        <v>170</v>
      </c>
      <c r="G228" s="7" t="s">
        <v>120</v>
      </c>
      <c r="H228" s="7" t="s">
        <v>121</v>
      </c>
      <c r="I228" s="7" t="s">
        <v>122</v>
      </c>
      <c r="J228" s="7" t="s">
        <v>151</v>
      </c>
      <c r="K228" s="7"/>
      <c r="L228" s="7" t="s">
        <v>121</v>
      </c>
      <c r="M228" s="7" t="s">
        <v>355</v>
      </c>
    </row>
    <row r="229">
      <c r="A229" s="19">
        <v>43847.0</v>
      </c>
      <c r="B229" s="7" t="s">
        <v>647</v>
      </c>
      <c r="C229" s="7" t="s">
        <v>19</v>
      </c>
      <c r="D229" s="7" t="s">
        <v>125</v>
      </c>
      <c r="E229" s="7" t="s">
        <v>239</v>
      </c>
      <c r="F229" s="14" t="s">
        <v>129</v>
      </c>
      <c r="G229" s="7" t="s">
        <v>120</v>
      </c>
      <c r="H229" s="7" t="s">
        <v>121</v>
      </c>
      <c r="I229" s="7" t="s">
        <v>122</v>
      </c>
      <c r="J229" s="7" t="s">
        <v>240</v>
      </c>
      <c r="K229" s="7"/>
      <c r="L229" s="7" t="s">
        <v>121</v>
      </c>
      <c r="M229" s="7" t="s">
        <v>355</v>
      </c>
    </row>
    <row r="230">
      <c r="A230" s="19">
        <v>43847.0</v>
      </c>
      <c r="B230" s="7" t="s">
        <v>648</v>
      </c>
      <c r="C230" s="7" t="s">
        <v>19</v>
      </c>
      <c r="D230" s="7" t="s">
        <v>125</v>
      </c>
      <c r="E230" s="7" t="s">
        <v>362</v>
      </c>
      <c r="F230" s="7" t="s">
        <v>154</v>
      </c>
      <c r="G230" s="7" t="s">
        <v>120</v>
      </c>
      <c r="H230" s="7" t="s">
        <v>121</v>
      </c>
      <c r="I230" s="7" t="s">
        <v>122</v>
      </c>
      <c r="J230" s="7" t="s">
        <v>240</v>
      </c>
      <c r="K230" s="7"/>
      <c r="L230" s="7" t="s">
        <v>121</v>
      </c>
      <c r="M230" s="7" t="s">
        <v>355</v>
      </c>
    </row>
    <row r="231">
      <c r="A231" s="19">
        <v>43847.0</v>
      </c>
      <c r="B231" s="7" t="s">
        <v>649</v>
      </c>
      <c r="C231" s="7" t="s">
        <v>15</v>
      </c>
      <c r="D231" s="7" t="s">
        <v>125</v>
      </c>
      <c r="E231" s="7" t="s">
        <v>537</v>
      </c>
      <c r="F231" s="14" t="s">
        <v>129</v>
      </c>
      <c r="G231" s="7" t="s">
        <v>219</v>
      </c>
      <c r="H231" s="7" t="s">
        <v>121</v>
      </c>
      <c r="I231" s="7" t="s">
        <v>122</v>
      </c>
      <c r="J231" s="7" t="s">
        <v>639</v>
      </c>
      <c r="K231" s="7"/>
      <c r="L231" s="7" t="s">
        <v>121</v>
      </c>
      <c r="M231" s="7" t="s">
        <v>355</v>
      </c>
    </row>
    <row r="232">
      <c r="A232" s="19">
        <v>43847.0</v>
      </c>
      <c r="B232" s="7" t="s">
        <v>650</v>
      </c>
      <c r="C232" s="7" t="s">
        <v>15</v>
      </c>
      <c r="D232" s="7" t="s">
        <v>125</v>
      </c>
      <c r="E232" s="7" t="s">
        <v>651</v>
      </c>
      <c r="F232" s="14" t="s">
        <v>170</v>
      </c>
      <c r="G232" s="7" t="s">
        <v>120</v>
      </c>
      <c r="H232" s="7" t="s">
        <v>121</v>
      </c>
      <c r="I232" s="7" t="s">
        <v>122</v>
      </c>
      <c r="J232" s="7" t="s">
        <v>202</v>
      </c>
      <c r="K232" s="7"/>
      <c r="L232" s="7" t="s">
        <v>121</v>
      </c>
      <c r="M232" s="7" t="s">
        <v>355</v>
      </c>
    </row>
    <row r="233">
      <c r="A233" s="19">
        <v>43848.0</v>
      </c>
      <c r="B233" s="7" t="s">
        <v>652</v>
      </c>
      <c r="C233" s="7" t="s">
        <v>221</v>
      </c>
      <c r="D233" s="7" t="s">
        <v>125</v>
      </c>
      <c r="E233" s="7" t="s">
        <v>653</v>
      </c>
      <c r="F233" s="14" t="s">
        <v>207</v>
      </c>
      <c r="G233" s="7" t="s">
        <v>120</v>
      </c>
      <c r="H233" s="7" t="s">
        <v>121</v>
      </c>
      <c r="I233" s="7" t="s">
        <v>122</v>
      </c>
      <c r="J233" s="7" t="s">
        <v>141</v>
      </c>
      <c r="K233" s="7"/>
      <c r="L233" s="7" t="s">
        <v>121</v>
      </c>
      <c r="M233" s="7" t="s">
        <v>146</v>
      </c>
    </row>
    <row r="234">
      <c r="A234" s="19">
        <v>43848.0</v>
      </c>
      <c r="B234" s="7" t="s">
        <v>654</v>
      </c>
      <c r="C234" s="7" t="s">
        <v>221</v>
      </c>
      <c r="D234" s="7" t="s">
        <v>125</v>
      </c>
      <c r="E234" s="7" t="s">
        <v>655</v>
      </c>
      <c r="F234" s="14" t="s">
        <v>305</v>
      </c>
      <c r="G234" s="7" t="s">
        <v>120</v>
      </c>
      <c r="H234" s="7" t="s">
        <v>121</v>
      </c>
      <c r="I234" s="7" t="s">
        <v>121</v>
      </c>
      <c r="J234" s="7" t="s">
        <v>141</v>
      </c>
      <c r="K234" s="7"/>
      <c r="L234" s="7" t="s">
        <v>121</v>
      </c>
      <c r="M234" s="7" t="s">
        <v>656</v>
      </c>
    </row>
    <row r="235">
      <c r="A235" s="19">
        <v>43849.0</v>
      </c>
      <c r="B235" s="7" t="s">
        <v>657</v>
      </c>
      <c r="C235" s="7" t="s">
        <v>32</v>
      </c>
      <c r="D235" s="7" t="s">
        <v>125</v>
      </c>
      <c r="E235" s="7" t="s">
        <v>658</v>
      </c>
      <c r="F235" s="14" t="s">
        <v>170</v>
      </c>
      <c r="G235" s="7" t="s">
        <v>120</v>
      </c>
      <c r="H235" s="7" t="s">
        <v>121</v>
      </c>
      <c r="I235" s="7" t="s">
        <v>122</v>
      </c>
      <c r="J235" s="7" t="s">
        <v>240</v>
      </c>
      <c r="K235" s="7"/>
      <c r="L235" s="7" t="s">
        <v>121</v>
      </c>
      <c r="M235" s="7" t="s">
        <v>146</v>
      </c>
    </row>
    <row r="236">
      <c r="A236" s="19">
        <v>43849.0</v>
      </c>
      <c r="B236" s="7" t="s">
        <v>659</v>
      </c>
      <c r="C236" s="7" t="s">
        <v>32</v>
      </c>
      <c r="D236" s="7" t="s">
        <v>125</v>
      </c>
      <c r="E236" s="7" t="s">
        <v>149</v>
      </c>
      <c r="F236" s="14" t="s">
        <v>150</v>
      </c>
      <c r="G236" s="7" t="s">
        <v>120</v>
      </c>
      <c r="H236" s="7" t="s">
        <v>121</v>
      </c>
      <c r="I236" s="7" t="s">
        <v>122</v>
      </c>
      <c r="J236" s="7" t="s">
        <v>240</v>
      </c>
      <c r="K236" s="7"/>
      <c r="L236" s="7" t="s">
        <v>121</v>
      </c>
      <c r="M236" s="7" t="s">
        <v>542</v>
      </c>
    </row>
    <row r="237">
      <c r="A237" s="19">
        <v>43850.0</v>
      </c>
      <c r="B237" s="7" t="s">
        <v>660</v>
      </c>
      <c r="C237" s="7" t="s">
        <v>191</v>
      </c>
      <c r="D237" s="7" t="s">
        <v>125</v>
      </c>
      <c r="E237" s="7" t="s">
        <v>482</v>
      </c>
      <c r="F237" s="14" t="s">
        <v>129</v>
      </c>
      <c r="G237" s="7" t="s">
        <v>120</v>
      </c>
      <c r="H237" s="7" t="s">
        <v>121</v>
      </c>
      <c r="I237" s="7" t="s">
        <v>122</v>
      </c>
      <c r="J237" s="7" t="s">
        <v>393</v>
      </c>
      <c r="K237" s="7"/>
      <c r="L237" s="7" t="s">
        <v>121</v>
      </c>
      <c r="M237" s="7" t="s">
        <v>661</v>
      </c>
    </row>
    <row r="238">
      <c r="A238" s="19">
        <v>43850.0</v>
      </c>
      <c r="B238" s="7" t="s">
        <v>662</v>
      </c>
      <c r="C238" s="7" t="s">
        <v>117</v>
      </c>
      <c r="D238" s="7" t="s">
        <v>125</v>
      </c>
      <c r="E238" s="7" t="s">
        <v>535</v>
      </c>
      <c r="F238" s="14" t="s">
        <v>137</v>
      </c>
      <c r="G238" s="7" t="s">
        <v>120</v>
      </c>
      <c r="H238" s="7" t="s">
        <v>121</v>
      </c>
      <c r="I238" s="7" t="s">
        <v>122</v>
      </c>
      <c r="J238" s="7" t="s">
        <v>141</v>
      </c>
      <c r="K238" s="7"/>
      <c r="L238" s="7" t="s">
        <v>121</v>
      </c>
      <c r="M238" s="7" t="s">
        <v>355</v>
      </c>
    </row>
    <row r="239">
      <c r="A239" s="19">
        <v>43885.0</v>
      </c>
      <c r="B239" s="7" t="s">
        <v>663</v>
      </c>
      <c r="C239" s="7" t="s">
        <v>382</v>
      </c>
      <c r="D239" s="7" t="s">
        <v>125</v>
      </c>
      <c r="E239" s="7" t="s">
        <v>664</v>
      </c>
      <c r="F239" s="14" t="s">
        <v>207</v>
      </c>
      <c r="G239" s="7" t="s">
        <v>120</v>
      </c>
      <c r="H239" s="7" t="s">
        <v>121</v>
      </c>
      <c r="I239" s="7" t="s">
        <v>122</v>
      </c>
      <c r="J239" s="7" t="s">
        <v>141</v>
      </c>
      <c r="K239" s="7"/>
      <c r="L239" s="7" t="s">
        <v>121</v>
      </c>
      <c r="M239" s="7" t="s">
        <v>355</v>
      </c>
    </row>
    <row r="240">
      <c r="A240" s="19">
        <v>43885.0</v>
      </c>
      <c r="B240" s="7" t="s">
        <v>665</v>
      </c>
      <c r="C240" s="7" t="s">
        <v>382</v>
      </c>
      <c r="D240" s="7" t="s">
        <v>125</v>
      </c>
      <c r="E240" s="7" t="s">
        <v>666</v>
      </c>
      <c r="F240" s="14" t="s">
        <v>129</v>
      </c>
      <c r="G240" s="7" t="s">
        <v>120</v>
      </c>
      <c r="H240" s="7" t="s">
        <v>121</v>
      </c>
      <c r="I240" s="7" t="s">
        <v>122</v>
      </c>
      <c r="J240" s="7" t="s">
        <v>240</v>
      </c>
      <c r="K240" s="7"/>
      <c r="L240" s="7" t="s">
        <v>121</v>
      </c>
      <c r="M240" s="7" t="s">
        <v>355</v>
      </c>
    </row>
    <row r="241">
      <c r="A241" s="19">
        <v>43886.0</v>
      </c>
      <c r="B241" s="7" t="s">
        <v>667</v>
      </c>
      <c r="C241" s="7" t="s">
        <v>311</v>
      </c>
      <c r="D241" s="7" t="s">
        <v>118</v>
      </c>
      <c r="E241" s="7" t="s">
        <v>402</v>
      </c>
      <c r="F241" s="14" t="s">
        <v>129</v>
      </c>
      <c r="G241" s="7" t="s">
        <v>219</v>
      </c>
      <c r="H241" s="7" t="s">
        <v>121</v>
      </c>
      <c r="I241" s="7" t="s">
        <v>122</v>
      </c>
      <c r="J241" s="7" t="s">
        <v>141</v>
      </c>
      <c r="K241" s="7"/>
      <c r="L241" s="7" t="s">
        <v>121</v>
      </c>
      <c r="M241" s="7" t="s">
        <v>146</v>
      </c>
    </row>
    <row r="242">
      <c r="A242" s="19">
        <v>43882.0</v>
      </c>
      <c r="B242" s="7" t="s">
        <v>668</v>
      </c>
      <c r="C242" s="7" t="s">
        <v>281</v>
      </c>
      <c r="D242" s="7" t="s">
        <v>125</v>
      </c>
      <c r="E242" s="7" t="s">
        <v>609</v>
      </c>
      <c r="F242" s="14" t="s">
        <v>175</v>
      </c>
      <c r="G242" s="7" t="s">
        <v>120</v>
      </c>
      <c r="H242" s="7" t="s">
        <v>121</v>
      </c>
      <c r="I242" s="7" t="s">
        <v>122</v>
      </c>
      <c r="J242" s="7" t="s">
        <v>410</v>
      </c>
      <c r="K242" s="7"/>
      <c r="L242" s="7" t="s">
        <v>121</v>
      </c>
      <c r="M242" s="7" t="s">
        <v>355</v>
      </c>
    </row>
    <row r="243">
      <c r="A243" s="19">
        <v>43882.0</v>
      </c>
      <c r="B243" s="7" t="s">
        <v>669</v>
      </c>
      <c r="C243" s="7" t="s">
        <v>132</v>
      </c>
      <c r="D243" s="7" t="s">
        <v>125</v>
      </c>
      <c r="E243" s="7" t="s">
        <v>546</v>
      </c>
      <c r="F243" s="14" t="s">
        <v>360</v>
      </c>
      <c r="G243" s="7" t="s">
        <v>120</v>
      </c>
      <c r="H243" s="7" t="s">
        <v>121</v>
      </c>
      <c r="I243" s="7" t="s">
        <v>122</v>
      </c>
      <c r="J243" s="7" t="s">
        <v>670</v>
      </c>
      <c r="K243" s="7"/>
      <c r="L243" s="7" t="s">
        <v>121</v>
      </c>
      <c r="M243" s="7" t="s">
        <v>355</v>
      </c>
    </row>
    <row r="244">
      <c r="A244" s="19">
        <v>43882.0</v>
      </c>
      <c r="B244" s="7" t="s">
        <v>671</v>
      </c>
      <c r="C244" s="7" t="s">
        <v>132</v>
      </c>
      <c r="D244" s="7" t="s">
        <v>125</v>
      </c>
      <c r="E244" s="7" t="s">
        <v>672</v>
      </c>
      <c r="F244" s="14" t="s">
        <v>129</v>
      </c>
      <c r="G244" s="7" t="s">
        <v>120</v>
      </c>
      <c r="H244" s="7" t="s">
        <v>121</v>
      </c>
      <c r="I244" s="7" t="s">
        <v>122</v>
      </c>
      <c r="J244" s="7" t="s">
        <v>673</v>
      </c>
      <c r="K244" s="7"/>
      <c r="L244" s="7" t="s">
        <v>121</v>
      </c>
      <c r="M244" s="7" t="s">
        <v>355</v>
      </c>
    </row>
    <row r="245">
      <c r="A245" s="19">
        <v>43880.0</v>
      </c>
      <c r="B245" s="7" t="s">
        <v>674</v>
      </c>
      <c r="C245" s="7" t="s">
        <v>124</v>
      </c>
      <c r="D245" s="7" t="s">
        <v>125</v>
      </c>
      <c r="E245" s="7" t="s">
        <v>559</v>
      </c>
      <c r="F245" s="14" t="s">
        <v>129</v>
      </c>
      <c r="G245" s="7" t="s">
        <v>120</v>
      </c>
      <c r="H245" s="7" t="s">
        <v>121</v>
      </c>
      <c r="I245" s="7" t="s">
        <v>121</v>
      </c>
      <c r="J245" s="7" t="s">
        <v>240</v>
      </c>
      <c r="K245" s="7" t="s">
        <v>181</v>
      </c>
      <c r="L245" s="7" t="s">
        <v>121</v>
      </c>
      <c r="M245" s="7" t="s">
        <v>661</v>
      </c>
    </row>
    <row r="246">
      <c r="A246" s="19">
        <v>43880.0</v>
      </c>
      <c r="B246" s="7" t="s">
        <v>675</v>
      </c>
      <c r="C246" s="7" t="s">
        <v>124</v>
      </c>
      <c r="D246" s="7" t="s">
        <v>125</v>
      </c>
      <c r="E246" s="7" t="s">
        <v>465</v>
      </c>
      <c r="F246" s="14" t="s">
        <v>150</v>
      </c>
      <c r="G246" s="7" t="s">
        <v>120</v>
      </c>
      <c r="H246" s="7" t="s">
        <v>121</v>
      </c>
      <c r="I246" s="7" t="s">
        <v>122</v>
      </c>
      <c r="J246" s="7" t="s">
        <v>676</v>
      </c>
      <c r="K246" s="7"/>
      <c r="L246" s="7" t="s">
        <v>121</v>
      </c>
      <c r="M246" s="7" t="s">
        <v>661</v>
      </c>
    </row>
    <row r="247">
      <c r="A247" s="19">
        <v>43879.0</v>
      </c>
      <c r="B247" s="7" t="s">
        <v>677</v>
      </c>
      <c r="C247" s="7" t="s">
        <v>15</v>
      </c>
      <c r="D247" s="7" t="s">
        <v>125</v>
      </c>
      <c r="E247" s="7" t="s">
        <v>655</v>
      </c>
      <c r="F247" s="14" t="s">
        <v>175</v>
      </c>
      <c r="G247" s="7" t="s">
        <v>120</v>
      </c>
      <c r="H247" s="7" t="s">
        <v>121</v>
      </c>
      <c r="I247" s="7" t="s">
        <v>122</v>
      </c>
      <c r="J247" s="7" t="s">
        <v>678</v>
      </c>
      <c r="K247" s="7"/>
      <c r="L247" s="7" t="s">
        <v>121</v>
      </c>
      <c r="M247" s="7" t="s">
        <v>146</v>
      </c>
    </row>
    <row r="248">
      <c r="A248" s="19">
        <v>43879.0</v>
      </c>
      <c r="B248" s="7" t="s">
        <v>679</v>
      </c>
      <c r="C248" s="7" t="s">
        <v>168</v>
      </c>
      <c r="D248" s="7" t="s">
        <v>118</v>
      </c>
      <c r="E248" s="7" t="s">
        <v>680</v>
      </c>
      <c r="F248" s="14" t="s">
        <v>343</v>
      </c>
      <c r="G248" s="7" t="s">
        <v>219</v>
      </c>
      <c r="H248" s="7" t="s">
        <v>121</v>
      </c>
      <c r="I248" s="7" t="s">
        <v>121</v>
      </c>
      <c r="J248" s="7" t="s">
        <v>141</v>
      </c>
      <c r="K248" s="7"/>
      <c r="L248" s="7" t="s">
        <v>121</v>
      </c>
      <c r="M248" s="7" t="s">
        <v>130</v>
      </c>
    </row>
    <row r="249">
      <c r="A249" s="19">
        <v>43879.0</v>
      </c>
      <c r="B249" s="7" t="s">
        <v>681</v>
      </c>
      <c r="C249" s="7" t="s">
        <v>15</v>
      </c>
      <c r="D249" s="7" t="s">
        <v>125</v>
      </c>
      <c r="E249" s="7" t="s">
        <v>682</v>
      </c>
      <c r="F249" s="14" t="s">
        <v>170</v>
      </c>
      <c r="G249" s="7" t="s">
        <v>120</v>
      </c>
      <c r="H249" s="7" t="s">
        <v>121</v>
      </c>
      <c r="I249" s="7" t="s">
        <v>122</v>
      </c>
      <c r="J249" s="7" t="s">
        <v>240</v>
      </c>
      <c r="K249" s="7"/>
      <c r="L249" s="7" t="s">
        <v>121</v>
      </c>
      <c r="M249" s="7" t="s">
        <v>146</v>
      </c>
    </row>
    <row r="250">
      <c r="A250" s="19">
        <v>43877.0</v>
      </c>
      <c r="B250" s="7" t="s">
        <v>683</v>
      </c>
      <c r="C250" s="7" t="s">
        <v>168</v>
      </c>
      <c r="D250" s="7" t="s">
        <v>125</v>
      </c>
      <c r="E250" s="7" t="s">
        <v>684</v>
      </c>
      <c r="F250" s="14" t="s">
        <v>343</v>
      </c>
      <c r="G250" s="7" t="s">
        <v>219</v>
      </c>
      <c r="H250" s="7" t="s">
        <v>121</v>
      </c>
      <c r="I250" s="7" t="s">
        <v>122</v>
      </c>
      <c r="J250" s="7" t="s">
        <v>141</v>
      </c>
      <c r="K250" s="7"/>
      <c r="L250" s="7" t="s">
        <v>121</v>
      </c>
      <c r="M250" s="7" t="s">
        <v>454</v>
      </c>
    </row>
    <row r="251">
      <c r="A251" s="19">
        <v>43877.0</v>
      </c>
      <c r="B251" s="7" t="s">
        <v>685</v>
      </c>
      <c r="C251" s="7" t="s">
        <v>168</v>
      </c>
      <c r="D251" s="7" t="s">
        <v>125</v>
      </c>
      <c r="E251" s="7" t="s">
        <v>567</v>
      </c>
      <c r="F251" s="14" t="s">
        <v>305</v>
      </c>
      <c r="G251" s="7" t="s">
        <v>120</v>
      </c>
      <c r="H251" s="7" t="s">
        <v>121</v>
      </c>
      <c r="I251" s="7" t="s">
        <v>121</v>
      </c>
      <c r="J251" s="7" t="s">
        <v>240</v>
      </c>
      <c r="K251" s="7"/>
      <c r="L251" s="7" t="s">
        <v>121</v>
      </c>
      <c r="M251" s="7" t="s">
        <v>130</v>
      </c>
    </row>
    <row r="252">
      <c r="A252" s="19">
        <v>43877.0</v>
      </c>
      <c r="B252" s="7" t="s">
        <v>686</v>
      </c>
      <c r="C252" s="7" t="s">
        <v>168</v>
      </c>
      <c r="D252" s="7" t="s">
        <v>125</v>
      </c>
      <c r="E252" s="7" t="s">
        <v>687</v>
      </c>
      <c r="F252" s="14" t="s">
        <v>175</v>
      </c>
      <c r="G252" s="7" t="s">
        <v>219</v>
      </c>
      <c r="H252" s="7" t="s">
        <v>121</v>
      </c>
      <c r="I252" s="7" t="s">
        <v>122</v>
      </c>
      <c r="J252" s="7" t="s">
        <v>240</v>
      </c>
      <c r="K252" s="7"/>
      <c r="L252" s="7" t="s">
        <v>121</v>
      </c>
      <c r="M252" s="7" t="s">
        <v>130</v>
      </c>
    </row>
    <row r="253">
      <c r="A253" s="20">
        <v>43817.0</v>
      </c>
      <c r="B253" s="7" t="s">
        <v>688</v>
      </c>
      <c r="C253" s="7" t="s">
        <v>19</v>
      </c>
      <c r="D253" s="7" t="s">
        <v>125</v>
      </c>
      <c r="E253" s="7" t="s">
        <v>689</v>
      </c>
      <c r="F253" s="14" t="s">
        <v>145</v>
      </c>
      <c r="G253" s="7" t="s">
        <v>120</v>
      </c>
      <c r="H253" s="7" t="s">
        <v>121</v>
      </c>
      <c r="I253" s="7" t="s">
        <v>122</v>
      </c>
      <c r="J253" s="7" t="s">
        <v>690</v>
      </c>
      <c r="K253" s="7"/>
      <c r="L253" s="7" t="s">
        <v>121</v>
      </c>
      <c r="M253" s="7" t="s">
        <v>146</v>
      </c>
    </row>
    <row r="254">
      <c r="A254" s="20">
        <v>44149.0</v>
      </c>
      <c r="B254" s="7" t="s">
        <v>691</v>
      </c>
      <c r="C254" s="7" t="s">
        <v>29</v>
      </c>
      <c r="D254" s="7" t="s">
        <v>125</v>
      </c>
      <c r="E254" s="7" t="s">
        <v>692</v>
      </c>
      <c r="F254" s="14" t="s">
        <v>170</v>
      </c>
      <c r="G254" s="7" t="s">
        <v>120</v>
      </c>
      <c r="H254" s="7" t="s">
        <v>121</v>
      </c>
      <c r="I254" s="7" t="s">
        <v>122</v>
      </c>
      <c r="J254" s="7" t="s">
        <v>693</v>
      </c>
      <c r="K254" s="7" t="s">
        <v>235</v>
      </c>
      <c r="L254" s="7" t="s">
        <v>121</v>
      </c>
      <c r="M254" s="7" t="s">
        <v>146</v>
      </c>
    </row>
    <row r="255">
      <c r="A255" s="20">
        <v>44150.0</v>
      </c>
      <c r="B255" s="7" t="s">
        <v>694</v>
      </c>
      <c r="C255" s="7" t="s">
        <v>15</v>
      </c>
      <c r="D255" s="7" t="s">
        <v>125</v>
      </c>
      <c r="E255" s="7" t="s">
        <v>695</v>
      </c>
      <c r="F255" s="14" t="s">
        <v>134</v>
      </c>
      <c r="G255" s="7" t="s">
        <v>120</v>
      </c>
      <c r="H255" s="7" t="s">
        <v>121</v>
      </c>
      <c r="I255" s="7" t="s">
        <v>122</v>
      </c>
      <c r="J255" s="7" t="s">
        <v>321</v>
      </c>
      <c r="K255" s="7" t="s">
        <v>696</v>
      </c>
      <c r="L255" s="7" t="s">
        <v>121</v>
      </c>
      <c r="M255" s="7" t="s">
        <v>146</v>
      </c>
    </row>
    <row r="256">
      <c r="A256" s="20">
        <v>44150.0</v>
      </c>
      <c r="B256" s="7" t="s">
        <v>697</v>
      </c>
      <c r="C256" s="7" t="s">
        <v>15</v>
      </c>
      <c r="D256" s="7" t="s">
        <v>125</v>
      </c>
      <c r="E256" s="7" t="s">
        <v>695</v>
      </c>
      <c r="F256" s="14" t="s">
        <v>134</v>
      </c>
      <c r="G256" s="7" t="s">
        <v>120</v>
      </c>
      <c r="H256" s="7" t="s">
        <v>121</v>
      </c>
      <c r="I256" s="7" t="s">
        <v>122</v>
      </c>
      <c r="J256" s="7" t="s">
        <v>321</v>
      </c>
      <c r="K256" s="7" t="s">
        <v>698</v>
      </c>
      <c r="L256" s="7" t="s">
        <v>121</v>
      </c>
      <c r="M256" s="7" t="s">
        <v>146</v>
      </c>
    </row>
    <row r="257">
      <c r="A257" s="20">
        <v>44150.0</v>
      </c>
      <c r="B257" s="7" t="s">
        <v>699</v>
      </c>
      <c r="C257" s="7" t="s">
        <v>15</v>
      </c>
      <c r="D257" s="7" t="s">
        <v>125</v>
      </c>
      <c r="E257" s="7" t="s">
        <v>695</v>
      </c>
      <c r="F257" s="14" t="s">
        <v>349</v>
      </c>
      <c r="G257" s="7" t="s">
        <v>120</v>
      </c>
      <c r="H257" s="7" t="s">
        <v>121</v>
      </c>
      <c r="I257" s="7" t="s">
        <v>122</v>
      </c>
      <c r="J257" s="7" t="s">
        <v>700</v>
      </c>
      <c r="K257" s="7" t="s">
        <v>235</v>
      </c>
      <c r="L257" s="7" t="s">
        <v>121</v>
      </c>
      <c r="M257" s="7" t="s">
        <v>146</v>
      </c>
    </row>
    <row r="258">
      <c r="A258" s="20">
        <v>44150.0</v>
      </c>
      <c r="B258" s="7" t="s">
        <v>701</v>
      </c>
      <c r="C258" s="7" t="s">
        <v>15</v>
      </c>
      <c r="D258" s="7" t="s">
        <v>125</v>
      </c>
      <c r="E258" s="7" t="s">
        <v>702</v>
      </c>
      <c r="F258" s="14" t="s">
        <v>175</v>
      </c>
      <c r="G258" s="7" t="s">
        <v>120</v>
      </c>
      <c r="H258" s="7" t="s">
        <v>121</v>
      </c>
      <c r="I258" s="7" t="s">
        <v>122</v>
      </c>
      <c r="J258" s="7" t="s">
        <v>703</v>
      </c>
      <c r="K258" s="7"/>
      <c r="L258" s="7" t="s">
        <v>121</v>
      </c>
      <c r="M258" s="7" t="s">
        <v>146</v>
      </c>
    </row>
    <row r="259">
      <c r="A259" s="20">
        <v>44150.0</v>
      </c>
      <c r="B259" s="7" t="s">
        <v>704</v>
      </c>
      <c r="C259" s="7" t="s">
        <v>15</v>
      </c>
      <c r="D259" s="7" t="s">
        <v>125</v>
      </c>
      <c r="E259" s="7" t="s">
        <v>525</v>
      </c>
      <c r="F259" s="14" t="s">
        <v>170</v>
      </c>
      <c r="G259" s="7" t="s">
        <v>120</v>
      </c>
      <c r="H259" s="7" t="s">
        <v>121</v>
      </c>
      <c r="I259" s="7" t="s">
        <v>122</v>
      </c>
      <c r="J259" s="7" t="s">
        <v>202</v>
      </c>
      <c r="K259" s="7" t="s">
        <v>705</v>
      </c>
      <c r="L259" s="7" t="s">
        <v>121</v>
      </c>
      <c r="M259" s="7" t="s">
        <v>146</v>
      </c>
    </row>
    <row r="260">
      <c r="A260" s="20">
        <v>44150.0</v>
      </c>
      <c r="B260" s="7" t="s">
        <v>706</v>
      </c>
      <c r="C260" s="7" t="s">
        <v>15</v>
      </c>
      <c r="D260" s="7" t="s">
        <v>125</v>
      </c>
      <c r="E260" s="7" t="s">
        <v>707</v>
      </c>
      <c r="F260" s="14" t="s">
        <v>175</v>
      </c>
      <c r="G260" s="7" t="s">
        <v>120</v>
      </c>
      <c r="H260" s="7" t="s">
        <v>121</v>
      </c>
      <c r="I260" s="7" t="s">
        <v>122</v>
      </c>
      <c r="J260" s="7" t="s">
        <v>202</v>
      </c>
      <c r="K260" s="7"/>
      <c r="L260" s="7" t="s">
        <v>121</v>
      </c>
      <c r="M260" s="7" t="s">
        <v>146</v>
      </c>
    </row>
    <row r="261">
      <c r="A261" s="20">
        <v>44150.0</v>
      </c>
      <c r="B261" s="7" t="s">
        <v>708</v>
      </c>
      <c r="C261" s="7" t="s">
        <v>15</v>
      </c>
      <c r="D261" s="7" t="s">
        <v>125</v>
      </c>
      <c r="E261" s="7" t="s">
        <v>607</v>
      </c>
      <c r="F261" s="14" t="s">
        <v>134</v>
      </c>
      <c r="G261" s="7" t="s">
        <v>120</v>
      </c>
      <c r="H261" s="7" t="s">
        <v>121</v>
      </c>
      <c r="I261" s="7" t="s">
        <v>122</v>
      </c>
      <c r="J261" s="7" t="s">
        <v>639</v>
      </c>
      <c r="K261" s="7"/>
      <c r="L261" s="7" t="s">
        <v>121</v>
      </c>
      <c r="M261" s="7" t="s">
        <v>146</v>
      </c>
    </row>
    <row r="262">
      <c r="A262" s="20">
        <v>44153.0</v>
      </c>
      <c r="B262" s="7" t="s">
        <v>709</v>
      </c>
      <c r="C262" s="7" t="s">
        <v>124</v>
      </c>
      <c r="D262" s="7" t="s">
        <v>125</v>
      </c>
      <c r="E262" s="7" t="s">
        <v>710</v>
      </c>
      <c r="F262" s="14" t="s">
        <v>210</v>
      </c>
      <c r="G262" s="7" t="s">
        <v>120</v>
      </c>
      <c r="H262" s="7" t="s">
        <v>121</v>
      </c>
      <c r="I262" s="7" t="s">
        <v>121</v>
      </c>
      <c r="J262" s="7" t="s">
        <v>711</v>
      </c>
      <c r="K262" s="7" t="s">
        <v>307</v>
      </c>
      <c r="L262" s="7" t="s">
        <v>121</v>
      </c>
      <c r="M262" s="7" t="s">
        <v>146</v>
      </c>
    </row>
    <row r="263">
      <c r="A263" s="20">
        <v>44153.0</v>
      </c>
      <c r="B263" s="7" t="s">
        <v>712</v>
      </c>
      <c r="C263" s="7" t="s">
        <v>124</v>
      </c>
      <c r="D263" s="7" t="s">
        <v>125</v>
      </c>
      <c r="E263" s="7" t="s">
        <v>710</v>
      </c>
      <c r="F263" s="14" t="s">
        <v>210</v>
      </c>
      <c r="G263" s="7" t="s">
        <v>120</v>
      </c>
      <c r="H263" s="7" t="s">
        <v>121</v>
      </c>
      <c r="I263" s="7" t="s">
        <v>122</v>
      </c>
      <c r="J263" s="7" t="s">
        <v>442</v>
      </c>
      <c r="K263" s="7" t="s">
        <v>299</v>
      </c>
      <c r="L263" s="7" t="s">
        <v>121</v>
      </c>
      <c r="M263" s="7" t="s">
        <v>146</v>
      </c>
    </row>
    <row r="264">
      <c r="A264" s="20">
        <v>44153.0</v>
      </c>
      <c r="B264" s="7" t="s">
        <v>713</v>
      </c>
      <c r="C264" s="7" t="s">
        <v>124</v>
      </c>
      <c r="D264" s="7" t="s">
        <v>125</v>
      </c>
      <c r="E264" s="7" t="s">
        <v>509</v>
      </c>
      <c r="F264" s="14" t="s">
        <v>714</v>
      </c>
      <c r="G264" s="7" t="s">
        <v>120</v>
      </c>
      <c r="H264" s="7" t="s">
        <v>121</v>
      </c>
      <c r="I264" s="7" t="s">
        <v>121</v>
      </c>
      <c r="J264" s="7" t="s">
        <v>715</v>
      </c>
      <c r="K264" s="7" t="s">
        <v>181</v>
      </c>
      <c r="L264" s="7" t="s">
        <v>121</v>
      </c>
      <c r="M264" s="7" t="s">
        <v>146</v>
      </c>
    </row>
    <row r="265">
      <c r="A265" s="20">
        <v>44153.0</v>
      </c>
      <c r="B265" s="7" t="s">
        <v>716</v>
      </c>
      <c r="C265" s="7" t="s">
        <v>124</v>
      </c>
      <c r="D265" s="7" t="s">
        <v>125</v>
      </c>
      <c r="E265" s="7" t="s">
        <v>209</v>
      </c>
      <c r="F265" s="14" t="s">
        <v>150</v>
      </c>
      <c r="G265" s="7" t="s">
        <v>717</v>
      </c>
      <c r="H265" s="7" t="s">
        <v>121</v>
      </c>
      <c r="I265" s="7" t="s">
        <v>122</v>
      </c>
      <c r="J265" s="7" t="s">
        <v>202</v>
      </c>
      <c r="K265" s="7"/>
      <c r="L265" s="7" t="s">
        <v>121</v>
      </c>
      <c r="M265" s="7" t="s">
        <v>718</v>
      </c>
    </row>
    <row r="266">
      <c r="A266" s="19">
        <v>44173.0</v>
      </c>
      <c r="B266" s="7" t="s">
        <v>719</v>
      </c>
      <c r="C266" s="7" t="s">
        <v>29</v>
      </c>
      <c r="D266" s="7" t="s">
        <v>125</v>
      </c>
      <c r="E266" s="7" t="s">
        <v>204</v>
      </c>
      <c r="F266" s="14" t="s">
        <v>214</v>
      </c>
      <c r="G266" s="7" t="s">
        <v>120</v>
      </c>
      <c r="H266" s="7" t="s">
        <v>121</v>
      </c>
      <c r="I266" s="7" t="s">
        <v>122</v>
      </c>
      <c r="J266" s="7" t="s">
        <v>720</v>
      </c>
      <c r="K266" s="7" t="s">
        <v>235</v>
      </c>
      <c r="L266" s="7" t="s">
        <v>121</v>
      </c>
      <c r="M266" s="7" t="s">
        <v>146</v>
      </c>
    </row>
    <row r="267">
      <c r="A267" s="19">
        <v>44174.0</v>
      </c>
      <c r="B267" s="7" t="s">
        <v>721</v>
      </c>
      <c r="C267" s="7" t="s">
        <v>132</v>
      </c>
      <c r="D267" s="7" t="s">
        <v>125</v>
      </c>
      <c r="E267" s="7" t="s">
        <v>722</v>
      </c>
      <c r="F267" s="14" t="s">
        <v>175</v>
      </c>
      <c r="G267" s="7" t="s">
        <v>120</v>
      </c>
      <c r="H267" s="7" t="s">
        <v>121</v>
      </c>
      <c r="I267" s="7" t="s">
        <v>122</v>
      </c>
      <c r="J267" s="7" t="s">
        <v>723</v>
      </c>
      <c r="K267" s="7" t="s">
        <v>181</v>
      </c>
      <c r="L267" s="7" t="s">
        <v>121</v>
      </c>
      <c r="M267" s="7" t="s">
        <v>146</v>
      </c>
    </row>
    <row r="268">
      <c r="A268" s="20">
        <v>44176.0</v>
      </c>
      <c r="B268" s="7" t="s">
        <v>724</v>
      </c>
      <c r="C268" s="7" t="s">
        <v>168</v>
      </c>
      <c r="D268" s="7" t="s">
        <v>125</v>
      </c>
      <c r="E268" s="7" t="s">
        <v>725</v>
      </c>
      <c r="F268" s="14" t="s">
        <v>305</v>
      </c>
      <c r="G268" s="7" t="s">
        <v>219</v>
      </c>
      <c r="H268" s="7" t="s">
        <v>121</v>
      </c>
      <c r="I268" s="7" t="s">
        <v>122</v>
      </c>
      <c r="J268" s="7" t="s">
        <v>726</v>
      </c>
      <c r="K268" s="7"/>
      <c r="L268" s="7" t="s">
        <v>121</v>
      </c>
      <c r="M268" s="7" t="s">
        <v>146</v>
      </c>
    </row>
    <row r="269">
      <c r="A269" s="20">
        <v>44176.0</v>
      </c>
      <c r="B269" s="7" t="s">
        <v>727</v>
      </c>
      <c r="C269" s="7" t="s">
        <v>168</v>
      </c>
      <c r="D269" s="7" t="s">
        <v>125</v>
      </c>
      <c r="E269" s="7" t="s">
        <v>550</v>
      </c>
      <c r="F269" s="14" t="s">
        <v>714</v>
      </c>
      <c r="G269" s="7" t="s">
        <v>120</v>
      </c>
      <c r="H269" s="7" t="s">
        <v>121</v>
      </c>
      <c r="I269" s="7" t="s">
        <v>121</v>
      </c>
      <c r="J269" s="7" t="s">
        <v>728</v>
      </c>
      <c r="K269" s="7" t="s">
        <v>235</v>
      </c>
      <c r="L269" s="7" t="s">
        <v>121</v>
      </c>
      <c r="M269" s="7" t="s">
        <v>146</v>
      </c>
    </row>
    <row r="270">
      <c r="A270" s="20">
        <v>44176.0</v>
      </c>
      <c r="B270" s="7" t="s">
        <v>729</v>
      </c>
      <c r="C270" s="7" t="s">
        <v>168</v>
      </c>
      <c r="D270" s="7" t="s">
        <v>125</v>
      </c>
      <c r="E270" s="7" t="s">
        <v>730</v>
      </c>
      <c r="F270" s="14" t="s">
        <v>714</v>
      </c>
      <c r="G270" s="7" t="s">
        <v>120</v>
      </c>
      <c r="H270" s="7" t="s">
        <v>121</v>
      </c>
      <c r="I270" s="7" t="s">
        <v>122</v>
      </c>
      <c r="J270" s="7" t="s">
        <v>728</v>
      </c>
      <c r="K270" s="7" t="s">
        <v>235</v>
      </c>
      <c r="L270" s="7" t="s">
        <v>121</v>
      </c>
      <c r="M270" s="7" t="s">
        <v>146</v>
      </c>
    </row>
    <row r="271">
      <c r="A271" s="20">
        <v>44178.0</v>
      </c>
      <c r="B271" s="7" t="s">
        <v>731</v>
      </c>
      <c r="C271" s="7" t="s">
        <v>124</v>
      </c>
      <c r="D271" s="7" t="s">
        <v>125</v>
      </c>
      <c r="E271" s="7" t="s">
        <v>732</v>
      </c>
      <c r="F271" s="14" t="s">
        <v>210</v>
      </c>
      <c r="G271" s="7" t="s">
        <v>120</v>
      </c>
      <c r="H271" s="7" t="s">
        <v>121</v>
      </c>
      <c r="I271" s="7" t="s">
        <v>122</v>
      </c>
      <c r="J271" s="7" t="s">
        <v>733</v>
      </c>
      <c r="K271" s="7" t="s">
        <v>307</v>
      </c>
      <c r="L271" s="7" t="s">
        <v>121</v>
      </c>
      <c r="M271" s="7" t="s">
        <v>146</v>
      </c>
    </row>
    <row r="272">
      <c r="A272" s="20">
        <v>44178.0</v>
      </c>
      <c r="B272" s="7" t="s">
        <v>734</v>
      </c>
      <c r="C272" s="7" t="s">
        <v>124</v>
      </c>
      <c r="D272" s="7" t="s">
        <v>125</v>
      </c>
      <c r="E272" s="7" t="s">
        <v>735</v>
      </c>
      <c r="F272" s="14" t="s">
        <v>150</v>
      </c>
      <c r="G272" s="7" t="s">
        <v>120</v>
      </c>
      <c r="H272" s="7" t="s">
        <v>121</v>
      </c>
      <c r="I272" s="7" t="s">
        <v>122</v>
      </c>
      <c r="J272" s="7" t="s">
        <v>728</v>
      </c>
      <c r="K272" s="7"/>
      <c r="L272" s="7" t="s">
        <v>121</v>
      </c>
      <c r="M272" s="7" t="s">
        <v>146</v>
      </c>
    </row>
    <row r="273">
      <c r="A273" s="20">
        <v>44178.0</v>
      </c>
      <c r="B273" s="7" t="s">
        <v>736</v>
      </c>
      <c r="C273" s="7" t="s">
        <v>124</v>
      </c>
      <c r="D273" s="7" t="s">
        <v>125</v>
      </c>
      <c r="E273" s="7" t="s">
        <v>737</v>
      </c>
      <c r="F273" s="14" t="s">
        <v>343</v>
      </c>
      <c r="G273" s="7" t="s">
        <v>219</v>
      </c>
      <c r="H273" s="7" t="s">
        <v>121</v>
      </c>
      <c r="I273" s="7" t="s">
        <v>122</v>
      </c>
      <c r="J273" s="7" t="s">
        <v>141</v>
      </c>
      <c r="K273" s="7"/>
      <c r="L273" s="7" t="s">
        <v>121</v>
      </c>
      <c r="M273" s="7" t="s">
        <v>146</v>
      </c>
    </row>
    <row r="274">
      <c r="A274" s="20">
        <v>44178.0</v>
      </c>
      <c r="B274" s="7" t="s">
        <v>738</v>
      </c>
      <c r="C274" s="7" t="s">
        <v>124</v>
      </c>
      <c r="D274" s="7" t="s">
        <v>125</v>
      </c>
      <c r="E274" s="7" t="s">
        <v>666</v>
      </c>
      <c r="F274" s="14" t="s">
        <v>214</v>
      </c>
      <c r="G274" s="7" t="s">
        <v>120</v>
      </c>
      <c r="H274" s="7" t="s">
        <v>121</v>
      </c>
      <c r="I274" s="7" t="s">
        <v>122</v>
      </c>
      <c r="J274" s="7" t="s">
        <v>728</v>
      </c>
      <c r="K274" s="7" t="s">
        <v>235</v>
      </c>
      <c r="L274" s="7" t="s">
        <v>121</v>
      </c>
      <c r="M274" s="7" t="s">
        <v>146</v>
      </c>
    </row>
    <row r="275">
      <c r="A275" s="20">
        <v>44178.0</v>
      </c>
      <c r="B275" s="7" t="s">
        <v>739</v>
      </c>
      <c r="C275" s="7" t="s">
        <v>311</v>
      </c>
      <c r="D275" s="7" t="s">
        <v>125</v>
      </c>
      <c r="E275" s="7" t="s">
        <v>740</v>
      </c>
      <c r="F275" s="14" t="s">
        <v>158</v>
      </c>
      <c r="G275" s="7" t="s">
        <v>219</v>
      </c>
      <c r="H275" s="7" t="s">
        <v>121</v>
      </c>
      <c r="I275" s="7" t="s">
        <v>122</v>
      </c>
      <c r="J275" s="7" t="s">
        <v>141</v>
      </c>
      <c r="K275" s="7"/>
      <c r="L275" s="7" t="s">
        <v>121</v>
      </c>
      <c r="M275" s="7" t="s">
        <v>146</v>
      </c>
    </row>
    <row r="276">
      <c r="A276" s="20">
        <v>44180.0</v>
      </c>
      <c r="B276" s="7" t="s">
        <v>741</v>
      </c>
      <c r="C276" s="7" t="s">
        <v>139</v>
      </c>
      <c r="D276" s="7" t="s">
        <v>125</v>
      </c>
      <c r="E276" s="7" t="s">
        <v>607</v>
      </c>
      <c r="F276" s="14" t="s">
        <v>134</v>
      </c>
      <c r="G276" s="7" t="s">
        <v>120</v>
      </c>
      <c r="H276" s="7" t="s">
        <v>121</v>
      </c>
      <c r="I276" s="7" t="s">
        <v>122</v>
      </c>
      <c r="J276" s="7" t="s">
        <v>726</v>
      </c>
      <c r="K276" s="7"/>
      <c r="L276" s="7" t="s">
        <v>121</v>
      </c>
      <c r="M276" s="7" t="s">
        <v>742</v>
      </c>
    </row>
    <row r="277">
      <c r="A277" s="20">
        <v>44181.0</v>
      </c>
      <c r="B277" s="7" t="s">
        <v>743</v>
      </c>
      <c r="C277" s="7" t="s">
        <v>27</v>
      </c>
      <c r="D277" s="7" t="s">
        <v>125</v>
      </c>
      <c r="E277" s="7" t="s">
        <v>735</v>
      </c>
      <c r="F277" s="14" t="s">
        <v>714</v>
      </c>
      <c r="G277" s="7" t="s">
        <v>120</v>
      </c>
      <c r="H277" s="7" t="s">
        <v>121</v>
      </c>
      <c r="I277" s="7" t="s">
        <v>121</v>
      </c>
      <c r="J277" s="7" t="s">
        <v>728</v>
      </c>
      <c r="K277" s="7" t="s">
        <v>235</v>
      </c>
      <c r="L277" s="7" t="s">
        <v>121</v>
      </c>
      <c r="M277" s="7" t="s">
        <v>146</v>
      </c>
    </row>
    <row r="278">
      <c r="A278" s="19">
        <v>43845.0</v>
      </c>
      <c r="C278" s="7" t="s">
        <v>23</v>
      </c>
      <c r="D278" s="7" t="s">
        <v>125</v>
      </c>
      <c r="E278" s="7" t="s">
        <v>252</v>
      </c>
      <c r="F278" s="14" t="s">
        <v>744</v>
      </c>
      <c r="G278" s="7" t="s">
        <v>219</v>
      </c>
      <c r="H278" s="7" t="s">
        <v>121</v>
      </c>
      <c r="I278" s="7" t="s">
        <v>121</v>
      </c>
      <c r="J278" s="7" t="s">
        <v>745</v>
      </c>
      <c r="K278" s="7" t="s">
        <v>746</v>
      </c>
      <c r="L278" s="7"/>
      <c r="M27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25"/>
    <col customWidth="1" min="3" max="3" width="18.5"/>
    <col customWidth="1" min="4" max="4" width="17.13"/>
    <col customWidth="1" min="5" max="5" width="13.75"/>
    <col customWidth="1" min="6" max="6" width="20.0"/>
    <col customWidth="1" min="7" max="7" width="15.13"/>
    <col customWidth="1" min="8" max="8" width="16.88"/>
  </cols>
  <sheetData>
    <row r="1" ht="15.75" customHeight="1">
      <c r="A1" s="21" t="s">
        <v>108</v>
      </c>
      <c r="B1" s="22" t="s">
        <v>104</v>
      </c>
      <c r="C1" s="23" t="s">
        <v>105</v>
      </c>
      <c r="D1" s="3" t="s">
        <v>747</v>
      </c>
      <c r="E1" s="21" t="s">
        <v>748</v>
      </c>
      <c r="F1" s="21" t="s">
        <v>749</v>
      </c>
      <c r="G1" s="21" t="s">
        <v>750</v>
      </c>
      <c r="H1" s="21" t="s">
        <v>751</v>
      </c>
      <c r="I1" s="21" t="s">
        <v>752</v>
      </c>
      <c r="J1" s="21" t="s">
        <v>113</v>
      </c>
      <c r="K1" s="24" t="s">
        <v>753</v>
      </c>
    </row>
    <row r="2" ht="15.75" customHeight="1">
      <c r="A2" s="25" t="s">
        <v>119</v>
      </c>
      <c r="B2" s="26" t="s">
        <v>116</v>
      </c>
      <c r="C2" s="27" t="s">
        <v>30</v>
      </c>
      <c r="D2" s="28" t="s">
        <v>754</v>
      </c>
      <c r="E2" s="29" t="s">
        <v>57</v>
      </c>
      <c r="F2" s="28" t="s">
        <v>57</v>
      </c>
      <c r="G2" s="28">
        <v>1.0</v>
      </c>
      <c r="H2" s="28">
        <v>4.0</v>
      </c>
      <c r="I2" s="28">
        <v>2.0</v>
      </c>
      <c r="J2" s="28"/>
      <c r="K2" s="30">
        <f t="shared" ref="K2:K483" si="1">((4*PI()*H2*(I2)^2)/3)*G2</f>
        <v>67.02064328</v>
      </c>
    </row>
    <row r="3" ht="15.75" hidden="1" customHeight="1">
      <c r="A3" s="31" t="s">
        <v>126</v>
      </c>
      <c r="B3" s="26" t="s">
        <v>123</v>
      </c>
      <c r="C3" s="27" t="s">
        <v>37</v>
      </c>
      <c r="D3" s="28" t="s">
        <v>755</v>
      </c>
      <c r="E3" s="28" t="s">
        <v>756</v>
      </c>
      <c r="F3" s="28" t="s">
        <v>756</v>
      </c>
      <c r="G3" s="28">
        <v>1.0</v>
      </c>
      <c r="H3" s="28"/>
      <c r="I3" s="28"/>
      <c r="J3" s="28"/>
      <c r="K3" s="30">
        <f t="shared" si="1"/>
        <v>0</v>
      </c>
    </row>
    <row r="4" ht="15.75" hidden="1" customHeight="1">
      <c r="A4" s="31" t="s">
        <v>129</v>
      </c>
      <c r="B4" s="26" t="s">
        <v>127</v>
      </c>
      <c r="C4" s="27" t="s">
        <v>24</v>
      </c>
      <c r="D4" s="28" t="s">
        <v>755</v>
      </c>
      <c r="E4" s="28" t="s">
        <v>757</v>
      </c>
      <c r="F4" s="28" t="s">
        <v>757</v>
      </c>
      <c r="G4" s="28">
        <v>0.0</v>
      </c>
      <c r="H4" s="28"/>
      <c r="I4" s="28"/>
      <c r="J4" s="28" t="s">
        <v>758</v>
      </c>
      <c r="K4" s="30">
        <f t="shared" si="1"/>
        <v>0</v>
      </c>
    </row>
    <row r="5" ht="15.75" hidden="1" customHeight="1">
      <c r="A5" s="31" t="s">
        <v>134</v>
      </c>
      <c r="B5" s="26" t="s">
        <v>131</v>
      </c>
      <c r="C5" s="27" t="s">
        <v>40</v>
      </c>
      <c r="D5" s="28" t="s">
        <v>755</v>
      </c>
      <c r="E5" s="28" t="s">
        <v>759</v>
      </c>
      <c r="F5" s="28" t="s">
        <v>75</v>
      </c>
      <c r="G5" s="28">
        <v>1.0</v>
      </c>
      <c r="H5" s="28">
        <v>5.0</v>
      </c>
      <c r="I5" s="28">
        <v>1.0</v>
      </c>
      <c r="J5" s="28"/>
      <c r="K5" s="30">
        <f t="shared" si="1"/>
        <v>20.94395102</v>
      </c>
    </row>
    <row r="6" ht="15.75" hidden="1" customHeight="1">
      <c r="A6" s="31" t="s">
        <v>134</v>
      </c>
      <c r="B6" s="26" t="s">
        <v>131</v>
      </c>
      <c r="C6" s="27" t="s">
        <v>40</v>
      </c>
      <c r="D6" s="28" t="s">
        <v>755</v>
      </c>
      <c r="E6" s="28" t="s">
        <v>759</v>
      </c>
      <c r="F6" s="28" t="s">
        <v>75</v>
      </c>
      <c r="G6" s="28">
        <v>3.0</v>
      </c>
      <c r="H6" s="28">
        <v>3.0</v>
      </c>
      <c r="I6" s="28">
        <v>1.0</v>
      </c>
      <c r="J6" s="28"/>
      <c r="K6" s="30">
        <f t="shared" si="1"/>
        <v>37.69911184</v>
      </c>
    </row>
    <row r="7" ht="15.75" hidden="1" customHeight="1">
      <c r="A7" s="31" t="s">
        <v>134</v>
      </c>
      <c r="B7" s="26" t="s">
        <v>131</v>
      </c>
      <c r="C7" s="27" t="s">
        <v>40</v>
      </c>
      <c r="D7" s="28" t="s">
        <v>755</v>
      </c>
      <c r="E7" s="28" t="s">
        <v>759</v>
      </c>
      <c r="F7" s="28" t="s">
        <v>75</v>
      </c>
      <c r="G7" s="28">
        <v>2.0</v>
      </c>
      <c r="H7" s="28">
        <v>4.0</v>
      </c>
      <c r="I7" s="28">
        <v>1.0</v>
      </c>
      <c r="J7" s="28"/>
      <c r="K7" s="30">
        <f t="shared" si="1"/>
        <v>33.51032164</v>
      </c>
    </row>
    <row r="8" ht="15.75" hidden="1" customHeight="1">
      <c r="A8" s="25" t="s">
        <v>145</v>
      </c>
      <c r="B8" s="26" t="s">
        <v>143</v>
      </c>
      <c r="C8" s="27" t="s">
        <v>6</v>
      </c>
      <c r="D8" s="28" t="s">
        <v>754</v>
      </c>
      <c r="E8" s="28" t="s">
        <v>757</v>
      </c>
      <c r="F8" s="28" t="s">
        <v>757</v>
      </c>
      <c r="G8" s="28">
        <v>0.0</v>
      </c>
      <c r="H8" s="28"/>
      <c r="I8" s="28"/>
      <c r="J8" s="28"/>
      <c r="K8" s="30">
        <f t="shared" si="1"/>
        <v>0</v>
      </c>
    </row>
    <row r="9" ht="15.75" hidden="1" customHeight="1">
      <c r="A9" s="31" t="s">
        <v>150</v>
      </c>
      <c r="B9" s="26" t="s">
        <v>147</v>
      </c>
      <c r="C9" s="27" t="s">
        <v>37</v>
      </c>
      <c r="D9" s="28" t="s">
        <v>760</v>
      </c>
      <c r="E9" s="28" t="s">
        <v>757</v>
      </c>
      <c r="F9" s="28" t="s">
        <v>757</v>
      </c>
      <c r="G9" s="28">
        <v>0.0</v>
      </c>
      <c r="H9" s="28"/>
      <c r="I9" s="28"/>
      <c r="J9" s="28"/>
      <c r="K9" s="30">
        <f t="shared" si="1"/>
        <v>0</v>
      </c>
    </row>
    <row r="10" ht="15.75" hidden="1" customHeight="1">
      <c r="A10" s="31" t="s">
        <v>158</v>
      </c>
      <c r="B10" s="26" t="s">
        <v>156</v>
      </c>
      <c r="C10" s="27" t="s">
        <v>37</v>
      </c>
      <c r="D10" s="28" t="s">
        <v>760</v>
      </c>
      <c r="E10" s="28" t="s">
        <v>757</v>
      </c>
      <c r="F10" s="28" t="s">
        <v>757</v>
      </c>
      <c r="G10" s="28">
        <v>0.0</v>
      </c>
      <c r="H10" s="28"/>
      <c r="I10" s="28"/>
      <c r="J10" s="28"/>
      <c r="K10" s="30">
        <f t="shared" si="1"/>
        <v>0</v>
      </c>
    </row>
    <row r="11" ht="15.75" hidden="1" customHeight="1">
      <c r="A11" s="31" t="s">
        <v>162</v>
      </c>
      <c r="B11" s="26" t="s">
        <v>160</v>
      </c>
      <c r="C11" s="27" t="s">
        <v>37</v>
      </c>
      <c r="D11" s="28" t="s">
        <v>760</v>
      </c>
      <c r="E11" s="28" t="s">
        <v>757</v>
      </c>
      <c r="F11" s="28" t="s">
        <v>757</v>
      </c>
      <c r="G11" s="28">
        <v>0.0</v>
      </c>
      <c r="H11" s="28"/>
      <c r="I11" s="28"/>
      <c r="J11" s="28"/>
      <c r="K11" s="30">
        <f t="shared" si="1"/>
        <v>0</v>
      </c>
    </row>
    <row r="12" ht="15.75" hidden="1" customHeight="1">
      <c r="A12" s="31" t="s">
        <v>165</v>
      </c>
      <c r="B12" s="26" t="s">
        <v>163</v>
      </c>
      <c r="C12" s="27" t="s">
        <v>37</v>
      </c>
      <c r="D12" s="28" t="s">
        <v>760</v>
      </c>
      <c r="E12" s="28" t="s">
        <v>759</v>
      </c>
      <c r="F12" s="28" t="s">
        <v>75</v>
      </c>
      <c r="G12" s="28">
        <v>2.0</v>
      </c>
      <c r="H12" s="28">
        <v>2.0</v>
      </c>
      <c r="I12" s="28">
        <v>1.0</v>
      </c>
      <c r="J12" s="28"/>
      <c r="K12" s="30">
        <f t="shared" si="1"/>
        <v>16.75516082</v>
      </c>
    </row>
    <row r="13" ht="15.75" hidden="1" customHeight="1">
      <c r="A13" s="31" t="s">
        <v>165</v>
      </c>
      <c r="B13" s="26" t="s">
        <v>163</v>
      </c>
      <c r="C13" s="27" t="s">
        <v>37</v>
      </c>
      <c r="D13" s="28" t="s">
        <v>760</v>
      </c>
      <c r="E13" s="28" t="s">
        <v>756</v>
      </c>
      <c r="F13" s="28" t="s">
        <v>756</v>
      </c>
      <c r="G13" s="28">
        <v>1.0</v>
      </c>
      <c r="H13" s="28"/>
      <c r="I13" s="28"/>
      <c r="J13" s="28"/>
      <c r="K13" s="30">
        <f t="shared" si="1"/>
        <v>0</v>
      </c>
    </row>
    <row r="14" ht="15.75" hidden="1" customHeight="1">
      <c r="A14" s="31" t="s">
        <v>170</v>
      </c>
      <c r="B14" s="26" t="s">
        <v>167</v>
      </c>
      <c r="C14" s="27" t="s">
        <v>12</v>
      </c>
      <c r="D14" s="28" t="s">
        <v>755</v>
      </c>
      <c r="E14" s="28" t="s">
        <v>757</v>
      </c>
      <c r="F14" s="28" t="s">
        <v>757</v>
      </c>
      <c r="G14" s="28">
        <v>0.0</v>
      </c>
      <c r="H14" s="28"/>
      <c r="I14" s="28"/>
      <c r="J14" s="28"/>
      <c r="K14" s="30">
        <f t="shared" si="1"/>
        <v>0</v>
      </c>
    </row>
    <row r="15" ht="15.75" hidden="1" customHeight="1">
      <c r="A15" s="32" t="s">
        <v>761</v>
      </c>
      <c r="B15" s="33" t="s">
        <v>172</v>
      </c>
      <c r="C15" s="34" t="s">
        <v>173</v>
      </c>
      <c r="D15" s="35" t="s">
        <v>760</v>
      </c>
      <c r="E15" s="35" t="s">
        <v>757</v>
      </c>
      <c r="F15" s="35" t="s">
        <v>757</v>
      </c>
      <c r="G15" s="35">
        <v>0.0</v>
      </c>
      <c r="H15" s="35"/>
      <c r="I15" s="35"/>
      <c r="J15" s="36"/>
      <c r="K15" s="30">
        <f t="shared" si="1"/>
        <v>0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75" hidden="1" customHeight="1">
      <c r="A16" s="31" t="s">
        <v>158</v>
      </c>
      <c r="B16" s="26" t="s">
        <v>178</v>
      </c>
      <c r="C16" s="27" t="s">
        <v>10</v>
      </c>
      <c r="D16" s="28" t="s">
        <v>754</v>
      </c>
      <c r="E16" s="28" t="s">
        <v>757</v>
      </c>
      <c r="F16" s="28" t="s">
        <v>757</v>
      </c>
      <c r="G16" s="28">
        <v>0.0</v>
      </c>
      <c r="H16" s="28"/>
      <c r="I16" s="28"/>
      <c r="J16" s="28"/>
      <c r="K16" s="30">
        <f t="shared" si="1"/>
        <v>0</v>
      </c>
    </row>
    <row r="17" ht="15.75" hidden="1" customHeight="1">
      <c r="A17" s="31" t="s">
        <v>129</v>
      </c>
      <c r="B17" s="26" t="s">
        <v>183</v>
      </c>
      <c r="C17" s="27" t="s">
        <v>40</v>
      </c>
      <c r="D17" s="28" t="s">
        <v>755</v>
      </c>
      <c r="E17" s="28" t="s">
        <v>77</v>
      </c>
      <c r="F17" s="28" t="s">
        <v>79</v>
      </c>
      <c r="G17" s="28">
        <v>1.0</v>
      </c>
      <c r="H17" s="28"/>
      <c r="I17" s="28"/>
      <c r="J17" s="37" t="s">
        <v>762</v>
      </c>
      <c r="K17" s="30">
        <f t="shared" si="1"/>
        <v>0</v>
      </c>
    </row>
    <row r="18" ht="15.75" customHeight="1">
      <c r="A18" s="31" t="s">
        <v>137</v>
      </c>
      <c r="B18" s="26" t="s">
        <v>187</v>
      </c>
      <c r="C18" s="27" t="s">
        <v>30</v>
      </c>
      <c r="D18" s="28" t="s">
        <v>754</v>
      </c>
      <c r="E18" s="28" t="s">
        <v>759</v>
      </c>
      <c r="F18" s="28" t="s">
        <v>75</v>
      </c>
      <c r="G18" s="28">
        <v>1.0</v>
      </c>
      <c r="H18" s="28">
        <v>4.0</v>
      </c>
      <c r="I18" s="28">
        <v>1.0</v>
      </c>
      <c r="J18" s="28"/>
      <c r="K18" s="30">
        <f t="shared" si="1"/>
        <v>16.75516082</v>
      </c>
    </row>
    <row r="19" ht="15.75" customHeight="1">
      <c r="A19" s="31" t="s">
        <v>137</v>
      </c>
      <c r="B19" s="26" t="s">
        <v>187</v>
      </c>
      <c r="C19" s="27" t="s">
        <v>30</v>
      </c>
      <c r="D19" s="28" t="s">
        <v>754</v>
      </c>
      <c r="E19" s="28" t="s">
        <v>759</v>
      </c>
      <c r="F19" s="28" t="s">
        <v>75</v>
      </c>
      <c r="G19" s="28">
        <v>2.0</v>
      </c>
      <c r="H19" s="28">
        <v>5.0</v>
      </c>
      <c r="I19" s="28">
        <v>1.0</v>
      </c>
      <c r="J19" s="28"/>
      <c r="K19" s="30">
        <f t="shared" si="1"/>
        <v>41.88790205</v>
      </c>
    </row>
    <row r="20" ht="15.75" customHeight="1">
      <c r="A20" s="31" t="s">
        <v>137</v>
      </c>
      <c r="B20" s="26" t="s">
        <v>194</v>
      </c>
      <c r="C20" s="27" t="s">
        <v>33</v>
      </c>
      <c r="D20" s="28" t="s">
        <v>754</v>
      </c>
      <c r="E20" s="28" t="s">
        <v>763</v>
      </c>
      <c r="F20" s="28" t="s">
        <v>763</v>
      </c>
      <c r="G20" s="28">
        <v>1.0</v>
      </c>
      <c r="H20" s="28"/>
      <c r="I20" s="28"/>
      <c r="J20" s="37" t="s">
        <v>762</v>
      </c>
      <c r="K20" s="30">
        <f t="shared" si="1"/>
        <v>0</v>
      </c>
    </row>
    <row r="21" ht="15.75" customHeight="1">
      <c r="A21" s="25" t="s">
        <v>764</v>
      </c>
      <c r="B21" s="26" t="s">
        <v>195</v>
      </c>
      <c r="C21" s="27" t="s">
        <v>33</v>
      </c>
      <c r="D21" s="28" t="s">
        <v>754</v>
      </c>
      <c r="E21" s="28" t="s">
        <v>757</v>
      </c>
      <c r="F21" s="28" t="s">
        <v>757</v>
      </c>
      <c r="G21" s="28">
        <v>0.0</v>
      </c>
      <c r="H21" s="28"/>
      <c r="I21" s="28"/>
      <c r="J21" s="28"/>
      <c r="K21" s="30">
        <f t="shared" si="1"/>
        <v>0</v>
      </c>
    </row>
    <row r="22" ht="15.75" hidden="1" customHeight="1">
      <c r="A22" s="25" t="s">
        <v>145</v>
      </c>
      <c r="B22" s="26" t="s">
        <v>198</v>
      </c>
      <c r="C22" s="27" t="s">
        <v>14</v>
      </c>
      <c r="D22" s="28" t="s">
        <v>754</v>
      </c>
      <c r="E22" s="28" t="s">
        <v>91</v>
      </c>
      <c r="F22" s="28" t="s">
        <v>91</v>
      </c>
      <c r="G22" s="28">
        <v>1.0</v>
      </c>
      <c r="H22" s="28"/>
      <c r="I22" s="28"/>
      <c r="J22" s="37" t="s">
        <v>762</v>
      </c>
      <c r="K22" s="30">
        <f t="shared" si="1"/>
        <v>0</v>
      </c>
    </row>
    <row r="23" ht="15.75" hidden="1" customHeight="1">
      <c r="A23" s="31" t="s">
        <v>170</v>
      </c>
      <c r="B23" s="26" t="s">
        <v>200</v>
      </c>
      <c r="C23" s="27" t="s">
        <v>16</v>
      </c>
      <c r="D23" s="28" t="s">
        <v>755</v>
      </c>
      <c r="E23" s="28" t="s">
        <v>63</v>
      </c>
      <c r="F23" s="28" t="s">
        <v>63</v>
      </c>
      <c r="G23" s="28">
        <v>2.0</v>
      </c>
      <c r="H23" s="28">
        <v>4.0</v>
      </c>
      <c r="I23" s="28">
        <v>1.0</v>
      </c>
      <c r="J23" s="28"/>
      <c r="K23" s="30">
        <f t="shared" si="1"/>
        <v>33.51032164</v>
      </c>
    </row>
    <row r="24" ht="15.75" hidden="1" customHeight="1">
      <c r="A24" s="25" t="s">
        <v>765</v>
      </c>
      <c r="B24" s="26" t="s">
        <v>203</v>
      </c>
      <c r="C24" s="27" t="s">
        <v>16</v>
      </c>
      <c r="D24" s="28" t="s">
        <v>755</v>
      </c>
      <c r="E24" s="28" t="s">
        <v>63</v>
      </c>
      <c r="F24" s="28" t="s">
        <v>63</v>
      </c>
      <c r="G24" s="28">
        <v>1.0</v>
      </c>
      <c r="H24" s="28">
        <v>3.0</v>
      </c>
      <c r="I24" s="28">
        <v>1.0</v>
      </c>
      <c r="J24" s="28"/>
      <c r="K24" s="30">
        <f t="shared" si="1"/>
        <v>12.56637061</v>
      </c>
    </row>
    <row r="25" ht="15.75" hidden="1" customHeight="1">
      <c r="A25" s="31" t="s">
        <v>207</v>
      </c>
      <c r="B25" s="26" t="s">
        <v>205</v>
      </c>
      <c r="C25" s="27" t="s">
        <v>37</v>
      </c>
      <c r="D25" s="28" t="s">
        <v>760</v>
      </c>
      <c r="E25" s="28" t="s">
        <v>63</v>
      </c>
      <c r="F25" s="28" t="s">
        <v>63</v>
      </c>
      <c r="G25" s="28">
        <v>2.0</v>
      </c>
      <c r="H25" s="28">
        <v>12.0</v>
      </c>
      <c r="I25" s="28">
        <v>5.0</v>
      </c>
      <c r="J25" s="28"/>
      <c r="K25" s="30">
        <f t="shared" si="1"/>
        <v>2513.274123</v>
      </c>
    </row>
    <row r="26" ht="15.75" hidden="1" customHeight="1">
      <c r="A26" s="31" t="s">
        <v>207</v>
      </c>
      <c r="B26" s="26" t="s">
        <v>205</v>
      </c>
      <c r="C26" s="27" t="s">
        <v>37</v>
      </c>
      <c r="D26" s="28" t="s">
        <v>760</v>
      </c>
      <c r="E26" s="28" t="s">
        <v>63</v>
      </c>
      <c r="F26" s="28" t="s">
        <v>63</v>
      </c>
      <c r="G26" s="28">
        <v>2.0</v>
      </c>
      <c r="H26" s="28">
        <v>15.0</v>
      </c>
      <c r="I26" s="28">
        <v>7.0</v>
      </c>
      <c r="J26" s="28"/>
      <c r="K26" s="30">
        <f t="shared" si="1"/>
        <v>6157.521601</v>
      </c>
    </row>
    <row r="27" ht="15.75" hidden="1" customHeight="1">
      <c r="A27" s="31" t="s">
        <v>210</v>
      </c>
      <c r="B27" s="26" t="s">
        <v>208</v>
      </c>
      <c r="C27" s="27" t="s">
        <v>24</v>
      </c>
      <c r="D27" s="28" t="s">
        <v>755</v>
      </c>
      <c r="E27" s="28" t="s">
        <v>63</v>
      </c>
      <c r="F27" s="28" t="s">
        <v>63</v>
      </c>
      <c r="G27" s="28">
        <v>1.0</v>
      </c>
      <c r="H27" s="28">
        <v>43.0</v>
      </c>
      <c r="I27" s="28">
        <v>17.0</v>
      </c>
      <c r="J27" s="28"/>
      <c r="K27" s="30">
        <f t="shared" si="1"/>
        <v>52054.09587</v>
      </c>
    </row>
    <row r="28" ht="15.75" hidden="1" customHeight="1">
      <c r="A28" s="31" t="s">
        <v>210</v>
      </c>
      <c r="B28" s="26" t="s">
        <v>208</v>
      </c>
      <c r="C28" s="27" t="s">
        <v>24</v>
      </c>
      <c r="D28" s="28" t="s">
        <v>755</v>
      </c>
      <c r="E28" s="28" t="s">
        <v>63</v>
      </c>
      <c r="F28" s="28" t="s">
        <v>63</v>
      </c>
      <c r="G28" s="28">
        <v>2.0</v>
      </c>
      <c r="H28" s="28">
        <v>16.0</v>
      </c>
      <c r="I28" s="28">
        <v>10.0</v>
      </c>
      <c r="J28" s="28"/>
      <c r="K28" s="30">
        <f t="shared" si="1"/>
        <v>13404.12866</v>
      </c>
    </row>
    <row r="29" ht="15.75" hidden="1" customHeight="1">
      <c r="A29" s="31" t="s">
        <v>210</v>
      </c>
      <c r="B29" s="26" t="s">
        <v>208</v>
      </c>
      <c r="C29" s="27" t="s">
        <v>24</v>
      </c>
      <c r="D29" s="28" t="s">
        <v>755</v>
      </c>
      <c r="E29" s="28" t="s">
        <v>63</v>
      </c>
      <c r="F29" s="28" t="s">
        <v>63</v>
      </c>
      <c r="G29" s="28">
        <v>2.0</v>
      </c>
      <c r="H29" s="28">
        <v>10.0</v>
      </c>
      <c r="I29" s="28">
        <v>7.0</v>
      </c>
      <c r="J29" s="28"/>
      <c r="K29" s="30">
        <f t="shared" si="1"/>
        <v>4105.014401</v>
      </c>
    </row>
    <row r="30" ht="15.75" hidden="1" customHeight="1">
      <c r="A30" s="31" t="s">
        <v>210</v>
      </c>
      <c r="B30" s="26" t="s">
        <v>208</v>
      </c>
      <c r="C30" s="27" t="s">
        <v>24</v>
      </c>
      <c r="D30" s="28" t="s">
        <v>755</v>
      </c>
      <c r="E30" s="28" t="s">
        <v>63</v>
      </c>
      <c r="F30" s="28" t="s">
        <v>63</v>
      </c>
      <c r="G30" s="28">
        <v>1.0</v>
      </c>
      <c r="H30" s="28"/>
      <c r="I30" s="28"/>
      <c r="J30" s="28" t="s">
        <v>762</v>
      </c>
      <c r="K30" s="30">
        <f t="shared" si="1"/>
        <v>0</v>
      </c>
    </row>
    <row r="31" ht="15.75" hidden="1" customHeight="1">
      <c r="A31" s="31" t="s">
        <v>207</v>
      </c>
      <c r="B31" s="26" t="s">
        <v>211</v>
      </c>
      <c r="C31" s="27" t="s">
        <v>37</v>
      </c>
      <c r="D31" s="28" t="s">
        <v>760</v>
      </c>
      <c r="E31" s="28" t="s">
        <v>757</v>
      </c>
      <c r="F31" s="28" t="s">
        <v>757</v>
      </c>
      <c r="G31" s="28">
        <v>0.0</v>
      </c>
      <c r="H31" s="28"/>
      <c r="I31" s="28"/>
      <c r="J31" s="28"/>
      <c r="K31" s="30">
        <f t="shared" si="1"/>
        <v>0</v>
      </c>
    </row>
    <row r="32" ht="15.75" hidden="1" customHeight="1">
      <c r="A32" s="31" t="s">
        <v>214</v>
      </c>
      <c r="B32" s="26" t="s">
        <v>212</v>
      </c>
      <c r="C32" s="27" t="s">
        <v>16</v>
      </c>
      <c r="D32" s="28" t="s">
        <v>760</v>
      </c>
      <c r="E32" s="28" t="s">
        <v>757</v>
      </c>
      <c r="F32" s="28" t="s">
        <v>757</v>
      </c>
      <c r="G32" s="28">
        <v>0.0</v>
      </c>
      <c r="H32" s="28"/>
      <c r="I32" s="28"/>
      <c r="J32" s="28"/>
      <c r="K32" s="30">
        <f t="shared" si="1"/>
        <v>0</v>
      </c>
    </row>
    <row r="33" ht="15.75" hidden="1" customHeight="1">
      <c r="A33" s="31" t="s">
        <v>207</v>
      </c>
      <c r="B33" s="26" t="s">
        <v>215</v>
      </c>
      <c r="C33" s="27" t="s">
        <v>37</v>
      </c>
      <c r="D33" s="28" t="s">
        <v>760</v>
      </c>
      <c r="E33" s="28" t="s">
        <v>57</v>
      </c>
      <c r="F33" s="28" t="s">
        <v>57</v>
      </c>
      <c r="G33" s="28">
        <v>1.0</v>
      </c>
      <c r="H33" s="28"/>
      <c r="I33" s="28"/>
      <c r="J33" s="28" t="s">
        <v>762</v>
      </c>
      <c r="K33" s="30">
        <f t="shared" si="1"/>
        <v>0</v>
      </c>
    </row>
    <row r="34" ht="15.75" hidden="1" customHeight="1">
      <c r="A34" s="31" t="s">
        <v>137</v>
      </c>
      <c r="B34" s="26" t="s">
        <v>216</v>
      </c>
      <c r="C34" s="27" t="s">
        <v>16</v>
      </c>
      <c r="D34" s="28" t="s">
        <v>755</v>
      </c>
      <c r="E34" s="28" t="s">
        <v>759</v>
      </c>
      <c r="F34" s="28" t="s">
        <v>75</v>
      </c>
      <c r="G34" s="28">
        <v>1.0</v>
      </c>
      <c r="H34" s="28">
        <v>4.0</v>
      </c>
      <c r="I34" s="28">
        <v>1.0</v>
      </c>
      <c r="J34" s="28"/>
      <c r="K34" s="30">
        <f t="shared" si="1"/>
        <v>16.75516082</v>
      </c>
    </row>
    <row r="35" ht="15.75" hidden="1" customHeight="1">
      <c r="A35" s="31" t="s">
        <v>137</v>
      </c>
      <c r="B35" s="26" t="s">
        <v>216</v>
      </c>
      <c r="C35" s="27" t="s">
        <v>16</v>
      </c>
      <c r="D35" s="28" t="s">
        <v>755</v>
      </c>
      <c r="E35" s="28" t="s">
        <v>63</v>
      </c>
      <c r="F35" s="28" t="s">
        <v>63</v>
      </c>
      <c r="G35" s="28">
        <v>1.0</v>
      </c>
      <c r="H35" s="28">
        <v>3.0</v>
      </c>
      <c r="I35" s="28">
        <v>1.0</v>
      </c>
      <c r="J35" s="28"/>
      <c r="K35" s="30">
        <f t="shared" si="1"/>
        <v>12.56637061</v>
      </c>
    </row>
    <row r="36" ht="15.75" hidden="1" customHeight="1">
      <c r="A36" s="25" t="s">
        <v>145</v>
      </c>
      <c r="B36" s="26" t="s">
        <v>220</v>
      </c>
      <c r="C36" s="27" t="s">
        <v>26</v>
      </c>
      <c r="D36" s="28" t="s">
        <v>754</v>
      </c>
      <c r="E36" s="28" t="s">
        <v>757</v>
      </c>
      <c r="F36" s="28" t="s">
        <v>757</v>
      </c>
      <c r="G36" s="28">
        <v>0.0</v>
      </c>
      <c r="H36" s="28"/>
      <c r="I36" s="28"/>
      <c r="J36" s="28"/>
      <c r="K36" s="30">
        <f t="shared" si="1"/>
        <v>0</v>
      </c>
    </row>
    <row r="37" ht="15.75" hidden="1" customHeight="1">
      <c r="A37" s="31" t="s">
        <v>207</v>
      </c>
      <c r="B37" s="26" t="s">
        <v>224</v>
      </c>
      <c r="C37" s="27" t="s">
        <v>24</v>
      </c>
      <c r="D37" s="28" t="s">
        <v>755</v>
      </c>
      <c r="E37" s="28" t="s">
        <v>63</v>
      </c>
      <c r="F37" s="28" t="s">
        <v>63</v>
      </c>
      <c r="G37" s="28">
        <v>2.0</v>
      </c>
      <c r="H37" s="28">
        <v>14.0</v>
      </c>
      <c r="I37" s="28">
        <v>8.0</v>
      </c>
      <c r="J37" s="28"/>
      <c r="K37" s="30">
        <f t="shared" si="1"/>
        <v>7506.312047</v>
      </c>
    </row>
    <row r="38" ht="15.75" hidden="1" customHeight="1">
      <c r="A38" s="25" t="s">
        <v>145</v>
      </c>
      <c r="B38" s="26" t="s">
        <v>227</v>
      </c>
      <c r="C38" s="27" t="s">
        <v>26</v>
      </c>
      <c r="D38" s="28" t="s">
        <v>754</v>
      </c>
      <c r="E38" s="28" t="s">
        <v>63</v>
      </c>
      <c r="F38" s="28" t="s">
        <v>63</v>
      </c>
      <c r="G38" s="28">
        <v>2.0</v>
      </c>
      <c r="H38" s="28">
        <v>3.0</v>
      </c>
      <c r="I38" s="28">
        <v>1.0</v>
      </c>
      <c r="J38" s="28"/>
      <c r="K38" s="30">
        <f t="shared" si="1"/>
        <v>25.13274123</v>
      </c>
    </row>
    <row r="39" ht="15.75" hidden="1" customHeight="1">
      <c r="A39" s="25" t="s">
        <v>145</v>
      </c>
      <c r="B39" s="26" t="s">
        <v>229</v>
      </c>
      <c r="C39" s="27" t="s">
        <v>26</v>
      </c>
      <c r="D39" s="28" t="s">
        <v>754</v>
      </c>
      <c r="E39" s="28" t="s">
        <v>757</v>
      </c>
      <c r="F39" s="28" t="s">
        <v>757</v>
      </c>
      <c r="G39" s="28">
        <v>0.0</v>
      </c>
      <c r="H39" s="28"/>
      <c r="I39" s="28"/>
      <c r="J39" s="28"/>
      <c r="K39" s="30">
        <f t="shared" si="1"/>
        <v>0</v>
      </c>
    </row>
    <row r="40" ht="15.75" hidden="1" customHeight="1">
      <c r="A40" s="25" t="s">
        <v>145</v>
      </c>
      <c r="B40" s="26" t="s">
        <v>229</v>
      </c>
      <c r="C40" s="27" t="s">
        <v>26</v>
      </c>
      <c r="D40" s="28" t="s">
        <v>754</v>
      </c>
      <c r="E40" s="28" t="s">
        <v>91</v>
      </c>
      <c r="F40" s="28" t="s">
        <v>91</v>
      </c>
      <c r="G40" s="28">
        <v>1.0</v>
      </c>
      <c r="H40" s="28">
        <v>4.0</v>
      </c>
      <c r="I40" s="28">
        <v>4.0</v>
      </c>
      <c r="J40" s="28"/>
      <c r="K40" s="30">
        <f t="shared" si="1"/>
        <v>268.0825731</v>
      </c>
    </row>
    <row r="41" ht="15.75" hidden="1" customHeight="1">
      <c r="A41" s="25" t="s">
        <v>145</v>
      </c>
      <c r="B41" s="26" t="s">
        <v>229</v>
      </c>
      <c r="C41" s="27" t="s">
        <v>26</v>
      </c>
      <c r="D41" s="28" t="s">
        <v>754</v>
      </c>
      <c r="E41" s="28" t="s">
        <v>63</v>
      </c>
      <c r="F41" s="28" t="s">
        <v>63</v>
      </c>
      <c r="G41" s="28">
        <v>2.0</v>
      </c>
      <c r="H41" s="28">
        <v>7.0</v>
      </c>
      <c r="I41" s="28">
        <v>2.0</v>
      </c>
      <c r="J41" s="28"/>
      <c r="K41" s="30">
        <f t="shared" si="1"/>
        <v>234.5722515</v>
      </c>
    </row>
    <row r="42" ht="15.75" hidden="1" customHeight="1">
      <c r="A42" s="25" t="s">
        <v>145</v>
      </c>
      <c r="B42" s="26" t="s">
        <v>229</v>
      </c>
      <c r="C42" s="27" t="s">
        <v>26</v>
      </c>
      <c r="D42" s="28" t="s">
        <v>754</v>
      </c>
      <c r="E42" s="28" t="s">
        <v>69</v>
      </c>
      <c r="F42" s="28" t="s">
        <v>69</v>
      </c>
      <c r="G42" s="28">
        <v>1.0</v>
      </c>
      <c r="H42" s="28">
        <v>12.0</v>
      </c>
      <c r="I42" s="28">
        <v>2.0</v>
      </c>
      <c r="J42" s="28"/>
      <c r="K42" s="30">
        <f t="shared" si="1"/>
        <v>201.0619298</v>
      </c>
    </row>
    <row r="43" ht="15.75" hidden="1" customHeight="1">
      <c r="A43" s="25" t="s">
        <v>119</v>
      </c>
      <c r="B43" s="26" t="s">
        <v>231</v>
      </c>
      <c r="C43" s="27" t="s">
        <v>10</v>
      </c>
      <c r="D43" s="28" t="s">
        <v>754</v>
      </c>
      <c r="E43" s="28" t="s">
        <v>67</v>
      </c>
      <c r="F43" s="28" t="s">
        <v>67</v>
      </c>
      <c r="G43" s="28">
        <v>1.0</v>
      </c>
      <c r="H43" s="28">
        <v>1.0</v>
      </c>
      <c r="I43" s="28">
        <v>0.5</v>
      </c>
      <c r="J43" s="28"/>
      <c r="K43" s="30">
        <f t="shared" si="1"/>
        <v>1.047197551</v>
      </c>
    </row>
    <row r="44" ht="15.75" hidden="1" customHeight="1">
      <c r="A44" s="25" t="s">
        <v>119</v>
      </c>
      <c r="B44" s="26" t="s">
        <v>231</v>
      </c>
      <c r="C44" s="27" t="s">
        <v>10</v>
      </c>
      <c r="D44" s="28" t="s">
        <v>754</v>
      </c>
      <c r="E44" s="28" t="s">
        <v>63</v>
      </c>
      <c r="F44" s="28" t="s">
        <v>97</v>
      </c>
      <c r="G44" s="28">
        <v>1.0</v>
      </c>
      <c r="H44" s="28">
        <v>5.0</v>
      </c>
      <c r="I44" s="28">
        <v>1.0</v>
      </c>
      <c r="J44" s="28"/>
      <c r="K44" s="30">
        <f t="shared" si="1"/>
        <v>20.94395102</v>
      </c>
    </row>
    <row r="45" ht="15.75" hidden="1" customHeight="1">
      <c r="A45" s="25" t="s">
        <v>119</v>
      </c>
      <c r="B45" s="26" t="s">
        <v>231</v>
      </c>
      <c r="C45" s="27" t="s">
        <v>10</v>
      </c>
      <c r="D45" s="28" t="s">
        <v>754</v>
      </c>
      <c r="E45" s="28" t="s">
        <v>766</v>
      </c>
      <c r="F45" s="28" t="s">
        <v>87</v>
      </c>
      <c r="G45" s="28">
        <v>1.0</v>
      </c>
      <c r="H45" s="28">
        <v>13.0</v>
      </c>
      <c r="I45" s="28">
        <v>2.0</v>
      </c>
      <c r="J45" s="28"/>
      <c r="K45" s="30">
        <f t="shared" si="1"/>
        <v>217.8170906</v>
      </c>
    </row>
    <row r="46" ht="15.75" hidden="1" customHeight="1">
      <c r="A46" s="25" t="s">
        <v>119</v>
      </c>
      <c r="B46" s="26" t="s">
        <v>231</v>
      </c>
      <c r="C46" s="27" t="s">
        <v>10</v>
      </c>
      <c r="D46" s="28" t="s">
        <v>754</v>
      </c>
      <c r="E46" s="28" t="s">
        <v>63</v>
      </c>
      <c r="F46" s="28" t="s">
        <v>63</v>
      </c>
      <c r="G46" s="28">
        <v>1.0</v>
      </c>
      <c r="H46" s="28">
        <v>3.0</v>
      </c>
      <c r="I46" s="28">
        <v>1.0</v>
      </c>
      <c r="J46" s="28"/>
      <c r="K46" s="30">
        <f t="shared" si="1"/>
        <v>12.56637061</v>
      </c>
    </row>
    <row r="47" ht="15.75" hidden="1" customHeight="1">
      <c r="A47" s="25" t="s">
        <v>119</v>
      </c>
      <c r="B47" s="26" t="s">
        <v>231</v>
      </c>
      <c r="C47" s="27" t="s">
        <v>10</v>
      </c>
      <c r="D47" s="28" t="s">
        <v>754</v>
      </c>
      <c r="E47" s="28" t="s">
        <v>57</v>
      </c>
      <c r="F47" s="28" t="s">
        <v>57</v>
      </c>
      <c r="G47" s="28">
        <v>1.0</v>
      </c>
      <c r="H47" s="28">
        <v>6.0</v>
      </c>
      <c r="I47" s="28">
        <v>3.0</v>
      </c>
      <c r="J47" s="28"/>
      <c r="K47" s="30">
        <f t="shared" si="1"/>
        <v>226.1946711</v>
      </c>
    </row>
    <row r="48" ht="15.75" hidden="1" customHeight="1">
      <c r="A48" s="31" t="s">
        <v>158</v>
      </c>
      <c r="B48" s="26" t="s">
        <v>233</v>
      </c>
      <c r="C48" s="27" t="s">
        <v>37</v>
      </c>
      <c r="D48" s="28" t="s">
        <v>760</v>
      </c>
      <c r="E48" s="28" t="s">
        <v>757</v>
      </c>
      <c r="F48" s="28" t="s">
        <v>757</v>
      </c>
      <c r="G48" s="28">
        <v>0.0</v>
      </c>
      <c r="H48" s="28"/>
      <c r="I48" s="28"/>
      <c r="J48" s="28" t="s">
        <v>758</v>
      </c>
      <c r="K48" s="30">
        <f t="shared" si="1"/>
        <v>0</v>
      </c>
    </row>
    <row r="49" ht="15.75" hidden="1" customHeight="1">
      <c r="A49" s="31" t="s">
        <v>150</v>
      </c>
      <c r="B49" s="26" t="s">
        <v>236</v>
      </c>
      <c r="C49" s="27" t="s">
        <v>37</v>
      </c>
      <c r="D49" s="28" t="s">
        <v>755</v>
      </c>
      <c r="E49" s="28" t="s">
        <v>757</v>
      </c>
      <c r="F49" s="28" t="s">
        <v>757</v>
      </c>
      <c r="G49" s="28">
        <v>0.0</v>
      </c>
      <c r="H49" s="28"/>
      <c r="I49" s="28"/>
      <c r="J49" s="28"/>
      <c r="K49" s="30">
        <f t="shared" si="1"/>
        <v>0</v>
      </c>
    </row>
    <row r="50" ht="15.75" hidden="1" customHeight="1">
      <c r="A50" s="31" t="s">
        <v>126</v>
      </c>
      <c r="B50" s="26" t="s">
        <v>238</v>
      </c>
      <c r="C50" s="27" t="s">
        <v>37</v>
      </c>
      <c r="D50" s="28" t="s">
        <v>760</v>
      </c>
      <c r="E50" s="28" t="s">
        <v>763</v>
      </c>
      <c r="F50" s="28" t="s">
        <v>763</v>
      </c>
      <c r="G50" s="28">
        <v>1.0</v>
      </c>
      <c r="H50" s="28"/>
      <c r="I50" s="28"/>
      <c r="J50" s="37" t="s">
        <v>762</v>
      </c>
      <c r="K50" s="30">
        <f t="shared" si="1"/>
        <v>0</v>
      </c>
    </row>
    <row r="51" ht="15.75" customHeight="1">
      <c r="A51" s="31" t="s">
        <v>207</v>
      </c>
      <c r="B51" s="26" t="s">
        <v>241</v>
      </c>
      <c r="C51" s="27" t="s">
        <v>34</v>
      </c>
      <c r="D51" s="28" t="s">
        <v>755</v>
      </c>
      <c r="E51" s="28" t="s">
        <v>757</v>
      </c>
      <c r="F51" s="28" t="s">
        <v>757</v>
      </c>
      <c r="G51" s="28">
        <v>0.0</v>
      </c>
      <c r="H51" s="28"/>
      <c r="I51" s="28"/>
      <c r="J51" s="28"/>
      <c r="K51" s="30">
        <f t="shared" si="1"/>
        <v>0</v>
      </c>
    </row>
    <row r="52" ht="15.75" hidden="1" customHeight="1">
      <c r="A52" s="31" t="s">
        <v>767</v>
      </c>
      <c r="B52" s="26" t="s">
        <v>243</v>
      </c>
      <c r="C52" s="27" t="s">
        <v>37</v>
      </c>
      <c r="D52" s="28" t="s">
        <v>760</v>
      </c>
      <c r="E52" s="28" t="s">
        <v>757</v>
      </c>
      <c r="F52" s="28" t="s">
        <v>757</v>
      </c>
      <c r="G52" s="28">
        <v>0.0</v>
      </c>
      <c r="H52" s="28"/>
      <c r="I52" s="28"/>
      <c r="J52" s="28"/>
      <c r="K52" s="30">
        <f t="shared" si="1"/>
        <v>0</v>
      </c>
    </row>
    <row r="53" ht="15.75" hidden="1" customHeight="1">
      <c r="A53" s="25" t="s">
        <v>768</v>
      </c>
      <c r="B53" s="26" t="s">
        <v>245</v>
      </c>
      <c r="C53" s="27" t="s">
        <v>20</v>
      </c>
      <c r="D53" s="28" t="s">
        <v>755</v>
      </c>
      <c r="E53" s="28" t="s">
        <v>757</v>
      </c>
      <c r="F53" s="28" t="s">
        <v>757</v>
      </c>
      <c r="G53" s="28">
        <v>0.0</v>
      </c>
      <c r="H53" s="28"/>
      <c r="I53" s="28"/>
      <c r="J53" s="28"/>
      <c r="K53" s="30">
        <f t="shared" si="1"/>
        <v>0</v>
      </c>
    </row>
    <row r="54" ht="15.75" customHeight="1">
      <c r="A54" s="31" t="s">
        <v>129</v>
      </c>
      <c r="B54" s="26" t="s">
        <v>247</v>
      </c>
      <c r="C54" s="27" t="s">
        <v>34</v>
      </c>
      <c r="D54" s="28" t="s">
        <v>755</v>
      </c>
      <c r="E54" s="28" t="s">
        <v>63</v>
      </c>
      <c r="F54" s="28" t="s">
        <v>63</v>
      </c>
      <c r="G54" s="28">
        <v>1.0</v>
      </c>
      <c r="H54" s="28">
        <v>2.0</v>
      </c>
      <c r="I54" s="28">
        <v>1.0</v>
      </c>
      <c r="J54" s="28"/>
      <c r="K54" s="30">
        <f t="shared" si="1"/>
        <v>8.37758041</v>
      </c>
    </row>
    <row r="55" ht="15.75" customHeight="1">
      <c r="A55" s="31" t="s">
        <v>129</v>
      </c>
      <c r="B55" s="26" t="s">
        <v>247</v>
      </c>
      <c r="C55" s="27" t="s">
        <v>34</v>
      </c>
      <c r="D55" s="28" t="s">
        <v>755</v>
      </c>
      <c r="E55" s="28" t="s">
        <v>57</v>
      </c>
      <c r="F55" s="28" t="s">
        <v>57</v>
      </c>
      <c r="G55" s="28">
        <v>1.0</v>
      </c>
      <c r="H55" s="28"/>
      <c r="I55" s="28"/>
      <c r="J55" s="28" t="s">
        <v>762</v>
      </c>
      <c r="K55" s="30">
        <f t="shared" si="1"/>
        <v>0</v>
      </c>
    </row>
    <row r="56" ht="15.75" customHeight="1">
      <c r="A56" s="25" t="s">
        <v>769</v>
      </c>
      <c r="B56" s="26" t="s">
        <v>249</v>
      </c>
      <c r="C56" s="27" t="s">
        <v>34</v>
      </c>
      <c r="D56" s="28" t="s">
        <v>755</v>
      </c>
      <c r="E56" s="28" t="s">
        <v>757</v>
      </c>
      <c r="F56" s="28" t="s">
        <v>757</v>
      </c>
      <c r="G56" s="28">
        <v>0.0</v>
      </c>
      <c r="H56" s="28"/>
      <c r="I56" s="28"/>
      <c r="J56" s="28"/>
      <c r="K56" s="30">
        <f t="shared" si="1"/>
        <v>0</v>
      </c>
    </row>
    <row r="57" ht="15.75" customHeight="1">
      <c r="A57" s="31" t="s">
        <v>129</v>
      </c>
      <c r="B57" s="26" t="s">
        <v>251</v>
      </c>
      <c r="C57" s="27" t="s">
        <v>34</v>
      </c>
      <c r="D57" s="28" t="s">
        <v>755</v>
      </c>
      <c r="E57" s="28" t="s">
        <v>763</v>
      </c>
      <c r="F57" s="28" t="s">
        <v>763</v>
      </c>
      <c r="G57" s="28">
        <v>1.0</v>
      </c>
      <c r="H57" s="28"/>
      <c r="I57" s="28"/>
      <c r="J57" s="28"/>
      <c r="K57" s="30">
        <f t="shared" si="1"/>
        <v>0</v>
      </c>
    </row>
    <row r="58" ht="15.75" hidden="1" customHeight="1">
      <c r="A58" s="32" t="s">
        <v>145</v>
      </c>
      <c r="B58" s="33" t="s">
        <v>253</v>
      </c>
      <c r="C58" s="34" t="s">
        <v>254</v>
      </c>
      <c r="D58" s="35" t="s">
        <v>760</v>
      </c>
      <c r="E58" s="35" t="s">
        <v>57</v>
      </c>
      <c r="F58" s="35" t="s">
        <v>57</v>
      </c>
      <c r="G58" s="35">
        <v>1.0</v>
      </c>
      <c r="H58" s="35">
        <v>4.0</v>
      </c>
      <c r="I58" s="35">
        <v>2.0</v>
      </c>
      <c r="J58" s="35"/>
      <c r="K58" s="30">
        <f t="shared" si="1"/>
        <v>67.02064328</v>
      </c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5.75" hidden="1" customHeight="1">
      <c r="A59" s="31" t="s">
        <v>170</v>
      </c>
      <c r="B59" s="26" t="s">
        <v>256</v>
      </c>
      <c r="C59" s="27" t="s">
        <v>24</v>
      </c>
      <c r="D59" s="28" t="s">
        <v>755</v>
      </c>
      <c r="E59" s="28" t="s">
        <v>756</v>
      </c>
      <c r="F59" s="28" t="s">
        <v>756</v>
      </c>
      <c r="G59" s="28">
        <v>1.0</v>
      </c>
      <c r="H59" s="28"/>
      <c r="I59" s="28"/>
      <c r="J59" s="28"/>
      <c r="K59" s="30">
        <f t="shared" si="1"/>
        <v>0</v>
      </c>
    </row>
    <row r="60" ht="15.75" hidden="1" customHeight="1">
      <c r="A60" s="31" t="s">
        <v>129</v>
      </c>
      <c r="B60" s="26" t="s">
        <v>258</v>
      </c>
      <c r="C60" s="27" t="s">
        <v>24</v>
      </c>
      <c r="D60" s="28" t="s">
        <v>755</v>
      </c>
      <c r="E60" s="28" t="s">
        <v>763</v>
      </c>
      <c r="F60" s="28" t="s">
        <v>763</v>
      </c>
      <c r="G60" s="28">
        <v>1.0</v>
      </c>
      <c r="H60" s="28"/>
      <c r="I60" s="28"/>
      <c r="J60" s="37" t="s">
        <v>762</v>
      </c>
      <c r="K60" s="30">
        <f t="shared" si="1"/>
        <v>0</v>
      </c>
    </row>
    <row r="61" ht="15.75" hidden="1" customHeight="1">
      <c r="A61" s="31" t="s">
        <v>150</v>
      </c>
      <c r="B61" s="26" t="s">
        <v>259</v>
      </c>
      <c r="C61" s="27" t="s">
        <v>24</v>
      </c>
      <c r="D61" s="28" t="s">
        <v>755</v>
      </c>
      <c r="E61" s="28" t="s">
        <v>757</v>
      </c>
      <c r="F61" s="28" t="s">
        <v>757</v>
      </c>
      <c r="G61" s="28">
        <v>0.0</v>
      </c>
      <c r="H61" s="28"/>
      <c r="I61" s="28"/>
      <c r="J61" s="28"/>
      <c r="K61" s="30">
        <f t="shared" si="1"/>
        <v>0</v>
      </c>
    </row>
    <row r="62" ht="15.75" hidden="1" customHeight="1">
      <c r="A62" s="31" t="s">
        <v>150</v>
      </c>
      <c r="B62" s="26" t="s">
        <v>261</v>
      </c>
      <c r="C62" s="27" t="s">
        <v>24</v>
      </c>
      <c r="D62" s="28" t="s">
        <v>755</v>
      </c>
      <c r="E62" s="28" t="s">
        <v>757</v>
      </c>
      <c r="F62" s="28" t="s">
        <v>757</v>
      </c>
      <c r="G62" s="28">
        <v>0.0</v>
      </c>
      <c r="H62" s="28"/>
      <c r="I62" s="28"/>
      <c r="J62" s="28"/>
      <c r="K62" s="30">
        <f t="shared" si="1"/>
        <v>0</v>
      </c>
    </row>
    <row r="63" ht="15.75" customHeight="1">
      <c r="A63" s="25" t="s">
        <v>770</v>
      </c>
      <c r="B63" s="26" t="s">
        <v>262</v>
      </c>
      <c r="C63" s="27" t="s">
        <v>31</v>
      </c>
      <c r="D63" s="28" t="s">
        <v>755</v>
      </c>
      <c r="E63" s="28" t="s">
        <v>757</v>
      </c>
      <c r="F63" s="28" t="s">
        <v>757</v>
      </c>
      <c r="G63" s="28">
        <v>0.0</v>
      </c>
      <c r="H63" s="28"/>
      <c r="I63" s="28"/>
      <c r="J63" s="28"/>
      <c r="K63" s="30">
        <f t="shared" si="1"/>
        <v>0</v>
      </c>
    </row>
    <row r="64" ht="15.75" customHeight="1">
      <c r="A64" s="25" t="s">
        <v>119</v>
      </c>
      <c r="B64" s="26" t="s">
        <v>267</v>
      </c>
      <c r="C64" s="27" t="s">
        <v>30</v>
      </c>
      <c r="D64" s="28" t="s">
        <v>754</v>
      </c>
      <c r="E64" s="28" t="s">
        <v>57</v>
      </c>
      <c r="F64" s="28" t="s">
        <v>57</v>
      </c>
      <c r="G64" s="28">
        <v>1.0</v>
      </c>
      <c r="H64" s="28"/>
      <c r="I64" s="28"/>
      <c r="J64" s="28" t="s">
        <v>762</v>
      </c>
      <c r="K64" s="30">
        <f t="shared" si="1"/>
        <v>0</v>
      </c>
    </row>
    <row r="65" ht="15.75" customHeight="1">
      <c r="A65" s="25" t="s">
        <v>119</v>
      </c>
      <c r="B65" s="26" t="s">
        <v>267</v>
      </c>
      <c r="C65" s="27" t="s">
        <v>30</v>
      </c>
      <c r="D65" s="28" t="s">
        <v>754</v>
      </c>
      <c r="E65" s="28" t="s">
        <v>757</v>
      </c>
      <c r="F65" s="28" t="s">
        <v>757</v>
      </c>
      <c r="G65" s="28">
        <v>0.0</v>
      </c>
      <c r="H65" s="28"/>
      <c r="I65" s="28"/>
      <c r="J65" s="28"/>
      <c r="K65" s="30">
        <f t="shared" si="1"/>
        <v>0</v>
      </c>
    </row>
    <row r="66" ht="15.75" hidden="1" customHeight="1">
      <c r="A66" s="25" t="s">
        <v>119</v>
      </c>
      <c r="B66" s="26" t="s">
        <v>269</v>
      </c>
      <c r="C66" s="27" t="s">
        <v>14</v>
      </c>
      <c r="D66" s="28" t="s">
        <v>754</v>
      </c>
      <c r="E66" s="28" t="s">
        <v>757</v>
      </c>
      <c r="F66" s="28" t="s">
        <v>757</v>
      </c>
      <c r="G66" s="28">
        <v>0.0</v>
      </c>
      <c r="H66" s="28"/>
      <c r="I66" s="28"/>
      <c r="J66" s="28"/>
      <c r="K66" s="30">
        <f t="shared" si="1"/>
        <v>0</v>
      </c>
    </row>
    <row r="67" ht="15.75" hidden="1" customHeight="1">
      <c r="A67" s="25" t="s">
        <v>119</v>
      </c>
      <c r="B67" s="26" t="s">
        <v>269</v>
      </c>
      <c r="C67" s="27" t="s">
        <v>14</v>
      </c>
      <c r="D67" s="28" t="s">
        <v>754</v>
      </c>
      <c r="E67" s="28" t="s">
        <v>757</v>
      </c>
      <c r="F67" s="28" t="s">
        <v>757</v>
      </c>
      <c r="G67" s="28">
        <v>0.0</v>
      </c>
      <c r="H67" s="28"/>
      <c r="I67" s="28"/>
      <c r="J67" s="28"/>
      <c r="K67" s="30">
        <f t="shared" si="1"/>
        <v>0</v>
      </c>
    </row>
    <row r="68" ht="15.75" hidden="1" customHeight="1">
      <c r="A68" s="31" t="s">
        <v>134</v>
      </c>
      <c r="B68" s="26" t="s">
        <v>271</v>
      </c>
      <c r="C68" s="27" t="s">
        <v>40</v>
      </c>
      <c r="D68" s="28" t="s">
        <v>755</v>
      </c>
      <c r="E68" s="28" t="s">
        <v>771</v>
      </c>
      <c r="F68" s="28" t="s">
        <v>771</v>
      </c>
      <c r="G68" s="28">
        <v>1.0</v>
      </c>
      <c r="H68" s="28"/>
      <c r="I68" s="28"/>
      <c r="J68" s="37" t="s">
        <v>762</v>
      </c>
      <c r="K68" s="30">
        <f t="shared" si="1"/>
        <v>0</v>
      </c>
    </row>
    <row r="69" ht="15.75" hidden="1" customHeight="1">
      <c r="A69" s="31" t="s">
        <v>170</v>
      </c>
      <c r="B69" s="26" t="s">
        <v>273</v>
      </c>
      <c r="C69" s="27" t="s">
        <v>40</v>
      </c>
      <c r="D69" s="28" t="s">
        <v>755</v>
      </c>
      <c r="E69" s="28" t="s">
        <v>757</v>
      </c>
      <c r="F69" s="28" t="s">
        <v>757</v>
      </c>
      <c r="G69" s="28">
        <v>0.0</v>
      </c>
      <c r="H69" s="28"/>
      <c r="I69" s="28"/>
      <c r="J69" s="28"/>
      <c r="K69" s="30">
        <f t="shared" si="1"/>
        <v>0</v>
      </c>
    </row>
    <row r="70" ht="15.75" hidden="1" customHeight="1">
      <c r="A70" s="31" t="s">
        <v>134</v>
      </c>
      <c r="B70" s="26" t="s">
        <v>276</v>
      </c>
      <c r="C70" s="27" t="s">
        <v>40</v>
      </c>
      <c r="D70" s="28" t="s">
        <v>755</v>
      </c>
      <c r="E70" s="28" t="s">
        <v>759</v>
      </c>
      <c r="F70" s="28" t="s">
        <v>75</v>
      </c>
      <c r="G70" s="28">
        <v>1.0</v>
      </c>
      <c r="H70" s="28">
        <v>4.0</v>
      </c>
      <c r="I70" s="28">
        <v>1.0</v>
      </c>
      <c r="J70" s="28"/>
      <c r="K70" s="30">
        <f t="shared" si="1"/>
        <v>16.75516082</v>
      </c>
    </row>
    <row r="71" ht="15.75" hidden="1" customHeight="1">
      <c r="A71" s="31" t="s">
        <v>134</v>
      </c>
      <c r="B71" s="26" t="s">
        <v>276</v>
      </c>
      <c r="C71" s="27" t="s">
        <v>40</v>
      </c>
      <c r="D71" s="28" t="s">
        <v>755</v>
      </c>
      <c r="E71" s="28" t="s">
        <v>57</v>
      </c>
      <c r="F71" s="28" t="s">
        <v>57</v>
      </c>
      <c r="G71" s="28">
        <v>1.0</v>
      </c>
      <c r="H71" s="28">
        <v>2.0</v>
      </c>
      <c r="I71" s="28">
        <v>1.0</v>
      </c>
      <c r="J71" s="28"/>
      <c r="K71" s="30">
        <f t="shared" si="1"/>
        <v>8.37758041</v>
      </c>
    </row>
    <row r="72" ht="15.75" hidden="1" customHeight="1">
      <c r="A72" s="31" t="s">
        <v>134</v>
      </c>
      <c r="B72" s="26" t="s">
        <v>278</v>
      </c>
      <c r="C72" s="27" t="s">
        <v>40</v>
      </c>
      <c r="D72" s="28" t="s">
        <v>755</v>
      </c>
      <c r="E72" s="28" t="s">
        <v>759</v>
      </c>
      <c r="F72" s="28" t="s">
        <v>75</v>
      </c>
      <c r="G72" s="28">
        <v>1.0</v>
      </c>
      <c r="H72" s="28">
        <v>2.0</v>
      </c>
      <c r="I72" s="28">
        <v>0.5</v>
      </c>
      <c r="J72" s="28"/>
      <c r="K72" s="30">
        <f t="shared" si="1"/>
        <v>2.094395102</v>
      </c>
    </row>
    <row r="73" ht="15.75" hidden="1" customHeight="1">
      <c r="A73" s="31" t="s">
        <v>134</v>
      </c>
      <c r="B73" s="26" t="s">
        <v>278</v>
      </c>
      <c r="C73" s="27" t="s">
        <v>40</v>
      </c>
      <c r="D73" s="28" t="s">
        <v>755</v>
      </c>
      <c r="E73" s="28" t="s">
        <v>759</v>
      </c>
      <c r="F73" s="28" t="s">
        <v>75</v>
      </c>
      <c r="G73" s="28">
        <v>4.0</v>
      </c>
      <c r="H73" s="28">
        <v>4.0</v>
      </c>
      <c r="I73" s="28">
        <v>1.0</v>
      </c>
      <c r="J73" s="28"/>
      <c r="K73" s="30">
        <f t="shared" si="1"/>
        <v>67.02064328</v>
      </c>
    </row>
    <row r="74" ht="15.75" hidden="1" customHeight="1">
      <c r="A74" s="31" t="s">
        <v>134</v>
      </c>
      <c r="B74" s="26" t="s">
        <v>278</v>
      </c>
      <c r="C74" s="27" t="s">
        <v>40</v>
      </c>
      <c r="D74" s="28" t="s">
        <v>755</v>
      </c>
      <c r="E74" s="28" t="s">
        <v>63</v>
      </c>
      <c r="F74" s="28" t="s">
        <v>63</v>
      </c>
      <c r="G74" s="28">
        <v>1.0</v>
      </c>
      <c r="H74" s="28">
        <v>6.0</v>
      </c>
      <c r="I74" s="28">
        <v>1.0</v>
      </c>
      <c r="J74" s="28"/>
      <c r="K74" s="30">
        <f t="shared" si="1"/>
        <v>25.13274123</v>
      </c>
    </row>
    <row r="75" ht="15.75" hidden="1" customHeight="1">
      <c r="A75" s="25" t="s">
        <v>772</v>
      </c>
      <c r="B75" s="26" t="s">
        <v>280</v>
      </c>
      <c r="C75" s="27" t="s">
        <v>39</v>
      </c>
      <c r="D75" s="28" t="s">
        <v>754</v>
      </c>
      <c r="E75" s="28" t="s">
        <v>757</v>
      </c>
      <c r="F75" s="28" t="s">
        <v>757</v>
      </c>
      <c r="G75" s="28">
        <v>0.0</v>
      </c>
      <c r="H75" s="28"/>
      <c r="I75" s="28"/>
      <c r="J75" s="28"/>
      <c r="K75" s="30">
        <f t="shared" si="1"/>
        <v>0</v>
      </c>
    </row>
    <row r="76" ht="15.75" hidden="1" customHeight="1">
      <c r="A76" s="25" t="s">
        <v>119</v>
      </c>
      <c r="B76" s="26" t="s">
        <v>283</v>
      </c>
      <c r="C76" s="27" t="s">
        <v>28</v>
      </c>
      <c r="D76" s="28" t="s">
        <v>755</v>
      </c>
      <c r="E76" s="28" t="s">
        <v>757</v>
      </c>
      <c r="F76" s="28" t="s">
        <v>757</v>
      </c>
      <c r="G76" s="28">
        <v>0.0</v>
      </c>
      <c r="H76" s="28"/>
      <c r="I76" s="28"/>
      <c r="J76" s="28"/>
      <c r="K76" s="30">
        <f t="shared" si="1"/>
        <v>0</v>
      </c>
    </row>
    <row r="77" ht="15.75" hidden="1" customHeight="1">
      <c r="A77" s="31" t="s">
        <v>210</v>
      </c>
      <c r="B77" s="26" t="s">
        <v>285</v>
      </c>
      <c r="C77" s="27" t="s">
        <v>28</v>
      </c>
      <c r="D77" s="28" t="s">
        <v>755</v>
      </c>
      <c r="E77" s="28" t="s">
        <v>63</v>
      </c>
      <c r="F77" s="28" t="s">
        <v>63</v>
      </c>
      <c r="G77" s="28">
        <v>27.0</v>
      </c>
      <c r="H77" s="28">
        <v>13.0</v>
      </c>
      <c r="I77" s="28">
        <v>10.0</v>
      </c>
      <c r="J77" s="28"/>
      <c r="K77" s="30">
        <f t="shared" si="1"/>
        <v>147026.5362</v>
      </c>
    </row>
    <row r="78" ht="15.75" hidden="1" customHeight="1">
      <c r="A78" s="31" t="s">
        <v>210</v>
      </c>
      <c r="B78" s="26" t="s">
        <v>285</v>
      </c>
      <c r="C78" s="27" t="s">
        <v>28</v>
      </c>
      <c r="D78" s="28" t="s">
        <v>755</v>
      </c>
      <c r="E78" s="28" t="s">
        <v>63</v>
      </c>
      <c r="F78" s="28" t="s">
        <v>63</v>
      </c>
      <c r="G78" s="28">
        <v>1.0</v>
      </c>
      <c r="H78" s="28">
        <v>22.0</v>
      </c>
      <c r="I78" s="28">
        <v>14.0</v>
      </c>
      <c r="J78" s="28"/>
      <c r="K78" s="30">
        <f t="shared" si="1"/>
        <v>18062.06336</v>
      </c>
    </row>
    <row r="79" ht="15.75" hidden="1" customHeight="1">
      <c r="A79" s="31" t="s">
        <v>210</v>
      </c>
      <c r="B79" s="26" t="s">
        <v>285</v>
      </c>
      <c r="C79" s="27" t="s">
        <v>28</v>
      </c>
      <c r="D79" s="28" t="s">
        <v>755</v>
      </c>
      <c r="E79" s="28" t="s">
        <v>63</v>
      </c>
      <c r="F79" s="28" t="s">
        <v>63</v>
      </c>
      <c r="G79" s="28">
        <v>1.0</v>
      </c>
      <c r="H79" s="28">
        <v>27.0</v>
      </c>
      <c r="I79" s="28">
        <v>18.0</v>
      </c>
      <c r="J79" s="28"/>
      <c r="K79" s="30">
        <f t="shared" si="1"/>
        <v>36643.53671</v>
      </c>
    </row>
    <row r="80" ht="15.75" hidden="1" customHeight="1">
      <c r="A80" s="25" t="s">
        <v>145</v>
      </c>
      <c r="B80" s="26" t="s">
        <v>287</v>
      </c>
      <c r="C80" s="27" t="s">
        <v>22</v>
      </c>
      <c r="D80" s="28" t="s">
        <v>754</v>
      </c>
      <c r="E80" s="28" t="s">
        <v>61</v>
      </c>
      <c r="F80" s="28" t="s">
        <v>61</v>
      </c>
      <c r="G80" s="28">
        <v>1.0</v>
      </c>
      <c r="H80" s="28">
        <v>21.0</v>
      </c>
      <c r="I80" s="28">
        <v>1.0</v>
      </c>
      <c r="J80" s="28"/>
      <c r="K80" s="30">
        <f t="shared" si="1"/>
        <v>87.9645943</v>
      </c>
    </row>
    <row r="81" ht="15.75" hidden="1" customHeight="1">
      <c r="A81" s="25" t="s">
        <v>119</v>
      </c>
      <c r="B81" s="26" t="s">
        <v>290</v>
      </c>
      <c r="C81" s="27" t="s">
        <v>10</v>
      </c>
      <c r="D81" s="28" t="s">
        <v>754</v>
      </c>
      <c r="E81" s="28" t="s">
        <v>759</v>
      </c>
      <c r="F81" s="28" t="s">
        <v>101</v>
      </c>
      <c r="G81" s="28">
        <v>1.0</v>
      </c>
      <c r="H81" s="28">
        <v>2.0</v>
      </c>
      <c r="I81" s="28">
        <v>1.0</v>
      </c>
      <c r="J81" s="28"/>
      <c r="K81" s="30">
        <f t="shared" si="1"/>
        <v>8.37758041</v>
      </c>
    </row>
    <row r="82" ht="15.75" hidden="1" customHeight="1">
      <c r="A82" s="25" t="s">
        <v>119</v>
      </c>
      <c r="B82" s="26" t="s">
        <v>290</v>
      </c>
      <c r="C82" s="27" t="s">
        <v>10</v>
      </c>
      <c r="D82" s="28" t="s">
        <v>754</v>
      </c>
      <c r="E82" s="28" t="s">
        <v>63</v>
      </c>
      <c r="F82" s="28" t="s">
        <v>63</v>
      </c>
      <c r="G82" s="28">
        <v>1.0</v>
      </c>
      <c r="H82" s="28">
        <v>4.0</v>
      </c>
      <c r="I82" s="28">
        <v>2.0</v>
      </c>
      <c r="J82" s="28"/>
      <c r="K82" s="30">
        <f t="shared" si="1"/>
        <v>67.02064328</v>
      </c>
    </row>
    <row r="83" ht="15.75" hidden="1" customHeight="1">
      <c r="A83" s="25" t="s">
        <v>119</v>
      </c>
      <c r="B83" s="26" t="s">
        <v>292</v>
      </c>
      <c r="C83" s="27" t="s">
        <v>10</v>
      </c>
      <c r="D83" s="28" t="s">
        <v>754</v>
      </c>
      <c r="E83" s="29" t="s">
        <v>57</v>
      </c>
      <c r="F83" s="28" t="s">
        <v>57</v>
      </c>
      <c r="G83" s="28">
        <v>1.0</v>
      </c>
      <c r="H83" s="28">
        <v>2.0</v>
      </c>
      <c r="I83" s="28">
        <v>1.0</v>
      </c>
      <c r="J83" s="28"/>
      <c r="K83" s="30">
        <f t="shared" si="1"/>
        <v>8.37758041</v>
      </c>
    </row>
    <row r="84" ht="15.75" hidden="1" customHeight="1">
      <c r="A84" s="25" t="s">
        <v>119</v>
      </c>
      <c r="B84" s="26" t="s">
        <v>292</v>
      </c>
      <c r="C84" s="27" t="s">
        <v>10</v>
      </c>
      <c r="D84" s="28" t="s">
        <v>754</v>
      </c>
      <c r="E84" s="28" t="s">
        <v>766</v>
      </c>
      <c r="F84" s="28" t="s">
        <v>87</v>
      </c>
      <c r="G84" s="28">
        <v>1.0</v>
      </c>
      <c r="H84" s="28">
        <v>6.0</v>
      </c>
      <c r="I84" s="28">
        <v>1.0</v>
      </c>
      <c r="J84" s="28"/>
      <c r="K84" s="30">
        <f t="shared" si="1"/>
        <v>25.13274123</v>
      </c>
    </row>
    <row r="85" ht="15.75" hidden="1" customHeight="1">
      <c r="A85" s="25" t="s">
        <v>145</v>
      </c>
      <c r="B85" s="26" t="s">
        <v>294</v>
      </c>
      <c r="C85" s="27" t="s">
        <v>6</v>
      </c>
      <c r="D85" s="28" t="s">
        <v>754</v>
      </c>
      <c r="E85" s="28" t="s">
        <v>59</v>
      </c>
      <c r="F85" s="28" t="s">
        <v>59</v>
      </c>
      <c r="G85" s="28">
        <v>3.0</v>
      </c>
      <c r="H85" s="28">
        <v>4.0</v>
      </c>
      <c r="I85" s="28">
        <v>2.0</v>
      </c>
      <c r="J85" s="28"/>
      <c r="K85" s="30">
        <f t="shared" si="1"/>
        <v>201.0619298</v>
      </c>
    </row>
    <row r="86" ht="15.75" hidden="1" customHeight="1">
      <c r="A86" s="38" t="s">
        <v>210</v>
      </c>
      <c r="B86" s="39" t="s">
        <v>296</v>
      </c>
      <c r="C86" s="27" t="s">
        <v>37</v>
      </c>
      <c r="D86" s="28" t="s">
        <v>755</v>
      </c>
      <c r="E86" s="38" t="s">
        <v>91</v>
      </c>
      <c r="F86" s="38" t="s">
        <v>91</v>
      </c>
      <c r="G86" s="38">
        <v>1.0</v>
      </c>
      <c r="H86" s="38">
        <v>3.0</v>
      </c>
      <c r="I86" s="38">
        <v>2.0</v>
      </c>
      <c r="J86" s="28"/>
      <c r="K86" s="30">
        <f t="shared" si="1"/>
        <v>50.26548246</v>
      </c>
    </row>
    <row r="87" ht="15.75" hidden="1" customHeight="1">
      <c r="A87" s="38" t="s">
        <v>210</v>
      </c>
      <c r="B87" s="39" t="s">
        <v>296</v>
      </c>
      <c r="C87" s="27" t="s">
        <v>37</v>
      </c>
      <c r="D87" s="28" t="s">
        <v>755</v>
      </c>
      <c r="E87" s="38" t="s">
        <v>69</v>
      </c>
      <c r="F87" s="38" t="s">
        <v>69</v>
      </c>
      <c r="G87" s="38">
        <v>3.0</v>
      </c>
      <c r="H87" s="38">
        <v>16.0</v>
      </c>
      <c r="I87" s="38">
        <v>3.0</v>
      </c>
      <c r="J87" s="28"/>
      <c r="K87" s="30">
        <f t="shared" si="1"/>
        <v>1809.557368</v>
      </c>
    </row>
    <row r="88" ht="15.75" hidden="1" customHeight="1">
      <c r="A88" s="38" t="s">
        <v>210</v>
      </c>
      <c r="B88" s="39" t="s">
        <v>296</v>
      </c>
      <c r="C88" s="27" t="s">
        <v>37</v>
      </c>
      <c r="D88" s="28" t="s">
        <v>755</v>
      </c>
      <c r="E88" s="38" t="s">
        <v>69</v>
      </c>
      <c r="F88" s="38" t="s">
        <v>69</v>
      </c>
      <c r="G88" s="38">
        <v>1.0</v>
      </c>
      <c r="H88" s="38">
        <v>10.0</v>
      </c>
      <c r="I88" s="38">
        <v>2.0</v>
      </c>
      <c r="J88" s="28"/>
      <c r="K88" s="30">
        <f t="shared" si="1"/>
        <v>167.5516082</v>
      </c>
    </row>
    <row r="89" ht="15.75" hidden="1" customHeight="1">
      <c r="A89" s="38" t="s">
        <v>210</v>
      </c>
      <c r="B89" s="39" t="s">
        <v>296</v>
      </c>
      <c r="C89" s="27" t="s">
        <v>37</v>
      </c>
      <c r="D89" s="28" t="s">
        <v>755</v>
      </c>
      <c r="E89" s="38" t="s">
        <v>63</v>
      </c>
      <c r="F89" s="38" t="s">
        <v>65</v>
      </c>
      <c r="G89" s="38">
        <v>1.0</v>
      </c>
      <c r="H89" s="38">
        <v>19.0</v>
      </c>
      <c r="I89" s="38">
        <v>3.0</v>
      </c>
      <c r="J89" s="28"/>
      <c r="K89" s="30">
        <f t="shared" si="1"/>
        <v>716.283125</v>
      </c>
    </row>
    <row r="90" ht="15.75" hidden="1" customHeight="1">
      <c r="A90" s="38" t="s">
        <v>210</v>
      </c>
      <c r="B90" s="39" t="s">
        <v>296</v>
      </c>
      <c r="C90" s="27" t="s">
        <v>37</v>
      </c>
      <c r="D90" s="28" t="s">
        <v>755</v>
      </c>
      <c r="E90" s="38" t="s">
        <v>71</v>
      </c>
      <c r="F90" s="38" t="s">
        <v>71</v>
      </c>
      <c r="G90" s="38">
        <v>1.0</v>
      </c>
      <c r="H90" s="38">
        <v>62.0</v>
      </c>
      <c r="I90" s="38">
        <v>4.0</v>
      </c>
      <c r="J90" s="28"/>
      <c r="K90" s="30">
        <f t="shared" si="1"/>
        <v>4155.279883</v>
      </c>
    </row>
    <row r="91" ht="15.75" customHeight="1">
      <c r="A91" s="25" t="s">
        <v>145</v>
      </c>
      <c r="B91" s="26" t="s">
        <v>301</v>
      </c>
      <c r="C91" s="27" t="s">
        <v>33</v>
      </c>
      <c r="D91" s="28" t="s">
        <v>754</v>
      </c>
      <c r="E91" s="28" t="s">
        <v>757</v>
      </c>
      <c r="F91" s="28" t="s">
        <v>757</v>
      </c>
      <c r="G91" s="28">
        <v>0.0</v>
      </c>
      <c r="H91" s="28"/>
      <c r="I91" s="28"/>
      <c r="J91" s="28"/>
      <c r="K91" s="30">
        <f t="shared" si="1"/>
        <v>0</v>
      </c>
    </row>
    <row r="92" ht="15.75" customHeight="1">
      <c r="A92" s="25" t="s">
        <v>119</v>
      </c>
      <c r="B92" s="26" t="s">
        <v>302</v>
      </c>
      <c r="C92" s="27" t="s">
        <v>33</v>
      </c>
      <c r="D92" s="28" t="s">
        <v>754</v>
      </c>
      <c r="E92" s="28" t="s">
        <v>77</v>
      </c>
      <c r="F92" s="28" t="s">
        <v>79</v>
      </c>
      <c r="G92" s="28">
        <v>1.0</v>
      </c>
      <c r="H92" s="28"/>
      <c r="I92" s="28"/>
      <c r="J92" s="28" t="s">
        <v>762</v>
      </c>
      <c r="K92" s="30">
        <f t="shared" si="1"/>
        <v>0</v>
      </c>
    </row>
    <row r="93" ht="15.75" customHeight="1">
      <c r="A93" s="25" t="s">
        <v>119</v>
      </c>
      <c r="B93" s="26" t="s">
        <v>302</v>
      </c>
      <c r="C93" s="27" t="s">
        <v>33</v>
      </c>
      <c r="D93" s="28" t="s">
        <v>754</v>
      </c>
      <c r="E93" s="28" t="s">
        <v>57</v>
      </c>
      <c r="F93" s="28" t="s">
        <v>57</v>
      </c>
      <c r="G93" s="28">
        <v>1.0</v>
      </c>
      <c r="H93" s="28">
        <v>3.0</v>
      </c>
      <c r="I93" s="28">
        <v>1.0</v>
      </c>
      <c r="J93" s="28"/>
      <c r="K93" s="30">
        <f t="shared" si="1"/>
        <v>12.56637061</v>
      </c>
    </row>
    <row r="94" ht="15.75" hidden="1" customHeight="1">
      <c r="A94" s="31" t="s">
        <v>773</v>
      </c>
      <c r="B94" s="26" t="s">
        <v>303</v>
      </c>
      <c r="C94" s="27" t="s">
        <v>37</v>
      </c>
      <c r="D94" s="28" t="s">
        <v>755</v>
      </c>
      <c r="E94" s="28" t="s">
        <v>757</v>
      </c>
      <c r="F94" s="28" t="s">
        <v>757</v>
      </c>
      <c r="G94" s="28">
        <v>0.0</v>
      </c>
      <c r="H94" s="28"/>
      <c r="I94" s="28"/>
      <c r="J94" s="28"/>
      <c r="K94" s="30">
        <f t="shared" si="1"/>
        <v>0</v>
      </c>
    </row>
    <row r="95" ht="15.75" hidden="1" customHeight="1">
      <c r="A95" s="31" t="s">
        <v>774</v>
      </c>
      <c r="B95" s="26" t="s">
        <v>308</v>
      </c>
      <c r="C95" s="27" t="s">
        <v>37</v>
      </c>
      <c r="D95" s="28" t="s">
        <v>755</v>
      </c>
      <c r="E95" s="28" t="s">
        <v>757</v>
      </c>
      <c r="F95" s="28" t="s">
        <v>757</v>
      </c>
      <c r="G95" s="28">
        <v>0.0</v>
      </c>
      <c r="H95" s="28"/>
      <c r="I95" s="28"/>
      <c r="J95" s="28"/>
      <c r="K95" s="30">
        <f t="shared" si="1"/>
        <v>0</v>
      </c>
    </row>
    <row r="96" ht="15.75" hidden="1" customHeight="1">
      <c r="A96" s="25" t="s">
        <v>119</v>
      </c>
      <c r="B96" s="26" t="s">
        <v>310</v>
      </c>
      <c r="C96" s="27" t="s">
        <v>36</v>
      </c>
      <c r="D96" s="28" t="s">
        <v>754</v>
      </c>
      <c r="E96" s="28" t="s">
        <v>757</v>
      </c>
      <c r="F96" s="28" t="s">
        <v>757</v>
      </c>
      <c r="G96" s="28">
        <v>0.0</v>
      </c>
      <c r="H96" s="28"/>
      <c r="I96" s="28"/>
      <c r="J96" s="28"/>
      <c r="K96" s="30">
        <f t="shared" si="1"/>
        <v>0</v>
      </c>
    </row>
    <row r="97" ht="15.75" hidden="1" customHeight="1">
      <c r="A97" s="25" t="s">
        <v>775</v>
      </c>
      <c r="B97" s="26" t="s">
        <v>312</v>
      </c>
      <c r="C97" s="27" t="s">
        <v>36</v>
      </c>
      <c r="D97" s="28" t="s">
        <v>754</v>
      </c>
      <c r="E97" s="28" t="s">
        <v>757</v>
      </c>
      <c r="F97" s="28" t="s">
        <v>757</v>
      </c>
      <c r="G97" s="28">
        <v>0.0</v>
      </c>
      <c r="H97" s="28"/>
      <c r="I97" s="28"/>
      <c r="J97" s="28"/>
      <c r="K97" s="30">
        <f t="shared" si="1"/>
        <v>0</v>
      </c>
    </row>
    <row r="98" ht="15.75" hidden="1" customHeight="1">
      <c r="A98" s="40" t="s">
        <v>318</v>
      </c>
      <c r="B98" s="33" t="s">
        <v>315</v>
      </c>
      <c r="C98" s="34" t="s">
        <v>316</v>
      </c>
      <c r="D98" s="35" t="s">
        <v>760</v>
      </c>
      <c r="E98" s="35" t="s">
        <v>757</v>
      </c>
      <c r="F98" s="35" t="s">
        <v>757</v>
      </c>
      <c r="G98" s="35">
        <v>0.0</v>
      </c>
      <c r="H98" s="35"/>
      <c r="I98" s="35"/>
      <c r="J98" s="35"/>
      <c r="K98" s="30">
        <f t="shared" si="1"/>
        <v>0</v>
      </c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5.75" hidden="1" customHeight="1">
      <c r="A99" s="31" t="s">
        <v>170</v>
      </c>
      <c r="B99" s="26" t="s">
        <v>320</v>
      </c>
      <c r="C99" s="27" t="s">
        <v>12</v>
      </c>
      <c r="D99" s="28" t="s">
        <v>755</v>
      </c>
      <c r="E99" s="28" t="s">
        <v>57</v>
      </c>
      <c r="F99" s="28" t="s">
        <v>57</v>
      </c>
      <c r="G99" s="28">
        <v>1.0</v>
      </c>
      <c r="H99" s="28">
        <v>3.0</v>
      </c>
      <c r="I99" s="28">
        <v>1.0</v>
      </c>
      <c r="J99" s="28"/>
      <c r="K99" s="30">
        <f t="shared" si="1"/>
        <v>12.56637061</v>
      </c>
    </row>
    <row r="100" ht="15.75" hidden="1" customHeight="1">
      <c r="A100" s="31" t="s">
        <v>170</v>
      </c>
      <c r="B100" s="26" t="s">
        <v>323</v>
      </c>
      <c r="C100" s="27" t="s">
        <v>12</v>
      </c>
      <c r="D100" s="28" t="s">
        <v>755</v>
      </c>
      <c r="E100" s="28" t="s">
        <v>757</v>
      </c>
      <c r="F100" s="28" t="s">
        <v>757</v>
      </c>
      <c r="G100" s="28">
        <v>0.0</v>
      </c>
      <c r="H100" s="28"/>
      <c r="I100" s="28"/>
      <c r="J100" s="28"/>
      <c r="K100" s="30">
        <f t="shared" si="1"/>
        <v>0</v>
      </c>
    </row>
    <row r="101" ht="15.75" hidden="1" customHeight="1">
      <c r="A101" s="31" t="s">
        <v>137</v>
      </c>
      <c r="B101" s="26" t="s">
        <v>324</v>
      </c>
      <c r="C101" s="27" t="s">
        <v>10</v>
      </c>
      <c r="D101" s="28" t="s">
        <v>754</v>
      </c>
      <c r="E101" s="28" t="s">
        <v>759</v>
      </c>
      <c r="F101" s="28" t="s">
        <v>75</v>
      </c>
      <c r="G101" s="28">
        <v>1.0</v>
      </c>
      <c r="H101" s="28">
        <v>3.0</v>
      </c>
      <c r="I101" s="28">
        <v>0.5</v>
      </c>
      <c r="J101" s="28"/>
      <c r="K101" s="30">
        <f t="shared" si="1"/>
        <v>3.141592654</v>
      </c>
    </row>
    <row r="102" ht="15.75" hidden="1" customHeight="1">
      <c r="A102" s="31" t="s">
        <v>137</v>
      </c>
      <c r="B102" s="26" t="s">
        <v>324</v>
      </c>
      <c r="C102" s="27" t="s">
        <v>10</v>
      </c>
      <c r="D102" s="28" t="s">
        <v>754</v>
      </c>
      <c r="E102" s="28" t="s">
        <v>759</v>
      </c>
      <c r="F102" s="28" t="s">
        <v>75</v>
      </c>
      <c r="G102" s="28">
        <v>3.0</v>
      </c>
      <c r="H102" s="28">
        <v>2.0</v>
      </c>
      <c r="I102" s="28">
        <v>0.5</v>
      </c>
      <c r="J102" s="28"/>
      <c r="K102" s="30">
        <f t="shared" si="1"/>
        <v>6.283185307</v>
      </c>
    </row>
    <row r="103" ht="15.75" hidden="1" customHeight="1">
      <c r="A103" s="31" t="s">
        <v>134</v>
      </c>
      <c r="B103" s="26" t="s">
        <v>325</v>
      </c>
      <c r="C103" s="27" t="s">
        <v>10</v>
      </c>
      <c r="D103" s="28" t="s">
        <v>754</v>
      </c>
      <c r="E103" s="28" t="s">
        <v>759</v>
      </c>
      <c r="F103" s="28" t="s">
        <v>101</v>
      </c>
      <c r="G103" s="28">
        <v>1.0</v>
      </c>
      <c r="H103" s="28"/>
      <c r="I103" s="28"/>
      <c r="J103" s="37" t="s">
        <v>762</v>
      </c>
      <c r="K103" s="30">
        <f t="shared" si="1"/>
        <v>0</v>
      </c>
    </row>
    <row r="104" ht="15.75" hidden="1" customHeight="1">
      <c r="A104" s="31" t="s">
        <v>134</v>
      </c>
      <c r="B104" s="26" t="s">
        <v>325</v>
      </c>
      <c r="C104" s="27" t="s">
        <v>10</v>
      </c>
      <c r="D104" s="28" t="s">
        <v>754</v>
      </c>
      <c r="E104" s="28" t="s">
        <v>759</v>
      </c>
      <c r="F104" s="28" t="s">
        <v>75</v>
      </c>
      <c r="G104" s="28">
        <v>4.0</v>
      </c>
      <c r="H104" s="28">
        <v>5.0</v>
      </c>
      <c r="I104" s="28">
        <v>1.0</v>
      </c>
      <c r="J104" s="28"/>
      <c r="K104" s="30">
        <f t="shared" si="1"/>
        <v>83.7758041</v>
      </c>
    </row>
    <row r="105" ht="15.75" hidden="1" customHeight="1">
      <c r="A105" s="31" t="s">
        <v>134</v>
      </c>
      <c r="B105" s="26" t="s">
        <v>325</v>
      </c>
      <c r="C105" s="27" t="s">
        <v>10</v>
      </c>
      <c r="D105" s="28" t="s">
        <v>754</v>
      </c>
      <c r="E105" s="28" t="s">
        <v>759</v>
      </c>
      <c r="F105" s="28" t="s">
        <v>75</v>
      </c>
      <c r="G105" s="28">
        <v>3.0</v>
      </c>
      <c r="H105" s="28">
        <v>1.0</v>
      </c>
      <c r="I105" s="28">
        <v>0.5</v>
      </c>
      <c r="J105" s="28"/>
      <c r="K105" s="30">
        <f t="shared" si="1"/>
        <v>3.141592654</v>
      </c>
    </row>
    <row r="106" ht="15.75" hidden="1" customHeight="1">
      <c r="A106" s="31" t="s">
        <v>134</v>
      </c>
      <c r="B106" s="26" t="s">
        <v>325</v>
      </c>
      <c r="C106" s="27" t="s">
        <v>10</v>
      </c>
      <c r="D106" s="28" t="s">
        <v>754</v>
      </c>
      <c r="E106" s="28" t="s">
        <v>759</v>
      </c>
      <c r="F106" s="28" t="s">
        <v>75</v>
      </c>
      <c r="G106" s="28">
        <v>1.0</v>
      </c>
      <c r="H106" s="28">
        <v>2.0</v>
      </c>
      <c r="I106" s="28">
        <v>0.5</v>
      </c>
      <c r="J106" s="28"/>
      <c r="K106" s="30">
        <f t="shared" si="1"/>
        <v>2.094395102</v>
      </c>
    </row>
    <row r="107" ht="15.75" hidden="1" customHeight="1">
      <c r="A107" s="25" t="s">
        <v>145</v>
      </c>
      <c r="B107" s="26" t="s">
        <v>328</v>
      </c>
      <c r="C107" s="27" t="s">
        <v>14</v>
      </c>
      <c r="D107" s="28" t="s">
        <v>754</v>
      </c>
      <c r="E107" s="28" t="s">
        <v>63</v>
      </c>
      <c r="F107" s="28" t="s">
        <v>63</v>
      </c>
      <c r="G107" s="28">
        <v>1.0</v>
      </c>
      <c r="H107" s="28">
        <v>10.0</v>
      </c>
      <c r="I107" s="28">
        <v>4.0</v>
      </c>
      <c r="J107" s="28"/>
      <c r="K107" s="30">
        <f t="shared" si="1"/>
        <v>670.2064328</v>
      </c>
    </row>
    <row r="108" ht="15.75" hidden="1" customHeight="1">
      <c r="A108" s="25" t="s">
        <v>145</v>
      </c>
      <c r="B108" s="26" t="s">
        <v>328</v>
      </c>
      <c r="C108" s="27" t="s">
        <v>14</v>
      </c>
      <c r="D108" s="28" t="s">
        <v>754</v>
      </c>
      <c r="E108" s="28" t="s">
        <v>61</v>
      </c>
      <c r="F108" s="28" t="s">
        <v>61</v>
      </c>
      <c r="G108" s="28">
        <v>1.0</v>
      </c>
      <c r="H108" s="28">
        <v>25.0</v>
      </c>
      <c r="I108" s="28">
        <v>2.0</v>
      </c>
      <c r="J108" s="28"/>
      <c r="K108" s="30">
        <f t="shared" si="1"/>
        <v>418.8790205</v>
      </c>
    </row>
    <row r="109" ht="15.75" hidden="1" customHeight="1">
      <c r="A109" s="25" t="s">
        <v>145</v>
      </c>
      <c r="B109" s="26" t="s">
        <v>328</v>
      </c>
      <c r="C109" s="27" t="s">
        <v>14</v>
      </c>
      <c r="D109" s="28" t="s">
        <v>754</v>
      </c>
      <c r="E109" s="28" t="s">
        <v>91</v>
      </c>
      <c r="F109" s="28" t="s">
        <v>91</v>
      </c>
      <c r="G109" s="28">
        <v>1.0</v>
      </c>
      <c r="H109" s="28">
        <v>4.0</v>
      </c>
      <c r="I109" s="28">
        <v>4.0</v>
      </c>
      <c r="J109" s="28"/>
      <c r="K109" s="30">
        <f t="shared" si="1"/>
        <v>268.0825731</v>
      </c>
    </row>
    <row r="110" ht="15.75" hidden="1" customHeight="1">
      <c r="A110" s="25" t="s">
        <v>145</v>
      </c>
      <c r="B110" s="26" t="s">
        <v>328</v>
      </c>
      <c r="C110" s="27" t="s">
        <v>14</v>
      </c>
      <c r="D110" s="28" t="s">
        <v>754</v>
      </c>
      <c r="E110" s="28" t="s">
        <v>91</v>
      </c>
      <c r="F110" s="28" t="s">
        <v>91</v>
      </c>
      <c r="G110" s="28">
        <v>1.0</v>
      </c>
      <c r="H110" s="28">
        <v>3.0</v>
      </c>
      <c r="I110" s="28">
        <v>4.0</v>
      </c>
      <c r="J110" s="28"/>
      <c r="K110" s="30">
        <f t="shared" si="1"/>
        <v>201.0619298</v>
      </c>
    </row>
    <row r="111" ht="15.75" hidden="1" customHeight="1">
      <c r="A111" s="25" t="s">
        <v>145</v>
      </c>
      <c r="B111" s="26" t="s">
        <v>328</v>
      </c>
      <c r="C111" s="27" t="s">
        <v>14</v>
      </c>
      <c r="D111" s="28" t="s">
        <v>754</v>
      </c>
      <c r="E111" s="28" t="s">
        <v>757</v>
      </c>
      <c r="F111" s="28" t="s">
        <v>757</v>
      </c>
      <c r="G111" s="28">
        <v>0.0</v>
      </c>
      <c r="H111" s="28"/>
      <c r="I111" s="28"/>
      <c r="J111" s="28"/>
      <c r="K111" s="30">
        <f t="shared" si="1"/>
        <v>0</v>
      </c>
    </row>
    <row r="112" ht="15.75" customHeight="1">
      <c r="A112" s="31" t="s">
        <v>150</v>
      </c>
      <c r="B112" s="26" t="s">
        <v>331</v>
      </c>
      <c r="C112" s="27" t="s">
        <v>31</v>
      </c>
      <c r="D112" s="28" t="s">
        <v>755</v>
      </c>
      <c r="E112" s="28" t="s">
        <v>55</v>
      </c>
      <c r="F112" s="28" t="s">
        <v>55</v>
      </c>
      <c r="G112" s="28">
        <v>1.0</v>
      </c>
      <c r="H112" s="28">
        <v>1.0</v>
      </c>
      <c r="I112" s="28">
        <v>1.0</v>
      </c>
      <c r="J112" s="28"/>
      <c r="K112" s="30">
        <f t="shared" si="1"/>
        <v>4.188790205</v>
      </c>
    </row>
    <row r="113" ht="15.75" customHeight="1">
      <c r="A113" s="31" t="s">
        <v>207</v>
      </c>
      <c r="B113" s="26" t="s">
        <v>334</v>
      </c>
      <c r="C113" s="27" t="s">
        <v>31</v>
      </c>
      <c r="D113" s="28" t="s">
        <v>755</v>
      </c>
      <c r="E113" s="28" t="s">
        <v>63</v>
      </c>
      <c r="F113" s="28" t="s">
        <v>97</v>
      </c>
      <c r="G113" s="28">
        <v>1.0</v>
      </c>
      <c r="H113" s="28">
        <v>16.0</v>
      </c>
      <c r="I113" s="28">
        <v>3.0</v>
      </c>
      <c r="J113" s="28"/>
      <c r="K113" s="30">
        <f t="shared" si="1"/>
        <v>603.1857895</v>
      </c>
    </row>
    <row r="114" ht="15.75" hidden="1" customHeight="1">
      <c r="A114" s="31" t="s">
        <v>129</v>
      </c>
      <c r="B114" s="26" t="s">
        <v>337</v>
      </c>
      <c r="C114" s="27" t="s">
        <v>16</v>
      </c>
      <c r="D114" s="28" t="s">
        <v>755</v>
      </c>
      <c r="E114" s="28" t="s">
        <v>763</v>
      </c>
      <c r="F114" s="28" t="s">
        <v>763</v>
      </c>
      <c r="G114" s="28">
        <v>1.0</v>
      </c>
      <c r="H114" s="28"/>
      <c r="I114" s="28"/>
      <c r="J114" s="37" t="s">
        <v>762</v>
      </c>
      <c r="K114" s="30">
        <f t="shared" si="1"/>
        <v>0</v>
      </c>
    </row>
    <row r="115" ht="15.75" customHeight="1">
      <c r="A115" s="31" t="s">
        <v>207</v>
      </c>
      <c r="B115" s="26" t="s">
        <v>339</v>
      </c>
      <c r="C115" s="27" t="s">
        <v>31</v>
      </c>
      <c r="D115" s="28" t="s">
        <v>755</v>
      </c>
      <c r="E115" s="28" t="s">
        <v>71</v>
      </c>
      <c r="F115" s="28" t="s">
        <v>71</v>
      </c>
      <c r="G115" s="28">
        <v>1.0</v>
      </c>
      <c r="H115" s="28">
        <v>10.0</v>
      </c>
      <c r="I115" s="28">
        <v>1.0</v>
      </c>
      <c r="J115" s="28"/>
      <c r="K115" s="30">
        <f t="shared" si="1"/>
        <v>41.88790205</v>
      </c>
    </row>
    <row r="116" ht="15.75" customHeight="1">
      <c r="A116" s="31" t="s">
        <v>207</v>
      </c>
      <c r="B116" s="26" t="s">
        <v>339</v>
      </c>
      <c r="C116" s="27" t="s">
        <v>31</v>
      </c>
      <c r="D116" s="28" t="s">
        <v>755</v>
      </c>
      <c r="E116" s="28" t="s">
        <v>55</v>
      </c>
      <c r="F116" s="28" t="s">
        <v>55</v>
      </c>
      <c r="G116" s="28">
        <v>1.0</v>
      </c>
      <c r="H116" s="28">
        <v>2.0</v>
      </c>
      <c r="I116" s="28">
        <v>1.0</v>
      </c>
      <c r="J116" s="28"/>
      <c r="K116" s="30">
        <f t="shared" si="1"/>
        <v>8.37758041</v>
      </c>
    </row>
    <row r="117" ht="15.75" customHeight="1">
      <c r="A117" s="31" t="s">
        <v>207</v>
      </c>
      <c r="B117" s="26" t="s">
        <v>339</v>
      </c>
      <c r="C117" s="27" t="s">
        <v>31</v>
      </c>
      <c r="D117" s="28" t="s">
        <v>755</v>
      </c>
      <c r="E117" s="28" t="s">
        <v>61</v>
      </c>
      <c r="F117" s="28" t="s">
        <v>61</v>
      </c>
      <c r="G117" s="28">
        <v>1.0</v>
      </c>
      <c r="H117" s="28">
        <v>8.0</v>
      </c>
      <c r="I117" s="28">
        <v>1.0</v>
      </c>
      <c r="J117" s="28"/>
      <c r="K117" s="30">
        <f t="shared" si="1"/>
        <v>33.51032164</v>
      </c>
    </row>
    <row r="118" ht="15.75" customHeight="1">
      <c r="A118" s="31" t="s">
        <v>343</v>
      </c>
      <c r="B118" s="26" t="s">
        <v>341</v>
      </c>
      <c r="C118" s="27" t="s">
        <v>31</v>
      </c>
      <c r="D118" s="28" t="s">
        <v>755</v>
      </c>
      <c r="E118" s="28" t="s">
        <v>757</v>
      </c>
      <c r="F118" s="28" t="s">
        <v>757</v>
      </c>
      <c r="G118" s="28">
        <v>0.0</v>
      </c>
      <c r="H118" s="28"/>
      <c r="I118" s="28"/>
      <c r="J118" s="28"/>
      <c r="K118" s="30">
        <f t="shared" si="1"/>
        <v>0</v>
      </c>
    </row>
    <row r="119" ht="15.75" customHeight="1">
      <c r="A119" s="31" t="s">
        <v>150</v>
      </c>
      <c r="B119" s="26" t="s">
        <v>344</v>
      </c>
      <c r="C119" s="27" t="s">
        <v>31</v>
      </c>
      <c r="D119" s="28" t="s">
        <v>755</v>
      </c>
      <c r="E119" s="28" t="s">
        <v>93</v>
      </c>
      <c r="F119" s="28" t="s">
        <v>73</v>
      </c>
      <c r="G119" s="28">
        <v>1.0</v>
      </c>
      <c r="H119" s="28">
        <v>12.0</v>
      </c>
      <c r="I119" s="28">
        <v>4.0</v>
      </c>
      <c r="J119" s="28"/>
      <c r="K119" s="30">
        <f t="shared" si="1"/>
        <v>804.2477193</v>
      </c>
    </row>
    <row r="120" ht="15.75" customHeight="1">
      <c r="A120" s="31" t="s">
        <v>129</v>
      </c>
      <c r="B120" s="26" t="s">
        <v>345</v>
      </c>
      <c r="C120" s="27" t="s">
        <v>34</v>
      </c>
      <c r="D120" s="28" t="s">
        <v>755</v>
      </c>
      <c r="E120" s="28" t="s">
        <v>763</v>
      </c>
      <c r="F120" s="28" t="s">
        <v>763</v>
      </c>
      <c r="G120" s="28">
        <v>1.0</v>
      </c>
      <c r="H120" s="28"/>
      <c r="I120" s="28"/>
      <c r="J120" s="37" t="s">
        <v>762</v>
      </c>
      <c r="K120" s="30">
        <f t="shared" si="1"/>
        <v>0</v>
      </c>
    </row>
    <row r="121" ht="15.75" hidden="1" customHeight="1">
      <c r="A121" s="31" t="s">
        <v>349</v>
      </c>
      <c r="B121" s="26" t="s">
        <v>347</v>
      </c>
      <c r="C121" s="27" t="s">
        <v>20</v>
      </c>
      <c r="D121" s="28" t="s">
        <v>755</v>
      </c>
      <c r="E121" s="28" t="s">
        <v>757</v>
      </c>
      <c r="F121" s="28" t="s">
        <v>757</v>
      </c>
      <c r="G121" s="28">
        <v>0.0</v>
      </c>
      <c r="H121" s="28"/>
      <c r="I121" s="28"/>
      <c r="J121" s="28"/>
      <c r="K121" s="30">
        <f t="shared" si="1"/>
        <v>0</v>
      </c>
    </row>
    <row r="122" ht="15.75" hidden="1" customHeight="1">
      <c r="A122" s="31" t="s">
        <v>210</v>
      </c>
      <c r="B122" s="26" t="s">
        <v>350</v>
      </c>
      <c r="C122" s="27" t="s">
        <v>12</v>
      </c>
      <c r="D122" s="28" t="s">
        <v>755</v>
      </c>
      <c r="E122" s="28" t="s">
        <v>776</v>
      </c>
      <c r="F122" s="28" t="s">
        <v>776</v>
      </c>
      <c r="G122" s="28">
        <v>1.0</v>
      </c>
      <c r="H122" s="28">
        <v>5.0</v>
      </c>
      <c r="I122" s="28">
        <v>3.0</v>
      </c>
      <c r="J122" s="28"/>
      <c r="K122" s="30">
        <f t="shared" si="1"/>
        <v>188.4955592</v>
      </c>
    </row>
    <row r="123" ht="15.75" hidden="1" customHeight="1">
      <c r="A123" s="31" t="s">
        <v>210</v>
      </c>
      <c r="B123" s="26" t="s">
        <v>350</v>
      </c>
      <c r="C123" s="27" t="s">
        <v>12</v>
      </c>
      <c r="D123" s="28" t="s">
        <v>755</v>
      </c>
      <c r="E123" s="29" t="s">
        <v>91</v>
      </c>
      <c r="F123" s="28" t="s">
        <v>91</v>
      </c>
      <c r="G123" s="28">
        <v>1.0</v>
      </c>
      <c r="H123" s="28"/>
      <c r="I123" s="28"/>
      <c r="J123" s="28" t="s">
        <v>777</v>
      </c>
      <c r="K123" s="30">
        <f t="shared" si="1"/>
        <v>0</v>
      </c>
    </row>
    <row r="124" ht="15.75" hidden="1" customHeight="1">
      <c r="A124" s="31" t="s">
        <v>210</v>
      </c>
      <c r="B124" s="26" t="s">
        <v>350</v>
      </c>
      <c r="C124" s="27" t="s">
        <v>12</v>
      </c>
      <c r="D124" s="28" t="s">
        <v>755</v>
      </c>
      <c r="E124" s="28" t="s">
        <v>93</v>
      </c>
      <c r="F124" s="28" t="s">
        <v>93</v>
      </c>
      <c r="G124" s="28">
        <v>1.0</v>
      </c>
      <c r="H124" s="28"/>
      <c r="I124" s="28"/>
      <c r="J124" s="28" t="s">
        <v>762</v>
      </c>
      <c r="K124" s="30">
        <f t="shared" si="1"/>
        <v>0</v>
      </c>
    </row>
    <row r="125" ht="15.75" hidden="1" customHeight="1">
      <c r="A125" s="31" t="s">
        <v>210</v>
      </c>
      <c r="B125" s="26" t="s">
        <v>350</v>
      </c>
      <c r="C125" s="27" t="s">
        <v>12</v>
      </c>
      <c r="D125" s="28" t="s">
        <v>755</v>
      </c>
      <c r="E125" s="28" t="s">
        <v>63</v>
      </c>
      <c r="F125" s="28" t="s">
        <v>63</v>
      </c>
      <c r="G125" s="28">
        <v>1.0</v>
      </c>
      <c r="H125" s="28">
        <v>22.0</v>
      </c>
      <c r="I125" s="28">
        <v>5.0</v>
      </c>
      <c r="J125" s="28"/>
      <c r="K125" s="30">
        <f t="shared" si="1"/>
        <v>2303.834613</v>
      </c>
    </row>
    <row r="126" ht="15.75" hidden="1" customHeight="1">
      <c r="A126" s="31" t="s">
        <v>210</v>
      </c>
      <c r="B126" s="26" t="s">
        <v>350</v>
      </c>
      <c r="C126" s="27" t="s">
        <v>12</v>
      </c>
      <c r="D126" s="28" t="s">
        <v>755</v>
      </c>
      <c r="E126" s="28" t="s">
        <v>63</v>
      </c>
      <c r="F126" s="28" t="s">
        <v>63</v>
      </c>
      <c r="G126" s="28">
        <v>1.0</v>
      </c>
      <c r="H126" s="28">
        <v>12.0</v>
      </c>
      <c r="I126" s="28">
        <v>5.0</v>
      </c>
      <c r="J126" s="28"/>
      <c r="K126" s="30">
        <f t="shared" si="1"/>
        <v>1256.637061</v>
      </c>
    </row>
    <row r="127" ht="15.75" hidden="1" customHeight="1">
      <c r="A127" s="31" t="s">
        <v>210</v>
      </c>
      <c r="B127" s="26" t="s">
        <v>350</v>
      </c>
      <c r="C127" s="27" t="s">
        <v>12</v>
      </c>
      <c r="D127" s="28" t="s">
        <v>755</v>
      </c>
      <c r="E127" s="28" t="s">
        <v>63</v>
      </c>
      <c r="F127" s="28" t="s">
        <v>63</v>
      </c>
      <c r="G127" s="28">
        <v>1.0</v>
      </c>
      <c r="H127" s="28">
        <v>10.0</v>
      </c>
      <c r="I127" s="28">
        <v>3.0</v>
      </c>
      <c r="J127" s="28"/>
      <c r="K127" s="30">
        <f t="shared" si="1"/>
        <v>376.9911184</v>
      </c>
    </row>
    <row r="128" ht="15.75" hidden="1" customHeight="1">
      <c r="A128" s="31" t="s">
        <v>210</v>
      </c>
      <c r="B128" s="26" t="s">
        <v>350</v>
      </c>
      <c r="C128" s="27" t="s">
        <v>12</v>
      </c>
      <c r="D128" s="28" t="s">
        <v>755</v>
      </c>
      <c r="E128" s="28" t="s">
        <v>63</v>
      </c>
      <c r="F128" s="28" t="s">
        <v>63</v>
      </c>
      <c r="G128" s="28">
        <v>1.0</v>
      </c>
      <c r="H128" s="28">
        <v>12.0</v>
      </c>
      <c r="I128" s="28">
        <v>2.0</v>
      </c>
      <c r="J128" s="28" t="s">
        <v>111</v>
      </c>
      <c r="K128" s="30">
        <f t="shared" si="1"/>
        <v>201.0619298</v>
      </c>
    </row>
    <row r="129" ht="15.75" hidden="1" customHeight="1">
      <c r="A129" s="31" t="s">
        <v>210</v>
      </c>
      <c r="B129" s="26" t="s">
        <v>350</v>
      </c>
      <c r="C129" s="27" t="s">
        <v>12</v>
      </c>
      <c r="D129" s="28" t="s">
        <v>755</v>
      </c>
      <c r="E129" s="28" t="s">
        <v>63</v>
      </c>
      <c r="F129" s="28" t="s">
        <v>63</v>
      </c>
      <c r="G129" s="28">
        <v>1.0</v>
      </c>
      <c r="H129" s="28">
        <v>10.0</v>
      </c>
      <c r="I129" s="28">
        <v>5.0</v>
      </c>
      <c r="J129" s="28"/>
      <c r="K129" s="30">
        <f t="shared" si="1"/>
        <v>1047.197551</v>
      </c>
    </row>
    <row r="130" ht="15.75" hidden="1" customHeight="1">
      <c r="A130" s="31" t="s">
        <v>210</v>
      </c>
      <c r="B130" s="26" t="s">
        <v>350</v>
      </c>
      <c r="C130" s="27" t="s">
        <v>12</v>
      </c>
      <c r="D130" s="28" t="s">
        <v>755</v>
      </c>
      <c r="E130" s="28" t="s">
        <v>63</v>
      </c>
      <c r="F130" s="28" t="s">
        <v>63</v>
      </c>
      <c r="G130" s="28">
        <v>1.0</v>
      </c>
      <c r="H130" s="28">
        <v>11.0</v>
      </c>
      <c r="I130" s="28">
        <v>4.0</v>
      </c>
      <c r="J130" s="28"/>
      <c r="K130" s="30">
        <f t="shared" si="1"/>
        <v>737.227076</v>
      </c>
    </row>
    <row r="131" ht="15.75" hidden="1" customHeight="1">
      <c r="A131" s="31" t="s">
        <v>210</v>
      </c>
      <c r="B131" s="26" t="s">
        <v>350</v>
      </c>
      <c r="C131" s="27" t="s">
        <v>12</v>
      </c>
      <c r="D131" s="28" t="s">
        <v>755</v>
      </c>
      <c r="E131" s="28" t="s">
        <v>63</v>
      </c>
      <c r="F131" s="28" t="s">
        <v>63</v>
      </c>
      <c r="G131" s="28">
        <v>1.0</v>
      </c>
      <c r="H131" s="28">
        <v>7.0</v>
      </c>
      <c r="I131" s="28">
        <v>4.0</v>
      </c>
      <c r="J131" s="28"/>
      <c r="K131" s="30">
        <f t="shared" si="1"/>
        <v>469.1445029</v>
      </c>
    </row>
    <row r="132" ht="15.75" hidden="1" customHeight="1">
      <c r="A132" s="31" t="s">
        <v>134</v>
      </c>
      <c r="B132" s="26" t="s">
        <v>353</v>
      </c>
      <c r="C132" s="27" t="s">
        <v>16</v>
      </c>
      <c r="D132" s="28" t="s">
        <v>755</v>
      </c>
      <c r="E132" s="28" t="s">
        <v>63</v>
      </c>
      <c r="F132" s="28" t="s">
        <v>63</v>
      </c>
      <c r="G132" s="28">
        <v>1.0</v>
      </c>
      <c r="H132" s="28">
        <v>4.0</v>
      </c>
      <c r="I132" s="28">
        <v>2.0</v>
      </c>
      <c r="J132" s="28"/>
      <c r="K132" s="30">
        <f t="shared" si="1"/>
        <v>67.02064328</v>
      </c>
    </row>
    <row r="133" ht="15.75" hidden="1" customHeight="1">
      <c r="A133" s="31" t="s">
        <v>134</v>
      </c>
      <c r="B133" s="26" t="s">
        <v>353</v>
      </c>
      <c r="C133" s="27" t="s">
        <v>16</v>
      </c>
      <c r="D133" s="28" t="s">
        <v>755</v>
      </c>
      <c r="E133" s="28" t="s">
        <v>57</v>
      </c>
      <c r="F133" s="28" t="s">
        <v>57</v>
      </c>
      <c r="G133" s="28">
        <v>1.0</v>
      </c>
      <c r="H133" s="28">
        <v>2.0</v>
      </c>
      <c r="I133" s="28">
        <v>1.0</v>
      </c>
      <c r="J133" s="28"/>
      <c r="K133" s="30">
        <f t="shared" si="1"/>
        <v>8.37758041</v>
      </c>
    </row>
    <row r="134" ht="15.75" hidden="1" customHeight="1">
      <c r="A134" s="31" t="s">
        <v>134</v>
      </c>
      <c r="B134" s="26" t="s">
        <v>353</v>
      </c>
      <c r="C134" s="27" t="s">
        <v>16</v>
      </c>
      <c r="D134" s="28" t="s">
        <v>755</v>
      </c>
      <c r="E134" s="28" t="s">
        <v>759</v>
      </c>
      <c r="F134" s="28" t="s">
        <v>75</v>
      </c>
      <c r="G134" s="28">
        <v>1.0</v>
      </c>
      <c r="H134" s="28">
        <v>4.0</v>
      </c>
      <c r="I134" s="28">
        <v>1.0</v>
      </c>
      <c r="J134" s="28"/>
      <c r="K134" s="30">
        <f t="shared" si="1"/>
        <v>16.75516082</v>
      </c>
    </row>
    <row r="135" ht="15.75" hidden="1" customHeight="1">
      <c r="A135" s="31" t="s">
        <v>134</v>
      </c>
      <c r="B135" s="26" t="s">
        <v>353</v>
      </c>
      <c r="C135" s="27" t="s">
        <v>16</v>
      </c>
      <c r="D135" s="28" t="s">
        <v>755</v>
      </c>
      <c r="E135" s="28" t="s">
        <v>759</v>
      </c>
      <c r="F135" s="28" t="s">
        <v>75</v>
      </c>
      <c r="G135" s="28">
        <v>1.0</v>
      </c>
      <c r="H135" s="28">
        <v>5.0</v>
      </c>
      <c r="I135" s="28">
        <v>1.0</v>
      </c>
      <c r="J135" s="28"/>
      <c r="K135" s="30">
        <f t="shared" si="1"/>
        <v>20.94395102</v>
      </c>
    </row>
    <row r="136" ht="15.75" hidden="1" customHeight="1">
      <c r="A136" s="31" t="s">
        <v>134</v>
      </c>
      <c r="B136" s="26" t="s">
        <v>353</v>
      </c>
      <c r="C136" s="27" t="s">
        <v>16</v>
      </c>
      <c r="D136" s="28" t="s">
        <v>755</v>
      </c>
      <c r="E136" s="28" t="s">
        <v>63</v>
      </c>
      <c r="F136" s="28" t="s">
        <v>97</v>
      </c>
      <c r="G136" s="28">
        <v>2.0</v>
      </c>
      <c r="H136" s="28">
        <v>6.0</v>
      </c>
      <c r="I136" s="28">
        <v>2.0</v>
      </c>
      <c r="J136" s="28"/>
      <c r="K136" s="30">
        <f t="shared" si="1"/>
        <v>201.0619298</v>
      </c>
    </row>
    <row r="137" ht="15.75" hidden="1" customHeight="1">
      <c r="A137" s="25" t="s">
        <v>119</v>
      </c>
      <c r="B137" s="26" t="s">
        <v>356</v>
      </c>
      <c r="C137" s="27" t="s">
        <v>10</v>
      </c>
      <c r="D137" s="28" t="s">
        <v>754</v>
      </c>
      <c r="E137" s="28" t="s">
        <v>757</v>
      </c>
      <c r="F137" s="28" t="s">
        <v>757</v>
      </c>
      <c r="G137" s="28">
        <v>0.0</v>
      </c>
      <c r="H137" s="28"/>
      <c r="I137" s="28"/>
      <c r="J137" s="28"/>
      <c r="K137" s="30">
        <f t="shared" si="1"/>
        <v>0</v>
      </c>
    </row>
    <row r="138" ht="15.75" hidden="1" customHeight="1">
      <c r="A138" s="31" t="s">
        <v>360</v>
      </c>
      <c r="B138" s="26" t="s">
        <v>359</v>
      </c>
      <c r="C138" s="27" t="s">
        <v>10</v>
      </c>
      <c r="D138" s="28" t="s">
        <v>754</v>
      </c>
      <c r="E138" s="28" t="s">
        <v>59</v>
      </c>
      <c r="F138" s="28" t="s">
        <v>59</v>
      </c>
      <c r="G138" s="28">
        <v>1.0</v>
      </c>
      <c r="H138" s="28">
        <v>13.0</v>
      </c>
      <c r="I138" s="28">
        <v>4.0</v>
      </c>
      <c r="J138" s="28"/>
      <c r="K138" s="30">
        <f t="shared" si="1"/>
        <v>871.2683626</v>
      </c>
    </row>
    <row r="139" ht="15.75" hidden="1" customHeight="1">
      <c r="A139" s="31" t="s">
        <v>129</v>
      </c>
      <c r="B139" s="26" t="s">
        <v>361</v>
      </c>
      <c r="C139" s="27" t="s">
        <v>20</v>
      </c>
      <c r="D139" s="28" t="s">
        <v>755</v>
      </c>
      <c r="E139" s="28" t="s">
        <v>57</v>
      </c>
      <c r="F139" s="28" t="s">
        <v>57</v>
      </c>
      <c r="G139" s="28">
        <v>1.0</v>
      </c>
      <c r="H139" s="28">
        <v>7.0</v>
      </c>
      <c r="I139" s="28">
        <v>3.0</v>
      </c>
      <c r="J139" s="28"/>
      <c r="K139" s="30">
        <f t="shared" si="1"/>
        <v>263.8937829</v>
      </c>
    </row>
    <row r="140" ht="15.75" hidden="1" customHeight="1">
      <c r="A140" s="25" t="s">
        <v>778</v>
      </c>
      <c r="B140" s="26" t="s">
        <v>363</v>
      </c>
      <c r="C140" s="27" t="s">
        <v>16</v>
      </c>
      <c r="D140" s="28" t="s">
        <v>755</v>
      </c>
      <c r="E140" s="28" t="s">
        <v>757</v>
      </c>
      <c r="F140" s="28" t="s">
        <v>757</v>
      </c>
      <c r="G140" s="28">
        <v>0.0</v>
      </c>
      <c r="H140" s="28"/>
      <c r="I140" s="28"/>
      <c r="J140" s="28"/>
      <c r="K140" s="30">
        <f t="shared" si="1"/>
        <v>0</v>
      </c>
    </row>
    <row r="141" ht="15.75" hidden="1" customHeight="1">
      <c r="A141" s="31" t="s">
        <v>129</v>
      </c>
      <c r="B141" s="26" t="s">
        <v>366</v>
      </c>
      <c r="C141" s="27" t="s">
        <v>16</v>
      </c>
      <c r="D141" s="28" t="s">
        <v>755</v>
      </c>
      <c r="E141" s="28" t="s">
        <v>756</v>
      </c>
      <c r="F141" s="28" t="s">
        <v>756</v>
      </c>
      <c r="G141" s="28">
        <v>1.0</v>
      </c>
      <c r="H141" s="28"/>
      <c r="I141" s="28"/>
      <c r="J141" s="28"/>
      <c r="K141" s="30">
        <f t="shared" si="1"/>
        <v>0</v>
      </c>
    </row>
    <row r="142" ht="15.75" hidden="1" customHeight="1">
      <c r="A142" s="25" t="s">
        <v>145</v>
      </c>
      <c r="B142" s="26" t="s">
        <v>368</v>
      </c>
      <c r="C142" s="27" t="s">
        <v>37</v>
      </c>
      <c r="D142" s="28" t="s">
        <v>755</v>
      </c>
      <c r="E142" s="28" t="s">
        <v>61</v>
      </c>
      <c r="F142" s="28" t="s">
        <v>61</v>
      </c>
      <c r="G142" s="28">
        <v>1.0</v>
      </c>
      <c r="H142" s="28"/>
      <c r="I142" s="28"/>
      <c r="J142" s="28" t="s">
        <v>762</v>
      </c>
      <c r="K142" s="30">
        <f t="shared" si="1"/>
        <v>0</v>
      </c>
    </row>
    <row r="143" ht="15.75" hidden="1" customHeight="1">
      <c r="A143" s="31" t="s">
        <v>129</v>
      </c>
      <c r="B143" s="26" t="s">
        <v>371</v>
      </c>
      <c r="C143" s="27" t="s">
        <v>37</v>
      </c>
      <c r="D143" s="28" t="s">
        <v>755</v>
      </c>
      <c r="E143" s="28" t="s">
        <v>57</v>
      </c>
      <c r="F143" s="28" t="s">
        <v>57</v>
      </c>
      <c r="G143" s="28">
        <v>2.0</v>
      </c>
      <c r="H143" s="28">
        <v>2.0</v>
      </c>
      <c r="I143" s="28">
        <v>1.0</v>
      </c>
      <c r="J143" s="28"/>
      <c r="K143" s="30">
        <f t="shared" si="1"/>
        <v>16.75516082</v>
      </c>
    </row>
    <row r="144" ht="15.75" hidden="1" customHeight="1">
      <c r="A144" s="31" t="s">
        <v>170</v>
      </c>
      <c r="B144" s="26" t="s">
        <v>373</v>
      </c>
      <c r="C144" s="27" t="s">
        <v>37</v>
      </c>
      <c r="D144" s="28" t="s">
        <v>755</v>
      </c>
      <c r="E144" s="28" t="s">
        <v>757</v>
      </c>
      <c r="F144" s="28" t="s">
        <v>757</v>
      </c>
      <c r="G144" s="28">
        <v>0.0</v>
      </c>
      <c r="H144" s="28"/>
      <c r="I144" s="28"/>
      <c r="J144" s="28"/>
      <c r="K144" s="30">
        <f t="shared" si="1"/>
        <v>0</v>
      </c>
    </row>
    <row r="145" ht="15.75" hidden="1" customHeight="1">
      <c r="A145" s="25" t="s">
        <v>145</v>
      </c>
      <c r="B145" s="26" t="s">
        <v>375</v>
      </c>
      <c r="C145" s="27" t="s">
        <v>37</v>
      </c>
      <c r="D145" s="28" t="s">
        <v>755</v>
      </c>
      <c r="E145" s="28" t="s">
        <v>57</v>
      </c>
      <c r="F145" s="28" t="s">
        <v>57</v>
      </c>
      <c r="G145" s="28">
        <v>2.0</v>
      </c>
      <c r="H145" s="28">
        <v>2.0</v>
      </c>
      <c r="I145" s="28">
        <v>1.0</v>
      </c>
      <c r="J145" s="28"/>
      <c r="K145" s="30">
        <f t="shared" si="1"/>
        <v>16.75516082</v>
      </c>
    </row>
    <row r="146" ht="15.75" hidden="1" customHeight="1">
      <c r="A146" s="40" t="s">
        <v>360</v>
      </c>
      <c r="B146" s="33" t="s">
        <v>377</v>
      </c>
      <c r="C146" s="34" t="s">
        <v>378</v>
      </c>
      <c r="D146" s="35" t="s">
        <v>760</v>
      </c>
      <c r="E146" s="35" t="s">
        <v>779</v>
      </c>
      <c r="F146" s="35" t="s">
        <v>779</v>
      </c>
      <c r="G146" s="35">
        <v>1.0</v>
      </c>
      <c r="H146" s="35"/>
      <c r="I146" s="35"/>
      <c r="J146" s="35" t="s">
        <v>780</v>
      </c>
      <c r="K146" s="30">
        <f t="shared" si="1"/>
        <v>0</v>
      </c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5.75" hidden="1" customHeight="1">
      <c r="A147" s="40" t="s">
        <v>360</v>
      </c>
      <c r="B147" s="33" t="s">
        <v>377</v>
      </c>
      <c r="C147" s="34" t="s">
        <v>378</v>
      </c>
      <c r="D147" s="35" t="s">
        <v>760</v>
      </c>
      <c r="E147" s="35" t="s">
        <v>759</v>
      </c>
      <c r="F147" s="35" t="s">
        <v>101</v>
      </c>
      <c r="G147" s="35">
        <v>1.0</v>
      </c>
      <c r="H147" s="35">
        <v>2.0</v>
      </c>
      <c r="I147" s="35">
        <v>1.0</v>
      </c>
      <c r="J147" s="35"/>
      <c r="K147" s="30">
        <f t="shared" si="1"/>
        <v>8.37758041</v>
      </c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5.75" hidden="1" customHeight="1">
      <c r="A148" s="40" t="s">
        <v>360</v>
      </c>
      <c r="B148" s="33" t="s">
        <v>377</v>
      </c>
      <c r="C148" s="34" t="s">
        <v>378</v>
      </c>
      <c r="D148" s="35" t="s">
        <v>760</v>
      </c>
      <c r="E148" s="35" t="s">
        <v>77</v>
      </c>
      <c r="F148" s="35" t="s">
        <v>79</v>
      </c>
      <c r="G148" s="35">
        <v>1.0</v>
      </c>
      <c r="H148" s="35">
        <v>2.0</v>
      </c>
      <c r="I148" s="35">
        <v>1.0</v>
      </c>
      <c r="J148" s="35"/>
      <c r="K148" s="30">
        <f t="shared" si="1"/>
        <v>8.37758041</v>
      </c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5.75" hidden="1" customHeight="1">
      <c r="A149" s="40" t="s">
        <v>360</v>
      </c>
      <c r="B149" s="33" t="s">
        <v>377</v>
      </c>
      <c r="C149" s="34" t="s">
        <v>378</v>
      </c>
      <c r="D149" s="35" t="s">
        <v>760</v>
      </c>
      <c r="E149" s="35" t="s">
        <v>77</v>
      </c>
      <c r="F149" s="35" t="s">
        <v>79</v>
      </c>
      <c r="G149" s="35">
        <v>1.0</v>
      </c>
      <c r="H149" s="35">
        <v>3.0</v>
      </c>
      <c r="I149" s="35">
        <v>1.0</v>
      </c>
      <c r="J149" s="35"/>
      <c r="K149" s="30">
        <f t="shared" si="1"/>
        <v>12.56637061</v>
      </c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5.75" hidden="1" customHeight="1">
      <c r="A150" s="40" t="s">
        <v>360</v>
      </c>
      <c r="B150" s="33" t="s">
        <v>377</v>
      </c>
      <c r="C150" s="34" t="s">
        <v>378</v>
      </c>
      <c r="D150" s="35" t="s">
        <v>760</v>
      </c>
      <c r="E150" s="35" t="s">
        <v>61</v>
      </c>
      <c r="F150" s="35" t="s">
        <v>61</v>
      </c>
      <c r="G150" s="35">
        <v>1.0</v>
      </c>
      <c r="H150" s="35"/>
      <c r="I150" s="35"/>
      <c r="J150" s="35" t="s">
        <v>762</v>
      </c>
      <c r="K150" s="30">
        <f t="shared" si="1"/>
        <v>0</v>
      </c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5.75" hidden="1" customHeight="1">
      <c r="A151" s="40" t="s">
        <v>360</v>
      </c>
      <c r="B151" s="33" t="s">
        <v>377</v>
      </c>
      <c r="C151" s="34" t="s">
        <v>378</v>
      </c>
      <c r="D151" s="35" t="s">
        <v>760</v>
      </c>
      <c r="E151" s="35" t="s">
        <v>55</v>
      </c>
      <c r="F151" s="35" t="s">
        <v>55</v>
      </c>
      <c r="G151" s="35">
        <v>1.0</v>
      </c>
      <c r="H151" s="35">
        <v>1.0</v>
      </c>
      <c r="I151" s="35">
        <v>0.5</v>
      </c>
      <c r="J151" s="35"/>
      <c r="K151" s="30">
        <f t="shared" si="1"/>
        <v>1.047197551</v>
      </c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5.75" hidden="1" customHeight="1">
      <c r="A152" s="40" t="s">
        <v>360</v>
      </c>
      <c r="B152" s="33" t="s">
        <v>377</v>
      </c>
      <c r="C152" s="34" t="s">
        <v>378</v>
      </c>
      <c r="D152" s="35" t="s">
        <v>760</v>
      </c>
      <c r="E152" s="35" t="s">
        <v>93</v>
      </c>
      <c r="F152" s="35" t="s">
        <v>93</v>
      </c>
      <c r="G152" s="35">
        <v>1.0</v>
      </c>
      <c r="H152" s="35"/>
      <c r="I152" s="35"/>
      <c r="J152" s="35" t="s">
        <v>762</v>
      </c>
      <c r="K152" s="30">
        <f t="shared" si="1"/>
        <v>0</v>
      </c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5.75" hidden="1" customHeight="1">
      <c r="A153" s="31" t="s">
        <v>170</v>
      </c>
      <c r="B153" s="26" t="s">
        <v>381</v>
      </c>
      <c r="C153" s="27" t="s">
        <v>8</v>
      </c>
      <c r="D153" s="28" t="s">
        <v>755</v>
      </c>
      <c r="E153" s="28" t="s">
        <v>781</v>
      </c>
      <c r="F153" s="28" t="s">
        <v>89</v>
      </c>
      <c r="G153" s="28">
        <v>1.0</v>
      </c>
      <c r="H153" s="28">
        <v>8.0</v>
      </c>
      <c r="I153" s="28">
        <v>3.0</v>
      </c>
      <c r="J153" s="28"/>
      <c r="K153" s="30">
        <f t="shared" si="1"/>
        <v>301.5928947</v>
      </c>
    </row>
    <row r="154" ht="15.75" hidden="1" customHeight="1">
      <c r="A154" s="31" t="s">
        <v>170</v>
      </c>
      <c r="B154" s="26" t="s">
        <v>381</v>
      </c>
      <c r="C154" s="27" t="s">
        <v>8</v>
      </c>
      <c r="D154" s="28" t="s">
        <v>755</v>
      </c>
      <c r="E154" s="28" t="s">
        <v>771</v>
      </c>
      <c r="F154" s="28" t="s">
        <v>771</v>
      </c>
      <c r="G154" s="28">
        <v>2.0</v>
      </c>
      <c r="H154" s="28"/>
      <c r="I154" s="28"/>
      <c r="J154" s="37" t="s">
        <v>762</v>
      </c>
      <c r="K154" s="30">
        <f t="shared" si="1"/>
        <v>0</v>
      </c>
    </row>
    <row r="155" ht="15.75" hidden="1" customHeight="1">
      <c r="A155" s="31" t="s">
        <v>388</v>
      </c>
      <c r="B155" s="26" t="s">
        <v>386</v>
      </c>
      <c r="C155" s="27" t="s">
        <v>37</v>
      </c>
      <c r="D155" s="28" t="s">
        <v>760</v>
      </c>
      <c r="E155" s="28" t="s">
        <v>99</v>
      </c>
      <c r="F155" s="28" t="s">
        <v>99</v>
      </c>
      <c r="G155" s="28">
        <v>1.0</v>
      </c>
      <c r="H155" s="28">
        <v>1.0</v>
      </c>
      <c r="I155" s="28">
        <v>0.5</v>
      </c>
      <c r="J155" s="28"/>
      <c r="K155" s="30">
        <f t="shared" si="1"/>
        <v>1.047197551</v>
      </c>
    </row>
    <row r="156" ht="15.75" hidden="1" customHeight="1">
      <c r="A156" s="31" t="s">
        <v>126</v>
      </c>
      <c r="B156" s="26" t="s">
        <v>389</v>
      </c>
      <c r="C156" s="27" t="s">
        <v>37</v>
      </c>
      <c r="D156" s="28" t="s">
        <v>755</v>
      </c>
      <c r="E156" s="28" t="s">
        <v>63</v>
      </c>
      <c r="F156" s="28" t="s">
        <v>65</v>
      </c>
      <c r="G156" s="28">
        <v>1.0</v>
      </c>
      <c r="H156" s="28"/>
      <c r="I156" s="28"/>
      <c r="J156" s="37" t="s">
        <v>762</v>
      </c>
      <c r="K156" s="30">
        <f t="shared" si="1"/>
        <v>0</v>
      </c>
    </row>
    <row r="157" ht="15.75" hidden="1" customHeight="1">
      <c r="A157" s="31" t="s">
        <v>126</v>
      </c>
      <c r="B157" s="26" t="s">
        <v>392</v>
      </c>
      <c r="C157" s="27" t="s">
        <v>37</v>
      </c>
      <c r="D157" s="28" t="s">
        <v>755</v>
      </c>
      <c r="E157" s="28" t="s">
        <v>59</v>
      </c>
      <c r="F157" s="28" t="s">
        <v>59</v>
      </c>
      <c r="G157" s="28">
        <v>1.0</v>
      </c>
      <c r="H157" s="28">
        <v>6.0</v>
      </c>
      <c r="I157" s="28">
        <v>3.0</v>
      </c>
      <c r="J157" s="28"/>
      <c r="K157" s="30">
        <f t="shared" si="1"/>
        <v>226.1946711</v>
      </c>
    </row>
    <row r="158" ht="15.75" hidden="1" customHeight="1">
      <c r="A158" s="31" t="s">
        <v>126</v>
      </c>
      <c r="B158" s="26" t="s">
        <v>392</v>
      </c>
      <c r="C158" s="27" t="s">
        <v>37</v>
      </c>
      <c r="D158" s="28" t="s">
        <v>755</v>
      </c>
      <c r="E158" s="28" t="s">
        <v>57</v>
      </c>
      <c r="F158" s="28" t="s">
        <v>57</v>
      </c>
      <c r="G158" s="28">
        <v>1.0</v>
      </c>
      <c r="H158" s="28">
        <v>3.0</v>
      </c>
      <c r="I158" s="28">
        <v>2.0</v>
      </c>
      <c r="J158" s="28"/>
      <c r="K158" s="30">
        <f t="shared" si="1"/>
        <v>50.26548246</v>
      </c>
    </row>
    <row r="159" ht="15.75" hidden="1" customHeight="1">
      <c r="A159" s="31" t="s">
        <v>126</v>
      </c>
      <c r="B159" s="26" t="s">
        <v>392</v>
      </c>
      <c r="C159" s="27" t="s">
        <v>37</v>
      </c>
      <c r="D159" s="28" t="s">
        <v>755</v>
      </c>
      <c r="E159" s="28" t="s">
        <v>63</v>
      </c>
      <c r="F159" s="28" t="s">
        <v>63</v>
      </c>
      <c r="G159" s="28">
        <v>1.0</v>
      </c>
      <c r="H159" s="28">
        <v>3.0</v>
      </c>
      <c r="I159" s="28">
        <v>1.0</v>
      </c>
      <c r="J159" s="28"/>
      <c r="K159" s="30">
        <f t="shared" si="1"/>
        <v>12.56637061</v>
      </c>
    </row>
    <row r="160" ht="15.75" hidden="1" customHeight="1">
      <c r="A160" s="40" t="s">
        <v>388</v>
      </c>
      <c r="B160" s="33" t="s">
        <v>394</v>
      </c>
      <c r="C160" s="34" t="s">
        <v>378</v>
      </c>
      <c r="D160" s="35" t="s">
        <v>760</v>
      </c>
      <c r="E160" s="35" t="s">
        <v>757</v>
      </c>
      <c r="F160" s="35" t="s">
        <v>757</v>
      </c>
      <c r="G160" s="35">
        <v>0.0</v>
      </c>
      <c r="H160" s="35"/>
      <c r="I160" s="35"/>
      <c r="J160" s="35"/>
      <c r="K160" s="30">
        <f t="shared" si="1"/>
        <v>0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5.75" hidden="1" customHeight="1">
      <c r="A161" s="25" t="s">
        <v>145</v>
      </c>
      <c r="B161" s="26" t="s">
        <v>395</v>
      </c>
      <c r="C161" s="27" t="s">
        <v>37</v>
      </c>
      <c r="D161" s="28" t="s">
        <v>755</v>
      </c>
      <c r="E161" s="28" t="s">
        <v>57</v>
      </c>
      <c r="F161" s="28" t="s">
        <v>57</v>
      </c>
      <c r="G161" s="28">
        <v>1.0</v>
      </c>
      <c r="H161" s="28">
        <v>5.0</v>
      </c>
      <c r="I161" s="28">
        <v>2.0</v>
      </c>
      <c r="J161" s="28"/>
      <c r="K161" s="30">
        <f t="shared" si="1"/>
        <v>83.7758041</v>
      </c>
    </row>
    <row r="162" ht="15.75" hidden="1" customHeight="1">
      <c r="A162" s="25" t="s">
        <v>145</v>
      </c>
      <c r="B162" s="26" t="s">
        <v>395</v>
      </c>
      <c r="C162" s="27" t="s">
        <v>37</v>
      </c>
      <c r="D162" s="28" t="s">
        <v>755</v>
      </c>
      <c r="E162" s="41" t="s">
        <v>91</v>
      </c>
      <c r="F162" s="28" t="s">
        <v>91</v>
      </c>
      <c r="G162" s="28">
        <v>1.0</v>
      </c>
      <c r="H162" s="28"/>
      <c r="I162" s="28"/>
      <c r="J162" s="37" t="s">
        <v>762</v>
      </c>
      <c r="K162" s="30">
        <f t="shared" si="1"/>
        <v>0</v>
      </c>
    </row>
    <row r="163" ht="15.75" hidden="1" customHeight="1">
      <c r="A163" s="25" t="s">
        <v>145</v>
      </c>
      <c r="B163" s="26" t="s">
        <v>395</v>
      </c>
      <c r="C163" s="27" t="s">
        <v>37</v>
      </c>
      <c r="D163" s="28" t="s">
        <v>755</v>
      </c>
      <c r="E163" s="28" t="s">
        <v>63</v>
      </c>
      <c r="F163" s="28" t="s">
        <v>63</v>
      </c>
      <c r="G163" s="28">
        <v>1.0</v>
      </c>
      <c r="H163" s="28"/>
      <c r="I163" s="28"/>
      <c r="J163" s="28" t="s">
        <v>762</v>
      </c>
      <c r="K163" s="30">
        <f t="shared" si="1"/>
        <v>0</v>
      </c>
    </row>
    <row r="164" ht="15.75" hidden="1" customHeight="1">
      <c r="A164" s="25" t="s">
        <v>145</v>
      </c>
      <c r="B164" s="26" t="s">
        <v>395</v>
      </c>
      <c r="C164" s="27" t="s">
        <v>37</v>
      </c>
      <c r="D164" s="28" t="s">
        <v>755</v>
      </c>
      <c r="E164" s="28" t="s">
        <v>57</v>
      </c>
      <c r="F164" s="28" t="s">
        <v>57</v>
      </c>
      <c r="G164" s="28">
        <v>1.0</v>
      </c>
      <c r="H164" s="28"/>
      <c r="I164" s="28"/>
      <c r="J164" s="28" t="s">
        <v>762</v>
      </c>
      <c r="K164" s="30">
        <f t="shared" si="1"/>
        <v>0</v>
      </c>
    </row>
    <row r="165" ht="15.75" hidden="1" customHeight="1">
      <c r="A165" s="25" t="s">
        <v>210</v>
      </c>
      <c r="B165" s="42" t="s">
        <v>397</v>
      </c>
      <c r="C165" s="27" t="s">
        <v>36</v>
      </c>
      <c r="D165" s="28" t="s">
        <v>754</v>
      </c>
      <c r="E165" s="5" t="s">
        <v>63</v>
      </c>
      <c r="F165" s="5" t="s">
        <v>63</v>
      </c>
      <c r="G165" s="5">
        <v>4.0</v>
      </c>
      <c r="H165" s="5">
        <v>13.0</v>
      </c>
      <c r="I165" s="5">
        <v>6.0</v>
      </c>
      <c r="J165" s="43"/>
      <c r="K165" s="30">
        <f t="shared" si="1"/>
        <v>7841.415263</v>
      </c>
    </row>
    <row r="166" ht="15.75" hidden="1" customHeight="1">
      <c r="A166" s="25" t="s">
        <v>210</v>
      </c>
      <c r="B166" s="42" t="s">
        <v>397</v>
      </c>
      <c r="C166" s="27" t="s">
        <v>36</v>
      </c>
      <c r="D166" s="28" t="s">
        <v>754</v>
      </c>
      <c r="E166" s="5" t="s">
        <v>63</v>
      </c>
      <c r="F166" s="5" t="s">
        <v>63</v>
      </c>
      <c r="G166" s="5">
        <v>1.0</v>
      </c>
      <c r="H166" s="5">
        <v>22.0</v>
      </c>
      <c r="I166" s="5">
        <v>12.0</v>
      </c>
      <c r="J166" s="43"/>
      <c r="K166" s="30">
        <f t="shared" si="1"/>
        <v>13270.08737</v>
      </c>
    </row>
    <row r="167" ht="15.75" hidden="1" customHeight="1">
      <c r="A167" s="25" t="s">
        <v>782</v>
      </c>
      <c r="B167" s="26" t="s">
        <v>399</v>
      </c>
      <c r="C167" s="27" t="s">
        <v>40</v>
      </c>
      <c r="D167" s="28" t="s">
        <v>755</v>
      </c>
      <c r="E167" s="28" t="s">
        <v>57</v>
      </c>
      <c r="F167" s="28" t="s">
        <v>57</v>
      </c>
      <c r="G167" s="28">
        <v>1.0</v>
      </c>
      <c r="H167" s="28">
        <v>5.0</v>
      </c>
      <c r="I167" s="28">
        <v>2.0</v>
      </c>
      <c r="J167" s="28"/>
      <c r="K167" s="30">
        <f t="shared" si="1"/>
        <v>83.7758041</v>
      </c>
    </row>
    <row r="168" ht="15.75" hidden="1" customHeight="1">
      <c r="A168" s="31" t="s">
        <v>134</v>
      </c>
      <c r="B168" s="26" t="s">
        <v>401</v>
      </c>
      <c r="C168" s="27" t="s">
        <v>40</v>
      </c>
      <c r="D168" s="28" t="s">
        <v>755</v>
      </c>
      <c r="E168" s="28" t="s">
        <v>759</v>
      </c>
      <c r="F168" s="28" t="s">
        <v>75</v>
      </c>
      <c r="G168" s="28">
        <v>1.0</v>
      </c>
      <c r="H168" s="28">
        <v>3.0</v>
      </c>
      <c r="I168" s="28">
        <v>0.5</v>
      </c>
      <c r="J168" s="28"/>
      <c r="K168" s="30">
        <f t="shared" si="1"/>
        <v>3.141592654</v>
      </c>
    </row>
    <row r="169" ht="15.75" hidden="1" customHeight="1">
      <c r="A169" s="31" t="s">
        <v>134</v>
      </c>
      <c r="B169" s="26" t="s">
        <v>401</v>
      </c>
      <c r="C169" s="27" t="s">
        <v>40</v>
      </c>
      <c r="D169" s="28" t="s">
        <v>755</v>
      </c>
      <c r="E169" s="28" t="s">
        <v>759</v>
      </c>
      <c r="F169" s="28" t="s">
        <v>75</v>
      </c>
      <c r="G169" s="28">
        <v>3.0</v>
      </c>
      <c r="H169" s="28">
        <v>2.0</v>
      </c>
      <c r="I169" s="28">
        <v>0.5</v>
      </c>
      <c r="J169" s="28"/>
      <c r="K169" s="30">
        <f t="shared" si="1"/>
        <v>6.283185307</v>
      </c>
    </row>
    <row r="170" ht="15.75" customHeight="1">
      <c r="A170" s="25" t="s">
        <v>119</v>
      </c>
      <c r="B170" s="26" t="s">
        <v>403</v>
      </c>
      <c r="C170" s="27" t="s">
        <v>33</v>
      </c>
      <c r="D170" s="28" t="s">
        <v>754</v>
      </c>
      <c r="E170" s="28" t="s">
        <v>57</v>
      </c>
      <c r="F170" s="28" t="s">
        <v>57</v>
      </c>
      <c r="G170" s="28">
        <v>1.0</v>
      </c>
      <c r="H170" s="28">
        <v>4.0</v>
      </c>
      <c r="I170" s="28">
        <v>2.0</v>
      </c>
      <c r="J170" s="28"/>
      <c r="K170" s="30">
        <f t="shared" si="1"/>
        <v>67.02064328</v>
      </c>
    </row>
    <row r="171" ht="15.75" customHeight="1">
      <c r="A171" s="25" t="s">
        <v>119</v>
      </c>
      <c r="B171" s="26" t="s">
        <v>403</v>
      </c>
      <c r="C171" s="27" t="s">
        <v>33</v>
      </c>
      <c r="D171" s="28" t="s">
        <v>754</v>
      </c>
      <c r="E171" s="28" t="s">
        <v>57</v>
      </c>
      <c r="F171" s="28" t="s">
        <v>57</v>
      </c>
      <c r="G171" s="28">
        <v>4.0</v>
      </c>
      <c r="H171" s="28">
        <v>1.0</v>
      </c>
      <c r="I171" s="28">
        <v>1.0</v>
      </c>
      <c r="J171" s="28"/>
      <c r="K171" s="30">
        <f t="shared" si="1"/>
        <v>16.75516082</v>
      </c>
    </row>
    <row r="172" ht="15.75" customHeight="1">
      <c r="A172" s="25" t="s">
        <v>119</v>
      </c>
      <c r="B172" s="26" t="s">
        <v>403</v>
      </c>
      <c r="C172" s="27" t="s">
        <v>33</v>
      </c>
      <c r="D172" s="28" t="s">
        <v>754</v>
      </c>
      <c r="E172" s="28" t="s">
        <v>783</v>
      </c>
      <c r="F172" s="28" t="s">
        <v>783</v>
      </c>
      <c r="G172" s="28">
        <v>1.0</v>
      </c>
      <c r="H172" s="28"/>
      <c r="I172" s="28"/>
      <c r="J172" s="28" t="s">
        <v>762</v>
      </c>
      <c r="K172" s="30">
        <f t="shared" si="1"/>
        <v>0</v>
      </c>
    </row>
    <row r="173" ht="15.75" customHeight="1">
      <c r="A173" s="31" t="s">
        <v>137</v>
      </c>
      <c r="B173" s="26" t="s">
        <v>406</v>
      </c>
      <c r="C173" s="27" t="s">
        <v>30</v>
      </c>
      <c r="D173" s="28" t="s">
        <v>754</v>
      </c>
      <c r="E173" s="28" t="s">
        <v>757</v>
      </c>
      <c r="F173" s="28" t="s">
        <v>757</v>
      </c>
      <c r="G173" s="28">
        <v>0.0</v>
      </c>
      <c r="H173" s="28"/>
      <c r="I173" s="28"/>
      <c r="J173" s="28"/>
      <c r="K173" s="30">
        <f t="shared" si="1"/>
        <v>0</v>
      </c>
    </row>
    <row r="174" ht="15.75" customHeight="1">
      <c r="A174" s="25" t="s">
        <v>145</v>
      </c>
      <c r="B174" s="26" t="s">
        <v>408</v>
      </c>
      <c r="C174" s="27" t="s">
        <v>30</v>
      </c>
      <c r="D174" s="28" t="s">
        <v>754</v>
      </c>
      <c r="E174" s="28" t="s">
        <v>757</v>
      </c>
      <c r="F174" s="28" t="s">
        <v>757</v>
      </c>
      <c r="G174" s="28">
        <v>0.0</v>
      </c>
      <c r="H174" s="28"/>
      <c r="I174" s="28"/>
      <c r="J174" s="28"/>
      <c r="K174" s="30">
        <f t="shared" si="1"/>
        <v>0</v>
      </c>
    </row>
    <row r="175" ht="15.75" customHeight="1">
      <c r="A175" s="31" t="s">
        <v>137</v>
      </c>
      <c r="B175" s="26" t="s">
        <v>411</v>
      </c>
      <c r="C175" s="27" t="s">
        <v>30</v>
      </c>
      <c r="D175" s="28" t="s">
        <v>754</v>
      </c>
      <c r="E175" s="28" t="s">
        <v>759</v>
      </c>
      <c r="F175" s="28" t="s">
        <v>75</v>
      </c>
      <c r="G175" s="28">
        <v>1.0</v>
      </c>
      <c r="H175" s="28">
        <v>5.0</v>
      </c>
      <c r="I175" s="28">
        <v>1.0</v>
      </c>
      <c r="J175" s="28"/>
      <c r="K175" s="30">
        <f t="shared" si="1"/>
        <v>20.94395102</v>
      </c>
    </row>
    <row r="176" ht="15.75" customHeight="1">
      <c r="A176" s="31" t="s">
        <v>137</v>
      </c>
      <c r="B176" s="26" t="s">
        <v>413</v>
      </c>
      <c r="C176" s="27" t="s">
        <v>33</v>
      </c>
      <c r="D176" s="28" t="s">
        <v>754</v>
      </c>
      <c r="E176" s="28" t="s">
        <v>757</v>
      </c>
      <c r="F176" s="28" t="s">
        <v>757</v>
      </c>
      <c r="G176" s="28">
        <v>0.0</v>
      </c>
      <c r="H176" s="28"/>
      <c r="I176" s="28"/>
      <c r="J176" s="28" t="s">
        <v>784</v>
      </c>
      <c r="K176" s="30">
        <f t="shared" si="1"/>
        <v>0</v>
      </c>
    </row>
    <row r="177" ht="15.75" customHeight="1">
      <c r="A177" s="25" t="s">
        <v>119</v>
      </c>
      <c r="B177" s="26" t="s">
        <v>415</v>
      </c>
      <c r="C177" s="27" t="s">
        <v>33</v>
      </c>
      <c r="D177" s="28" t="s">
        <v>754</v>
      </c>
      <c r="E177" s="28" t="s">
        <v>757</v>
      </c>
      <c r="F177" s="28" t="s">
        <v>757</v>
      </c>
      <c r="G177" s="28">
        <v>0.0</v>
      </c>
      <c r="H177" s="28"/>
      <c r="I177" s="28"/>
      <c r="J177" s="28"/>
      <c r="K177" s="30">
        <f t="shared" si="1"/>
        <v>0</v>
      </c>
    </row>
    <row r="178" ht="15.75" customHeight="1">
      <c r="A178" s="25" t="s">
        <v>119</v>
      </c>
      <c r="B178" s="26" t="s">
        <v>418</v>
      </c>
      <c r="C178" s="27" t="s">
        <v>33</v>
      </c>
      <c r="D178" s="28" t="s">
        <v>754</v>
      </c>
      <c r="E178" s="28" t="s">
        <v>756</v>
      </c>
      <c r="F178" s="28" t="s">
        <v>756</v>
      </c>
      <c r="G178" s="28">
        <v>1.0</v>
      </c>
      <c r="H178" s="28"/>
      <c r="I178" s="28"/>
      <c r="J178" s="28" t="s">
        <v>785</v>
      </c>
      <c r="K178" s="30">
        <f t="shared" si="1"/>
        <v>0</v>
      </c>
    </row>
    <row r="179" ht="15.75" customHeight="1">
      <c r="A179" s="31" t="s">
        <v>137</v>
      </c>
      <c r="B179" s="26" t="s">
        <v>420</v>
      </c>
      <c r="C179" s="27" t="s">
        <v>33</v>
      </c>
      <c r="D179" s="28" t="s">
        <v>754</v>
      </c>
      <c r="E179" s="28" t="s">
        <v>759</v>
      </c>
      <c r="F179" s="28" t="s">
        <v>75</v>
      </c>
      <c r="G179" s="28">
        <v>1.0</v>
      </c>
      <c r="H179" s="28">
        <v>3.0</v>
      </c>
      <c r="I179" s="28">
        <v>0.5</v>
      </c>
      <c r="J179" s="28"/>
      <c r="K179" s="30">
        <f t="shared" si="1"/>
        <v>3.141592654</v>
      </c>
    </row>
    <row r="180" ht="15.75" hidden="1" customHeight="1">
      <c r="A180" s="31" t="s">
        <v>786</v>
      </c>
      <c r="B180" s="26" t="s">
        <v>424</v>
      </c>
      <c r="C180" s="27" t="s">
        <v>37</v>
      </c>
      <c r="D180" s="28" t="s">
        <v>755</v>
      </c>
      <c r="E180" s="28" t="s">
        <v>63</v>
      </c>
      <c r="F180" s="28" t="s">
        <v>63</v>
      </c>
      <c r="G180" s="28">
        <v>2.0</v>
      </c>
      <c r="H180" s="28">
        <v>3.0</v>
      </c>
      <c r="I180" s="28">
        <v>2.0</v>
      </c>
      <c r="J180" s="28"/>
      <c r="K180" s="30">
        <f t="shared" si="1"/>
        <v>100.5309649</v>
      </c>
    </row>
    <row r="181" ht="15.75" hidden="1" customHeight="1">
      <c r="A181" s="31" t="s">
        <v>787</v>
      </c>
      <c r="B181" s="26" t="s">
        <v>424</v>
      </c>
      <c r="C181" s="27" t="s">
        <v>37</v>
      </c>
      <c r="D181" s="28" t="s">
        <v>755</v>
      </c>
      <c r="E181" s="28" t="s">
        <v>57</v>
      </c>
      <c r="F181" s="28" t="s">
        <v>57</v>
      </c>
      <c r="G181" s="28">
        <v>1.0</v>
      </c>
      <c r="H181" s="28"/>
      <c r="I181" s="28"/>
      <c r="J181" s="28" t="s">
        <v>762</v>
      </c>
      <c r="K181" s="30">
        <f t="shared" si="1"/>
        <v>0</v>
      </c>
    </row>
    <row r="182" ht="15.75" hidden="1" customHeight="1">
      <c r="A182" s="31" t="s">
        <v>788</v>
      </c>
      <c r="B182" s="26" t="s">
        <v>424</v>
      </c>
      <c r="C182" s="27" t="s">
        <v>37</v>
      </c>
      <c r="D182" s="28" t="s">
        <v>755</v>
      </c>
      <c r="E182" s="28" t="s">
        <v>91</v>
      </c>
      <c r="F182" s="28" t="s">
        <v>91</v>
      </c>
      <c r="G182" s="28">
        <v>1.0</v>
      </c>
      <c r="H182" s="28"/>
      <c r="I182" s="28"/>
      <c r="J182" s="28" t="s">
        <v>762</v>
      </c>
      <c r="K182" s="30">
        <f t="shared" si="1"/>
        <v>0</v>
      </c>
    </row>
    <row r="183" ht="15.75" hidden="1" customHeight="1">
      <c r="A183" s="31" t="s">
        <v>789</v>
      </c>
      <c r="B183" s="26" t="s">
        <v>427</v>
      </c>
      <c r="C183" s="27" t="s">
        <v>37</v>
      </c>
      <c r="D183" s="28" t="s">
        <v>755</v>
      </c>
      <c r="E183" s="28" t="s">
        <v>757</v>
      </c>
      <c r="F183" s="28" t="s">
        <v>757</v>
      </c>
      <c r="G183" s="28">
        <v>0.0</v>
      </c>
      <c r="H183" s="28"/>
      <c r="I183" s="28"/>
      <c r="J183" s="28"/>
      <c r="K183" s="30">
        <f t="shared" si="1"/>
        <v>0</v>
      </c>
    </row>
    <row r="184" ht="15.75" hidden="1" customHeight="1">
      <c r="A184" s="25" t="s">
        <v>790</v>
      </c>
      <c r="B184" s="42" t="s">
        <v>428</v>
      </c>
      <c r="C184" s="27" t="s">
        <v>37</v>
      </c>
      <c r="D184" s="28" t="s">
        <v>755</v>
      </c>
      <c r="E184" s="5" t="s">
        <v>791</v>
      </c>
      <c r="F184" s="5" t="s">
        <v>101</v>
      </c>
      <c r="G184" s="5">
        <v>1.0</v>
      </c>
      <c r="H184" s="5">
        <v>6.0</v>
      </c>
      <c r="I184" s="5">
        <v>2.0</v>
      </c>
      <c r="J184" s="43"/>
      <c r="K184" s="30">
        <f t="shared" si="1"/>
        <v>100.5309649</v>
      </c>
    </row>
    <row r="185" ht="15.75" hidden="1" customHeight="1">
      <c r="A185" s="25" t="s">
        <v>792</v>
      </c>
      <c r="B185" s="42" t="s">
        <v>428</v>
      </c>
      <c r="C185" s="27" t="s">
        <v>37</v>
      </c>
      <c r="D185" s="28" t="s">
        <v>755</v>
      </c>
      <c r="E185" s="5" t="s">
        <v>793</v>
      </c>
      <c r="F185" s="5" t="s">
        <v>793</v>
      </c>
      <c r="G185" s="5">
        <v>1.0</v>
      </c>
      <c r="H185" s="5">
        <v>5.0</v>
      </c>
      <c r="I185" s="5">
        <v>2.0</v>
      </c>
      <c r="J185" s="43"/>
      <c r="K185" s="30">
        <f t="shared" si="1"/>
        <v>83.7758041</v>
      </c>
    </row>
    <row r="186" ht="15.75" hidden="1" customHeight="1">
      <c r="A186" s="31" t="s">
        <v>343</v>
      </c>
      <c r="B186" s="26" t="s">
        <v>429</v>
      </c>
      <c r="C186" s="27" t="s">
        <v>28</v>
      </c>
      <c r="D186" s="28" t="s">
        <v>755</v>
      </c>
      <c r="E186" s="28" t="s">
        <v>63</v>
      </c>
      <c r="F186" s="28" t="s">
        <v>63</v>
      </c>
      <c r="G186" s="28">
        <v>1.0</v>
      </c>
      <c r="H186" s="28">
        <v>3.0</v>
      </c>
      <c r="I186" s="28">
        <v>2.0</v>
      </c>
      <c r="J186" s="28"/>
      <c r="K186" s="30">
        <f t="shared" si="1"/>
        <v>50.26548246</v>
      </c>
    </row>
    <row r="187" ht="15.75" hidden="1" customHeight="1">
      <c r="A187" s="31" t="s">
        <v>343</v>
      </c>
      <c r="B187" s="26" t="s">
        <v>429</v>
      </c>
      <c r="C187" s="27" t="s">
        <v>28</v>
      </c>
      <c r="D187" s="28" t="s">
        <v>755</v>
      </c>
      <c r="E187" s="28" t="s">
        <v>57</v>
      </c>
      <c r="F187" s="28" t="s">
        <v>57</v>
      </c>
      <c r="G187" s="28">
        <v>1.0</v>
      </c>
      <c r="H187" s="28">
        <v>6.0</v>
      </c>
      <c r="I187" s="28">
        <v>2.0</v>
      </c>
      <c r="J187" s="28"/>
      <c r="K187" s="30">
        <f t="shared" si="1"/>
        <v>100.5309649</v>
      </c>
    </row>
    <row r="188" ht="15.75" hidden="1" customHeight="1">
      <c r="A188" s="31" t="s">
        <v>434</v>
      </c>
      <c r="B188" s="26" t="s">
        <v>433</v>
      </c>
      <c r="C188" s="27" t="s">
        <v>24</v>
      </c>
      <c r="D188" s="28" t="s">
        <v>755</v>
      </c>
      <c r="E188" s="28" t="s">
        <v>771</v>
      </c>
      <c r="F188" s="28" t="s">
        <v>771</v>
      </c>
      <c r="G188" s="28">
        <v>1.0</v>
      </c>
      <c r="H188" s="28"/>
      <c r="I188" s="28"/>
      <c r="J188" s="37" t="s">
        <v>762</v>
      </c>
      <c r="K188" s="30">
        <f t="shared" si="1"/>
        <v>0</v>
      </c>
    </row>
    <row r="189" ht="15.75" hidden="1" customHeight="1">
      <c r="A189" s="31" t="s">
        <v>434</v>
      </c>
      <c r="B189" s="26" t="s">
        <v>433</v>
      </c>
      <c r="C189" s="27" t="s">
        <v>24</v>
      </c>
      <c r="D189" s="28" t="s">
        <v>755</v>
      </c>
      <c r="E189" s="44" t="s">
        <v>794</v>
      </c>
      <c r="F189" s="28" t="s">
        <v>794</v>
      </c>
      <c r="G189" s="28">
        <v>1.0</v>
      </c>
      <c r="H189" s="28"/>
      <c r="I189" s="28"/>
      <c r="J189" s="37" t="s">
        <v>762</v>
      </c>
      <c r="K189" s="30">
        <f t="shared" si="1"/>
        <v>0</v>
      </c>
    </row>
    <row r="190" ht="15.75" hidden="1" customHeight="1">
      <c r="A190" s="31" t="s">
        <v>434</v>
      </c>
      <c r="B190" s="26" t="s">
        <v>435</v>
      </c>
      <c r="C190" s="27" t="s">
        <v>24</v>
      </c>
      <c r="D190" s="28" t="s">
        <v>755</v>
      </c>
      <c r="E190" s="28" t="s">
        <v>759</v>
      </c>
      <c r="F190" s="28" t="s">
        <v>75</v>
      </c>
      <c r="G190" s="28">
        <v>1.0</v>
      </c>
      <c r="H190" s="28">
        <v>3.0</v>
      </c>
      <c r="I190" s="28">
        <v>0.5</v>
      </c>
      <c r="J190" s="28"/>
      <c r="K190" s="30">
        <f t="shared" si="1"/>
        <v>3.141592654</v>
      </c>
    </row>
    <row r="191" ht="15.75" hidden="1" customHeight="1">
      <c r="A191" s="31" t="s">
        <v>434</v>
      </c>
      <c r="B191" s="26" t="s">
        <v>435</v>
      </c>
      <c r="C191" s="27" t="s">
        <v>24</v>
      </c>
      <c r="D191" s="28" t="s">
        <v>755</v>
      </c>
      <c r="E191" s="28" t="s">
        <v>77</v>
      </c>
      <c r="F191" s="28" t="s">
        <v>79</v>
      </c>
      <c r="G191" s="28">
        <v>1.0</v>
      </c>
      <c r="H191" s="28">
        <v>3.0</v>
      </c>
      <c r="I191" s="28">
        <v>1.0</v>
      </c>
      <c r="J191" s="28"/>
      <c r="K191" s="30">
        <f t="shared" si="1"/>
        <v>12.56637061</v>
      </c>
    </row>
    <row r="192" ht="15.75" hidden="1" customHeight="1">
      <c r="A192" s="31" t="s">
        <v>129</v>
      </c>
      <c r="B192" s="26" t="s">
        <v>436</v>
      </c>
      <c r="C192" s="27" t="s">
        <v>8</v>
      </c>
      <c r="D192" s="28" t="s">
        <v>755</v>
      </c>
      <c r="E192" s="28" t="s">
        <v>756</v>
      </c>
      <c r="F192" s="28" t="s">
        <v>756</v>
      </c>
      <c r="G192" s="28">
        <v>1.0</v>
      </c>
      <c r="H192" s="28"/>
      <c r="I192" s="28"/>
      <c r="J192" s="37" t="s">
        <v>762</v>
      </c>
      <c r="K192" s="30">
        <f t="shared" si="1"/>
        <v>0</v>
      </c>
    </row>
    <row r="193" ht="15.75" hidden="1" customHeight="1">
      <c r="A193" s="31" t="s">
        <v>441</v>
      </c>
      <c r="B193" s="26" t="s">
        <v>439</v>
      </c>
      <c r="C193" s="27" t="s">
        <v>40</v>
      </c>
      <c r="D193" s="28" t="s">
        <v>755</v>
      </c>
      <c r="E193" s="28" t="s">
        <v>63</v>
      </c>
      <c r="F193" s="28" t="s">
        <v>63</v>
      </c>
      <c r="G193" s="28">
        <v>1.0</v>
      </c>
      <c r="H193" s="28">
        <v>8.0</v>
      </c>
      <c r="I193" s="28">
        <v>4.0</v>
      </c>
      <c r="J193" s="28"/>
      <c r="K193" s="30">
        <f t="shared" si="1"/>
        <v>536.1651462</v>
      </c>
    </row>
    <row r="194" ht="15.75" hidden="1" customHeight="1">
      <c r="A194" s="31" t="s">
        <v>441</v>
      </c>
      <c r="B194" s="26" t="s">
        <v>439</v>
      </c>
      <c r="C194" s="27" t="s">
        <v>40</v>
      </c>
      <c r="D194" s="28" t="s">
        <v>755</v>
      </c>
      <c r="E194" s="28" t="s">
        <v>63</v>
      </c>
      <c r="F194" s="28" t="s">
        <v>63</v>
      </c>
      <c r="G194" s="28">
        <v>1.0</v>
      </c>
      <c r="H194" s="28">
        <v>5.0</v>
      </c>
      <c r="I194" s="28">
        <v>2.0</v>
      </c>
      <c r="J194" s="28"/>
      <c r="K194" s="30">
        <f t="shared" si="1"/>
        <v>83.7758041</v>
      </c>
    </row>
    <row r="195" ht="15.75" hidden="1" customHeight="1">
      <c r="A195" s="31" t="s">
        <v>441</v>
      </c>
      <c r="B195" s="26" t="s">
        <v>439</v>
      </c>
      <c r="C195" s="27" t="s">
        <v>40</v>
      </c>
      <c r="D195" s="28" t="s">
        <v>755</v>
      </c>
      <c r="E195" s="28" t="s">
        <v>63</v>
      </c>
      <c r="F195" s="28" t="s">
        <v>63</v>
      </c>
      <c r="G195" s="28">
        <v>1.0</v>
      </c>
      <c r="H195" s="28">
        <v>4.0</v>
      </c>
      <c r="I195" s="28">
        <v>2.0</v>
      </c>
      <c r="J195" s="28"/>
      <c r="K195" s="30">
        <f t="shared" si="1"/>
        <v>67.02064328</v>
      </c>
    </row>
    <row r="196" ht="15.75" hidden="1" customHeight="1">
      <c r="A196" s="31" t="s">
        <v>441</v>
      </c>
      <c r="B196" s="26" t="s">
        <v>439</v>
      </c>
      <c r="C196" s="27" t="s">
        <v>40</v>
      </c>
      <c r="D196" s="28" t="s">
        <v>755</v>
      </c>
      <c r="E196" s="28" t="s">
        <v>63</v>
      </c>
      <c r="F196" s="28" t="s">
        <v>63</v>
      </c>
      <c r="G196" s="28">
        <v>1.0</v>
      </c>
      <c r="H196" s="28">
        <v>6.0</v>
      </c>
      <c r="I196" s="28">
        <v>2.0</v>
      </c>
      <c r="J196" s="28"/>
      <c r="K196" s="30">
        <f t="shared" si="1"/>
        <v>100.5309649</v>
      </c>
    </row>
    <row r="197" ht="15.75" hidden="1" customHeight="1">
      <c r="A197" s="31" t="s">
        <v>441</v>
      </c>
      <c r="B197" s="26" t="s">
        <v>439</v>
      </c>
      <c r="C197" s="27" t="s">
        <v>40</v>
      </c>
      <c r="D197" s="28" t="s">
        <v>755</v>
      </c>
      <c r="E197" s="28" t="s">
        <v>759</v>
      </c>
      <c r="F197" s="28" t="s">
        <v>75</v>
      </c>
      <c r="G197" s="28">
        <v>6.0</v>
      </c>
      <c r="H197" s="28">
        <v>7.0</v>
      </c>
      <c r="I197" s="28">
        <v>2.0</v>
      </c>
      <c r="J197" s="28"/>
      <c r="K197" s="30">
        <f t="shared" si="1"/>
        <v>703.7167544</v>
      </c>
    </row>
    <row r="198" ht="15.75" hidden="1" customHeight="1">
      <c r="A198" s="31" t="s">
        <v>441</v>
      </c>
      <c r="B198" s="26" t="s">
        <v>439</v>
      </c>
      <c r="C198" s="27" t="s">
        <v>40</v>
      </c>
      <c r="D198" s="28" t="s">
        <v>755</v>
      </c>
      <c r="E198" s="28" t="s">
        <v>759</v>
      </c>
      <c r="F198" s="28" t="s">
        <v>75</v>
      </c>
      <c r="G198" s="28">
        <v>1.0</v>
      </c>
      <c r="H198" s="28">
        <v>4.0</v>
      </c>
      <c r="I198" s="28">
        <v>1.0</v>
      </c>
      <c r="J198" s="28"/>
      <c r="K198" s="30">
        <f t="shared" si="1"/>
        <v>16.75516082</v>
      </c>
    </row>
    <row r="199" ht="15.75" hidden="1" customHeight="1">
      <c r="A199" s="31" t="s">
        <v>441</v>
      </c>
      <c r="B199" s="26" t="s">
        <v>439</v>
      </c>
      <c r="C199" s="27" t="s">
        <v>40</v>
      </c>
      <c r="D199" s="28" t="s">
        <v>755</v>
      </c>
      <c r="E199" s="28" t="s">
        <v>759</v>
      </c>
      <c r="F199" s="28" t="s">
        <v>75</v>
      </c>
      <c r="G199" s="28">
        <v>30.0</v>
      </c>
      <c r="H199" s="28">
        <v>7.0</v>
      </c>
      <c r="I199" s="28">
        <v>1.0</v>
      </c>
      <c r="J199" s="28"/>
      <c r="K199" s="30">
        <f t="shared" si="1"/>
        <v>879.645943</v>
      </c>
    </row>
    <row r="200" ht="15.75" hidden="1" customHeight="1">
      <c r="A200" s="31" t="s">
        <v>441</v>
      </c>
      <c r="B200" s="26" t="s">
        <v>439</v>
      </c>
      <c r="C200" s="27" t="s">
        <v>40</v>
      </c>
      <c r="D200" s="28" t="s">
        <v>755</v>
      </c>
      <c r="E200" s="28" t="s">
        <v>759</v>
      </c>
      <c r="F200" s="28" t="s">
        <v>75</v>
      </c>
      <c r="G200" s="28">
        <v>6.0</v>
      </c>
      <c r="H200" s="28">
        <v>8.0</v>
      </c>
      <c r="I200" s="28">
        <v>1.0</v>
      </c>
      <c r="J200" s="28"/>
      <c r="K200" s="30">
        <f t="shared" si="1"/>
        <v>201.0619298</v>
      </c>
    </row>
    <row r="201" ht="15.75" hidden="1" customHeight="1">
      <c r="A201" s="31" t="s">
        <v>150</v>
      </c>
      <c r="B201" s="26" t="s">
        <v>443</v>
      </c>
      <c r="C201" s="27" t="s">
        <v>37</v>
      </c>
      <c r="D201" s="28" t="s">
        <v>755</v>
      </c>
      <c r="E201" s="28" t="s">
        <v>57</v>
      </c>
      <c r="F201" s="28" t="s">
        <v>57</v>
      </c>
      <c r="G201" s="28">
        <v>1.0</v>
      </c>
      <c r="H201" s="28">
        <v>7.0</v>
      </c>
      <c r="I201" s="28">
        <v>3.0</v>
      </c>
      <c r="J201" s="28"/>
      <c r="K201" s="30">
        <f t="shared" si="1"/>
        <v>263.8937829</v>
      </c>
    </row>
    <row r="202" ht="15.75" hidden="1" customHeight="1">
      <c r="A202" s="31" t="s">
        <v>150</v>
      </c>
      <c r="B202" s="26" t="s">
        <v>443</v>
      </c>
      <c r="C202" s="27" t="s">
        <v>37</v>
      </c>
      <c r="D202" s="28" t="s">
        <v>755</v>
      </c>
      <c r="E202" s="28" t="s">
        <v>57</v>
      </c>
      <c r="F202" s="28" t="s">
        <v>57</v>
      </c>
      <c r="G202" s="28">
        <v>1.0</v>
      </c>
      <c r="H202" s="28">
        <v>14.0</v>
      </c>
      <c r="I202" s="28">
        <v>6.0</v>
      </c>
      <c r="J202" s="28"/>
      <c r="K202" s="30">
        <f t="shared" si="1"/>
        <v>2111.150263</v>
      </c>
    </row>
    <row r="203" ht="15.75" hidden="1" customHeight="1">
      <c r="A203" s="31" t="s">
        <v>448</v>
      </c>
      <c r="B203" s="26" t="s">
        <v>446</v>
      </c>
      <c r="C203" s="27" t="s">
        <v>37</v>
      </c>
      <c r="D203" s="28" t="s">
        <v>755</v>
      </c>
      <c r="E203" s="28" t="s">
        <v>81</v>
      </c>
      <c r="F203" s="28" t="s">
        <v>81</v>
      </c>
      <c r="G203" s="28">
        <v>1.0</v>
      </c>
      <c r="H203" s="28">
        <v>5.0</v>
      </c>
      <c r="I203" s="28">
        <v>2.0</v>
      </c>
      <c r="J203" s="28"/>
      <c r="K203" s="30">
        <f t="shared" si="1"/>
        <v>83.7758041</v>
      </c>
    </row>
    <row r="204" ht="15.75" hidden="1" customHeight="1">
      <c r="A204" s="31" t="s">
        <v>448</v>
      </c>
      <c r="B204" s="26" t="s">
        <v>446</v>
      </c>
      <c r="C204" s="27" t="s">
        <v>37</v>
      </c>
      <c r="D204" s="28" t="s">
        <v>755</v>
      </c>
      <c r="E204" s="28" t="s">
        <v>57</v>
      </c>
      <c r="F204" s="28" t="s">
        <v>57</v>
      </c>
      <c r="G204" s="28">
        <v>1.0</v>
      </c>
      <c r="H204" s="28">
        <v>1.0</v>
      </c>
      <c r="I204" s="28">
        <v>0.5</v>
      </c>
      <c r="J204" s="28"/>
      <c r="K204" s="30">
        <f t="shared" si="1"/>
        <v>1.047197551</v>
      </c>
    </row>
    <row r="205" ht="15.75" hidden="1" customHeight="1">
      <c r="A205" s="31" t="s">
        <v>448</v>
      </c>
      <c r="B205" s="26" t="s">
        <v>446</v>
      </c>
      <c r="C205" s="27" t="s">
        <v>37</v>
      </c>
      <c r="D205" s="28" t="s">
        <v>755</v>
      </c>
      <c r="E205" s="28" t="s">
        <v>81</v>
      </c>
      <c r="F205" s="28" t="s">
        <v>81</v>
      </c>
      <c r="G205" s="28">
        <v>1.0</v>
      </c>
      <c r="H205" s="28">
        <v>2.0</v>
      </c>
      <c r="I205" s="28">
        <v>1.0</v>
      </c>
      <c r="J205" s="28"/>
      <c r="K205" s="30">
        <f t="shared" si="1"/>
        <v>8.37758041</v>
      </c>
    </row>
    <row r="206" ht="15.75" hidden="1" customHeight="1">
      <c r="A206" s="31" t="s">
        <v>129</v>
      </c>
      <c r="B206" s="26" t="s">
        <v>451</v>
      </c>
      <c r="C206" s="27" t="s">
        <v>12</v>
      </c>
      <c r="D206" s="28" t="s">
        <v>755</v>
      </c>
      <c r="E206" s="28" t="s">
        <v>57</v>
      </c>
      <c r="F206" s="28" t="s">
        <v>57</v>
      </c>
      <c r="G206" s="28">
        <v>1.0</v>
      </c>
      <c r="H206" s="28"/>
      <c r="I206" s="28"/>
      <c r="J206" s="37" t="s">
        <v>762</v>
      </c>
      <c r="K206" s="30">
        <f t="shared" si="1"/>
        <v>0</v>
      </c>
    </row>
    <row r="207" ht="15.75" customHeight="1">
      <c r="A207" s="25" t="s">
        <v>795</v>
      </c>
      <c r="B207" s="26" t="s">
        <v>455</v>
      </c>
      <c r="C207" s="27" t="s">
        <v>30</v>
      </c>
      <c r="D207" s="28" t="s">
        <v>754</v>
      </c>
      <c r="E207" s="28" t="s">
        <v>57</v>
      </c>
      <c r="F207" s="28" t="s">
        <v>57</v>
      </c>
      <c r="G207" s="28">
        <v>1.0</v>
      </c>
      <c r="H207" s="28"/>
      <c r="I207" s="28"/>
      <c r="J207" s="37" t="s">
        <v>762</v>
      </c>
      <c r="K207" s="30">
        <f t="shared" si="1"/>
        <v>0</v>
      </c>
    </row>
    <row r="208" ht="15.75" customHeight="1">
      <c r="A208" s="31" t="s">
        <v>349</v>
      </c>
      <c r="B208" s="26" t="s">
        <v>457</v>
      </c>
      <c r="C208" s="27" t="s">
        <v>31</v>
      </c>
      <c r="D208" s="28" t="s">
        <v>755</v>
      </c>
      <c r="E208" s="45" t="s">
        <v>61</v>
      </c>
      <c r="F208" s="45" t="s">
        <v>61</v>
      </c>
      <c r="G208" s="28">
        <v>1.0</v>
      </c>
      <c r="H208" s="28"/>
      <c r="I208" s="28"/>
      <c r="J208" s="28" t="s">
        <v>796</v>
      </c>
      <c r="K208" s="30">
        <f t="shared" si="1"/>
        <v>0</v>
      </c>
    </row>
    <row r="209" ht="15.75" customHeight="1">
      <c r="A209" s="31" t="s">
        <v>349</v>
      </c>
      <c r="B209" s="26" t="s">
        <v>457</v>
      </c>
      <c r="C209" s="27" t="s">
        <v>31</v>
      </c>
      <c r="D209" s="28" t="s">
        <v>755</v>
      </c>
      <c r="E209" s="28" t="s">
        <v>763</v>
      </c>
      <c r="F209" s="45" t="s">
        <v>763</v>
      </c>
      <c r="G209" s="28">
        <v>1.0</v>
      </c>
      <c r="H209" s="28"/>
      <c r="I209" s="28"/>
      <c r="J209" s="37" t="s">
        <v>762</v>
      </c>
      <c r="K209" s="30">
        <f t="shared" si="1"/>
        <v>0</v>
      </c>
    </row>
    <row r="210" ht="15.75" customHeight="1">
      <c r="A210" s="31" t="s">
        <v>349</v>
      </c>
      <c r="B210" s="26" t="s">
        <v>457</v>
      </c>
      <c r="C210" s="27" t="s">
        <v>31</v>
      </c>
      <c r="D210" s="28" t="s">
        <v>755</v>
      </c>
      <c r="E210" s="28" t="s">
        <v>57</v>
      </c>
      <c r="F210" s="28" t="s">
        <v>57</v>
      </c>
      <c r="G210" s="28">
        <v>1.0</v>
      </c>
      <c r="H210" s="28"/>
      <c r="I210" s="28"/>
      <c r="J210" s="37" t="s">
        <v>762</v>
      </c>
      <c r="K210" s="30">
        <f t="shared" si="1"/>
        <v>0</v>
      </c>
    </row>
    <row r="211" ht="15.75" customHeight="1">
      <c r="A211" s="31" t="s">
        <v>349</v>
      </c>
      <c r="B211" s="26" t="s">
        <v>457</v>
      </c>
      <c r="C211" s="27" t="s">
        <v>31</v>
      </c>
      <c r="D211" s="28" t="s">
        <v>755</v>
      </c>
      <c r="E211" s="28" t="s">
        <v>63</v>
      </c>
      <c r="F211" s="28" t="s">
        <v>63</v>
      </c>
      <c r="G211" s="28">
        <v>1.0</v>
      </c>
      <c r="H211" s="28">
        <v>6.0</v>
      </c>
      <c r="I211" s="28">
        <v>4.0</v>
      </c>
      <c r="J211" s="28"/>
      <c r="K211" s="30">
        <f t="shared" si="1"/>
        <v>402.1238597</v>
      </c>
    </row>
    <row r="212" ht="15.75" customHeight="1">
      <c r="A212" s="25" t="s">
        <v>797</v>
      </c>
      <c r="B212" s="26" t="s">
        <v>460</v>
      </c>
      <c r="C212" s="27" t="s">
        <v>34</v>
      </c>
      <c r="D212" s="28" t="s">
        <v>755</v>
      </c>
      <c r="E212" s="28" t="s">
        <v>57</v>
      </c>
      <c r="F212" s="28" t="s">
        <v>57</v>
      </c>
      <c r="G212" s="28">
        <v>1.0</v>
      </c>
      <c r="H212" s="28">
        <v>1.0</v>
      </c>
      <c r="I212" s="28">
        <v>0.5</v>
      </c>
      <c r="J212" s="28"/>
      <c r="K212" s="30">
        <f t="shared" si="1"/>
        <v>1.047197551</v>
      </c>
    </row>
    <row r="213" ht="15.75" customHeight="1">
      <c r="A213" s="25" t="s">
        <v>798</v>
      </c>
      <c r="B213" s="26" t="s">
        <v>460</v>
      </c>
      <c r="C213" s="27" t="s">
        <v>34</v>
      </c>
      <c r="D213" s="28" t="s">
        <v>755</v>
      </c>
      <c r="E213" s="28" t="s">
        <v>57</v>
      </c>
      <c r="F213" s="28" t="s">
        <v>57</v>
      </c>
      <c r="G213" s="28">
        <v>1.0</v>
      </c>
      <c r="H213" s="28">
        <v>3.0</v>
      </c>
      <c r="I213" s="28">
        <v>2.0</v>
      </c>
      <c r="J213" s="28"/>
      <c r="K213" s="30">
        <f t="shared" si="1"/>
        <v>50.26548246</v>
      </c>
    </row>
    <row r="214" ht="15.75" hidden="1" customHeight="1">
      <c r="A214" s="25" t="s">
        <v>799</v>
      </c>
      <c r="B214" s="26" t="s">
        <v>464</v>
      </c>
      <c r="C214" s="27" t="s">
        <v>16</v>
      </c>
      <c r="D214" s="28" t="s">
        <v>755</v>
      </c>
      <c r="E214" s="28" t="s">
        <v>757</v>
      </c>
      <c r="F214" s="28" t="s">
        <v>757</v>
      </c>
      <c r="G214" s="28">
        <v>0.0</v>
      </c>
      <c r="H214" s="28"/>
      <c r="I214" s="28"/>
      <c r="J214" s="28"/>
      <c r="K214" s="30">
        <f t="shared" si="1"/>
        <v>0</v>
      </c>
    </row>
    <row r="215" ht="15.75" hidden="1" customHeight="1">
      <c r="A215" s="25" t="s">
        <v>800</v>
      </c>
      <c r="B215" s="26" t="s">
        <v>466</v>
      </c>
      <c r="C215" s="27" t="s">
        <v>16</v>
      </c>
      <c r="D215" s="28" t="s">
        <v>755</v>
      </c>
      <c r="E215" s="28" t="s">
        <v>57</v>
      </c>
      <c r="F215" s="28" t="s">
        <v>57</v>
      </c>
      <c r="G215" s="28">
        <v>1.0</v>
      </c>
      <c r="H215" s="28"/>
      <c r="I215" s="28"/>
      <c r="J215" s="28" t="s">
        <v>762</v>
      </c>
      <c r="K215" s="30">
        <f t="shared" si="1"/>
        <v>0</v>
      </c>
    </row>
    <row r="216" ht="15.75" hidden="1" customHeight="1">
      <c r="A216" s="31" t="s">
        <v>129</v>
      </c>
      <c r="B216" s="26" t="s">
        <v>470</v>
      </c>
      <c r="C216" s="27" t="s">
        <v>16</v>
      </c>
      <c r="D216" s="28" t="s">
        <v>755</v>
      </c>
      <c r="E216" s="28" t="s">
        <v>57</v>
      </c>
      <c r="F216" s="28" t="s">
        <v>57</v>
      </c>
      <c r="G216" s="28">
        <v>1.0</v>
      </c>
      <c r="H216" s="28">
        <v>4.0</v>
      </c>
      <c r="I216" s="28">
        <v>2.0</v>
      </c>
      <c r="J216" s="28"/>
      <c r="K216" s="30">
        <f t="shared" si="1"/>
        <v>67.02064328</v>
      </c>
    </row>
    <row r="217" ht="15.75" hidden="1" customHeight="1">
      <c r="A217" s="25" t="s">
        <v>801</v>
      </c>
      <c r="B217" s="26" t="s">
        <v>471</v>
      </c>
      <c r="C217" s="27" t="s">
        <v>24</v>
      </c>
      <c r="D217" s="28" t="s">
        <v>755</v>
      </c>
      <c r="E217" s="28" t="s">
        <v>771</v>
      </c>
      <c r="F217" s="28" t="s">
        <v>771</v>
      </c>
      <c r="G217" s="28">
        <v>1.0</v>
      </c>
      <c r="H217" s="28"/>
      <c r="I217" s="28"/>
      <c r="J217" s="37" t="s">
        <v>762</v>
      </c>
      <c r="K217" s="30">
        <f t="shared" si="1"/>
        <v>0</v>
      </c>
    </row>
    <row r="218" ht="15.75" hidden="1" customHeight="1">
      <c r="A218" s="25" t="s">
        <v>802</v>
      </c>
      <c r="B218" s="26" t="s">
        <v>471</v>
      </c>
      <c r="C218" s="27" t="s">
        <v>24</v>
      </c>
      <c r="D218" s="28" t="s">
        <v>755</v>
      </c>
      <c r="E218" s="28" t="s">
        <v>57</v>
      </c>
      <c r="F218" s="28" t="s">
        <v>57</v>
      </c>
      <c r="G218" s="28">
        <v>1.0</v>
      </c>
      <c r="H218" s="28"/>
      <c r="I218" s="28"/>
      <c r="J218" s="37" t="s">
        <v>762</v>
      </c>
      <c r="K218" s="30">
        <f t="shared" si="1"/>
        <v>0</v>
      </c>
    </row>
    <row r="219" ht="15.75" hidden="1" customHeight="1">
      <c r="A219" s="25" t="s">
        <v>803</v>
      </c>
      <c r="B219" s="26" t="s">
        <v>471</v>
      </c>
      <c r="C219" s="27" t="s">
        <v>24</v>
      </c>
      <c r="D219" s="28" t="s">
        <v>755</v>
      </c>
      <c r="E219" s="28" t="s">
        <v>91</v>
      </c>
      <c r="F219" s="28" t="s">
        <v>91</v>
      </c>
      <c r="G219" s="28">
        <v>1.0</v>
      </c>
      <c r="H219" s="28"/>
      <c r="I219" s="28"/>
      <c r="J219" s="37" t="s">
        <v>762</v>
      </c>
      <c r="K219" s="30">
        <f t="shared" si="1"/>
        <v>0</v>
      </c>
    </row>
    <row r="220" ht="15.75" hidden="1" customHeight="1">
      <c r="A220" s="31" t="s">
        <v>207</v>
      </c>
      <c r="B220" s="26" t="s">
        <v>473</v>
      </c>
      <c r="C220" s="27" t="s">
        <v>24</v>
      </c>
      <c r="D220" s="28" t="s">
        <v>755</v>
      </c>
      <c r="E220" s="28" t="s">
        <v>61</v>
      </c>
      <c r="F220" s="28" t="s">
        <v>61</v>
      </c>
      <c r="G220" s="28">
        <v>1.0</v>
      </c>
      <c r="H220" s="28"/>
      <c r="I220" s="28"/>
      <c r="J220" s="37" t="s">
        <v>762</v>
      </c>
      <c r="K220" s="30">
        <f t="shared" si="1"/>
        <v>0</v>
      </c>
    </row>
    <row r="221" ht="15.75" hidden="1" customHeight="1">
      <c r="A221" s="25" t="s">
        <v>804</v>
      </c>
      <c r="B221" s="26" t="s">
        <v>475</v>
      </c>
      <c r="C221" s="27" t="s">
        <v>40</v>
      </c>
      <c r="D221" s="28" t="s">
        <v>755</v>
      </c>
      <c r="E221" s="28" t="s">
        <v>757</v>
      </c>
      <c r="F221" s="28" t="s">
        <v>757</v>
      </c>
      <c r="G221" s="28">
        <v>0.0</v>
      </c>
      <c r="H221" s="28"/>
      <c r="I221" s="28"/>
      <c r="J221" s="28"/>
      <c r="K221" s="30">
        <f t="shared" si="1"/>
        <v>0</v>
      </c>
    </row>
    <row r="222" ht="15.75" hidden="1" customHeight="1">
      <c r="A222" s="25" t="s">
        <v>805</v>
      </c>
      <c r="B222" s="26" t="s">
        <v>477</v>
      </c>
      <c r="C222" s="27" t="s">
        <v>40</v>
      </c>
      <c r="D222" s="28" t="s">
        <v>755</v>
      </c>
      <c r="E222" s="28" t="s">
        <v>757</v>
      </c>
      <c r="F222" s="28" t="s">
        <v>757</v>
      </c>
      <c r="G222" s="28">
        <v>0.0</v>
      </c>
      <c r="H222" s="28"/>
      <c r="I222" s="28"/>
      <c r="J222" s="28"/>
      <c r="K222" s="30">
        <f t="shared" si="1"/>
        <v>0</v>
      </c>
    </row>
    <row r="223" ht="15.75" hidden="1" customHeight="1">
      <c r="A223" s="25" t="s">
        <v>806</v>
      </c>
      <c r="B223" s="26" t="s">
        <v>479</v>
      </c>
      <c r="C223" s="27" t="s">
        <v>40</v>
      </c>
      <c r="D223" s="28" t="s">
        <v>755</v>
      </c>
      <c r="E223" s="28" t="s">
        <v>757</v>
      </c>
      <c r="F223" s="28" t="s">
        <v>757</v>
      </c>
      <c r="G223" s="28">
        <v>0.0</v>
      </c>
      <c r="H223" s="28"/>
      <c r="I223" s="28"/>
      <c r="J223" s="28"/>
      <c r="K223" s="30">
        <f t="shared" si="1"/>
        <v>0</v>
      </c>
    </row>
    <row r="224" ht="15.75" hidden="1" customHeight="1">
      <c r="A224" s="25" t="s">
        <v>807</v>
      </c>
      <c r="B224" s="26" t="s">
        <v>481</v>
      </c>
      <c r="C224" s="27" t="s">
        <v>40</v>
      </c>
      <c r="D224" s="28" t="s">
        <v>755</v>
      </c>
      <c r="E224" s="28" t="s">
        <v>757</v>
      </c>
      <c r="F224" s="28" t="s">
        <v>757</v>
      </c>
      <c r="G224" s="28">
        <v>0.0</v>
      </c>
      <c r="H224" s="28"/>
      <c r="I224" s="28"/>
      <c r="J224" s="28"/>
      <c r="K224" s="30">
        <f t="shared" si="1"/>
        <v>0</v>
      </c>
    </row>
    <row r="225" ht="15.75" hidden="1" customHeight="1">
      <c r="A225" s="31" t="s">
        <v>207</v>
      </c>
      <c r="B225" s="26" t="s">
        <v>483</v>
      </c>
      <c r="C225" s="27" t="s">
        <v>40</v>
      </c>
      <c r="D225" s="28" t="s">
        <v>755</v>
      </c>
      <c r="E225" s="28" t="s">
        <v>757</v>
      </c>
      <c r="F225" s="28" t="s">
        <v>757</v>
      </c>
      <c r="G225" s="28">
        <v>0.0</v>
      </c>
      <c r="H225" s="28"/>
      <c r="I225" s="28"/>
      <c r="J225" s="28"/>
      <c r="K225" s="30">
        <f t="shared" si="1"/>
        <v>0</v>
      </c>
    </row>
    <row r="226" ht="15.75" customHeight="1">
      <c r="A226" s="25" t="s">
        <v>808</v>
      </c>
      <c r="B226" s="26" t="s">
        <v>485</v>
      </c>
      <c r="C226" s="27" t="s">
        <v>33</v>
      </c>
      <c r="D226" s="28" t="s">
        <v>754</v>
      </c>
      <c r="E226" s="28" t="s">
        <v>794</v>
      </c>
      <c r="F226" s="28" t="s">
        <v>794</v>
      </c>
      <c r="G226" s="28">
        <v>1.0</v>
      </c>
      <c r="H226" s="28"/>
      <c r="I226" s="28"/>
      <c r="J226" s="37" t="s">
        <v>762</v>
      </c>
      <c r="K226" s="30">
        <f t="shared" si="1"/>
        <v>0</v>
      </c>
    </row>
    <row r="227" ht="15.75" customHeight="1">
      <c r="A227" s="31" t="s">
        <v>150</v>
      </c>
      <c r="B227" s="26" t="s">
        <v>488</v>
      </c>
      <c r="C227" s="27" t="s">
        <v>34</v>
      </c>
      <c r="D227" s="28" t="s">
        <v>755</v>
      </c>
      <c r="E227" s="28" t="s">
        <v>63</v>
      </c>
      <c r="F227" s="28" t="s">
        <v>63</v>
      </c>
      <c r="G227" s="28">
        <v>1.0</v>
      </c>
      <c r="H227" s="28">
        <v>11.0</v>
      </c>
      <c r="I227" s="28">
        <v>4.0</v>
      </c>
      <c r="J227" s="28"/>
      <c r="K227" s="30">
        <f t="shared" si="1"/>
        <v>737.227076</v>
      </c>
    </row>
    <row r="228" ht="15.75" customHeight="1">
      <c r="A228" s="31" t="s">
        <v>150</v>
      </c>
      <c r="B228" s="26" t="s">
        <v>488</v>
      </c>
      <c r="C228" s="27" t="s">
        <v>34</v>
      </c>
      <c r="D228" s="28" t="s">
        <v>755</v>
      </c>
      <c r="E228" s="28" t="s">
        <v>59</v>
      </c>
      <c r="F228" s="28" t="s">
        <v>59</v>
      </c>
      <c r="G228" s="28">
        <v>1.0</v>
      </c>
      <c r="H228" s="28">
        <v>4.0</v>
      </c>
      <c r="I228" s="28">
        <v>1.0</v>
      </c>
      <c r="J228" s="28"/>
      <c r="K228" s="30">
        <f t="shared" si="1"/>
        <v>16.75516082</v>
      </c>
    </row>
    <row r="229" ht="15.75" hidden="1" customHeight="1">
      <c r="A229" s="40" t="s">
        <v>491</v>
      </c>
      <c r="B229" s="33" t="s">
        <v>489</v>
      </c>
      <c r="C229" s="34" t="s">
        <v>490</v>
      </c>
      <c r="D229" s="35" t="s">
        <v>760</v>
      </c>
      <c r="E229" s="35" t="s">
        <v>763</v>
      </c>
      <c r="F229" s="35" t="s">
        <v>763</v>
      </c>
      <c r="G229" s="35">
        <v>1.0</v>
      </c>
      <c r="H229" s="35"/>
      <c r="I229" s="35"/>
      <c r="J229" s="46" t="s">
        <v>762</v>
      </c>
      <c r="K229" s="30">
        <f t="shared" si="1"/>
        <v>0</v>
      </c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5.75" hidden="1" customHeight="1">
      <c r="A230" s="31" t="s">
        <v>343</v>
      </c>
      <c r="B230" s="26" t="s">
        <v>492</v>
      </c>
      <c r="C230" s="27" t="s">
        <v>16</v>
      </c>
      <c r="D230" s="28" t="s">
        <v>760</v>
      </c>
      <c r="E230" s="28" t="s">
        <v>63</v>
      </c>
      <c r="F230" s="28" t="s">
        <v>63</v>
      </c>
      <c r="G230" s="28">
        <v>1.0</v>
      </c>
      <c r="H230" s="28">
        <v>4.0</v>
      </c>
      <c r="I230" s="28">
        <v>2.0</v>
      </c>
      <c r="J230" s="28"/>
      <c r="K230" s="30">
        <f t="shared" si="1"/>
        <v>67.02064328</v>
      </c>
    </row>
    <row r="231" ht="15.75" hidden="1" customHeight="1">
      <c r="A231" s="31" t="s">
        <v>343</v>
      </c>
      <c r="B231" s="26" t="s">
        <v>492</v>
      </c>
      <c r="C231" s="27" t="s">
        <v>16</v>
      </c>
      <c r="D231" s="28" t="s">
        <v>760</v>
      </c>
      <c r="E231" s="28" t="s">
        <v>81</v>
      </c>
      <c r="F231" s="28" t="s">
        <v>81</v>
      </c>
      <c r="G231" s="28">
        <v>1.0</v>
      </c>
      <c r="H231" s="28">
        <v>6.0</v>
      </c>
      <c r="I231" s="28">
        <v>2.0</v>
      </c>
      <c r="J231" s="28"/>
      <c r="K231" s="30">
        <f t="shared" si="1"/>
        <v>100.5309649</v>
      </c>
    </row>
    <row r="232" ht="15.75" hidden="1" customHeight="1">
      <c r="A232" s="31" t="s">
        <v>170</v>
      </c>
      <c r="B232" s="26" t="s">
        <v>493</v>
      </c>
      <c r="C232" s="27" t="s">
        <v>37</v>
      </c>
      <c r="D232" s="28" t="s">
        <v>755</v>
      </c>
      <c r="E232" s="28" t="s">
        <v>757</v>
      </c>
      <c r="F232" s="28" t="s">
        <v>757</v>
      </c>
      <c r="G232" s="28">
        <v>0.0</v>
      </c>
      <c r="H232" s="28"/>
      <c r="I232" s="28"/>
      <c r="J232" s="28"/>
      <c r="K232" s="30">
        <f t="shared" si="1"/>
        <v>0</v>
      </c>
    </row>
    <row r="233" ht="15.75" hidden="1" customHeight="1">
      <c r="A233" s="31" t="s">
        <v>129</v>
      </c>
      <c r="B233" s="26" t="s">
        <v>496</v>
      </c>
      <c r="C233" s="27" t="s">
        <v>16</v>
      </c>
      <c r="D233" s="28" t="s">
        <v>755</v>
      </c>
      <c r="E233" s="28" t="s">
        <v>57</v>
      </c>
      <c r="F233" s="28" t="s">
        <v>57</v>
      </c>
      <c r="G233" s="28">
        <v>1.0</v>
      </c>
      <c r="H233" s="28">
        <v>3.0</v>
      </c>
      <c r="I233" s="28">
        <v>2.0</v>
      </c>
      <c r="J233" s="28"/>
      <c r="K233" s="30">
        <f t="shared" si="1"/>
        <v>50.26548246</v>
      </c>
    </row>
    <row r="234" ht="15.75" hidden="1" customHeight="1">
      <c r="A234" s="31" t="s">
        <v>129</v>
      </c>
      <c r="B234" s="26" t="s">
        <v>497</v>
      </c>
      <c r="C234" s="27" t="s">
        <v>16</v>
      </c>
      <c r="D234" s="28" t="s">
        <v>755</v>
      </c>
      <c r="E234" s="28" t="s">
        <v>771</v>
      </c>
      <c r="F234" s="28" t="s">
        <v>771</v>
      </c>
      <c r="G234" s="28">
        <v>1.0</v>
      </c>
      <c r="H234" s="28"/>
      <c r="I234" s="28"/>
      <c r="J234" s="37" t="s">
        <v>762</v>
      </c>
      <c r="K234" s="30">
        <f t="shared" si="1"/>
        <v>0</v>
      </c>
    </row>
    <row r="235" ht="15.75" hidden="1" customHeight="1">
      <c r="A235" s="31" t="s">
        <v>145</v>
      </c>
      <c r="B235" s="26" t="s">
        <v>501</v>
      </c>
      <c r="C235" s="27" t="s">
        <v>18</v>
      </c>
      <c r="D235" s="28" t="s">
        <v>754</v>
      </c>
      <c r="E235" s="28" t="s">
        <v>757</v>
      </c>
      <c r="F235" s="28" t="s">
        <v>757</v>
      </c>
      <c r="G235" s="28">
        <v>0.0</v>
      </c>
      <c r="H235" s="28"/>
      <c r="I235" s="28"/>
      <c r="J235" s="28"/>
      <c r="K235" s="30">
        <f t="shared" si="1"/>
        <v>0</v>
      </c>
    </row>
    <row r="236" ht="15.75" hidden="1" customHeight="1">
      <c r="A236" s="31" t="s">
        <v>119</v>
      </c>
      <c r="B236" s="26" t="s">
        <v>504</v>
      </c>
      <c r="C236" s="27" t="s">
        <v>18</v>
      </c>
      <c r="D236" s="28" t="s">
        <v>754</v>
      </c>
      <c r="E236" s="28" t="s">
        <v>757</v>
      </c>
      <c r="F236" s="28" t="s">
        <v>757</v>
      </c>
      <c r="G236" s="28">
        <v>0.0</v>
      </c>
      <c r="H236" s="28"/>
      <c r="I236" s="28"/>
      <c r="J236" s="28"/>
      <c r="K236" s="30">
        <f t="shared" si="1"/>
        <v>0</v>
      </c>
    </row>
    <row r="237" ht="15.75" hidden="1" customHeight="1">
      <c r="A237" s="31" t="s">
        <v>119</v>
      </c>
      <c r="B237" s="26" t="s">
        <v>506</v>
      </c>
      <c r="C237" s="27" t="s">
        <v>18</v>
      </c>
      <c r="D237" s="28" t="s">
        <v>754</v>
      </c>
      <c r="E237" s="28" t="s">
        <v>784</v>
      </c>
      <c r="F237" s="28" t="s">
        <v>784</v>
      </c>
      <c r="G237" s="28">
        <v>0.0</v>
      </c>
      <c r="H237" s="28"/>
      <c r="I237" s="28"/>
      <c r="J237" s="28"/>
      <c r="K237" s="30">
        <f t="shared" si="1"/>
        <v>0</v>
      </c>
    </row>
    <row r="238" ht="15.75" hidden="1" customHeight="1">
      <c r="A238" s="31" t="s">
        <v>134</v>
      </c>
      <c r="B238" s="26" t="s">
        <v>508</v>
      </c>
      <c r="C238" s="27" t="s">
        <v>6</v>
      </c>
      <c r="D238" s="28" t="s">
        <v>754</v>
      </c>
      <c r="E238" s="28" t="s">
        <v>757</v>
      </c>
      <c r="F238" s="28" t="s">
        <v>757</v>
      </c>
      <c r="G238" s="28">
        <v>0.0</v>
      </c>
      <c r="H238" s="28"/>
      <c r="I238" s="28"/>
      <c r="J238" s="28"/>
      <c r="K238" s="30">
        <f t="shared" si="1"/>
        <v>0</v>
      </c>
    </row>
    <row r="239" ht="15.75" hidden="1" customHeight="1">
      <c r="A239" s="31" t="s">
        <v>137</v>
      </c>
      <c r="B239" s="26" t="s">
        <v>511</v>
      </c>
      <c r="C239" s="27" t="s">
        <v>6</v>
      </c>
      <c r="D239" s="28" t="s">
        <v>754</v>
      </c>
      <c r="E239" s="28" t="s">
        <v>759</v>
      </c>
      <c r="F239" s="28" t="s">
        <v>75</v>
      </c>
      <c r="G239" s="28">
        <v>1.0</v>
      </c>
      <c r="H239" s="28">
        <v>3.0</v>
      </c>
      <c r="I239" s="28">
        <v>0.5</v>
      </c>
      <c r="J239" s="28"/>
      <c r="K239" s="30">
        <f t="shared" si="1"/>
        <v>3.141592654</v>
      </c>
    </row>
    <row r="240" ht="15.75" hidden="1" customHeight="1">
      <c r="A240" s="31" t="s">
        <v>137</v>
      </c>
      <c r="B240" s="26" t="s">
        <v>511</v>
      </c>
      <c r="C240" s="27" t="s">
        <v>6</v>
      </c>
      <c r="D240" s="28" t="s">
        <v>754</v>
      </c>
      <c r="E240" s="28" t="s">
        <v>759</v>
      </c>
      <c r="F240" s="28" t="s">
        <v>75</v>
      </c>
      <c r="G240" s="28">
        <v>1.0</v>
      </c>
      <c r="H240" s="28"/>
      <c r="I240" s="28"/>
      <c r="J240" s="37" t="s">
        <v>762</v>
      </c>
      <c r="K240" s="30">
        <f t="shared" si="1"/>
        <v>0</v>
      </c>
    </row>
    <row r="241" ht="15.75" hidden="1" customHeight="1">
      <c r="A241" s="31" t="s">
        <v>126</v>
      </c>
      <c r="B241" s="26" t="s">
        <v>513</v>
      </c>
      <c r="C241" s="27" t="s">
        <v>37</v>
      </c>
      <c r="D241" s="28" t="s">
        <v>755</v>
      </c>
      <c r="E241" s="28" t="s">
        <v>93</v>
      </c>
      <c r="F241" s="28" t="s">
        <v>93</v>
      </c>
      <c r="G241" s="28">
        <v>1.0</v>
      </c>
      <c r="H241" s="28"/>
      <c r="I241" s="28"/>
      <c r="J241" s="37" t="s">
        <v>762</v>
      </c>
      <c r="K241" s="30">
        <f t="shared" si="1"/>
        <v>0</v>
      </c>
    </row>
    <row r="242" ht="15.75" customHeight="1">
      <c r="A242" s="31" t="s">
        <v>207</v>
      </c>
      <c r="B242" s="26" t="s">
        <v>515</v>
      </c>
      <c r="C242" s="27" t="s">
        <v>30</v>
      </c>
      <c r="D242" s="28" t="s">
        <v>754</v>
      </c>
      <c r="E242" s="28" t="s">
        <v>63</v>
      </c>
      <c r="F242" s="28" t="s">
        <v>63</v>
      </c>
      <c r="G242" s="28">
        <v>1.0</v>
      </c>
      <c r="H242" s="28">
        <v>16.0</v>
      </c>
      <c r="I242" s="28">
        <v>6.0</v>
      </c>
      <c r="J242" s="28"/>
      <c r="K242" s="30">
        <f t="shared" si="1"/>
        <v>2412.743158</v>
      </c>
    </row>
    <row r="243" ht="15.75" customHeight="1">
      <c r="A243" s="31" t="s">
        <v>137</v>
      </c>
      <c r="B243" s="26" t="s">
        <v>517</v>
      </c>
      <c r="C243" s="27" t="s">
        <v>30</v>
      </c>
      <c r="D243" s="28" t="s">
        <v>754</v>
      </c>
      <c r="E243" s="28" t="s">
        <v>763</v>
      </c>
      <c r="F243" s="28" t="s">
        <v>763</v>
      </c>
      <c r="G243" s="28">
        <v>1.0</v>
      </c>
      <c r="H243" s="28"/>
      <c r="I243" s="28"/>
      <c r="J243" s="37" t="s">
        <v>762</v>
      </c>
      <c r="K243" s="30">
        <f t="shared" si="1"/>
        <v>0</v>
      </c>
    </row>
    <row r="244" ht="15.75" customHeight="1">
      <c r="A244" s="31" t="s">
        <v>137</v>
      </c>
      <c r="B244" s="26" t="s">
        <v>517</v>
      </c>
      <c r="C244" s="27" t="s">
        <v>30</v>
      </c>
      <c r="D244" s="28" t="s">
        <v>754</v>
      </c>
      <c r="E244" s="28" t="s">
        <v>759</v>
      </c>
      <c r="F244" s="28" t="s">
        <v>75</v>
      </c>
      <c r="G244" s="28">
        <v>1.0</v>
      </c>
      <c r="H244" s="28">
        <v>3.0</v>
      </c>
      <c r="I244" s="28">
        <v>1.0</v>
      </c>
      <c r="J244" s="28"/>
      <c r="K244" s="30">
        <f t="shared" si="1"/>
        <v>12.56637061</v>
      </c>
    </row>
    <row r="245" ht="15.75" customHeight="1">
      <c r="A245" s="31" t="s">
        <v>137</v>
      </c>
      <c r="B245" s="26" t="s">
        <v>519</v>
      </c>
      <c r="C245" s="27" t="s">
        <v>30</v>
      </c>
      <c r="D245" s="28" t="s">
        <v>754</v>
      </c>
      <c r="E245" s="28" t="s">
        <v>63</v>
      </c>
      <c r="F245" s="28" t="s">
        <v>63</v>
      </c>
      <c r="G245" s="28">
        <v>1.0</v>
      </c>
      <c r="H245" s="28">
        <v>2.0</v>
      </c>
      <c r="I245" s="28">
        <v>1.0</v>
      </c>
      <c r="J245" s="28"/>
      <c r="K245" s="30">
        <f t="shared" si="1"/>
        <v>8.37758041</v>
      </c>
    </row>
    <row r="246" ht="15.75" customHeight="1">
      <c r="A246" s="31" t="s">
        <v>137</v>
      </c>
      <c r="B246" s="26" t="s">
        <v>519</v>
      </c>
      <c r="C246" s="27" t="s">
        <v>30</v>
      </c>
      <c r="D246" s="28" t="s">
        <v>754</v>
      </c>
      <c r="E246" s="28" t="s">
        <v>759</v>
      </c>
      <c r="F246" s="28" t="s">
        <v>75</v>
      </c>
      <c r="G246" s="28">
        <v>1.0</v>
      </c>
      <c r="H246" s="28">
        <v>4.0</v>
      </c>
      <c r="I246" s="28">
        <v>1.0</v>
      </c>
      <c r="J246" s="28"/>
      <c r="K246" s="30">
        <f t="shared" si="1"/>
        <v>16.75516082</v>
      </c>
    </row>
    <row r="247" ht="15.75" customHeight="1">
      <c r="A247" s="31" t="s">
        <v>145</v>
      </c>
      <c r="B247" s="26" t="s">
        <v>520</v>
      </c>
      <c r="C247" s="27" t="s">
        <v>33</v>
      </c>
      <c r="D247" s="28" t="s">
        <v>754</v>
      </c>
      <c r="E247" s="28" t="s">
        <v>757</v>
      </c>
      <c r="F247" s="28" t="s">
        <v>757</v>
      </c>
      <c r="G247" s="28">
        <v>0.0</v>
      </c>
      <c r="H247" s="28"/>
      <c r="I247" s="28"/>
      <c r="J247" s="28"/>
      <c r="K247" s="30">
        <f t="shared" si="1"/>
        <v>0</v>
      </c>
    </row>
    <row r="248" ht="15.75" customHeight="1">
      <c r="A248" s="31" t="s">
        <v>150</v>
      </c>
      <c r="B248" s="26" t="s">
        <v>521</v>
      </c>
      <c r="C248" s="27" t="s">
        <v>30</v>
      </c>
      <c r="D248" s="28" t="s">
        <v>754</v>
      </c>
      <c r="E248" s="28" t="s">
        <v>757</v>
      </c>
      <c r="F248" s="28" t="s">
        <v>757</v>
      </c>
      <c r="G248" s="28">
        <v>0.0</v>
      </c>
      <c r="H248" s="28"/>
      <c r="I248" s="28"/>
      <c r="J248" s="28"/>
      <c r="K248" s="30">
        <f t="shared" si="1"/>
        <v>0</v>
      </c>
    </row>
    <row r="249" ht="15.75" customHeight="1">
      <c r="A249" s="31" t="s">
        <v>145</v>
      </c>
      <c r="B249" s="26" t="s">
        <v>523</v>
      </c>
      <c r="C249" s="27" t="s">
        <v>33</v>
      </c>
      <c r="D249" s="28" t="s">
        <v>754</v>
      </c>
      <c r="E249" s="28" t="s">
        <v>63</v>
      </c>
      <c r="F249" s="28" t="s">
        <v>97</v>
      </c>
      <c r="G249" s="28">
        <v>1.0</v>
      </c>
      <c r="H249" s="28">
        <v>8.0</v>
      </c>
      <c r="I249" s="28">
        <v>2.0</v>
      </c>
      <c r="J249" s="28"/>
      <c r="K249" s="30">
        <f t="shared" si="1"/>
        <v>134.0412866</v>
      </c>
    </row>
    <row r="250" ht="15.75" hidden="1" customHeight="1">
      <c r="A250" s="25" t="s">
        <v>809</v>
      </c>
      <c r="B250" s="26" t="s">
        <v>524</v>
      </c>
      <c r="C250" s="27" t="s">
        <v>12</v>
      </c>
      <c r="D250" s="28" t="s">
        <v>755</v>
      </c>
      <c r="E250" s="28" t="s">
        <v>757</v>
      </c>
      <c r="F250" s="28" t="s">
        <v>757</v>
      </c>
      <c r="G250" s="28">
        <v>0.0</v>
      </c>
      <c r="H250" s="28"/>
      <c r="I250" s="28"/>
      <c r="J250" s="28"/>
      <c r="K250" s="30">
        <f t="shared" si="1"/>
        <v>0</v>
      </c>
    </row>
    <row r="251" ht="15.75" hidden="1" customHeight="1">
      <c r="A251" s="25" t="s">
        <v>210</v>
      </c>
      <c r="B251" s="42" t="s">
        <v>527</v>
      </c>
      <c r="C251" s="27" t="s">
        <v>37</v>
      </c>
      <c r="D251" s="28" t="s">
        <v>755</v>
      </c>
      <c r="E251" s="5" t="s">
        <v>63</v>
      </c>
      <c r="F251" s="5" t="s">
        <v>63</v>
      </c>
      <c r="G251" s="5">
        <v>2.0</v>
      </c>
      <c r="H251" s="5">
        <v>14.0</v>
      </c>
      <c r="I251" s="5">
        <v>4.0</v>
      </c>
      <c r="J251" s="43"/>
      <c r="K251" s="30">
        <f t="shared" si="1"/>
        <v>1876.578012</v>
      </c>
    </row>
    <row r="252" ht="15.75" hidden="1" customHeight="1">
      <c r="A252" s="25" t="s">
        <v>210</v>
      </c>
      <c r="B252" s="42" t="s">
        <v>527</v>
      </c>
      <c r="C252" s="27" t="s">
        <v>37</v>
      </c>
      <c r="D252" s="28" t="s">
        <v>755</v>
      </c>
      <c r="E252" s="5" t="s">
        <v>63</v>
      </c>
      <c r="F252" s="5" t="s">
        <v>63</v>
      </c>
      <c r="G252" s="5">
        <v>1.0</v>
      </c>
      <c r="H252" s="5">
        <v>16.0</v>
      </c>
      <c r="I252" s="5">
        <v>4.0</v>
      </c>
      <c r="J252" s="43"/>
      <c r="K252" s="30">
        <f t="shared" si="1"/>
        <v>1072.330292</v>
      </c>
    </row>
    <row r="253" ht="15.75" hidden="1" customHeight="1">
      <c r="A253" s="25" t="s">
        <v>210</v>
      </c>
      <c r="B253" s="42" t="s">
        <v>527</v>
      </c>
      <c r="C253" s="27" t="s">
        <v>37</v>
      </c>
      <c r="D253" s="28" t="s">
        <v>755</v>
      </c>
      <c r="E253" s="5" t="s">
        <v>63</v>
      </c>
      <c r="F253" s="5" t="s">
        <v>63</v>
      </c>
      <c r="G253" s="5">
        <v>3.0</v>
      </c>
      <c r="H253" s="5">
        <v>8.0</v>
      </c>
      <c r="I253" s="5">
        <v>6.0</v>
      </c>
      <c r="J253" s="43"/>
      <c r="K253" s="30">
        <f t="shared" si="1"/>
        <v>3619.114737</v>
      </c>
    </row>
    <row r="254" ht="15.75" hidden="1" customHeight="1">
      <c r="A254" s="25" t="s">
        <v>210</v>
      </c>
      <c r="B254" s="42" t="s">
        <v>527</v>
      </c>
      <c r="C254" s="27" t="s">
        <v>37</v>
      </c>
      <c r="D254" s="28" t="s">
        <v>755</v>
      </c>
      <c r="E254" s="5" t="s">
        <v>63</v>
      </c>
      <c r="F254" s="5" t="s">
        <v>63</v>
      </c>
      <c r="G254" s="5">
        <v>1.0</v>
      </c>
      <c r="H254" s="5">
        <v>18.0</v>
      </c>
      <c r="I254" s="5">
        <v>5.0</v>
      </c>
      <c r="J254" s="43"/>
      <c r="K254" s="30">
        <f t="shared" si="1"/>
        <v>1884.955592</v>
      </c>
    </row>
    <row r="255" ht="15.75" hidden="1" customHeight="1">
      <c r="A255" s="25" t="s">
        <v>210</v>
      </c>
      <c r="B255" s="42" t="s">
        <v>527</v>
      </c>
      <c r="C255" s="27" t="s">
        <v>37</v>
      </c>
      <c r="D255" s="28" t="s">
        <v>755</v>
      </c>
      <c r="E255" s="5" t="s">
        <v>63</v>
      </c>
      <c r="F255" s="5" t="s">
        <v>63</v>
      </c>
      <c r="G255" s="5">
        <v>2.0</v>
      </c>
      <c r="H255" s="5">
        <v>14.0</v>
      </c>
      <c r="I255" s="5">
        <v>6.0</v>
      </c>
      <c r="J255" s="43"/>
      <c r="K255" s="30">
        <f t="shared" si="1"/>
        <v>4222.300526</v>
      </c>
    </row>
    <row r="256" ht="15.75" hidden="1" customHeight="1">
      <c r="A256" s="40" t="s">
        <v>531</v>
      </c>
      <c r="B256" s="33" t="s">
        <v>528</v>
      </c>
      <c r="C256" s="34" t="s">
        <v>529</v>
      </c>
      <c r="D256" s="35" t="s">
        <v>755</v>
      </c>
      <c r="E256" s="35" t="s">
        <v>757</v>
      </c>
      <c r="F256" s="35" t="s">
        <v>757</v>
      </c>
      <c r="G256" s="35">
        <v>0.0</v>
      </c>
      <c r="H256" s="35"/>
      <c r="I256" s="35"/>
      <c r="J256" s="35"/>
      <c r="K256" s="30">
        <f t="shared" si="1"/>
        <v>0</v>
      </c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5.75" hidden="1" customHeight="1">
      <c r="A257" s="31" t="s">
        <v>119</v>
      </c>
      <c r="B257" s="26" t="s">
        <v>532</v>
      </c>
      <c r="C257" s="27" t="s">
        <v>39</v>
      </c>
      <c r="D257" s="28" t="s">
        <v>754</v>
      </c>
      <c r="E257" s="28" t="s">
        <v>63</v>
      </c>
      <c r="F257" s="28" t="s">
        <v>63</v>
      </c>
      <c r="G257" s="28">
        <v>1.0</v>
      </c>
      <c r="H257" s="28">
        <v>2.0</v>
      </c>
      <c r="I257" s="28">
        <v>1.0</v>
      </c>
      <c r="J257" s="28"/>
      <c r="K257" s="30">
        <f t="shared" si="1"/>
        <v>8.37758041</v>
      </c>
    </row>
    <row r="258" ht="15.75" hidden="1" customHeight="1">
      <c r="A258" s="31" t="s">
        <v>170</v>
      </c>
      <c r="B258" s="26" t="s">
        <v>533</v>
      </c>
      <c r="C258" s="27" t="s">
        <v>40</v>
      </c>
      <c r="D258" s="28" t="s">
        <v>755</v>
      </c>
      <c r="E258" s="28" t="s">
        <v>757</v>
      </c>
      <c r="F258" s="28" t="s">
        <v>757</v>
      </c>
      <c r="G258" s="28">
        <v>0.0</v>
      </c>
      <c r="H258" s="28"/>
      <c r="I258" s="28"/>
      <c r="J258" s="28"/>
      <c r="K258" s="30">
        <f t="shared" si="1"/>
        <v>0</v>
      </c>
    </row>
    <row r="259" ht="15.75" hidden="1" customHeight="1">
      <c r="A259" s="31" t="s">
        <v>207</v>
      </c>
      <c r="B259" s="26" t="s">
        <v>534</v>
      </c>
      <c r="C259" s="27" t="s">
        <v>40</v>
      </c>
      <c r="D259" s="28" t="s">
        <v>755</v>
      </c>
      <c r="E259" s="28" t="s">
        <v>93</v>
      </c>
      <c r="F259" s="28" t="s">
        <v>73</v>
      </c>
      <c r="G259" s="28">
        <v>1.0</v>
      </c>
      <c r="H259" s="28">
        <v>20.0</v>
      </c>
      <c r="I259" s="28">
        <v>7.0</v>
      </c>
      <c r="J259" s="28"/>
      <c r="K259" s="30">
        <f t="shared" si="1"/>
        <v>4105.014401</v>
      </c>
    </row>
    <row r="260" ht="15.75" hidden="1" customHeight="1">
      <c r="A260" s="31" t="s">
        <v>207</v>
      </c>
      <c r="B260" s="26" t="s">
        <v>534</v>
      </c>
      <c r="C260" s="27" t="s">
        <v>40</v>
      </c>
      <c r="D260" s="28" t="s">
        <v>755</v>
      </c>
      <c r="E260" s="28" t="s">
        <v>63</v>
      </c>
      <c r="F260" s="28" t="s">
        <v>63</v>
      </c>
      <c r="G260" s="28">
        <v>1.0</v>
      </c>
      <c r="H260" s="28">
        <v>15.0</v>
      </c>
      <c r="I260" s="28">
        <v>8.0</v>
      </c>
      <c r="J260" s="28"/>
      <c r="K260" s="30">
        <f t="shared" si="1"/>
        <v>4021.238597</v>
      </c>
    </row>
    <row r="261" ht="15.75" hidden="1" customHeight="1">
      <c r="A261" s="31" t="s">
        <v>129</v>
      </c>
      <c r="B261" s="26" t="s">
        <v>536</v>
      </c>
      <c r="C261" s="27" t="s">
        <v>40</v>
      </c>
      <c r="D261" s="28" t="s">
        <v>755</v>
      </c>
      <c r="E261" s="28" t="s">
        <v>757</v>
      </c>
      <c r="F261" s="28" t="s">
        <v>757</v>
      </c>
      <c r="G261" s="28">
        <v>0.0</v>
      </c>
      <c r="H261" s="28"/>
      <c r="I261" s="28"/>
      <c r="J261" s="28"/>
      <c r="K261" s="30">
        <f t="shared" si="1"/>
        <v>0</v>
      </c>
    </row>
    <row r="262" ht="15.75" hidden="1" customHeight="1">
      <c r="A262" s="25" t="s">
        <v>119</v>
      </c>
      <c r="B262" s="26" t="s">
        <v>538</v>
      </c>
      <c r="C262" s="27" t="s">
        <v>10</v>
      </c>
      <c r="D262" s="28" t="s">
        <v>754</v>
      </c>
      <c r="E262" s="28" t="s">
        <v>759</v>
      </c>
      <c r="F262" s="28" t="s">
        <v>75</v>
      </c>
      <c r="G262" s="28">
        <v>1.0</v>
      </c>
      <c r="H262" s="28">
        <v>2.0</v>
      </c>
      <c r="I262" s="28">
        <v>0.5</v>
      </c>
      <c r="J262" s="28"/>
      <c r="K262" s="30">
        <f t="shared" si="1"/>
        <v>2.094395102</v>
      </c>
    </row>
    <row r="263" ht="15.75" hidden="1" customHeight="1">
      <c r="A263" s="25" t="s">
        <v>119</v>
      </c>
      <c r="B263" s="26" t="s">
        <v>538</v>
      </c>
      <c r="C263" s="27" t="s">
        <v>10</v>
      </c>
      <c r="D263" s="28" t="s">
        <v>754</v>
      </c>
      <c r="E263" s="28" t="s">
        <v>61</v>
      </c>
      <c r="F263" s="28" t="s">
        <v>61</v>
      </c>
      <c r="G263" s="28">
        <v>1.0</v>
      </c>
      <c r="H263" s="28">
        <v>10.0</v>
      </c>
      <c r="I263" s="28">
        <v>1.0</v>
      </c>
      <c r="J263" s="28"/>
      <c r="K263" s="30">
        <f t="shared" si="1"/>
        <v>41.88790205</v>
      </c>
    </row>
    <row r="264" ht="15.75" hidden="1" customHeight="1">
      <c r="A264" s="25" t="s">
        <v>119</v>
      </c>
      <c r="B264" s="26" t="s">
        <v>538</v>
      </c>
      <c r="C264" s="27" t="s">
        <v>10</v>
      </c>
      <c r="D264" s="28" t="s">
        <v>754</v>
      </c>
      <c r="E264" s="28" t="s">
        <v>794</v>
      </c>
      <c r="F264" s="28" t="s">
        <v>794</v>
      </c>
      <c r="G264" s="28">
        <v>1.0</v>
      </c>
      <c r="H264" s="28"/>
      <c r="I264" s="28"/>
      <c r="J264" s="37" t="s">
        <v>762</v>
      </c>
      <c r="K264" s="30">
        <f t="shared" si="1"/>
        <v>0</v>
      </c>
    </row>
    <row r="265" ht="15.75" hidden="1" customHeight="1">
      <c r="A265" s="25" t="s">
        <v>119</v>
      </c>
      <c r="B265" s="26" t="s">
        <v>538</v>
      </c>
      <c r="C265" s="27" t="s">
        <v>10</v>
      </c>
      <c r="D265" s="28" t="s">
        <v>754</v>
      </c>
      <c r="E265" s="28" t="s">
        <v>63</v>
      </c>
      <c r="F265" s="28" t="s">
        <v>63</v>
      </c>
      <c r="G265" s="28">
        <v>1.0</v>
      </c>
      <c r="H265" s="28">
        <v>4.0</v>
      </c>
      <c r="I265" s="28">
        <v>1.0</v>
      </c>
      <c r="J265" s="28"/>
      <c r="K265" s="30">
        <f t="shared" si="1"/>
        <v>16.75516082</v>
      </c>
    </row>
    <row r="266" ht="15.75" hidden="1" customHeight="1">
      <c r="A266" s="25" t="s">
        <v>119</v>
      </c>
      <c r="B266" s="26" t="s">
        <v>538</v>
      </c>
      <c r="C266" s="27" t="s">
        <v>10</v>
      </c>
      <c r="D266" s="28" t="s">
        <v>754</v>
      </c>
      <c r="E266" s="28" t="s">
        <v>63</v>
      </c>
      <c r="F266" s="28" t="s">
        <v>63</v>
      </c>
      <c r="G266" s="28">
        <v>1.0</v>
      </c>
      <c r="H266" s="28">
        <v>3.0</v>
      </c>
      <c r="I266" s="28">
        <v>1.0</v>
      </c>
      <c r="J266" s="28"/>
      <c r="K266" s="30">
        <f t="shared" si="1"/>
        <v>12.56637061</v>
      </c>
    </row>
    <row r="267" ht="15.75" hidden="1" customHeight="1">
      <c r="A267" s="25" t="s">
        <v>119</v>
      </c>
      <c r="B267" s="26" t="s">
        <v>538</v>
      </c>
      <c r="C267" s="27" t="s">
        <v>10</v>
      </c>
      <c r="D267" s="28" t="s">
        <v>754</v>
      </c>
      <c r="E267" s="28" t="s">
        <v>759</v>
      </c>
      <c r="F267" s="28" t="s">
        <v>75</v>
      </c>
      <c r="G267" s="28">
        <v>1.0</v>
      </c>
      <c r="H267" s="28">
        <v>2.0</v>
      </c>
      <c r="I267" s="28">
        <v>0.5</v>
      </c>
      <c r="J267" s="28"/>
      <c r="K267" s="30">
        <f t="shared" si="1"/>
        <v>2.094395102</v>
      </c>
    </row>
    <row r="268" ht="15.75" hidden="1" customHeight="1">
      <c r="A268" s="31" t="s">
        <v>214</v>
      </c>
      <c r="B268" s="26" t="s">
        <v>540</v>
      </c>
      <c r="C268" s="27" t="s">
        <v>16</v>
      </c>
      <c r="D268" s="28" t="s">
        <v>760</v>
      </c>
      <c r="E268" s="28" t="s">
        <v>757</v>
      </c>
      <c r="F268" s="28" t="s">
        <v>757</v>
      </c>
      <c r="G268" s="28">
        <v>0.0</v>
      </c>
      <c r="H268" s="28"/>
      <c r="I268" s="28"/>
      <c r="J268" s="28"/>
      <c r="K268" s="30">
        <f t="shared" si="1"/>
        <v>0</v>
      </c>
    </row>
    <row r="269" ht="15.75" hidden="1" customHeight="1">
      <c r="A269" s="31" t="s">
        <v>170</v>
      </c>
      <c r="B269" s="26" t="s">
        <v>543</v>
      </c>
      <c r="C269" s="27" t="s">
        <v>16</v>
      </c>
      <c r="D269" s="28" t="s">
        <v>755</v>
      </c>
      <c r="E269" s="28" t="s">
        <v>756</v>
      </c>
      <c r="F269" s="28" t="s">
        <v>756</v>
      </c>
      <c r="G269" s="28">
        <v>1.0</v>
      </c>
      <c r="H269" s="28"/>
      <c r="I269" s="28"/>
      <c r="J269" s="28" t="s">
        <v>756</v>
      </c>
      <c r="K269" s="30">
        <f t="shared" si="1"/>
        <v>0</v>
      </c>
    </row>
    <row r="270" ht="15.75" hidden="1" customHeight="1">
      <c r="A270" s="31" t="s">
        <v>150</v>
      </c>
      <c r="B270" s="26" t="s">
        <v>545</v>
      </c>
      <c r="C270" s="27" t="s">
        <v>16</v>
      </c>
      <c r="D270" s="28" t="s">
        <v>755</v>
      </c>
      <c r="E270" s="28" t="s">
        <v>71</v>
      </c>
      <c r="F270" s="28" t="s">
        <v>71</v>
      </c>
      <c r="G270" s="28">
        <v>1.0</v>
      </c>
      <c r="H270" s="28"/>
      <c r="I270" s="28"/>
      <c r="J270" s="28" t="s">
        <v>762</v>
      </c>
      <c r="K270" s="30">
        <f t="shared" si="1"/>
        <v>0</v>
      </c>
    </row>
    <row r="271" ht="15.75" hidden="1" customHeight="1">
      <c r="A271" s="31" t="s">
        <v>150</v>
      </c>
      <c r="B271" s="26" t="s">
        <v>545</v>
      </c>
      <c r="C271" s="27" t="s">
        <v>16</v>
      </c>
      <c r="D271" s="28" t="s">
        <v>755</v>
      </c>
      <c r="E271" s="28" t="s">
        <v>71</v>
      </c>
      <c r="F271" s="28" t="s">
        <v>71</v>
      </c>
      <c r="G271" s="28">
        <v>1.0</v>
      </c>
      <c r="H271" s="28"/>
      <c r="I271" s="28"/>
      <c r="J271" s="28" t="s">
        <v>762</v>
      </c>
      <c r="K271" s="30">
        <f t="shared" si="1"/>
        <v>0</v>
      </c>
    </row>
    <row r="272" ht="15.75" hidden="1" customHeight="1">
      <c r="A272" s="25" t="s">
        <v>810</v>
      </c>
      <c r="B272" s="26" t="s">
        <v>547</v>
      </c>
      <c r="C272" s="27" t="s">
        <v>40</v>
      </c>
      <c r="D272" s="28" t="s">
        <v>755</v>
      </c>
      <c r="E272" s="28" t="s">
        <v>63</v>
      </c>
      <c r="F272" s="28" t="s">
        <v>63</v>
      </c>
      <c r="G272" s="28">
        <v>1.0</v>
      </c>
      <c r="H272" s="28">
        <v>6.0</v>
      </c>
      <c r="I272" s="28">
        <v>2.0</v>
      </c>
      <c r="J272" s="28"/>
      <c r="K272" s="30">
        <f t="shared" si="1"/>
        <v>100.5309649</v>
      </c>
    </row>
    <row r="273" ht="15.75" hidden="1" customHeight="1">
      <c r="A273" s="25" t="s">
        <v>811</v>
      </c>
      <c r="B273" s="26" t="s">
        <v>547</v>
      </c>
      <c r="C273" s="27" t="s">
        <v>40</v>
      </c>
      <c r="D273" s="28" t="s">
        <v>755</v>
      </c>
      <c r="E273" s="28" t="s">
        <v>63</v>
      </c>
      <c r="F273" s="28" t="s">
        <v>63</v>
      </c>
      <c r="G273" s="28">
        <v>1.0</v>
      </c>
      <c r="H273" s="28">
        <v>5.0</v>
      </c>
      <c r="I273" s="28">
        <v>2.0</v>
      </c>
      <c r="J273" s="28"/>
      <c r="K273" s="30">
        <f t="shared" si="1"/>
        <v>83.7758041</v>
      </c>
    </row>
    <row r="274" ht="15.75" hidden="1" customHeight="1">
      <c r="A274" s="25" t="s">
        <v>812</v>
      </c>
      <c r="B274" s="26" t="s">
        <v>547</v>
      </c>
      <c r="C274" s="27" t="s">
        <v>40</v>
      </c>
      <c r="D274" s="28" t="s">
        <v>755</v>
      </c>
      <c r="E274" s="28" t="s">
        <v>57</v>
      </c>
      <c r="F274" s="28" t="s">
        <v>57</v>
      </c>
      <c r="G274" s="28">
        <v>1.0</v>
      </c>
      <c r="H274" s="28">
        <v>5.0</v>
      </c>
      <c r="I274" s="28">
        <v>2.0</v>
      </c>
      <c r="J274" s="28"/>
      <c r="K274" s="30">
        <f t="shared" si="1"/>
        <v>83.7758041</v>
      </c>
    </row>
    <row r="275" ht="15.75" customHeight="1">
      <c r="A275" s="31" t="s">
        <v>207</v>
      </c>
      <c r="B275" s="26" t="s">
        <v>549</v>
      </c>
      <c r="C275" s="27" t="s">
        <v>31</v>
      </c>
      <c r="D275" s="28" t="s">
        <v>755</v>
      </c>
      <c r="E275" s="28" t="s">
        <v>757</v>
      </c>
      <c r="F275" s="28" t="s">
        <v>757</v>
      </c>
      <c r="G275" s="28">
        <v>0.0</v>
      </c>
      <c r="H275" s="28"/>
      <c r="I275" s="28"/>
      <c r="J275" s="28" t="s">
        <v>813</v>
      </c>
      <c r="K275" s="30">
        <f t="shared" si="1"/>
        <v>0</v>
      </c>
    </row>
    <row r="276" ht="15.75" customHeight="1">
      <c r="A276" s="31" t="s">
        <v>170</v>
      </c>
      <c r="B276" s="26" t="s">
        <v>553</v>
      </c>
      <c r="C276" s="27" t="s">
        <v>31</v>
      </c>
      <c r="D276" s="28" t="s">
        <v>755</v>
      </c>
      <c r="E276" s="28" t="s">
        <v>757</v>
      </c>
      <c r="F276" s="28" t="s">
        <v>757</v>
      </c>
      <c r="G276" s="28">
        <v>0.0</v>
      </c>
      <c r="H276" s="28"/>
      <c r="I276" s="28"/>
      <c r="J276" s="28"/>
      <c r="K276" s="30">
        <f t="shared" si="1"/>
        <v>0</v>
      </c>
    </row>
    <row r="277" ht="15.75" customHeight="1">
      <c r="A277" s="31" t="s">
        <v>150</v>
      </c>
      <c r="B277" s="47" t="s">
        <v>555</v>
      </c>
      <c r="C277" s="27" t="s">
        <v>31</v>
      </c>
      <c r="D277" s="28" t="s">
        <v>755</v>
      </c>
      <c r="E277" s="28" t="s">
        <v>757</v>
      </c>
      <c r="F277" s="28" t="s">
        <v>757</v>
      </c>
      <c r="G277" s="28">
        <v>0.0</v>
      </c>
      <c r="H277" s="28"/>
      <c r="I277" s="28"/>
      <c r="J277" s="28"/>
      <c r="K277" s="30">
        <f t="shared" si="1"/>
        <v>0</v>
      </c>
    </row>
    <row r="278" ht="15.75" customHeight="1">
      <c r="A278" s="31" t="s">
        <v>129</v>
      </c>
      <c r="B278" s="26" t="s">
        <v>557</v>
      </c>
      <c r="C278" s="27" t="s">
        <v>31</v>
      </c>
      <c r="D278" s="28" t="s">
        <v>755</v>
      </c>
      <c r="E278" s="28" t="s">
        <v>757</v>
      </c>
      <c r="F278" s="28" t="s">
        <v>757</v>
      </c>
      <c r="G278" s="28">
        <v>0.0</v>
      </c>
      <c r="H278" s="28"/>
      <c r="I278" s="28"/>
      <c r="J278" s="28"/>
      <c r="K278" s="30">
        <f t="shared" si="1"/>
        <v>0</v>
      </c>
    </row>
    <row r="279" ht="15.75" hidden="1" customHeight="1">
      <c r="A279" s="31" t="s">
        <v>207</v>
      </c>
      <c r="B279" s="26" t="s">
        <v>558</v>
      </c>
      <c r="C279" s="27" t="s">
        <v>40</v>
      </c>
      <c r="D279" s="28" t="s">
        <v>755</v>
      </c>
      <c r="E279" s="28" t="s">
        <v>93</v>
      </c>
      <c r="F279" s="28" t="s">
        <v>93</v>
      </c>
      <c r="G279" s="28">
        <v>1.0</v>
      </c>
      <c r="H279" s="28"/>
      <c r="I279" s="28"/>
      <c r="J279" s="28" t="s">
        <v>762</v>
      </c>
      <c r="K279" s="30">
        <f t="shared" si="1"/>
        <v>0</v>
      </c>
    </row>
    <row r="280" ht="15.75" hidden="1" customHeight="1">
      <c r="A280" s="31" t="s">
        <v>207</v>
      </c>
      <c r="B280" s="26" t="s">
        <v>558</v>
      </c>
      <c r="C280" s="27" t="s">
        <v>40</v>
      </c>
      <c r="D280" s="28" t="s">
        <v>755</v>
      </c>
      <c r="E280" s="28" t="s">
        <v>81</v>
      </c>
      <c r="F280" s="28" t="s">
        <v>81</v>
      </c>
      <c r="G280" s="28">
        <v>1.0</v>
      </c>
      <c r="H280" s="28">
        <v>4.0</v>
      </c>
      <c r="I280" s="28">
        <v>3.0</v>
      </c>
      <c r="J280" s="28" t="s">
        <v>762</v>
      </c>
      <c r="K280" s="30">
        <f t="shared" si="1"/>
        <v>150.7964474</v>
      </c>
    </row>
    <row r="281" ht="15.75" hidden="1" customHeight="1">
      <c r="A281" s="31" t="s">
        <v>207</v>
      </c>
      <c r="B281" s="26" t="s">
        <v>558</v>
      </c>
      <c r="C281" s="27" t="s">
        <v>40</v>
      </c>
      <c r="D281" s="28" t="s">
        <v>755</v>
      </c>
      <c r="E281" s="28" t="s">
        <v>63</v>
      </c>
      <c r="F281" s="28" t="s">
        <v>63</v>
      </c>
      <c r="G281" s="28">
        <v>1.0</v>
      </c>
      <c r="H281" s="28">
        <v>7.0</v>
      </c>
      <c r="I281" s="28">
        <v>4.0</v>
      </c>
      <c r="J281" s="28"/>
      <c r="K281" s="30">
        <f t="shared" si="1"/>
        <v>469.1445029</v>
      </c>
    </row>
    <row r="282" ht="15.75" hidden="1" customHeight="1">
      <c r="A282" s="31" t="s">
        <v>207</v>
      </c>
      <c r="B282" s="26" t="s">
        <v>558</v>
      </c>
      <c r="C282" s="27" t="s">
        <v>40</v>
      </c>
      <c r="D282" s="28" t="s">
        <v>755</v>
      </c>
      <c r="E282" s="28" t="s">
        <v>63</v>
      </c>
      <c r="F282" s="28" t="s">
        <v>63</v>
      </c>
      <c r="G282" s="28">
        <v>1.0</v>
      </c>
      <c r="H282" s="28">
        <v>9.0</v>
      </c>
      <c r="I282" s="28">
        <v>4.0</v>
      </c>
      <c r="J282" s="28"/>
      <c r="K282" s="30">
        <f t="shared" si="1"/>
        <v>603.1857895</v>
      </c>
    </row>
    <row r="283" ht="15.75" hidden="1" customHeight="1">
      <c r="A283" s="31" t="s">
        <v>150</v>
      </c>
      <c r="B283" s="26" t="s">
        <v>560</v>
      </c>
      <c r="C283" s="27" t="s">
        <v>40</v>
      </c>
      <c r="D283" s="28" t="s">
        <v>755</v>
      </c>
      <c r="E283" s="28" t="s">
        <v>91</v>
      </c>
      <c r="F283" s="28" t="s">
        <v>91</v>
      </c>
      <c r="G283" s="28">
        <v>1.0</v>
      </c>
      <c r="H283" s="28">
        <v>6.0</v>
      </c>
      <c r="I283" s="28">
        <v>5.0</v>
      </c>
      <c r="J283" s="28"/>
      <c r="K283" s="30">
        <f t="shared" si="1"/>
        <v>628.3185307</v>
      </c>
    </row>
    <row r="284" ht="15.75" hidden="1" customHeight="1">
      <c r="A284" s="32" t="s">
        <v>145</v>
      </c>
      <c r="B284" s="33" t="s">
        <v>562</v>
      </c>
      <c r="C284" s="34" t="s">
        <v>563</v>
      </c>
      <c r="D284" s="35" t="s">
        <v>760</v>
      </c>
      <c r="E284" s="35" t="s">
        <v>59</v>
      </c>
      <c r="F284" s="35" t="s">
        <v>59</v>
      </c>
      <c r="G284" s="35">
        <v>1.0</v>
      </c>
      <c r="H284" s="35">
        <v>13.0</v>
      </c>
      <c r="I284" s="35">
        <v>6.0</v>
      </c>
      <c r="J284" s="35"/>
      <c r="K284" s="30">
        <f t="shared" si="1"/>
        <v>1960.353816</v>
      </c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5.75" hidden="1" customHeight="1">
      <c r="A285" s="31" t="s">
        <v>210</v>
      </c>
      <c r="B285" s="26" t="s">
        <v>564</v>
      </c>
      <c r="C285" s="27" t="s">
        <v>28</v>
      </c>
      <c r="D285" s="28" t="s">
        <v>755</v>
      </c>
      <c r="E285" s="28" t="s">
        <v>63</v>
      </c>
      <c r="F285" s="28" t="s">
        <v>63</v>
      </c>
      <c r="G285" s="28">
        <v>1.0</v>
      </c>
      <c r="H285" s="28">
        <v>30.0</v>
      </c>
      <c r="I285" s="28">
        <v>10.0</v>
      </c>
      <c r="J285" s="28"/>
      <c r="K285" s="30">
        <f t="shared" si="1"/>
        <v>12566.37061</v>
      </c>
    </row>
    <row r="286" ht="15.75" hidden="1" customHeight="1">
      <c r="A286" s="31" t="s">
        <v>210</v>
      </c>
      <c r="B286" s="26" t="s">
        <v>564</v>
      </c>
      <c r="C286" s="27" t="s">
        <v>28</v>
      </c>
      <c r="D286" s="28" t="s">
        <v>755</v>
      </c>
      <c r="E286" s="28" t="s">
        <v>63</v>
      </c>
      <c r="F286" s="28" t="s">
        <v>63</v>
      </c>
      <c r="G286" s="28">
        <v>1.0</v>
      </c>
      <c r="H286" s="28">
        <v>7.0</v>
      </c>
      <c r="I286" s="28">
        <v>2.0</v>
      </c>
      <c r="J286" s="28"/>
      <c r="K286" s="30">
        <f t="shared" si="1"/>
        <v>117.2861257</v>
      </c>
    </row>
    <row r="287" ht="15.75" hidden="1" customHeight="1">
      <c r="A287" s="31" t="s">
        <v>210</v>
      </c>
      <c r="B287" s="26" t="s">
        <v>564</v>
      </c>
      <c r="C287" s="27" t="s">
        <v>28</v>
      </c>
      <c r="D287" s="28" t="s">
        <v>755</v>
      </c>
      <c r="E287" s="28" t="s">
        <v>63</v>
      </c>
      <c r="F287" s="28" t="s">
        <v>63</v>
      </c>
      <c r="G287" s="28">
        <v>1.0</v>
      </c>
      <c r="H287" s="28">
        <v>3.0</v>
      </c>
      <c r="I287" s="28">
        <v>1.0</v>
      </c>
      <c r="J287" s="28"/>
      <c r="K287" s="30">
        <f t="shared" si="1"/>
        <v>12.56637061</v>
      </c>
    </row>
    <row r="288" ht="15.75" hidden="1" customHeight="1">
      <c r="A288" s="31" t="s">
        <v>210</v>
      </c>
      <c r="B288" s="26" t="s">
        <v>564</v>
      </c>
      <c r="C288" s="27" t="s">
        <v>28</v>
      </c>
      <c r="D288" s="28" t="s">
        <v>755</v>
      </c>
      <c r="E288" s="28" t="s">
        <v>71</v>
      </c>
      <c r="F288" s="28" t="s">
        <v>71</v>
      </c>
      <c r="G288" s="28">
        <v>5.0</v>
      </c>
      <c r="H288" s="28"/>
      <c r="I288" s="28"/>
      <c r="J288" s="28" t="s">
        <v>762</v>
      </c>
      <c r="K288" s="30">
        <f t="shared" si="1"/>
        <v>0</v>
      </c>
    </row>
    <row r="289" ht="15.75" hidden="1" customHeight="1">
      <c r="A289" s="31" t="s">
        <v>210</v>
      </c>
      <c r="B289" s="26" t="s">
        <v>564</v>
      </c>
      <c r="C289" s="27" t="s">
        <v>28</v>
      </c>
      <c r="D289" s="28" t="s">
        <v>755</v>
      </c>
      <c r="E289" s="28" t="s">
        <v>63</v>
      </c>
      <c r="F289" s="28" t="s">
        <v>97</v>
      </c>
      <c r="G289" s="28">
        <v>3.0</v>
      </c>
      <c r="H289" s="28">
        <v>7.0</v>
      </c>
      <c r="I289" s="28">
        <v>2.0</v>
      </c>
      <c r="J289" s="28"/>
      <c r="K289" s="30">
        <f t="shared" si="1"/>
        <v>351.8583772</v>
      </c>
    </row>
    <row r="290" ht="15.75" hidden="1" customHeight="1">
      <c r="A290" s="31" t="s">
        <v>210</v>
      </c>
      <c r="B290" s="26" t="s">
        <v>564</v>
      </c>
      <c r="C290" s="27" t="s">
        <v>28</v>
      </c>
      <c r="D290" s="28" t="s">
        <v>755</v>
      </c>
      <c r="E290" s="28" t="s">
        <v>69</v>
      </c>
      <c r="F290" s="28" t="s">
        <v>69</v>
      </c>
      <c r="G290" s="28">
        <v>1.0</v>
      </c>
      <c r="H290" s="28"/>
      <c r="I290" s="28"/>
      <c r="J290" s="28" t="s">
        <v>814</v>
      </c>
      <c r="K290" s="30">
        <f t="shared" si="1"/>
        <v>0</v>
      </c>
    </row>
    <row r="291" ht="15.75" hidden="1" customHeight="1">
      <c r="A291" s="31" t="s">
        <v>210</v>
      </c>
      <c r="B291" s="26" t="s">
        <v>564</v>
      </c>
      <c r="C291" s="27" t="s">
        <v>28</v>
      </c>
      <c r="D291" s="28" t="s">
        <v>755</v>
      </c>
      <c r="E291" s="28" t="s">
        <v>63</v>
      </c>
      <c r="F291" s="28" t="s">
        <v>63</v>
      </c>
      <c r="G291" s="28">
        <v>1.0</v>
      </c>
      <c r="H291" s="28">
        <v>7.0</v>
      </c>
      <c r="I291" s="28">
        <v>4.0</v>
      </c>
      <c r="J291" s="28"/>
      <c r="K291" s="30">
        <f t="shared" si="1"/>
        <v>469.1445029</v>
      </c>
    </row>
    <row r="292" ht="15.75" hidden="1" customHeight="1">
      <c r="A292" s="31" t="s">
        <v>210</v>
      </c>
      <c r="B292" s="26" t="s">
        <v>564</v>
      </c>
      <c r="C292" s="27" t="s">
        <v>28</v>
      </c>
      <c r="D292" s="28" t="s">
        <v>755</v>
      </c>
      <c r="E292" s="28" t="s">
        <v>63</v>
      </c>
      <c r="F292" s="28" t="s">
        <v>63</v>
      </c>
      <c r="G292" s="28">
        <v>1.0</v>
      </c>
      <c r="H292" s="28">
        <v>14.0</v>
      </c>
      <c r="I292" s="28">
        <v>4.0</v>
      </c>
      <c r="J292" s="28"/>
      <c r="K292" s="30">
        <f t="shared" si="1"/>
        <v>938.2890059</v>
      </c>
    </row>
    <row r="293" ht="15.75" hidden="1" customHeight="1">
      <c r="A293" s="31" t="s">
        <v>210</v>
      </c>
      <c r="B293" s="26" t="s">
        <v>564</v>
      </c>
      <c r="C293" s="27" t="s">
        <v>28</v>
      </c>
      <c r="D293" s="28" t="s">
        <v>755</v>
      </c>
      <c r="E293" s="28" t="s">
        <v>63</v>
      </c>
      <c r="F293" s="28" t="s">
        <v>63</v>
      </c>
      <c r="G293" s="28">
        <v>1.0</v>
      </c>
      <c r="H293" s="28">
        <v>6.0</v>
      </c>
      <c r="I293" s="28">
        <v>3.0</v>
      </c>
      <c r="J293" s="28"/>
      <c r="K293" s="30">
        <f t="shared" si="1"/>
        <v>226.1946711</v>
      </c>
    </row>
    <row r="294" ht="15.75" hidden="1" customHeight="1">
      <c r="A294" s="31" t="s">
        <v>210</v>
      </c>
      <c r="B294" s="26" t="s">
        <v>564</v>
      </c>
      <c r="C294" s="27" t="s">
        <v>28</v>
      </c>
      <c r="D294" s="28" t="s">
        <v>755</v>
      </c>
      <c r="E294" s="28" t="s">
        <v>63</v>
      </c>
      <c r="F294" s="28" t="s">
        <v>63</v>
      </c>
      <c r="G294" s="28">
        <v>1.0</v>
      </c>
      <c r="H294" s="28">
        <v>17.0</v>
      </c>
      <c r="I294" s="28">
        <v>6.0</v>
      </c>
      <c r="J294" s="28"/>
      <c r="K294" s="30">
        <f t="shared" si="1"/>
        <v>2563.539605</v>
      </c>
    </row>
    <row r="295" ht="15.75" hidden="1" customHeight="1">
      <c r="A295" s="31" t="s">
        <v>129</v>
      </c>
      <c r="B295" s="26" t="s">
        <v>566</v>
      </c>
      <c r="C295" s="27" t="s">
        <v>6</v>
      </c>
      <c r="D295" s="28" t="s">
        <v>754</v>
      </c>
      <c r="E295" s="28" t="s">
        <v>757</v>
      </c>
      <c r="F295" s="28" t="s">
        <v>757</v>
      </c>
      <c r="G295" s="28">
        <v>0.0</v>
      </c>
      <c r="H295" s="28"/>
      <c r="I295" s="28"/>
      <c r="J295" s="28"/>
      <c r="K295" s="30">
        <f t="shared" si="1"/>
        <v>0</v>
      </c>
    </row>
    <row r="296" ht="15.75" hidden="1" customHeight="1">
      <c r="A296" s="25" t="s">
        <v>815</v>
      </c>
      <c r="B296" s="26" t="s">
        <v>568</v>
      </c>
      <c r="C296" s="27" t="s">
        <v>6</v>
      </c>
      <c r="D296" s="28" t="s">
        <v>754</v>
      </c>
      <c r="E296" s="28" t="s">
        <v>57</v>
      </c>
      <c r="F296" s="28" t="s">
        <v>57</v>
      </c>
      <c r="G296" s="28">
        <v>1.0</v>
      </c>
      <c r="H296" s="28"/>
      <c r="I296" s="28"/>
      <c r="J296" s="37" t="s">
        <v>762</v>
      </c>
      <c r="K296" s="30">
        <f t="shared" si="1"/>
        <v>0</v>
      </c>
    </row>
    <row r="297" ht="15.75" hidden="1" customHeight="1">
      <c r="A297" s="31" t="s">
        <v>137</v>
      </c>
      <c r="B297" s="26" t="s">
        <v>570</v>
      </c>
      <c r="C297" s="27" t="s">
        <v>6</v>
      </c>
      <c r="D297" s="28" t="s">
        <v>754</v>
      </c>
      <c r="E297" s="28" t="s">
        <v>759</v>
      </c>
      <c r="F297" s="28" t="s">
        <v>75</v>
      </c>
      <c r="G297" s="28">
        <v>2.0</v>
      </c>
      <c r="H297" s="28">
        <v>5.0</v>
      </c>
      <c r="I297" s="28">
        <v>1.0</v>
      </c>
      <c r="J297" s="28"/>
      <c r="K297" s="30">
        <f t="shared" si="1"/>
        <v>41.88790205</v>
      </c>
    </row>
    <row r="298" ht="15.75" hidden="1" customHeight="1">
      <c r="A298" s="31" t="s">
        <v>137</v>
      </c>
      <c r="B298" s="26" t="s">
        <v>570</v>
      </c>
      <c r="C298" s="27" t="s">
        <v>6</v>
      </c>
      <c r="D298" s="28" t="s">
        <v>754</v>
      </c>
      <c r="E298" s="28" t="s">
        <v>759</v>
      </c>
      <c r="F298" s="28" t="s">
        <v>75</v>
      </c>
      <c r="G298" s="28">
        <v>10.0</v>
      </c>
      <c r="H298" s="28">
        <v>4.0</v>
      </c>
      <c r="I298" s="28">
        <v>1.0</v>
      </c>
      <c r="J298" s="28"/>
      <c r="K298" s="30">
        <f t="shared" si="1"/>
        <v>167.5516082</v>
      </c>
    </row>
    <row r="299" ht="15.75" hidden="1" customHeight="1">
      <c r="A299" s="31" t="s">
        <v>137</v>
      </c>
      <c r="B299" s="26" t="s">
        <v>570</v>
      </c>
      <c r="C299" s="27" t="s">
        <v>6</v>
      </c>
      <c r="D299" s="28" t="s">
        <v>754</v>
      </c>
      <c r="E299" s="28" t="s">
        <v>759</v>
      </c>
      <c r="F299" s="28" t="s">
        <v>75</v>
      </c>
      <c r="G299" s="28">
        <v>5.0</v>
      </c>
      <c r="H299" s="28">
        <v>3.0</v>
      </c>
      <c r="I299" s="28">
        <v>1.0</v>
      </c>
      <c r="J299" s="28"/>
      <c r="K299" s="30">
        <f t="shared" si="1"/>
        <v>62.83185307</v>
      </c>
    </row>
    <row r="300" ht="15.75" hidden="1" customHeight="1">
      <c r="A300" s="31" t="s">
        <v>210</v>
      </c>
      <c r="B300" s="26" t="s">
        <v>572</v>
      </c>
      <c r="C300" s="27" t="s">
        <v>36</v>
      </c>
      <c r="D300" s="28" t="s">
        <v>754</v>
      </c>
      <c r="E300" s="28" t="s">
        <v>759</v>
      </c>
      <c r="F300" s="28" t="s">
        <v>75</v>
      </c>
      <c r="G300" s="28">
        <v>2.0</v>
      </c>
      <c r="H300" s="28"/>
      <c r="I300" s="28"/>
      <c r="J300" s="28" t="s">
        <v>762</v>
      </c>
      <c r="K300" s="30">
        <f t="shared" si="1"/>
        <v>0</v>
      </c>
    </row>
    <row r="301" ht="15.75" hidden="1" customHeight="1">
      <c r="A301" s="31" t="s">
        <v>210</v>
      </c>
      <c r="B301" s="26" t="s">
        <v>572</v>
      </c>
      <c r="C301" s="27" t="s">
        <v>36</v>
      </c>
      <c r="D301" s="28" t="s">
        <v>754</v>
      </c>
      <c r="E301" s="28" t="s">
        <v>63</v>
      </c>
      <c r="F301" s="28" t="s">
        <v>63</v>
      </c>
      <c r="G301" s="28">
        <v>1.0</v>
      </c>
      <c r="H301" s="28">
        <v>8.0</v>
      </c>
      <c r="I301" s="28">
        <v>5.0</v>
      </c>
      <c r="J301" s="28"/>
      <c r="K301" s="30">
        <f t="shared" si="1"/>
        <v>837.758041</v>
      </c>
    </row>
    <row r="302" ht="15.75" hidden="1" customHeight="1">
      <c r="A302" s="31" t="s">
        <v>210</v>
      </c>
      <c r="B302" s="26" t="s">
        <v>572</v>
      </c>
      <c r="C302" s="27" t="s">
        <v>36</v>
      </c>
      <c r="D302" s="28" t="s">
        <v>754</v>
      </c>
      <c r="E302" s="28" t="s">
        <v>63</v>
      </c>
      <c r="F302" s="28" t="s">
        <v>63</v>
      </c>
      <c r="G302" s="28">
        <v>5.0</v>
      </c>
      <c r="H302" s="28"/>
      <c r="I302" s="28"/>
      <c r="J302" s="28" t="s">
        <v>762</v>
      </c>
      <c r="K302" s="30">
        <f t="shared" si="1"/>
        <v>0</v>
      </c>
    </row>
    <row r="303" ht="15.75" hidden="1" customHeight="1">
      <c r="A303" s="31" t="s">
        <v>210</v>
      </c>
      <c r="B303" s="26" t="s">
        <v>572</v>
      </c>
      <c r="C303" s="27" t="s">
        <v>36</v>
      </c>
      <c r="D303" s="28" t="s">
        <v>754</v>
      </c>
      <c r="E303" s="28" t="s">
        <v>63</v>
      </c>
      <c r="F303" s="28" t="s">
        <v>63</v>
      </c>
      <c r="G303" s="28">
        <v>2.0</v>
      </c>
      <c r="H303" s="28">
        <v>5.0</v>
      </c>
      <c r="I303" s="28">
        <v>2.0</v>
      </c>
      <c r="J303" s="28"/>
      <c r="K303" s="30">
        <f t="shared" si="1"/>
        <v>167.5516082</v>
      </c>
    </row>
    <row r="304" ht="15.75" hidden="1" customHeight="1">
      <c r="A304" s="31" t="s">
        <v>210</v>
      </c>
      <c r="B304" s="26" t="s">
        <v>572</v>
      </c>
      <c r="C304" s="27" t="s">
        <v>36</v>
      </c>
      <c r="D304" s="28" t="s">
        <v>754</v>
      </c>
      <c r="E304" s="28" t="s">
        <v>63</v>
      </c>
      <c r="F304" s="28" t="s">
        <v>63</v>
      </c>
      <c r="G304" s="28">
        <v>2.0</v>
      </c>
      <c r="H304" s="28">
        <v>18.0</v>
      </c>
      <c r="I304" s="28">
        <v>6.0</v>
      </c>
      <c r="J304" s="28"/>
      <c r="K304" s="30">
        <f t="shared" si="1"/>
        <v>5428.672105</v>
      </c>
    </row>
    <row r="305" ht="15.75" hidden="1" customHeight="1">
      <c r="A305" s="31" t="s">
        <v>210</v>
      </c>
      <c r="B305" s="26" t="s">
        <v>572</v>
      </c>
      <c r="C305" s="27" t="s">
        <v>36</v>
      </c>
      <c r="D305" s="28" t="s">
        <v>754</v>
      </c>
      <c r="E305" s="28" t="s">
        <v>63</v>
      </c>
      <c r="F305" s="28" t="s">
        <v>63</v>
      </c>
      <c r="G305" s="28">
        <v>1.0</v>
      </c>
      <c r="H305" s="28">
        <v>12.0</v>
      </c>
      <c r="I305" s="28">
        <v>5.0</v>
      </c>
      <c r="J305" s="28"/>
      <c r="K305" s="30">
        <f t="shared" si="1"/>
        <v>1256.637061</v>
      </c>
    </row>
    <row r="306" ht="15.75" hidden="1" customHeight="1">
      <c r="A306" s="31" t="s">
        <v>210</v>
      </c>
      <c r="B306" s="26" t="s">
        <v>572</v>
      </c>
      <c r="C306" s="27" t="s">
        <v>36</v>
      </c>
      <c r="D306" s="28" t="s">
        <v>754</v>
      </c>
      <c r="E306" s="28" t="s">
        <v>63</v>
      </c>
      <c r="F306" s="28" t="s">
        <v>63</v>
      </c>
      <c r="G306" s="28">
        <v>1.0</v>
      </c>
      <c r="H306" s="28">
        <v>12.0</v>
      </c>
      <c r="I306" s="28">
        <v>4.0</v>
      </c>
      <c r="J306" s="28"/>
      <c r="K306" s="30">
        <f t="shared" si="1"/>
        <v>804.2477193</v>
      </c>
    </row>
    <row r="307" ht="15.75" hidden="1" customHeight="1">
      <c r="A307" s="31" t="s">
        <v>210</v>
      </c>
      <c r="B307" s="26" t="s">
        <v>572</v>
      </c>
      <c r="C307" s="27" t="s">
        <v>36</v>
      </c>
      <c r="D307" s="28" t="s">
        <v>754</v>
      </c>
      <c r="E307" s="28" t="s">
        <v>63</v>
      </c>
      <c r="F307" s="28" t="s">
        <v>63</v>
      </c>
      <c r="G307" s="28">
        <v>1.0</v>
      </c>
      <c r="H307" s="28">
        <v>17.0</v>
      </c>
      <c r="I307" s="28">
        <v>7.0</v>
      </c>
      <c r="J307" s="28"/>
      <c r="K307" s="30">
        <f t="shared" si="1"/>
        <v>3489.262241</v>
      </c>
    </row>
    <row r="308" ht="15.75" hidden="1" customHeight="1">
      <c r="A308" s="40" t="s">
        <v>360</v>
      </c>
      <c r="B308" s="33" t="s">
        <v>575</v>
      </c>
      <c r="C308" s="34" t="s">
        <v>576</v>
      </c>
      <c r="D308" s="35" t="s">
        <v>754</v>
      </c>
      <c r="E308" s="35" t="s">
        <v>757</v>
      </c>
      <c r="F308" s="35" t="s">
        <v>757</v>
      </c>
      <c r="G308" s="35">
        <v>0.0</v>
      </c>
      <c r="H308" s="35"/>
      <c r="I308" s="35"/>
      <c r="J308" s="35"/>
      <c r="K308" s="30">
        <f t="shared" si="1"/>
        <v>0</v>
      </c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5.75" hidden="1" customHeight="1">
      <c r="A309" s="40" t="s">
        <v>349</v>
      </c>
      <c r="B309" s="33" t="s">
        <v>579</v>
      </c>
      <c r="C309" s="34" t="s">
        <v>580</v>
      </c>
      <c r="D309" s="35" t="s">
        <v>760</v>
      </c>
      <c r="E309" s="35" t="s">
        <v>757</v>
      </c>
      <c r="F309" s="35" t="s">
        <v>757</v>
      </c>
      <c r="G309" s="35">
        <v>0.0</v>
      </c>
      <c r="H309" s="35"/>
      <c r="I309" s="35"/>
      <c r="J309" s="35"/>
      <c r="K309" s="30">
        <f t="shared" si="1"/>
        <v>0</v>
      </c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5.75" hidden="1" customHeight="1">
      <c r="A310" s="25" t="s">
        <v>441</v>
      </c>
      <c r="B310" s="42" t="s">
        <v>582</v>
      </c>
      <c r="C310" s="27" t="s">
        <v>37</v>
      </c>
      <c r="D310" s="28" t="s">
        <v>755</v>
      </c>
      <c r="E310" s="5" t="s">
        <v>91</v>
      </c>
      <c r="F310" s="5" t="s">
        <v>91</v>
      </c>
      <c r="G310" s="5">
        <v>1.0</v>
      </c>
      <c r="H310" s="5">
        <v>4.0</v>
      </c>
      <c r="I310" s="5">
        <v>3.0</v>
      </c>
      <c r="J310" s="43"/>
      <c r="K310" s="30">
        <f t="shared" si="1"/>
        <v>150.7964474</v>
      </c>
    </row>
    <row r="311" ht="15.75" hidden="1" customHeight="1">
      <c r="A311" s="25" t="s">
        <v>441</v>
      </c>
      <c r="B311" s="42" t="s">
        <v>582</v>
      </c>
      <c r="C311" s="27" t="s">
        <v>37</v>
      </c>
      <c r="D311" s="28" t="s">
        <v>755</v>
      </c>
      <c r="E311" s="5" t="s">
        <v>63</v>
      </c>
      <c r="F311" s="5" t="s">
        <v>63</v>
      </c>
      <c r="G311" s="5">
        <v>1.0</v>
      </c>
      <c r="H311" s="5">
        <v>18.0</v>
      </c>
      <c r="I311" s="5">
        <v>6.0</v>
      </c>
      <c r="J311" s="43"/>
      <c r="K311" s="30">
        <f t="shared" si="1"/>
        <v>2714.336053</v>
      </c>
    </row>
    <row r="312" ht="15.75" hidden="1" customHeight="1">
      <c r="A312" s="25" t="s">
        <v>441</v>
      </c>
      <c r="B312" s="42" t="s">
        <v>582</v>
      </c>
      <c r="C312" s="27" t="s">
        <v>37</v>
      </c>
      <c r="D312" s="28" t="s">
        <v>755</v>
      </c>
      <c r="E312" s="5" t="s">
        <v>63</v>
      </c>
      <c r="F312" s="5" t="s">
        <v>63</v>
      </c>
      <c r="G312" s="5">
        <v>1.0</v>
      </c>
      <c r="H312" s="5">
        <v>6.0</v>
      </c>
      <c r="I312" s="5">
        <v>3.0</v>
      </c>
      <c r="J312" s="43"/>
      <c r="K312" s="30">
        <f t="shared" si="1"/>
        <v>226.1946711</v>
      </c>
    </row>
    <row r="313" ht="15.75" hidden="1" customHeight="1">
      <c r="A313" s="25" t="s">
        <v>441</v>
      </c>
      <c r="B313" s="42" t="s">
        <v>582</v>
      </c>
      <c r="C313" s="27" t="s">
        <v>37</v>
      </c>
      <c r="D313" s="28" t="s">
        <v>755</v>
      </c>
      <c r="E313" s="5" t="s">
        <v>63</v>
      </c>
      <c r="F313" s="5" t="s">
        <v>63</v>
      </c>
      <c r="G313" s="5">
        <v>1.0</v>
      </c>
      <c r="H313" s="5">
        <v>2.0</v>
      </c>
      <c r="I313" s="5">
        <v>1.0</v>
      </c>
      <c r="J313" s="43"/>
      <c r="K313" s="30">
        <f t="shared" si="1"/>
        <v>8.37758041</v>
      </c>
    </row>
    <row r="314" ht="15.75" hidden="1" customHeight="1">
      <c r="A314" s="25" t="s">
        <v>441</v>
      </c>
      <c r="B314" s="42" t="s">
        <v>582</v>
      </c>
      <c r="C314" s="27" t="s">
        <v>37</v>
      </c>
      <c r="D314" s="28" t="s">
        <v>755</v>
      </c>
      <c r="E314" s="5" t="s">
        <v>791</v>
      </c>
      <c r="F314" s="5" t="s">
        <v>75</v>
      </c>
      <c r="G314" s="5">
        <v>1.0</v>
      </c>
      <c r="H314" s="5">
        <v>13.0</v>
      </c>
      <c r="I314" s="5">
        <v>2.0</v>
      </c>
      <c r="J314" s="43"/>
      <c r="K314" s="30">
        <f t="shared" si="1"/>
        <v>217.8170906</v>
      </c>
    </row>
    <row r="315" ht="15.75" hidden="1" customHeight="1">
      <c r="A315" s="25" t="s">
        <v>441</v>
      </c>
      <c r="B315" s="42" t="s">
        <v>582</v>
      </c>
      <c r="C315" s="27" t="s">
        <v>37</v>
      </c>
      <c r="D315" s="28" t="s">
        <v>755</v>
      </c>
      <c r="E315" s="5" t="s">
        <v>791</v>
      </c>
      <c r="F315" s="5" t="s">
        <v>75</v>
      </c>
      <c r="G315" s="5">
        <v>1.0</v>
      </c>
      <c r="H315" s="5">
        <v>7.0</v>
      </c>
      <c r="I315" s="5">
        <v>2.0</v>
      </c>
      <c r="J315" s="43"/>
      <c r="K315" s="30">
        <f t="shared" si="1"/>
        <v>117.2861257</v>
      </c>
    </row>
    <row r="316" ht="15.75" hidden="1" customHeight="1">
      <c r="A316" s="25" t="s">
        <v>441</v>
      </c>
      <c r="B316" s="42" t="s">
        <v>582</v>
      </c>
      <c r="C316" s="27" t="s">
        <v>37</v>
      </c>
      <c r="D316" s="28" t="s">
        <v>755</v>
      </c>
      <c r="E316" s="5" t="s">
        <v>791</v>
      </c>
      <c r="F316" s="5" t="s">
        <v>75</v>
      </c>
      <c r="G316" s="5">
        <v>12.0</v>
      </c>
      <c r="H316" s="5">
        <v>5.0</v>
      </c>
      <c r="I316" s="5">
        <v>1.0</v>
      </c>
      <c r="J316" s="43"/>
      <c r="K316" s="30">
        <f t="shared" si="1"/>
        <v>251.3274123</v>
      </c>
    </row>
    <row r="317" ht="15.75" hidden="1" customHeight="1">
      <c r="A317" s="25" t="s">
        <v>441</v>
      </c>
      <c r="B317" s="42" t="s">
        <v>582</v>
      </c>
      <c r="C317" s="27" t="s">
        <v>37</v>
      </c>
      <c r="D317" s="28" t="s">
        <v>755</v>
      </c>
      <c r="E317" s="5" t="s">
        <v>791</v>
      </c>
      <c r="F317" s="5" t="s">
        <v>75</v>
      </c>
      <c r="G317" s="5">
        <v>1.0</v>
      </c>
      <c r="H317" s="5">
        <v>3.0</v>
      </c>
      <c r="I317" s="5">
        <v>1.0</v>
      </c>
      <c r="J317" s="43"/>
      <c r="K317" s="30">
        <f t="shared" si="1"/>
        <v>12.56637061</v>
      </c>
    </row>
    <row r="318" ht="15.75" hidden="1" customHeight="1">
      <c r="A318" s="25" t="s">
        <v>441</v>
      </c>
      <c r="B318" s="42" t="s">
        <v>582</v>
      </c>
      <c r="C318" s="27" t="s">
        <v>37</v>
      </c>
      <c r="D318" s="28" t="s">
        <v>755</v>
      </c>
      <c r="E318" s="5" t="s">
        <v>791</v>
      </c>
      <c r="F318" s="5" t="s">
        <v>75</v>
      </c>
      <c r="G318" s="5">
        <v>1.0</v>
      </c>
      <c r="H318" s="5">
        <v>4.0</v>
      </c>
      <c r="I318" s="5">
        <v>1.0</v>
      </c>
      <c r="J318" s="43"/>
      <c r="K318" s="30">
        <f t="shared" si="1"/>
        <v>16.75516082</v>
      </c>
    </row>
    <row r="319" ht="15.75" hidden="1" customHeight="1">
      <c r="A319" s="25" t="s">
        <v>441</v>
      </c>
      <c r="B319" s="42" t="s">
        <v>582</v>
      </c>
      <c r="C319" s="27" t="s">
        <v>37</v>
      </c>
      <c r="D319" s="28" t="s">
        <v>755</v>
      </c>
      <c r="E319" s="5" t="s">
        <v>77</v>
      </c>
      <c r="F319" s="5" t="s">
        <v>77</v>
      </c>
      <c r="G319" s="5">
        <v>1.0</v>
      </c>
      <c r="H319" s="5">
        <v>12.0</v>
      </c>
      <c r="I319" s="5">
        <v>5.0</v>
      </c>
      <c r="J319" s="43"/>
      <c r="K319" s="30">
        <f t="shared" si="1"/>
        <v>1256.637061</v>
      </c>
    </row>
    <row r="320" ht="15.75" hidden="1" customHeight="1">
      <c r="A320" s="25" t="s">
        <v>441</v>
      </c>
      <c r="B320" s="42" t="s">
        <v>582</v>
      </c>
      <c r="C320" s="27" t="s">
        <v>37</v>
      </c>
      <c r="D320" s="28" t="s">
        <v>755</v>
      </c>
      <c r="E320" s="5" t="s">
        <v>71</v>
      </c>
      <c r="F320" s="5" t="s">
        <v>71</v>
      </c>
      <c r="G320" s="5">
        <v>1.0</v>
      </c>
      <c r="H320" s="5">
        <v>35.0</v>
      </c>
      <c r="I320" s="5">
        <v>3.0</v>
      </c>
      <c r="J320" s="43"/>
      <c r="K320" s="30">
        <f t="shared" si="1"/>
        <v>1319.468915</v>
      </c>
    </row>
    <row r="321" ht="15.75" hidden="1" customHeight="1">
      <c r="A321" s="31" t="s">
        <v>150</v>
      </c>
      <c r="B321" s="26" t="s">
        <v>585</v>
      </c>
      <c r="C321" s="27" t="s">
        <v>40</v>
      </c>
      <c r="D321" s="28" t="s">
        <v>755</v>
      </c>
      <c r="E321" s="28" t="s">
        <v>757</v>
      </c>
      <c r="F321" s="28" t="s">
        <v>757</v>
      </c>
      <c r="G321" s="28">
        <v>0.0</v>
      </c>
      <c r="H321" s="28"/>
      <c r="I321" s="28"/>
      <c r="J321" s="28"/>
      <c r="K321" s="30">
        <f t="shared" si="1"/>
        <v>0</v>
      </c>
    </row>
    <row r="322" ht="15.75" hidden="1" customHeight="1">
      <c r="A322" s="25" t="s">
        <v>816</v>
      </c>
      <c r="B322" s="26" t="s">
        <v>587</v>
      </c>
      <c r="C322" s="27" t="s">
        <v>40</v>
      </c>
      <c r="D322" s="28" t="s">
        <v>755</v>
      </c>
      <c r="E322" s="28" t="s">
        <v>757</v>
      </c>
      <c r="F322" s="28" t="s">
        <v>757</v>
      </c>
      <c r="G322" s="28">
        <v>0.0</v>
      </c>
      <c r="H322" s="28"/>
      <c r="I322" s="28"/>
      <c r="J322" s="28"/>
      <c r="K322" s="30">
        <f t="shared" si="1"/>
        <v>0</v>
      </c>
    </row>
    <row r="323" ht="15.75" customHeight="1">
      <c r="A323" s="31" t="s">
        <v>214</v>
      </c>
      <c r="B323" s="26" t="s">
        <v>588</v>
      </c>
      <c r="C323" s="27" t="s">
        <v>30</v>
      </c>
      <c r="D323" s="28" t="s">
        <v>754</v>
      </c>
      <c r="E323" s="28" t="s">
        <v>757</v>
      </c>
      <c r="F323" s="28" t="s">
        <v>757</v>
      </c>
      <c r="G323" s="28">
        <v>0.0</v>
      </c>
      <c r="H323" s="28"/>
      <c r="I323" s="28"/>
      <c r="J323" s="28"/>
      <c r="K323" s="30">
        <f t="shared" si="1"/>
        <v>0</v>
      </c>
    </row>
    <row r="324" ht="15.75" customHeight="1">
      <c r="A324" s="31" t="s">
        <v>207</v>
      </c>
      <c r="B324" s="26" t="s">
        <v>590</v>
      </c>
      <c r="C324" s="27" t="s">
        <v>30</v>
      </c>
      <c r="D324" s="28" t="s">
        <v>754</v>
      </c>
      <c r="E324" s="28" t="s">
        <v>757</v>
      </c>
      <c r="F324" s="28" t="s">
        <v>757</v>
      </c>
      <c r="G324" s="28">
        <v>0.0</v>
      </c>
      <c r="H324" s="28"/>
      <c r="I324" s="28"/>
      <c r="J324" s="28"/>
      <c r="K324" s="30">
        <f t="shared" si="1"/>
        <v>0</v>
      </c>
    </row>
    <row r="325" ht="15.75" hidden="1" customHeight="1">
      <c r="A325" s="25" t="s">
        <v>145</v>
      </c>
      <c r="B325" s="26" t="s">
        <v>593</v>
      </c>
      <c r="C325" s="27" t="s">
        <v>18</v>
      </c>
      <c r="D325" s="28" t="s">
        <v>754</v>
      </c>
      <c r="E325" s="28" t="s">
        <v>757</v>
      </c>
      <c r="F325" s="28" t="s">
        <v>757</v>
      </c>
      <c r="G325" s="28">
        <v>0.0</v>
      </c>
      <c r="H325" s="28"/>
      <c r="I325" s="28"/>
      <c r="J325" s="28"/>
      <c r="K325" s="30">
        <f t="shared" si="1"/>
        <v>0</v>
      </c>
    </row>
    <row r="326" ht="15.75" hidden="1" customHeight="1">
      <c r="A326" s="25" t="s">
        <v>119</v>
      </c>
      <c r="B326" s="26" t="s">
        <v>595</v>
      </c>
      <c r="C326" s="27" t="s">
        <v>18</v>
      </c>
      <c r="D326" s="28" t="s">
        <v>754</v>
      </c>
      <c r="E326" s="28" t="s">
        <v>757</v>
      </c>
      <c r="F326" s="28" t="s">
        <v>757</v>
      </c>
      <c r="G326" s="28">
        <v>0.0</v>
      </c>
      <c r="H326" s="28"/>
      <c r="I326" s="28"/>
      <c r="J326" s="28"/>
      <c r="K326" s="30">
        <f t="shared" si="1"/>
        <v>0</v>
      </c>
    </row>
    <row r="327" ht="15.75" hidden="1" customHeight="1">
      <c r="A327" s="25" t="s">
        <v>119</v>
      </c>
      <c r="B327" s="26" t="s">
        <v>597</v>
      </c>
      <c r="C327" s="27" t="s">
        <v>18</v>
      </c>
      <c r="D327" s="28" t="s">
        <v>754</v>
      </c>
      <c r="E327" s="28" t="s">
        <v>763</v>
      </c>
      <c r="F327" s="28" t="s">
        <v>763</v>
      </c>
      <c r="G327" s="28">
        <v>1.0</v>
      </c>
      <c r="H327" s="28"/>
      <c r="I327" s="28"/>
      <c r="J327" s="37" t="s">
        <v>762</v>
      </c>
      <c r="K327" s="30">
        <f t="shared" si="1"/>
        <v>0</v>
      </c>
    </row>
    <row r="328" ht="15.75" hidden="1" customHeight="1">
      <c r="A328" s="32" t="s">
        <v>318</v>
      </c>
      <c r="B328" s="48" t="s">
        <v>598</v>
      </c>
      <c r="C328" s="34" t="s">
        <v>378</v>
      </c>
      <c r="D328" s="35" t="s">
        <v>760</v>
      </c>
      <c r="E328" s="49" t="s">
        <v>757</v>
      </c>
      <c r="F328" s="49" t="s">
        <v>757</v>
      </c>
      <c r="G328" s="49">
        <v>0.0</v>
      </c>
      <c r="H328" s="49"/>
      <c r="I328" s="49"/>
      <c r="J328" s="50"/>
      <c r="K328" s="30">
        <f t="shared" si="1"/>
        <v>0</v>
      </c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5.75" hidden="1" customHeight="1">
      <c r="A329" s="40" t="s">
        <v>349</v>
      </c>
      <c r="B329" s="33" t="s">
        <v>600</v>
      </c>
      <c r="C329" s="34" t="s">
        <v>601</v>
      </c>
      <c r="D329" s="35" t="s">
        <v>755</v>
      </c>
      <c r="E329" s="35" t="s">
        <v>763</v>
      </c>
      <c r="F329" s="35" t="s">
        <v>763</v>
      </c>
      <c r="G329" s="35">
        <v>1.0</v>
      </c>
      <c r="H329" s="35"/>
      <c r="I329" s="35"/>
      <c r="J329" s="35"/>
      <c r="K329" s="30">
        <f t="shared" si="1"/>
        <v>0</v>
      </c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5.75" hidden="1" customHeight="1">
      <c r="A330" s="40" t="s">
        <v>349</v>
      </c>
      <c r="B330" s="33" t="s">
        <v>600</v>
      </c>
      <c r="C330" s="34" t="s">
        <v>601</v>
      </c>
      <c r="D330" s="35" t="s">
        <v>755</v>
      </c>
      <c r="E330" s="35" t="s">
        <v>794</v>
      </c>
      <c r="F330" s="35" t="s">
        <v>794</v>
      </c>
      <c r="G330" s="35">
        <v>1.0</v>
      </c>
      <c r="H330" s="35"/>
      <c r="I330" s="35"/>
      <c r="J330" s="35"/>
      <c r="K330" s="30">
        <f t="shared" si="1"/>
        <v>0</v>
      </c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5.75" hidden="1" customHeight="1">
      <c r="A331" s="31" t="s">
        <v>137</v>
      </c>
      <c r="B331" s="26" t="s">
        <v>603</v>
      </c>
      <c r="C331" s="27" t="s">
        <v>10</v>
      </c>
      <c r="D331" s="28" t="s">
        <v>754</v>
      </c>
      <c r="E331" s="28" t="s">
        <v>757</v>
      </c>
      <c r="F331" s="28" t="s">
        <v>757</v>
      </c>
      <c r="G331" s="28">
        <v>0.0</v>
      </c>
      <c r="H331" s="28"/>
      <c r="I331" s="28"/>
      <c r="J331" s="28"/>
      <c r="K331" s="30">
        <f t="shared" si="1"/>
        <v>0</v>
      </c>
    </row>
    <row r="332" ht="15.75" hidden="1" customHeight="1">
      <c r="A332" s="31" t="s">
        <v>150</v>
      </c>
      <c r="B332" s="26" t="s">
        <v>604</v>
      </c>
      <c r="C332" s="27" t="s">
        <v>24</v>
      </c>
      <c r="D332" s="28" t="s">
        <v>755</v>
      </c>
      <c r="E332" s="28" t="s">
        <v>93</v>
      </c>
      <c r="F332" s="28" t="s">
        <v>93</v>
      </c>
      <c r="G332" s="28">
        <v>1.0</v>
      </c>
      <c r="H332" s="28"/>
      <c r="I332" s="28"/>
      <c r="J332" s="37" t="s">
        <v>762</v>
      </c>
      <c r="K332" s="30">
        <f t="shared" si="1"/>
        <v>0</v>
      </c>
    </row>
    <row r="333" ht="15.75" hidden="1" customHeight="1">
      <c r="A333" s="40" t="s">
        <v>491</v>
      </c>
      <c r="B333" s="33" t="s">
        <v>605</v>
      </c>
      <c r="C333" s="34" t="s">
        <v>606</v>
      </c>
      <c r="D333" s="35" t="s">
        <v>760</v>
      </c>
      <c r="E333" s="35" t="s">
        <v>63</v>
      </c>
      <c r="F333" s="35" t="s">
        <v>63</v>
      </c>
      <c r="G333" s="35">
        <v>2.0</v>
      </c>
      <c r="H333" s="35">
        <v>5.0</v>
      </c>
      <c r="I333" s="35">
        <v>3.0</v>
      </c>
      <c r="J333" s="35"/>
      <c r="K333" s="30">
        <f t="shared" si="1"/>
        <v>376.9911184</v>
      </c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5.75" hidden="1" customHeight="1">
      <c r="A334" s="40" t="s">
        <v>491</v>
      </c>
      <c r="B334" s="33" t="s">
        <v>605</v>
      </c>
      <c r="C334" s="34" t="s">
        <v>606</v>
      </c>
      <c r="D334" s="35" t="s">
        <v>760</v>
      </c>
      <c r="E334" s="35" t="s">
        <v>63</v>
      </c>
      <c r="F334" s="35" t="s">
        <v>63</v>
      </c>
      <c r="G334" s="35">
        <v>1.0</v>
      </c>
      <c r="H334" s="35">
        <v>6.0</v>
      </c>
      <c r="I334" s="35">
        <v>2.0</v>
      </c>
      <c r="J334" s="35"/>
      <c r="K334" s="30">
        <f t="shared" si="1"/>
        <v>100.5309649</v>
      </c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5.75" hidden="1" customHeight="1">
      <c r="A335" s="31" t="s">
        <v>134</v>
      </c>
      <c r="B335" s="26" t="s">
        <v>608</v>
      </c>
      <c r="C335" s="27" t="s">
        <v>18</v>
      </c>
      <c r="D335" s="28" t="s">
        <v>754</v>
      </c>
      <c r="E335" s="28" t="s">
        <v>759</v>
      </c>
      <c r="F335" s="28" t="s">
        <v>75</v>
      </c>
      <c r="G335" s="28">
        <v>2.0</v>
      </c>
      <c r="H335" s="28">
        <v>2.0</v>
      </c>
      <c r="I335" s="28">
        <v>0.5</v>
      </c>
      <c r="J335" s="28"/>
      <c r="K335" s="30">
        <f t="shared" si="1"/>
        <v>4.188790205</v>
      </c>
    </row>
    <row r="336" ht="15.75" hidden="1" customHeight="1">
      <c r="A336" s="31" t="s">
        <v>134</v>
      </c>
      <c r="B336" s="26" t="s">
        <v>608</v>
      </c>
      <c r="C336" s="27" t="s">
        <v>18</v>
      </c>
      <c r="D336" s="28" t="s">
        <v>754</v>
      </c>
      <c r="E336" s="28" t="s">
        <v>759</v>
      </c>
      <c r="F336" s="28" t="s">
        <v>75</v>
      </c>
      <c r="G336" s="28">
        <v>2.0</v>
      </c>
      <c r="H336" s="28">
        <v>5.0</v>
      </c>
      <c r="I336" s="28">
        <v>1.0</v>
      </c>
      <c r="J336" s="28"/>
      <c r="K336" s="30">
        <f t="shared" si="1"/>
        <v>41.88790205</v>
      </c>
    </row>
    <row r="337" ht="15.75" hidden="1" customHeight="1">
      <c r="A337" s="31" t="s">
        <v>134</v>
      </c>
      <c r="B337" s="26" t="s">
        <v>608</v>
      </c>
      <c r="C337" s="27" t="s">
        <v>18</v>
      </c>
      <c r="D337" s="28" t="s">
        <v>754</v>
      </c>
      <c r="E337" s="28" t="s">
        <v>759</v>
      </c>
      <c r="F337" s="28" t="s">
        <v>75</v>
      </c>
      <c r="G337" s="28">
        <v>1.0</v>
      </c>
      <c r="H337" s="28">
        <v>3.0</v>
      </c>
      <c r="I337" s="28">
        <v>0.5</v>
      </c>
      <c r="J337" s="28"/>
      <c r="K337" s="30">
        <f t="shared" si="1"/>
        <v>3.141592654</v>
      </c>
    </row>
    <row r="338" ht="15.75" hidden="1" customHeight="1">
      <c r="A338" s="31" t="s">
        <v>150</v>
      </c>
      <c r="B338" s="26" t="s">
        <v>610</v>
      </c>
      <c r="C338" s="27" t="s">
        <v>37</v>
      </c>
      <c r="D338" s="28" t="s">
        <v>755</v>
      </c>
      <c r="E338" s="28" t="s">
        <v>77</v>
      </c>
      <c r="F338" s="28" t="s">
        <v>79</v>
      </c>
      <c r="G338" s="28">
        <v>2.0</v>
      </c>
      <c r="H338" s="28">
        <v>13.0</v>
      </c>
      <c r="I338" s="28">
        <v>5.0</v>
      </c>
      <c r="J338" s="28"/>
      <c r="K338" s="30">
        <f t="shared" si="1"/>
        <v>2722.713633</v>
      </c>
    </row>
    <row r="339" ht="15.75" hidden="1" customHeight="1">
      <c r="A339" s="31" t="s">
        <v>158</v>
      </c>
      <c r="B339" s="26" t="s">
        <v>613</v>
      </c>
      <c r="C339" s="27" t="s">
        <v>36</v>
      </c>
      <c r="D339" s="28" t="s">
        <v>754</v>
      </c>
      <c r="E339" s="28" t="s">
        <v>757</v>
      </c>
      <c r="F339" s="28" t="s">
        <v>757</v>
      </c>
      <c r="G339" s="28">
        <v>0.0</v>
      </c>
      <c r="H339" s="28"/>
      <c r="I339" s="28"/>
      <c r="J339" s="28"/>
      <c r="K339" s="30">
        <f t="shared" si="1"/>
        <v>0</v>
      </c>
    </row>
    <row r="340" ht="15.75" hidden="1" customHeight="1">
      <c r="A340" s="25" t="s">
        <v>817</v>
      </c>
      <c r="B340" s="26" t="s">
        <v>616</v>
      </c>
      <c r="C340" s="27" t="s">
        <v>40</v>
      </c>
      <c r="D340" s="28" t="s">
        <v>755</v>
      </c>
      <c r="E340" s="28" t="s">
        <v>757</v>
      </c>
      <c r="F340" s="28" t="s">
        <v>757</v>
      </c>
      <c r="G340" s="28">
        <v>0.0</v>
      </c>
      <c r="H340" s="28"/>
      <c r="I340" s="28"/>
      <c r="J340" s="28"/>
      <c r="K340" s="30">
        <f t="shared" si="1"/>
        <v>0</v>
      </c>
    </row>
    <row r="341" ht="15.75" hidden="1" customHeight="1">
      <c r="A341" s="31" t="s">
        <v>150</v>
      </c>
      <c r="B341" s="26" t="s">
        <v>617</v>
      </c>
      <c r="C341" s="27" t="s">
        <v>40</v>
      </c>
      <c r="D341" s="28" t="s">
        <v>755</v>
      </c>
      <c r="E341" s="28" t="s">
        <v>757</v>
      </c>
      <c r="F341" s="28" t="s">
        <v>757</v>
      </c>
      <c r="G341" s="28">
        <v>0.0</v>
      </c>
      <c r="H341" s="28"/>
      <c r="I341" s="28"/>
      <c r="J341" s="28"/>
      <c r="K341" s="30">
        <f t="shared" si="1"/>
        <v>0</v>
      </c>
    </row>
    <row r="342" ht="15.75" hidden="1" customHeight="1">
      <c r="A342" s="25" t="s">
        <v>818</v>
      </c>
      <c r="B342" s="26" t="s">
        <v>618</v>
      </c>
      <c r="C342" s="27" t="s">
        <v>40</v>
      </c>
      <c r="D342" s="28" t="s">
        <v>755</v>
      </c>
      <c r="E342" s="28" t="s">
        <v>757</v>
      </c>
      <c r="F342" s="28" t="s">
        <v>757</v>
      </c>
      <c r="G342" s="28">
        <v>0.0</v>
      </c>
      <c r="H342" s="28"/>
      <c r="I342" s="28"/>
      <c r="J342" s="28"/>
      <c r="K342" s="30">
        <f t="shared" si="1"/>
        <v>0</v>
      </c>
    </row>
    <row r="343" ht="15.75" hidden="1" customHeight="1">
      <c r="A343" s="31" t="s">
        <v>170</v>
      </c>
      <c r="B343" s="26" t="s">
        <v>620</v>
      </c>
      <c r="C343" s="27" t="s">
        <v>40</v>
      </c>
      <c r="D343" s="28" t="s">
        <v>755</v>
      </c>
      <c r="E343" s="28" t="s">
        <v>757</v>
      </c>
      <c r="F343" s="28" t="s">
        <v>757</v>
      </c>
      <c r="G343" s="28">
        <v>0.0</v>
      </c>
      <c r="H343" s="28"/>
      <c r="I343" s="28"/>
      <c r="J343" s="28"/>
      <c r="K343" s="30">
        <f t="shared" si="1"/>
        <v>0</v>
      </c>
    </row>
    <row r="344" ht="15.75" hidden="1" customHeight="1">
      <c r="A344" s="31" t="s">
        <v>207</v>
      </c>
      <c r="B344" s="26" t="s">
        <v>621</v>
      </c>
      <c r="C344" s="27" t="s">
        <v>40</v>
      </c>
      <c r="D344" s="28" t="s">
        <v>755</v>
      </c>
      <c r="E344" s="28" t="s">
        <v>63</v>
      </c>
      <c r="F344" s="28" t="s">
        <v>63</v>
      </c>
      <c r="G344" s="28">
        <v>1.0</v>
      </c>
      <c r="H344" s="28">
        <v>18.0</v>
      </c>
      <c r="I344" s="28">
        <v>7.0</v>
      </c>
      <c r="J344" s="28"/>
      <c r="K344" s="30">
        <f t="shared" si="1"/>
        <v>3694.512961</v>
      </c>
    </row>
    <row r="345" ht="15.75" hidden="1" customHeight="1">
      <c r="A345" s="31" t="s">
        <v>207</v>
      </c>
      <c r="B345" s="26" t="s">
        <v>621</v>
      </c>
      <c r="C345" s="27" t="s">
        <v>40</v>
      </c>
      <c r="D345" s="28" t="s">
        <v>755</v>
      </c>
      <c r="E345" s="28" t="s">
        <v>63</v>
      </c>
      <c r="F345" s="28" t="s">
        <v>63</v>
      </c>
      <c r="G345" s="28">
        <v>1.0</v>
      </c>
      <c r="H345" s="28">
        <v>14.0</v>
      </c>
      <c r="I345" s="28">
        <v>9.0</v>
      </c>
      <c r="J345" s="28"/>
      <c r="K345" s="30">
        <f t="shared" si="1"/>
        <v>4750.088092</v>
      </c>
    </row>
    <row r="346" ht="15.75" hidden="1" customHeight="1">
      <c r="A346" s="51" t="s">
        <v>210</v>
      </c>
      <c r="B346" s="52" t="s">
        <v>622</v>
      </c>
      <c r="C346" s="27" t="s">
        <v>40</v>
      </c>
      <c r="D346" s="28" t="s">
        <v>755</v>
      </c>
      <c r="E346" s="4" t="s">
        <v>63</v>
      </c>
      <c r="F346" s="4" t="s">
        <v>63</v>
      </c>
      <c r="G346" s="4">
        <v>15.0</v>
      </c>
      <c r="H346" s="4">
        <v>15.0</v>
      </c>
      <c r="I346" s="4">
        <v>9.0</v>
      </c>
      <c r="J346" s="28"/>
      <c r="K346" s="30">
        <f t="shared" si="1"/>
        <v>76340.70148</v>
      </c>
    </row>
    <row r="347" ht="15.75" hidden="1" customHeight="1">
      <c r="A347" s="51" t="s">
        <v>210</v>
      </c>
      <c r="B347" s="52" t="s">
        <v>622</v>
      </c>
      <c r="C347" s="27" t="s">
        <v>40</v>
      </c>
      <c r="D347" s="28" t="s">
        <v>755</v>
      </c>
      <c r="E347" s="28" t="s">
        <v>63</v>
      </c>
      <c r="F347" s="28" t="s">
        <v>63</v>
      </c>
      <c r="G347" s="28">
        <v>8.0</v>
      </c>
      <c r="H347" s="28">
        <v>14.0</v>
      </c>
      <c r="I347" s="28">
        <v>7.0</v>
      </c>
      <c r="J347" s="28"/>
      <c r="K347" s="30">
        <f t="shared" si="1"/>
        <v>22988.08064</v>
      </c>
    </row>
    <row r="348" ht="15.75" hidden="1" customHeight="1">
      <c r="A348" s="51" t="s">
        <v>210</v>
      </c>
      <c r="B348" s="52" t="s">
        <v>622</v>
      </c>
      <c r="C348" s="27" t="s">
        <v>40</v>
      </c>
      <c r="D348" s="28" t="s">
        <v>755</v>
      </c>
      <c r="E348" s="28" t="s">
        <v>63</v>
      </c>
      <c r="F348" s="28" t="s">
        <v>63</v>
      </c>
      <c r="G348" s="28">
        <v>1.0</v>
      </c>
      <c r="H348" s="28">
        <v>17.0</v>
      </c>
      <c r="I348" s="28">
        <v>11.0</v>
      </c>
      <c r="J348" s="28"/>
      <c r="K348" s="30">
        <f t="shared" si="1"/>
        <v>8616.341451</v>
      </c>
    </row>
    <row r="349" ht="15.75" hidden="1" customHeight="1">
      <c r="A349" s="51" t="s">
        <v>210</v>
      </c>
      <c r="B349" s="52" t="s">
        <v>622</v>
      </c>
      <c r="C349" s="27" t="s">
        <v>40</v>
      </c>
      <c r="D349" s="28" t="s">
        <v>755</v>
      </c>
      <c r="E349" s="28" t="s">
        <v>759</v>
      </c>
      <c r="F349" s="28" t="s">
        <v>75</v>
      </c>
      <c r="G349" s="28">
        <v>3.0</v>
      </c>
      <c r="H349" s="28">
        <v>17.0</v>
      </c>
      <c r="I349" s="28">
        <v>2.0</v>
      </c>
      <c r="J349" s="28"/>
      <c r="K349" s="30">
        <f t="shared" si="1"/>
        <v>854.5132018</v>
      </c>
    </row>
    <row r="350" ht="15.75" hidden="1" customHeight="1">
      <c r="A350" s="51" t="s">
        <v>210</v>
      </c>
      <c r="B350" s="52" t="s">
        <v>622</v>
      </c>
      <c r="C350" s="27" t="s">
        <v>40</v>
      </c>
      <c r="D350" s="28" t="s">
        <v>755</v>
      </c>
      <c r="E350" s="28" t="s">
        <v>63</v>
      </c>
      <c r="F350" s="28" t="s">
        <v>63</v>
      </c>
      <c r="G350" s="28">
        <v>1.0</v>
      </c>
      <c r="H350" s="28">
        <v>9.0</v>
      </c>
      <c r="I350" s="28">
        <v>3.0</v>
      </c>
      <c r="J350" s="28"/>
      <c r="K350" s="30">
        <f t="shared" si="1"/>
        <v>339.2920066</v>
      </c>
    </row>
    <row r="351" ht="15.75" hidden="1" customHeight="1">
      <c r="A351" s="40" t="s">
        <v>162</v>
      </c>
      <c r="B351" s="33" t="s">
        <v>624</v>
      </c>
      <c r="C351" s="34" t="s">
        <v>625</v>
      </c>
      <c r="D351" s="35" t="s">
        <v>760</v>
      </c>
      <c r="E351" s="35" t="s">
        <v>63</v>
      </c>
      <c r="F351" s="35" t="s">
        <v>63</v>
      </c>
      <c r="G351" s="35">
        <v>1.0</v>
      </c>
      <c r="H351" s="35">
        <v>10.0</v>
      </c>
      <c r="I351" s="35">
        <v>5.0</v>
      </c>
      <c r="J351" s="35"/>
      <c r="K351" s="30">
        <f t="shared" si="1"/>
        <v>1047.197551</v>
      </c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5.75" customHeight="1">
      <c r="A352" s="31" t="s">
        <v>150</v>
      </c>
      <c r="B352" s="26" t="s">
        <v>628</v>
      </c>
      <c r="C352" s="27" t="s">
        <v>31</v>
      </c>
      <c r="D352" s="28" t="s">
        <v>755</v>
      </c>
      <c r="E352" s="28" t="s">
        <v>757</v>
      </c>
      <c r="F352" s="28" t="s">
        <v>757</v>
      </c>
      <c r="G352" s="28">
        <v>0.0</v>
      </c>
      <c r="H352" s="28"/>
      <c r="I352" s="28"/>
      <c r="J352" s="28"/>
      <c r="K352" s="30">
        <f t="shared" si="1"/>
        <v>0</v>
      </c>
    </row>
    <row r="353" ht="15.75" customHeight="1">
      <c r="A353" s="31" t="s">
        <v>129</v>
      </c>
      <c r="B353" s="26" t="s">
        <v>629</v>
      </c>
      <c r="C353" s="27" t="s">
        <v>31</v>
      </c>
      <c r="D353" s="28" t="s">
        <v>755</v>
      </c>
      <c r="E353" s="28" t="s">
        <v>763</v>
      </c>
      <c r="F353" s="28" t="s">
        <v>771</v>
      </c>
      <c r="G353" s="28">
        <v>1.0</v>
      </c>
      <c r="H353" s="28"/>
      <c r="I353" s="28"/>
      <c r="J353" s="37" t="s">
        <v>762</v>
      </c>
      <c r="K353" s="30">
        <f t="shared" si="1"/>
        <v>0</v>
      </c>
    </row>
    <row r="354" ht="15.75" customHeight="1">
      <c r="A354" s="25" t="s">
        <v>119</v>
      </c>
      <c r="B354" s="26" t="s">
        <v>630</v>
      </c>
      <c r="C354" s="27" t="s">
        <v>31</v>
      </c>
      <c r="D354" s="28" t="s">
        <v>755</v>
      </c>
      <c r="E354" s="28" t="s">
        <v>63</v>
      </c>
      <c r="F354" s="28" t="s">
        <v>63</v>
      </c>
      <c r="G354" s="28">
        <v>1.0</v>
      </c>
      <c r="H354" s="28">
        <v>5.0</v>
      </c>
      <c r="I354" s="28">
        <v>2.0</v>
      </c>
      <c r="J354" s="28"/>
      <c r="K354" s="30">
        <f t="shared" si="1"/>
        <v>83.7758041</v>
      </c>
    </row>
    <row r="355" ht="15.75" hidden="1" customHeight="1">
      <c r="A355" s="31" t="s">
        <v>129</v>
      </c>
      <c r="B355" s="26" t="s">
        <v>631</v>
      </c>
      <c r="C355" s="27" t="s">
        <v>12</v>
      </c>
      <c r="D355" s="28" t="s">
        <v>755</v>
      </c>
      <c r="E355" s="28" t="s">
        <v>757</v>
      </c>
      <c r="F355" s="28" t="s">
        <v>757</v>
      </c>
      <c r="G355" s="28">
        <v>0.0</v>
      </c>
      <c r="H355" s="28"/>
      <c r="I355" s="28"/>
      <c r="J355" s="28"/>
      <c r="K355" s="30">
        <f t="shared" si="1"/>
        <v>0</v>
      </c>
    </row>
    <row r="356" ht="15.75" hidden="1" customHeight="1">
      <c r="A356" s="31" t="s">
        <v>137</v>
      </c>
      <c r="B356" s="26" t="s">
        <v>632</v>
      </c>
      <c r="C356" s="27" t="s">
        <v>10</v>
      </c>
      <c r="D356" s="28" t="s">
        <v>754</v>
      </c>
      <c r="E356" s="28" t="s">
        <v>63</v>
      </c>
      <c r="F356" s="28" t="s">
        <v>63</v>
      </c>
      <c r="G356" s="28">
        <v>1.0</v>
      </c>
      <c r="H356" s="28">
        <v>2.0</v>
      </c>
      <c r="I356" s="28">
        <v>1.0</v>
      </c>
      <c r="J356" s="28"/>
      <c r="K356" s="30">
        <f t="shared" si="1"/>
        <v>8.37758041</v>
      </c>
    </row>
    <row r="357" ht="15.75" hidden="1" customHeight="1">
      <c r="A357" s="31" t="s">
        <v>137</v>
      </c>
      <c r="B357" s="26" t="s">
        <v>632</v>
      </c>
      <c r="C357" s="27" t="s">
        <v>10</v>
      </c>
      <c r="D357" s="28" t="s">
        <v>754</v>
      </c>
      <c r="E357" s="28" t="s">
        <v>759</v>
      </c>
      <c r="F357" s="28" t="s">
        <v>75</v>
      </c>
      <c r="G357" s="28">
        <v>2.0</v>
      </c>
      <c r="H357" s="28">
        <v>5.0</v>
      </c>
      <c r="I357" s="28">
        <v>1.0</v>
      </c>
      <c r="J357" s="28" t="s">
        <v>819</v>
      </c>
      <c r="K357" s="30">
        <f t="shared" si="1"/>
        <v>41.88790205</v>
      </c>
    </row>
    <row r="358" ht="15.75" hidden="1" customHeight="1">
      <c r="A358" s="31" t="s">
        <v>137</v>
      </c>
      <c r="B358" s="26" t="s">
        <v>632</v>
      </c>
      <c r="C358" s="27" t="s">
        <v>10</v>
      </c>
      <c r="D358" s="28" t="s">
        <v>754</v>
      </c>
      <c r="E358" s="28" t="s">
        <v>759</v>
      </c>
      <c r="F358" s="28" t="s">
        <v>75</v>
      </c>
      <c r="G358" s="28">
        <v>3.0</v>
      </c>
      <c r="H358" s="28">
        <v>5.0</v>
      </c>
      <c r="I358" s="28">
        <v>1.0</v>
      </c>
      <c r="J358" s="28" t="s">
        <v>820</v>
      </c>
      <c r="K358" s="30">
        <f t="shared" si="1"/>
        <v>62.83185307</v>
      </c>
    </row>
    <row r="359" ht="15.75" hidden="1" customHeight="1">
      <c r="A359" s="31" t="s">
        <v>137</v>
      </c>
      <c r="B359" s="26" t="s">
        <v>632</v>
      </c>
      <c r="C359" s="27" t="s">
        <v>10</v>
      </c>
      <c r="D359" s="28" t="s">
        <v>754</v>
      </c>
      <c r="E359" s="28" t="s">
        <v>759</v>
      </c>
      <c r="F359" s="28" t="s">
        <v>75</v>
      </c>
      <c r="G359" s="28">
        <v>3.0</v>
      </c>
      <c r="H359" s="28">
        <v>5.0</v>
      </c>
      <c r="I359" s="28">
        <v>1.0</v>
      </c>
      <c r="J359" s="28" t="s">
        <v>821</v>
      </c>
      <c r="K359" s="30">
        <f t="shared" si="1"/>
        <v>62.83185307</v>
      </c>
    </row>
    <row r="360" ht="15.75" hidden="1" customHeight="1">
      <c r="A360" s="31" t="s">
        <v>137</v>
      </c>
      <c r="B360" s="26" t="s">
        <v>632</v>
      </c>
      <c r="C360" s="27" t="s">
        <v>10</v>
      </c>
      <c r="D360" s="28" t="s">
        <v>754</v>
      </c>
      <c r="E360" s="28" t="s">
        <v>759</v>
      </c>
      <c r="F360" s="28" t="s">
        <v>75</v>
      </c>
      <c r="G360" s="28">
        <v>37.0</v>
      </c>
      <c r="H360" s="28">
        <v>3.0</v>
      </c>
      <c r="I360" s="28">
        <v>0.5</v>
      </c>
      <c r="J360" s="28"/>
      <c r="K360" s="30">
        <f t="shared" si="1"/>
        <v>116.2389282</v>
      </c>
    </row>
    <row r="361" ht="15.75" hidden="1" customHeight="1">
      <c r="A361" s="31" t="s">
        <v>434</v>
      </c>
      <c r="B361" s="26" t="s">
        <v>633</v>
      </c>
      <c r="C361" s="27" t="s">
        <v>28</v>
      </c>
      <c r="D361" s="28" t="s">
        <v>755</v>
      </c>
      <c r="E361" s="28" t="s">
        <v>756</v>
      </c>
      <c r="F361" s="28" t="s">
        <v>756</v>
      </c>
      <c r="G361" s="28">
        <v>1.0</v>
      </c>
      <c r="H361" s="28"/>
      <c r="I361" s="28"/>
      <c r="J361" s="28"/>
      <c r="K361" s="30">
        <f t="shared" si="1"/>
        <v>0</v>
      </c>
    </row>
    <row r="362" ht="15.75" hidden="1" customHeight="1">
      <c r="A362" s="31" t="s">
        <v>343</v>
      </c>
      <c r="B362" s="26" t="s">
        <v>635</v>
      </c>
      <c r="C362" s="27" t="s">
        <v>28</v>
      </c>
      <c r="D362" s="28" t="s">
        <v>755</v>
      </c>
      <c r="E362" s="28" t="s">
        <v>757</v>
      </c>
      <c r="F362" s="28" t="s">
        <v>757</v>
      </c>
      <c r="G362" s="28">
        <v>0.0</v>
      </c>
      <c r="H362" s="28"/>
      <c r="I362" s="28"/>
      <c r="J362" s="28"/>
      <c r="K362" s="30">
        <f t="shared" si="1"/>
        <v>0</v>
      </c>
    </row>
    <row r="363" ht="15.75" hidden="1" customHeight="1">
      <c r="A363" s="31" t="s">
        <v>137</v>
      </c>
      <c r="B363" s="26" t="s">
        <v>637</v>
      </c>
      <c r="C363" s="27" t="s">
        <v>8</v>
      </c>
      <c r="D363" s="28" t="s">
        <v>755</v>
      </c>
      <c r="E363" s="28" t="s">
        <v>759</v>
      </c>
      <c r="F363" s="28" t="s">
        <v>75</v>
      </c>
      <c r="G363" s="28">
        <v>2.0</v>
      </c>
      <c r="H363" s="28">
        <v>4.0</v>
      </c>
      <c r="I363" s="28">
        <v>1.0</v>
      </c>
      <c r="J363" s="28"/>
      <c r="K363" s="30">
        <f t="shared" si="1"/>
        <v>33.51032164</v>
      </c>
    </row>
    <row r="364" ht="15.75" hidden="1" customHeight="1">
      <c r="A364" s="31" t="s">
        <v>137</v>
      </c>
      <c r="B364" s="26" t="s">
        <v>640</v>
      </c>
      <c r="C364" s="27" t="s">
        <v>6</v>
      </c>
      <c r="D364" s="28" t="s">
        <v>754</v>
      </c>
      <c r="E364" s="28" t="s">
        <v>759</v>
      </c>
      <c r="F364" s="28" t="s">
        <v>75</v>
      </c>
      <c r="G364" s="28">
        <v>3.0</v>
      </c>
      <c r="H364" s="28">
        <v>5.0</v>
      </c>
      <c r="I364" s="28">
        <v>1.0</v>
      </c>
      <c r="J364" s="28"/>
      <c r="K364" s="30">
        <f t="shared" si="1"/>
        <v>62.83185307</v>
      </c>
    </row>
    <row r="365" ht="15.75" hidden="1" customHeight="1">
      <c r="A365" s="31" t="s">
        <v>137</v>
      </c>
      <c r="B365" s="26" t="s">
        <v>640</v>
      </c>
      <c r="C365" s="27" t="s">
        <v>6</v>
      </c>
      <c r="D365" s="28" t="s">
        <v>754</v>
      </c>
      <c r="E365" s="28" t="s">
        <v>63</v>
      </c>
      <c r="F365" s="28" t="s">
        <v>63</v>
      </c>
      <c r="G365" s="28">
        <v>1.0</v>
      </c>
      <c r="H365" s="28">
        <v>5.0</v>
      </c>
      <c r="I365" s="28">
        <v>1.0</v>
      </c>
      <c r="J365" s="28"/>
      <c r="K365" s="30">
        <f t="shared" si="1"/>
        <v>20.94395102</v>
      </c>
    </row>
    <row r="366" ht="15.75" hidden="1" customHeight="1">
      <c r="A366" s="31" t="s">
        <v>207</v>
      </c>
      <c r="B366" s="26" t="s">
        <v>641</v>
      </c>
      <c r="C366" s="27" t="s">
        <v>16</v>
      </c>
      <c r="D366" s="28" t="s">
        <v>755</v>
      </c>
      <c r="E366" s="28" t="s">
        <v>757</v>
      </c>
      <c r="F366" s="28" t="s">
        <v>757</v>
      </c>
      <c r="G366" s="28">
        <v>0.0</v>
      </c>
      <c r="H366" s="28"/>
      <c r="I366" s="28"/>
      <c r="J366" s="28"/>
      <c r="K366" s="30">
        <f t="shared" si="1"/>
        <v>0</v>
      </c>
    </row>
    <row r="367" ht="15.75" hidden="1" customHeight="1">
      <c r="A367" s="31" t="s">
        <v>129</v>
      </c>
      <c r="B367" s="26" t="s">
        <v>643</v>
      </c>
      <c r="C367" s="27" t="s">
        <v>20</v>
      </c>
      <c r="D367" s="28" t="s">
        <v>755</v>
      </c>
      <c r="E367" s="28" t="s">
        <v>757</v>
      </c>
      <c r="F367" s="28" t="s">
        <v>757</v>
      </c>
      <c r="G367" s="28">
        <v>0.0</v>
      </c>
      <c r="H367" s="28"/>
      <c r="I367" s="28"/>
      <c r="J367" s="28"/>
      <c r="K367" s="30">
        <f t="shared" si="1"/>
        <v>0</v>
      </c>
    </row>
    <row r="368" ht="15.75" hidden="1" customHeight="1">
      <c r="A368" s="31" t="s">
        <v>170</v>
      </c>
      <c r="B368" s="26" t="s">
        <v>645</v>
      </c>
      <c r="C368" s="27" t="s">
        <v>20</v>
      </c>
      <c r="D368" s="28" t="s">
        <v>755</v>
      </c>
      <c r="E368" s="28" t="s">
        <v>63</v>
      </c>
      <c r="F368" s="28" t="s">
        <v>63</v>
      </c>
      <c r="G368" s="28">
        <v>1.0</v>
      </c>
      <c r="H368" s="28">
        <v>2.0</v>
      </c>
      <c r="I368" s="28">
        <v>1.0</v>
      </c>
      <c r="J368" s="28"/>
      <c r="K368" s="30">
        <f t="shared" si="1"/>
        <v>8.37758041</v>
      </c>
    </row>
    <row r="369" ht="15.75" hidden="1" customHeight="1">
      <c r="A369" s="31" t="s">
        <v>129</v>
      </c>
      <c r="B369" s="26" t="s">
        <v>647</v>
      </c>
      <c r="C369" s="27" t="s">
        <v>20</v>
      </c>
      <c r="D369" s="28" t="s">
        <v>755</v>
      </c>
      <c r="E369" s="28" t="s">
        <v>757</v>
      </c>
      <c r="F369" s="28" t="s">
        <v>757</v>
      </c>
      <c r="G369" s="28">
        <v>0.0</v>
      </c>
      <c r="H369" s="28"/>
      <c r="I369" s="28"/>
      <c r="J369" s="28"/>
      <c r="K369" s="30">
        <f t="shared" si="1"/>
        <v>0</v>
      </c>
    </row>
    <row r="370" ht="15.75" hidden="1" customHeight="1">
      <c r="A370" s="28" t="s">
        <v>822</v>
      </c>
      <c r="B370" s="26" t="s">
        <v>648</v>
      </c>
      <c r="C370" s="27" t="s">
        <v>20</v>
      </c>
      <c r="D370" s="28" t="s">
        <v>755</v>
      </c>
      <c r="E370" s="28" t="s">
        <v>757</v>
      </c>
      <c r="F370" s="28" t="s">
        <v>757</v>
      </c>
      <c r="G370" s="28">
        <v>0.0</v>
      </c>
      <c r="H370" s="28"/>
      <c r="I370" s="28"/>
      <c r="J370" s="28"/>
      <c r="K370" s="30">
        <f t="shared" si="1"/>
        <v>0</v>
      </c>
    </row>
    <row r="371" ht="15.75" hidden="1" customHeight="1">
      <c r="A371" s="31" t="s">
        <v>129</v>
      </c>
      <c r="B371" s="26" t="s">
        <v>649</v>
      </c>
      <c r="C371" s="27" t="s">
        <v>16</v>
      </c>
      <c r="D371" s="28" t="s">
        <v>755</v>
      </c>
      <c r="E371" s="28" t="s">
        <v>757</v>
      </c>
      <c r="F371" s="28" t="s">
        <v>757</v>
      </c>
      <c r="G371" s="28">
        <v>0.0</v>
      </c>
      <c r="H371" s="28"/>
      <c r="I371" s="28"/>
      <c r="J371" s="28"/>
      <c r="K371" s="30">
        <f t="shared" si="1"/>
        <v>0</v>
      </c>
    </row>
    <row r="372" ht="15.75" hidden="1" customHeight="1">
      <c r="A372" s="31" t="s">
        <v>170</v>
      </c>
      <c r="B372" s="26" t="s">
        <v>650</v>
      </c>
      <c r="C372" s="27" t="s">
        <v>16</v>
      </c>
      <c r="D372" s="28" t="s">
        <v>755</v>
      </c>
      <c r="E372" s="28" t="s">
        <v>63</v>
      </c>
      <c r="F372" s="28" t="s">
        <v>63</v>
      </c>
      <c r="G372" s="28">
        <v>1.0</v>
      </c>
      <c r="H372" s="28">
        <v>4.0</v>
      </c>
      <c r="I372" s="28">
        <v>2.0</v>
      </c>
      <c r="J372" s="28"/>
      <c r="K372" s="30">
        <f t="shared" si="1"/>
        <v>67.02064328</v>
      </c>
    </row>
    <row r="373" ht="15.75" hidden="1" customHeight="1">
      <c r="A373" s="31" t="s">
        <v>170</v>
      </c>
      <c r="B373" s="26" t="s">
        <v>650</v>
      </c>
      <c r="C373" s="27" t="s">
        <v>16</v>
      </c>
      <c r="D373" s="28" t="s">
        <v>755</v>
      </c>
      <c r="E373" s="28" t="s">
        <v>63</v>
      </c>
      <c r="F373" s="28" t="s">
        <v>63</v>
      </c>
      <c r="G373" s="28">
        <v>1.0</v>
      </c>
      <c r="H373" s="28">
        <v>2.0</v>
      </c>
      <c r="I373" s="28">
        <v>1.0</v>
      </c>
      <c r="J373" s="28"/>
      <c r="K373" s="30">
        <f t="shared" si="1"/>
        <v>8.37758041</v>
      </c>
    </row>
    <row r="374" ht="15.75" hidden="1" customHeight="1">
      <c r="A374" s="31" t="s">
        <v>207</v>
      </c>
      <c r="B374" s="26" t="s">
        <v>652</v>
      </c>
      <c r="C374" s="27" t="s">
        <v>26</v>
      </c>
      <c r="D374" s="28" t="s">
        <v>754</v>
      </c>
      <c r="E374" s="28" t="s">
        <v>757</v>
      </c>
      <c r="F374" s="28" t="s">
        <v>757</v>
      </c>
      <c r="G374" s="28">
        <v>0.0</v>
      </c>
      <c r="H374" s="28"/>
      <c r="I374" s="28"/>
      <c r="J374" s="28"/>
      <c r="K374" s="30">
        <f t="shared" si="1"/>
        <v>0</v>
      </c>
    </row>
    <row r="375" ht="15.75" hidden="1" customHeight="1">
      <c r="A375" s="31" t="s">
        <v>823</v>
      </c>
      <c r="B375" s="26" t="s">
        <v>654</v>
      </c>
      <c r="C375" s="27" t="s">
        <v>26</v>
      </c>
      <c r="D375" s="28" t="s">
        <v>754</v>
      </c>
      <c r="E375" s="28" t="s">
        <v>63</v>
      </c>
      <c r="F375" s="28" t="s">
        <v>63</v>
      </c>
      <c r="G375" s="28">
        <v>1.0</v>
      </c>
      <c r="H375" s="28">
        <v>3.0</v>
      </c>
      <c r="I375" s="28">
        <v>1.0</v>
      </c>
      <c r="J375" s="28"/>
      <c r="K375" s="30">
        <f t="shared" si="1"/>
        <v>12.56637061</v>
      </c>
    </row>
    <row r="376" ht="15.75" customHeight="1">
      <c r="A376" s="31" t="s">
        <v>170</v>
      </c>
      <c r="B376" s="26" t="s">
        <v>657</v>
      </c>
      <c r="C376" s="27" t="s">
        <v>34</v>
      </c>
      <c r="D376" s="28" t="s">
        <v>755</v>
      </c>
      <c r="E376" s="28" t="s">
        <v>63</v>
      </c>
      <c r="F376" s="28" t="s">
        <v>63</v>
      </c>
      <c r="G376" s="28">
        <v>1.0</v>
      </c>
      <c r="H376" s="28">
        <v>3.0</v>
      </c>
      <c r="I376" s="28">
        <v>1.0</v>
      </c>
      <c r="J376" s="28"/>
      <c r="K376" s="30">
        <f t="shared" si="1"/>
        <v>12.56637061</v>
      </c>
    </row>
    <row r="377" ht="15.75" customHeight="1">
      <c r="A377" s="31" t="s">
        <v>150</v>
      </c>
      <c r="B377" s="26" t="s">
        <v>659</v>
      </c>
      <c r="C377" s="27" t="s">
        <v>34</v>
      </c>
      <c r="D377" s="28" t="s">
        <v>755</v>
      </c>
      <c r="E377" s="28" t="s">
        <v>77</v>
      </c>
      <c r="F377" s="28" t="s">
        <v>79</v>
      </c>
      <c r="G377" s="28">
        <v>1.0</v>
      </c>
      <c r="H377" s="28">
        <v>13.0</v>
      </c>
      <c r="I377" s="28">
        <v>7.0</v>
      </c>
      <c r="J377" s="28"/>
      <c r="K377" s="30">
        <f t="shared" si="1"/>
        <v>2668.25936</v>
      </c>
    </row>
    <row r="378" ht="15.75" customHeight="1">
      <c r="A378" s="31" t="s">
        <v>129</v>
      </c>
      <c r="B378" s="26" t="s">
        <v>660</v>
      </c>
      <c r="C378" s="27" t="s">
        <v>33</v>
      </c>
      <c r="D378" s="28" t="s">
        <v>754</v>
      </c>
      <c r="E378" s="28" t="s">
        <v>57</v>
      </c>
      <c r="F378" s="28" t="s">
        <v>57</v>
      </c>
      <c r="G378" s="28">
        <v>1.0</v>
      </c>
      <c r="H378" s="28">
        <v>4.0</v>
      </c>
      <c r="I378" s="28">
        <v>2.0</v>
      </c>
      <c r="J378" s="28"/>
      <c r="K378" s="30">
        <f t="shared" si="1"/>
        <v>67.02064328</v>
      </c>
    </row>
    <row r="379" ht="15.75" customHeight="1">
      <c r="A379" s="31" t="s">
        <v>137</v>
      </c>
      <c r="B379" s="26" t="s">
        <v>662</v>
      </c>
      <c r="C379" s="27" t="s">
        <v>30</v>
      </c>
      <c r="D379" s="28" t="s">
        <v>754</v>
      </c>
      <c r="E379" s="28" t="s">
        <v>55</v>
      </c>
      <c r="F379" s="28" t="s">
        <v>55</v>
      </c>
      <c r="G379" s="28">
        <v>1.0</v>
      </c>
      <c r="H379" s="28">
        <v>0.5</v>
      </c>
      <c r="I379" s="28">
        <v>0.5</v>
      </c>
      <c r="J379" s="28"/>
      <c r="K379" s="30">
        <f t="shared" si="1"/>
        <v>0.5235987756</v>
      </c>
    </row>
    <row r="380" ht="15.75" customHeight="1">
      <c r="A380" s="31" t="s">
        <v>137</v>
      </c>
      <c r="B380" s="26" t="s">
        <v>662</v>
      </c>
      <c r="C380" s="27" t="s">
        <v>30</v>
      </c>
      <c r="D380" s="28" t="s">
        <v>754</v>
      </c>
      <c r="E380" s="28" t="s">
        <v>63</v>
      </c>
      <c r="F380" s="28" t="s">
        <v>63</v>
      </c>
      <c r="G380" s="28">
        <v>1.0</v>
      </c>
      <c r="H380" s="28"/>
      <c r="I380" s="28"/>
      <c r="J380" s="28" t="s">
        <v>762</v>
      </c>
      <c r="K380" s="30">
        <f t="shared" si="1"/>
        <v>0</v>
      </c>
    </row>
    <row r="381" ht="15.75" customHeight="1">
      <c r="A381" s="31" t="s">
        <v>137</v>
      </c>
      <c r="B381" s="26" t="s">
        <v>662</v>
      </c>
      <c r="C381" s="27" t="s">
        <v>30</v>
      </c>
      <c r="D381" s="28" t="s">
        <v>754</v>
      </c>
      <c r="E381" s="28" t="s">
        <v>91</v>
      </c>
      <c r="F381" s="28" t="s">
        <v>91</v>
      </c>
      <c r="G381" s="28">
        <v>1.0</v>
      </c>
      <c r="H381" s="28"/>
      <c r="I381" s="28"/>
      <c r="J381" s="28" t="s">
        <v>762</v>
      </c>
      <c r="K381" s="30">
        <f t="shared" si="1"/>
        <v>0</v>
      </c>
    </row>
    <row r="382" ht="15.75" customHeight="1">
      <c r="A382" s="31" t="s">
        <v>137</v>
      </c>
      <c r="B382" s="26" t="s">
        <v>662</v>
      </c>
      <c r="C382" s="27" t="s">
        <v>30</v>
      </c>
      <c r="D382" s="28" t="s">
        <v>754</v>
      </c>
      <c r="E382" s="28" t="s">
        <v>759</v>
      </c>
      <c r="F382" s="28" t="s">
        <v>75</v>
      </c>
      <c r="G382" s="28">
        <v>1.0</v>
      </c>
      <c r="H382" s="28">
        <v>3.0</v>
      </c>
      <c r="I382" s="28">
        <v>1.0</v>
      </c>
      <c r="J382" s="28"/>
      <c r="K382" s="30">
        <f t="shared" si="1"/>
        <v>12.56637061</v>
      </c>
    </row>
    <row r="383" ht="15.75" hidden="1" customHeight="1">
      <c r="A383" s="31" t="s">
        <v>207</v>
      </c>
      <c r="B383" s="26" t="s">
        <v>663</v>
      </c>
      <c r="C383" s="27" t="s">
        <v>8</v>
      </c>
      <c r="D383" s="28" t="s">
        <v>755</v>
      </c>
      <c r="E383" s="28" t="s">
        <v>757</v>
      </c>
      <c r="F383" s="28" t="s">
        <v>757</v>
      </c>
      <c r="G383" s="28">
        <v>0.0</v>
      </c>
      <c r="H383" s="28"/>
      <c r="I383" s="28"/>
      <c r="J383" s="28"/>
      <c r="K383" s="30">
        <f t="shared" si="1"/>
        <v>0</v>
      </c>
    </row>
    <row r="384" ht="15.75" hidden="1" customHeight="1">
      <c r="A384" s="31" t="s">
        <v>129</v>
      </c>
      <c r="B384" s="26" t="s">
        <v>665</v>
      </c>
      <c r="C384" s="27" t="s">
        <v>8</v>
      </c>
      <c r="D384" s="28" t="s">
        <v>755</v>
      </c>
      <c r="E384" s="28" t="s">
        <v>763</v>
      </c>
      <c r="F384" s="28" t="s">
        <v>763</v>
      </c>
      <c r="G384" s="28">
        <v>1.0</v>
      </c>
      <c r="H384" s="28"/>
      <c r="I384" s="28"/>
      <c r="J384" s="37" t="s">
        <v>762</v>
      </c>
      <c r="K384" s="30">
        <f t="shared" si="1"/>
        <v>0</v>
      </c>
    </row>
    <row r="385" ht="15.75" hidden="1" customHeight="1">
      <c r="A385" s="31" t="s">
        <v>129</v>
      </c>
      <c r="B385" s="26" t="s">
        <v>667</v>
      </c>
      <c r="C385" s="27" t="s">
        <v>36</v>
      </c>
      <c r="D385" s="28" t="s">
        <v>754</v>
      </c>
      <c r="E385" s="28" t="s">
        <v>57</v>
      </c>
      <c r="F385" s="28" t="s">
        <v>57</v>
      </c>
      <c r="G385" s="28">
        <v>1.0</v>
      </c>
      <c r="H385" s="28"/>
      <c r="I385" s="28"/>
      <c r="J385" s="37" t="s">
        <v>762</v>
      </c>
      <c r="K385" s="30">
        <f t="shared" si="1"/>
        <v>0</v>
      </c>
    </row>
    <row r="386" ht="15.75" hidden="1" customHeight="1">
      <c r="A386" s="31" t="s">
        <v>129</v>
      </c>
      <c r="B386" s="26" t="s">
        <v>667</v>
      </c>
      <c r="C386" s="27" t="s">
        <v>36</v>
      </c>
      <c r="D386" s="28" t="s">
        <v>754</v>
      </c>
      <c r="E386" s="28" t="s">
        <v>771</v>
      </c>
      <c r="F386" s="28" t="s">
        <v>771</v>
      </c>
      <c r="G386" s="28">
        <v>1.0</v>
      </c>
      <c r="H386" s="28"/>
      <c r="I386" s="28"/>
      <c r="J386" s="37" t="s">
        <v>762</v>
      </c>
      <c r="K386" s="30">
        <f t="shared" si="1"/>
        <v>0</v>
      </c>
    </row>
    <row r="387" ht="15.75" hidden="1" customHeight="1">
      <c r="A387" s="25" t="s">
        <v>824</v>
      </c>
      <c r="B387" s="26" t="s">
        <v>668</v>
      </c>
      <c r="C387" s="27" t="s">
        <v>39</v>
      </c>
      <c r="D387" s="28" t="s">
        <v>754</v>
      </c>
      <c r="E387" s="28" t="s">
        <v>757</v>
      </c>
      <c r="F387" s="28" t="s">
        <v>757</v>
      </c>
      <c r="G387" s="28">
        <v>0.0</v>
      </c>
      <c r="H387" s="28"/>
      <c r="I387" s="28"/>
      <c r="J387" s="28"/>
      <c r="K387" s="30">
        <f t="shared" si="1"/>
        <v>0</v>
      </c>
    </row>
    <row r="388" ht="15.75" hidden="1" customHeight="1">
      <c r="A388" s="25" t="s">
        <v>360</v>
      </c>
      <c r="B388" s="42" t="s">
        <v>669</v>
      </c>
      <c r="C388" s="27" t="s">
        <v>40</v>
      </c>
      <c r="D388" s="28" t="s">
        <v>755</v>
      </c>
      <c r="E388" s="5" t="s">
        <v>93</v>
      </c>
      <c r="F388" s="5" t="s">
        <v>73</v>
      </c>
      <c r="G388" s="5">
        <v>1.0</v>
      </c>
      <c r="H388" s="5">
        <v>18.0</v>
      </c>
      <c r="I388" s="5">
        <v>10.0</v>
      </c>
      <c r="J388" s="43"/>
      <c r="K388" s="30">
        <f t="shared" si="1"/>
        <v>7539.822369</v>
      </c>
    </row>
    <row r="389" ht="15.75" hidden="1" customHeight="1">
      <c r="A389" s="25" t="s">
        <v>360</v>
      </c>
      <c r="B389" s="42" t="s">
        <v>669</v>
      </c>
      <c r="C389" s="27" t="s">
        <v>40</v>
      </c>
      <c r="D389" s="28" t="s">
        <v>755</v>
      </c>
      <c r="E389" s="5" t="s">
        <v>57</v>
      </c>
      <c r="F389" s="5" t="s">
        <v>57</v>
      </c>
      <c r="G389" s="5">
        <v>1.0</v>
      </c>
      <c r="H389" s="5">
        <v>20.0</v>
      </c>
      <c r="I389" s="5">
        <v>7.0</v>
      </c>
      <c r="J389" s="43"/>
      <c r="K389" s="30">
        <f t="shared" si="1"/>
        <v>4105.014401</v>
      </c>
    </row>
    <row r="390" ht="15.75" hidden="1" customHeight="1">
      <c r="A390" s="25" t="s">
        <v>360</v>
      </c>
      <c r="B390" s="42" t="s">
        <v>669</v>
      </c>
      <c r="C390" s="27" t="s">
        <v>40</v>
      </c>
      <c r="D390" s="28" t="s">
        <v>755</v>
      </c>
      <c r="E390" s="5" t="s">
        <v>71</v>
      </c>
      <c r="F390" s="5" t="s">
        <v>71</v>
      </c>
      <c r="G390" s="5">
        <v>1.0</v>
      </c>
      <c r="H390" s="5">
        <v>18.0</v>
      </c>
      <c r="I390" s="5">
        <v>3.0</v>
      </c>
      <c r="J390" s="43"/>
      <c r="K390" s="30">
        <f t="shared" si="1"/>
        <v>678.5840132</v>
      </c>
    </row>
    <row r="391" ht="15.75" hidden="1" customHeight="1">
      <c r="A391" s="31" t="s">
        <v>129</v>
      </c>
      <c r="B391" s="26" t="s">
        <v>671</v>
      </c>
      <c r="C391" s="27" t="s">
        <v>40</v>
      </c>
      <c r="D391" s="28" t="s">
        <v>755</v>
      </c>
      <c r="E391" s="28" t="s">
        <v>95</v>
      </c>
      <c r="F391" s="28" t="s">
        <v>95</v>
      </c>
      <c r="G391" s="28">
        <v>1.0</v>
      </c>
      <c r="H391" s="28">
        <v>3.0</v>
      </c>
      <c r="I391" s="28">
        <v>2.0</v>
      </c>
      <c r="J391" s="28"/>
      <c r="K391" s="30">
        <f t="shared" si="1"/>
        <v>50.26548246</v>
      </c>
    </row>
    <row r="392" ht="15.75" hidden="1" customHeight="1">
      <c r="A392" s="31" t="s">
        <v>129</v>
      </c>
      <c r="B392" s="26" t="s">
        <v>674</v>
      </c>
      <c r="C392" s="27" t="s">
        <v>37</v>
      </c>
      <c r="D392" s="28" t="s">
        <v>755</v>
      </c>
      <c r="E392" s="28" t="s">
        <v>757</v>
      </c>
      <c r="F392" s="28" t="s">
        <v>757</v>
      </c>
      <c r="G392" s="28">
        <v>0.0</v>
      </c>
      <c r="H392" s="28"/>
      <c r="I392" s="28"/>
      <c r="J392" s="28"/>
      <c r="K392" s="30">
        <f t="shared" si="1"/>
        <v>0</v>
      </c>
    </row>
    <row r="393" ht="15.75" hidden="1" customHeight="1">
      <c r="A393" s="31" t="s">
        <v>150</v>
      </c>
      <c r="B393" s="26" t="s">
        <v>675</v>
      </c>
      <c r="C393" s="27" t="s">
        <v>37</v>
      </c>
      <c r="D393" s="28" t="s">
        <v>755</v>
      </c>
      <c r="E393" s="28" t="s">
        <v>757</v>
      </c>
      <c r="F393" s="28" t="s">
        <v>757</v>
      </c>
      <c r="G393" s="28">
        <v>0.0</v>
      </c>
      <c r="H393" s="28"/>
      <c r="I393" s="28"/>
      <c r="J393" s="28"/>
      <c r="K393" s="30">
        <f t="shared" si="1"/>
        <v>0</v>
      </c>
    </row>
    <row r="394" ht="15.75" hidden="1" customHeight="1">
      <c r="A394" s="25" t="s">
        <v>825</v>
      </c>
      <c r="B394" s="26" t="s">
        <v>677</v>
      </c>
      <c r="C394" s="27" t="s">
        <v>16</v>
      </c>
      <c r="D394" s="28" t="s">
        <v>755</v>
      </c>
      <c r="E394" s="28" t="s">
        <v>757</v>
      </c>
      <c r="F394" s="28" t="s">
        <v>757</v>
      </c>
      <c r="G394" s="28">
        <v>0.0</v>
      </c>
      <c r="H394" s="28"/>
      <c r="I394" s="28"/>
      <c r="J394" s="28"/>
      <c r="K394" s="30">
        <f t="shared" si="1"/>
        <v>0</v>
      </c>
    </row>
    <row r="395" ht="15.75" hidden="1" customHeight="1">
      <c r="A395" s="31" t="s">
        <v>343</v>
      </c>
      <c r="B395" s="26" t="s">
        <v>679</v>
      </c>
      <c r="C395" s="27" t="s">
        <v>12</v>
      </c>
      <c r="D395" s="28" t="s">
        <v>755</v>
      </c>
      <c r="E395" s="28" t="s">
        <v>757</v>
      </c>
      <c r="F395" s="28" t="s">
        <v>757</v>
      </c>
      <c r="G395" s="28">
        <v>0.0</v>
      </c>
      <c r="H395" s="28"/>
      <c r="I395" s="28"/>
      <c r="J395" s="28"/>
      <c r="K395" s="30">
        <f t="shared" si="1"/>
        <v>0</v>
      </c>
    </row>
    <row r="396" ht="15.75" hidden="1" customHeight="1">
      <c r="A396" s="31" t="s">
        <v>170</v>
      </c>
      <c r="B396" s="26" t="s">
        <v>681</v>
      </c>
      <c r="C396" s="27" t="s">
        <v>16</v>
      </c>
      <c r="D396" s="28" t="s">
        <v>755</v>
      </c>
      <c r="E396" s="28" t="s">
        <v>59</v>
      </c>
      <c r="F396" s="28" t="s">
        <v>83</v>
      </c>
      <c r="G396" s="28">
        <v>13.0</v>
      </c>
      <c r="H396" s="28">
        <v>6.0</v>
      </c>
      <c r="I396" s="28">
        <v>1.0</v>
      </c>
      <c r="J396" s="28"/>
      <c r="K396" s="30">
        <f t="shared" si="1"/>
        <v>326.725636</v>
      </c>
    </row>
    <row r="397" ht="15.75" hidden="1" customHeight="1">
      <c r="A397" s="31" t="s">
        <v>343</v>
      </c>
      <c r="B397" s="26" t="s">
        <v>683</v>
      </c>
      <c r="C397" s="27" t="s">
        <v>12</v>
      </c>
      <c r="D397" s="28" t="s">
        <v>755</v>
      </c>
      <c r="E397" s="28" t="s">
        <v>757</v>
      </c>
      <c r="F397" s="28" t="s">
        <v>757</v>
      </c>
      <c r="G397" s="28">
        <v>0.0</v>
      </c>
      <c r="H397" s="28"/>
      <c r="I397" s="28"/>
      <c r="J397" s="28"/>
      <c r="K397" s="30">
        <f t="shared" si="1"/>
        <v>0</v>
      </c>
    </row>
    <row r="398" ht="15.75" hidden="1" customHeight="1">
      <c r="A398" s="31" t="s">
        <v>826</v>
      </c>
      <c r="B398" s="26" t="s">
        <v>685</v>
      </c>
      <c r="C398" s="27" t="s">
        <v>12</v>
      </c>
      <c r="D398" s="28" t="s">
        <v>755</v>
      </c>
      <c r="E398" s="28" t="s">
        <v>67</v>
      </c>
      <c r="F398" s="28" t="s">
        <v>67</v>
      </c>
      <c r="G398" s="28">
        <v>1.0</v>
      </c>
      <c r="H398" s="28">
        <v>3.0</v>
      </c>
      <c r="I398" s="28">
        <v>2.0</v>
      </c>
      <c r="J398" s="28"/>
      <c r="K398" s="30">
        <f t="shared" si="1"/>
        <v>50.26548246</v>
      </c>
    </row>
    <row r="399" ht="15.75" hidden="1" customHeight="1">
      <c r="A399" s="31" t="s">
        <v>827</v>
      </c>
      <c r="B399" s="26" t="s">
        <v>685</v>
      </c>
      <c r="C399" s="27" t="s">
        <v>12</v>
      </c>
      <c r="D399" s="28" t="s">
        <v>755</v>
      </c>
      <c r="E399" s="28" t="s">
        <v>69</v>
      </c>
      <c r="F399" s="28" t="s">
        <v>69</v>
      </c>
      <c r="G399" s="28">
        <v>1.0</v>
      </c>
      <c r="H399" s="28"/>
      <c r="I399" s="28"/>
      <c r="J399" s="28" t="s">
        <v>762</v>
      </c>
      <c r="K399" s="30">
        <f t="shared" si="1"/>
        <v>0</v>
      </c>
    </row>
    <row r="400" ht="15.75" hidden="1" customHeight="1">
      <c r="A400" s="25" t="s">
        <v>828</v>
      </c>
      <c r="B400" s="26" t="s">
        <v>686</v>
      </c>
      <c r="C400" s="27" t="s">
        <v>12</v>
      </c>
      <c r="D400" s="28" t="s">
        <v>755</v>
      </c>
      <c r="E400" s="28" t="s">
        <v>757</v>
      </c>
      <c r="F400" s="28" t="s">
        <v>757</v>
      </c>
      <c r="G400" s="28">
        <v>0.0</v>
      </c>
      <c r="H400" s="28"/>
      <c r="I400" s="28"/>
      <c r="J400" s="28"/>
      <c r="K400" s="30">
        <f t="shared" si="1"/>
        <v>0</v>
      </c>
    </row>
    <row r="401" ht="15.75" hidden="1" customHeight="1">
      <c r="A401" s="31" t="s">
        <v>145</v>
      </c>
      <c r="B401" s="26" t="s">
        <v>688</v>
      </c>
      <c r="C401" s="27" t="s">
        <v>20</v>
      </c>
      <c r="D401" s="28" t="s">
        <v>755</v>
      </c>
      <c r="E401" s="28" t="s">
        <v>69</v>
      </c>
      <c r="F401" s="28" t="s">
        <v>69</v>
      </c>
      <c r="G401" s="28">
        <v>1.0</v>
      </c>
      <c r="H401" s="28">
        <v>10.0</v>
      </c>
      <c r="I401" s="28">
        <v>3.0</v>
      </c>
      <c r="J401" s="28"/>
      <c r="K401" s="30">
        <f t="shared" si="1"/>
        <v>376.9911184</v>
      </c>
    </row>
    <row r="402" ht="15.75" hidden="1" customHeight="1">
      <c r="A402" s="31" t="s">
        <v>145</v>
      </c>
      <c r="B402" s="26" t="s">
        <v>688</v>
      </c>
      <c r="C402" s="27" t="s">
        <v>20</v>
      </c>
      <c r="D402" s="28" t="s">
        <v>755</v>
      </c>
      <c r="E402" s="28" t="s">
        <v>63</v>
      </c>
      <c r="F402" s="28" t="s">
        <v>63</v>
      </c>
      <c r="G402" s="28">
        <v>1.0</v>
      </c>
      <c r="H402" s="28">
        <v>13.0</v>
      </c>
      <c r="I402" s="28">
        <v>4.0</v>
      </c>
      <c r="J402" s="28"/>
      <c r="K402" s="30">
        <f t="shared" si="1"/>
        <v>871.2683626</v>
      </c>
    </row>
    <row r="403" ht="15.75" hidden="1" customHeight="1">
      <c r="A403" s="31" t="s">
        <v>145</v>
      </c>
      <c r="B403" s="26" t="s">
        <v>688</v>
      </c>
      <c r="C403" s="27" t="s">
        <v>20</v>
      </c>
      <c r="D403" s="28" t="s">
        <v>755</v>
      </c>
      <c r="E403" s="28" t="s">
        <v>57</v>
      </c>
      <c r="F403" s="28" t="s">
        <v>57</v>
      </c>
      <c r="G403" s="28">
        <v>1.0</v>
      </c>
      <c r="H403" s="28">
        <v>1.0</v>
      </c>
      <c r="I403" s="28">
        <v>1.0</v>
      </c>
      <c r="J403" s="28"/>
      <c r="K403" s="30">
        <f t="shared" si="1"/>
        <v>4.188790205</v>
      </c>
    </row>
    <row r="404" ht="15.75" hidden="1" customHeight="1">
      <c r="A404" s="31" t="s">
        <v>145</v>
      </c>
      <c r="B404" s="26" t="s">
        <v>688</v>
      </c>
      <c r="C404" s="27" t="s">
        <v>20</v>
      </c>
      <c r="D404" s="28" t="s">
        <v>755</v>
      </c>
      <c r="E404" s="28" t="s">
        <v>759</v>
      </c>
      <c r="F404" s="28" t="s">
        <v>75</v>
      </c>
      <c r="G404" s="28">
        <v>1.0</v>
      </c>
      <c r="H404" s="28">
        <v>5.0</v>
      </c>
      <c r="I404" s="28">
        <v>2.0</v>
      </c>
      <c r="J404" s="28"/>
      <c r="K404" s="30">
        <f t="shared" si="1"/>
        <v>83.7758041</v>
      </c>
    </row>
    <row r="405" ht="15.75" customHeight="1">
      <c r="A405" s="31" t="s">
        <v>170</v>
      </c>
      <c r="B405" s="26" t="s">
        <v>691</v>
      </c>
      <c r="C405" s="27" t="s">
        <v>31</v>
      </c>
      <c r="D405" s="28" t="s">
        <v>755</v>
      </c>
      <c r="E405" s="28" t="s">
        <v>757</v>
      </c>
      <c r="F405" s="28" t="s">
        <v>757</v>
      </c>
      <c r="G405" s="28">
        <v>0.0</v>
      </c>
      <c r="H405" s="28"/>
      <c r="I405" s="28"/>
      <c r="J405" s="28"/>
      <c r="K405" s="30">
        <f t="shared" si="1"/>
        <v>0</v>
      </c>
    </row>
    <row r="406" ht="15.75" customHeight="1">
      <c r="A406" s="31" t="s">
        <v>170</v>
      </c>
      <c r="B406" s="26" t="s">
        <v>691</v>
      </c>
      <c r="C406" s="27" t="s">
        <v>31</v>
      </c>
      <c r="D406" s="28" t="s">
        <v>755</v>
      </c>
      <c r="E406" s="28" t="s">
        <v>757</v>
      </c>
      <c r="F406" s="28" t="s">
        <v>757</v>
      </c>
      <c r="G406" s="28">
        <v>0.0</v>
      </c>
      <c r="H406" s="28"/>
      <c r="I406" s="28"/>
      <c r="J406" s="28"/>
      <c r="K406" s="30">
        <f t="shared" si="1"/>
        <v>0</v>
      </c>
    </row>
    <row r="407" ht="15.75" hidden="1" customHeight="1">
      <c r="A407" s="31" t="s">
        <v>134</v>
      </c>
      <c r="B407" s="26" t="s">
        <v>694</v>
      </c>
      <c r="C407" s="27" t="s">
        <v>16</v>
      </c>
      <c r="D407" s="28" t="s">
        <v>755</v>
      </c>
      <c r="E407" s="28" t="s">
        <v>63</v>
      </c>
      <c r="F407" s="28" t="s">
        <v>63</v>
      </c>
      <c r="G407" s="28">
        <v>1.0</v>
      </c>
      <c r="H407" s="28">
        <v>5.0</v>
      </c>
      <c r="I407" s="28">
        <v>3.0</v>
      </c>
      <c r="J407" s="28"/>
      <c r="K407" s="30">
        <f t="shared" si="1"/>
        <v>188.4955592</v>
      </c>
    </row>
    <row r="408" ht="15.75" hidden="1" customHeight="1">
      <c r="A408" s="31" t="s">
        <v>134</v>
      </c>
      <c r="B408" s="26" t="s">
        <v>694</v>
      </c>
      <c r="C408" s="27" t="s">
        <v>16</v>
      </c>
      <c r="D408" s="28" t="s">
        <v>755</v>
      </c>
      <c r="E408" s="28" t="s">
        <v>63</v>
      </c>
      <c r="F408" s="28" t="s">
        <v>63</v>
      </c>
      <c r="G408" s="28">
        <v>1.0</v>
      </c>
      <c r="H408" s="28">
        <v>2.0</v>
      </c>
      <c r="I408" s="28">
        <v>0.5</v>
      </c>
      <c r="J408" s="28"/>
      <c r="K408" s="30">
        <f t="shared" si="1"/>
        <v>2.094395102</v>
      </c>
    </row>
    <row r="409" ht="15.75" hidden="1" customHeight="1">
      <c r="A409" s="31" t="s">
        <v>134</v>
      </c>
      <c r="B409" s="26" t="s">
        <v>694</v>
      </c>
      <c r="C409" s="27" t="s">
        <v>16</v>
      </c>
      <c r="D409" s="28" t="s">
        <v>755</v>
      </c>
      <c r="E409" s="28" t="s">
        <v>759</v>
      </c>
      <c r="F409" s="28" t="s">
        <v>75</v>
      </c>
      <c r="G409" s="28">
        <v>1.0</v>
      </c>
      <c r="H409" s="28">
        <v>5.0</v>
      </c>
      <c r="I409" s="28">
        <v>1.0</v>
      </c>
      <c r="J409" s="28"/>
      <c r="K409" s="30">
        <f t="shared" si="1"/>
        <v>20.94395102</v>
      </c>
    </row>
    <row r="410" ht="15.75" hidden="1" customHeight="1">
      <c r="A410" s="31" t="s">
        <v>134</v>
      </c>
      <c r="B410" s="26" t="s">
        <v>694</v>
      </c>
      <c r="C410" s="27" t="s">
        <v>16</v>
      </c>
      <c r="D410" s="28" t="s">
        <v>755</v>
      </c>
      <c r="E410" s="28" t="s">
        <v>759</v>
      </c>
      <c r="F410" s="28" t="s">
        <v>75</v>
      </c>
      <c r="G410" s="28">
        <v>1.0</v>
      </c>
      <c r="H410" s="28">
        <v>3.0</v>
      </c>
      <c r="I410" s="28">
        <v>1.0</v>
      </c>
      <c r="J410" s="28"/>
      <c r="K410" s="30">
        <f t="shared" si="1"/>
        <v>12.56637061</v>
      </c>
    </row>
    <row r="411" ht="15.75" hidden="1" customHeight="1">
      <c r="A411" s="31" t="s">
        <v>134</v>
      </c>
      <c r="B411" s="26" t="s">
        <v>697</v>
      </c>
      <c r="C411" s="27" t="s">
        <v>16</v>
      </c>
      <c r="D411" s="28" t="s">
        <v>755</v>
      </c>
      <c r="E411" s="28" t="s">
        <v>757</v>
      </c>
      <c r="F411" s="28" t="s">
        <v>757</v>
      </c>
      <c r="G411" s="28">
        <v>0.0</v>
      </c>
      <c r="H411" s="28"/>
      <c r="I411" s="28"/>
      <c r="J411" s="28"/>
      <c r="K411" s="30">
        <f t="shared" si="1"/>
        <v>0</v>
      </c>
    </row>
    <row r="412" ht="15.75" hidden="1" customHeight="1">
      <c r="A412" s="31" t="s">
        <v>349</v>
      </c>
      <c r="B412" s="26" t="s">
        <v>699</v>
      </c>
      <c r="C412" s="27" t="s">
        <v>16</v>
      </c>
      <c r="D412" s="28" t="s">
        <v>755</v>
      </c>
      <c r="E412" s="28" t="s">
        <v>757</v>
      </c>
      <c r="F412" s="28" t="s">
        <v>757</v>
      </c>
      <c r="G412" s="28">
        <v>0.0</v>
      </c>
      <c r="H412" s="28"/>
      <c r="I412" s="28"/>
      <c r="J412" s="28"/>
      <c r="K412" s="30">
        <f t="shared" si="1"/>
        <v>0</v>
      </c>
    </row>
    <row r="413" ht="15.75" hidden="1" customHeight="1">
      <c r="A413" s="25" t="s">
        <v>829</v>
      </c>
      <c r="B413" s="26" t="s">
        <v>701</v>
      </c>
      <c r="C413" s="27" t="s">
        <v>16</v>
      </c>
      <c r="D413" s="28" t="s">
        <v>755</v>
      </c>
      <c r="E413" s="28" t="s">
        <v>757</v>
      </c>
      <c r="F413" s="28" t="s">
        <v>757</v>
      </c>
      <c r="G413" s="28">
        <v>0.0</v>
      </c>
      <c r="H413" s="28"/>
      <c r="I413" s="28"/>
      <c r="J413" s="28" t="s">
        <v>830</v>
      </c>
      <c r="K413" s="30">
        <f t="shared" si="1"/>
        <v>0</v>
      </c>
    </row>
    <row r="414" ht="15.75" hidden="1" customHeight="1">
      <c r="A414" s="31" t="s">
        <v>170</v>
      </c>
      <c r="B414" s="26" t="s">
        <v>704</v>
      </c>
      <c r="C414" s="27" t="s">
        <v>16</v>
      </c>
      <c r="D414" s="28" t="s">
        <v>755</v>
      </c>
      <c r="E414" s="28" t="s">
        <v>757</v>
      </c>
      <c r="F414" s="28" t="s">
        <v>757</v>
      </c>
      <c r="G414" s="28">
        <v>0.0</v>
      </c>
      <c r="H414" s="28"/>
      <c r="I414" s="28"/>
      <c r="J414" s="28"/>
      <c r="K414" s="30">
        <f t="shared" si="1"/>
        <v>0</v>
      </c>
    </row>
    <row r="415" ht="15.75" hidden="1" customHeight="1">
      <c r="A415" s="25" t="s">
        <v>831</v>
      </c>
      <c r="B415" s="26" t="s">
        <v>706</v>
      </c>
      <c r="C415" s="27" t="s">
        <v>16</v>
      </c>
      <c r="D415" s="28" t="s">
        <v>755</v>
      </c>
      <c r="E415" s="28" t="s">
        <v>757</v>
      </c>
      <c r="F415" s="28" t="s">
        <v>757</v>
      </c>
      <c r="G415" s="28">
        <v>0.0</v>
      </c>
      <c r="H415" s="28"/>
      <c r="I415" s="28"/>
      <c r="J415" s="28"/>
      <c r="K415" s="30">
        <f t="shared" si="1"/>
        <v>0</v>
      </c>
    </row>
    <row r="416" ht="15.75" hidden="1" customHeight="1">
      <c r="A416" s="31" t="s">
        <v>134</v>
      </c>
      <c r="B416" s="26" t="s">
        <v>708</v>
      </c>
      <c r="C416" s="27" t="s">
        <v>16</v>
      </c>
      <c r="D416" s="28" t="s">
        <v>755</v>
      </c>
      <c r="E416" s="28" t="s">
        <v>757</v>
      </c>
      <c r="F416" s="28" t="s">
        <v>757</v>
      </c>
      <c r="G416" s="28">
        <v>0.0</v>
      </c>
      <c r="H416" s="28"/>
      <c r="I416" s="28"/>
      <c r="J416" s="28"/>
      <c r="K416" s="30">
        <f t="shared" si="1"/>
        <v>0</v>
      </c>
    </row>
    <row r="417" ht="15.75" hidden="1" customHeight="1">
      <c r="A417" s="31" t="s">
        <v>210</v>
      </c>
      <c r="B417" s="26" t="s">
        <v>709</v>
      </c>
      <c r="C417" s="27" t="s">
        <v>37</v>
      </c>
      <c r="D417" s="28" t="s">
        <v>755</v>
      </c>
      <c r="E417" s="28" t="s">
        <v>766</v>
      </c>
      <c r="F417" s="28" t="s">
        <v>87</v>
      </c>
      <c r="G417" s="28">
        <v>1.0</v>
      </c>
      <c r="H417" s="28">
        <v>30.0</v>
      </c>
      <c r="I417" s="28">
        <v>4.0</v>
      </c>
      <c r="J417" s="28"/>
      <c r="K417" s="30">
        <f t="shared" si="1"/>
        <v>2010.619298</v>
      </c>
    </row>
    <row r="418" ht="15.75" hidden="1" customHeight="1">
      <c r="A418" s="31" t="s">
        <v>210</v>
      </c>
      <c r="B418" s="26" t="s">
        <v>709</v>
      </c>
      <c r="C418" s="27" t="s">
        <v>37</v>
      </c>
      <c r="D418" s="28" t="s">
        <v>755</v>
      </c>
      <c r="E418" s="28" t="s">
        <v>63</v>
      </c>
      <c r="F418" s="28" t="s">
        <v>63</v>
      </c>
      <c r="G418" s="28">
        <v>1.0</v>
      </c>
      <c r="H418" s="28">
        <v>25.0</v>
      </c>
      <c r="I418" s="28">
        <v>5.0</v>
      </c>
      <c r="J418" s="28"/>
      <c r="K418" s="30">
        <f t="shared" si="1"/>
        <v>2617.993878</v>
      </c>
    </row>
    <row r="419" ht="15.75" hidden="1" customHeight="1">
      <c r="A419" s="31" t="s">
        <v>210</v>
      </c>
      <c r="B419" s="26" t="s">
        <v>709</v>
      </c>
      <c r="C419" s="27" t="s">
        <v>37</v>
      </c>
      <c r="D419" s="28" t="s">
        <v>755</v>
      </c>
      <c r="E419" s="28" t="s">
        <v>93</v>
      </c>
      <c r="F419" s="28" t="s">
        <v>93</v>
      </c>
      <c r="G419" s="28">
        <v>1.0</v>
      </c>
      <c r="H419" s="28"/>
      <c r="I419" s="28"/>
      <c r="J419" s="37" t="s">
        <v>762</v>
      </c>
      <c r="K419" s="30">
        <f t="shared" si="1"/>
        <v>0</v>
      </c>
    </row>
    <row r="420" ht="15.75" hidden="1" customHeight="1">
      <c r="A420" s="31" t="s">
        <v>210</v>
      </c>
      <c r="B420" s="26" t="s">
        <v>709</v>
      </c>
      <c r="C420" s="27" t="s">
        <v>37</v>
      </c>
      <c r="D420" s="28" t="s">
        <v>755</v>
      </c>
      <c r="E420" s="28" t="s">
        <v>71</v>
      </c>
      <c r="F420" s="28" t="s">
        <v>71</v>
      </c>
      <c r="G420" s="28">
        <v>1.0</v>
      </c>
      <c r="H420" s="28">
        <v>80.0</v>
      </c>
      <c r="I420" s="28">
        <v>6.0</v>
      </c>
      <c r="J420" s="28"/>
      <c r="K420" s="30">
        <f t="shared" si="1"/>
        <v>12063.71579</v>
      </c>
    </row>
    <row r="421" ht="15.75" hidden="1" customHeight="1">
      <c r="A421" s="31" t="s">
        <v>210</v>
      </c>
      <c r="B421" s="26" t="s">
        <v>709</v>
      </c>
      <c r="C421" s="27" t="s">
        <v>37</v>
      </c>
      <c r="D421" s="28" t="s">
        <v>755</v>
      </c>
      <c r="E421" s="28" t="s">
        <v>63</v>
      </c>
      <c r="F421" s="28" t="s">
        <v>63</v>
      </c>
      <c r="G421" s="28">
        <v>1.0</v>
      </c>
      <c r="H421" s="28">
        <v>14.0</v>
      </c>
      <c r="I421" s="28">
        <v>5.0</v>
      </c>
      <c r="J421" s="28"/>
      <c r="K421" s="30">
        <f t="shared" si="1"/>
        <v>1466.076572</v>
      </c>
    </row>
    <row r="422" ht="15.75" hidden="1" customHeight="1">
      <c r="A422" s="31" t="s">
        <v>210</v>
      </c>
      <c r="B422" s="26" t="s">
        <v>709</v>
      </c>
      <c r="C422" s="27" t="s">
        <v>37</v>
      </c>
      <c r="D422" s="28" t="s">
        <v>755</v>
      </c>
      <c r="E422" s="28" t="s">
        <v>63</v>
      </c>
      <c r="F422" s="28" t="s">
        <v>97</v>
      </c>
      <c r="G422" s="28">
        <v>1.0</v>
      </c>
      <c r="H422" s="28">
        <v>15.0</v>
      </c>
      <c r="I422" s="28">
        <v>3.0</v>
      </c>
      <c r="J422" s="28"/>
      <c r="K422" s="30">
        <f t="shared" si="1"/>
        <v>565.4866776</v>
      </c>
    </row>
    <row r="423" ht="15.75" hidden="1" customHeight="1">
      <c r="A423" s="31" t="s">
        <v>210</v>
      </c>
      <c r="B423" s="26" t="s">
        <v>709</v>
      </c>
      <c r="C423" s="27" t="s">
        <v>37</v>
      </c>
      <c r="D423" s="28" t="s">
        <v>755</v>
      </c>
      <c r="E423" s="28" t="s">
        <v>63</v>
      </c>
      <c r="F423" s="28" t="s">
        <v>65</v>
      </c>
      <c r="G423" s="28">
        <v>1.0</v>
      </c>
      <c r="H423" s="28">
        <v>20.0</v>
      </c>
      <c r="I423" s="28">
        <v>3.0</v>
      </c>
      <c r="J423" s="28"/>
      <c r="K423" s="30">
        <f t="shared" si="1"/>
        <v>753.9822369</v>
      </c>
    </row>
    <row r="424" ht="15.75" hidden="1" customHeight="1">
      <c r="A424" s="31" t="s">
        <v>210</v>
      </c>
      <c r="B424" s="26" t="s">
        <v>709</v>
      </c>
      <c r="C424" s="27" t="s">
        <v>37</v>
      </c>
      <c r="D424" s="28" t="s">
        <v>755</v>
      </c>
      <c r="E424" s="28" t="s">
        <v>63</v>
      </c>
      <c r="F424" s="28" t="s">
        <v>63</v>
      </c>
      <c r="G424" s="28">
        <v>1.0</v>
      </c>
      <c r="H424" s="28">
        <v>18.0</v>
      </c>
      <c r="I424" s="28">
        <v>10.0</v>
      </c>
      <c r="J424" s="28"/>
      <c r="K424" s="30">
        <f t="shared" si="1"/>
        <v>7539.822369</v>
      </c>
    </row>
    <row r="425" ht="15.75" hidden="1" customHeight="1">
      <c r="A425" s="31" t="s">
        <v>210</v>
      </c>
      <c r="B425" s="26" t="s">
        <v>709</v>
      </c>
      <c r="C425" s="27" t="s">
        <v>37</v>
      </c>
      <c r="D425" s="28" t="s">
        <v>755</v>
      </c>
      <c r="E425" s="28" t="s">
        <v>759</v>
      </c>
      <c r="F425" s="28" t="s">
        <v>75</v>
      </c>
      <c r="G425" s="28">
        <v>5.0</v>
      </c>
      <c r="H425" s="28">
        <v>12.0</v>
      </c>
      <c r="I425" s="28">
        <v>2.0</v>
      </c>
      <c r="J425" s="28"/>
      <c r="K425" s="30">
        <f t="shared" si="1"/>
        <v>1005.309649</v>
      </c>
    </row>
    <row r="426" ht="15.75" hidden="1" customHeight="1">
      <c r="A426" s="31" t="s">
        <v>210</v>
      </c>
      <c r="B426" s="26" t="s">
        <v>709</v>
      </c>
      <c r="C426" s="27" t="s">
        <v>37</v>
      </c>
      <c r="D426" s="28" t="s">
        <v>755</v>
      </c>
      <c r="E426" s="28" t="s">
        <v>759</v>
      </c>
      <c r="F426" s="28" t="s">
        <v>75</v>
      </c>
      <c r="G426" s="28">
        <v>1.0</v>
      </c>
      <c r="H426" s="28">
        <v>8.0</v>
      </c>
      <c r="I426" s="28">
        <v>1.0</v>
      </c>
      <c r="J426" s="28"/>
      <c r="K426" s="30">
        <f t="shared" si="1"/>
        <v>33.51032164</v>
      </c>
    </row>
    <row r="427" ht="15.75" hidden="1" customHeight="1">
      <c r="A427" s="31" t="s">
        <v>210</v>
      </c>
      <c r="B427" s="26" t="s">
        <v>709</v>
      </c>
      <c r="C427" s="27" t="s">
        <v>37</v>
      </c>
      <c r="D427" s="28" t="s">
        <v>755</v>
      </c>
      <c r="E427" s="28" t="s">
        <v>759</v>
      </c>
      <c r="F427" s="28" t="s">
        <v>75</v>
      </c>
      <c r="G427" s="28">
        <v>1.0</v>
      </c>
      <c r="H427" s="28">
        <v>10.0</v>
      </c>
      <c r="I427" s="28">
        <v>2.0</v>
      </c>
      <c r="J427" s="28"/>
      <c r="K427" s="30">
        <f t="shared" si="1"/>
        <v>167.5516082</v>
      </c>
    </row>
    <row r="428" ht="15.75" hidden="1" customHeight="1">
      <c r="A428" s="31" t="s">
        <v>210</v>
      </c>
      <c r="B428" s="26" t="s">
        <v>709</v>
      </c>
      <c r="C428" s="27" t="s">
        <v>37</v>
      </c>
      <c r="D428" s="28" t="s">
        <v>755</v>
      </c>
      <c r="E428" s="28" t="s">
        <v>759</v>
      </c>
      <c r="F428" s="28" t="s">
        <v>75</v>
      </c>
      <c r="G428" s="28">
        <v>16.0</v>
      </c>
      <c r="H428" s="28">
        <v>9.0</v>
      </c>
      <c r="I428" s="28">
        <v>1.0</v>
      </c>
      <c r="J428" s="28"/>
      <c r="K428" s="30">
        <f t="shared" si="1"/>
        <v>603.1857895</v>
      </c>
    </row>
    <row r="429" ht="15.75" hidden="1" customHeight="1">
      <c r="A429" s="31" t="s">
        <v>210</v>
      </c>
      <c r="B429" s="26" t="s">
        <v>709</v>
      </c>
      <c r="C429" s="27" t="s">
        <v>37</v>
      </c>
      <c r="D429" s="28" t="s">
        <v>755</v>
      </c>
      <c r="E429" s="28" t="s">
        <v>759</v>
      </c>
      <c r="F429" s="28" t="s">
        <v>75</v>
      </c>
      <c r="G429" s="28">
        <v>1.0</v>
      </c>
      <c r="H429" s="28">
        <v>4.0</v>
      </c>
      <c r="I429" s="28">
        <v>1.0</v>
      </c>
      <c r="J429" s="28"/>
      <c r="K429" s="30">
        <f t="shared" si="1"/>
        <v>16.75516082</v>
      </c>
    </row>
    <row r="430" ht="15.75" hidden="1" customHeight="1">
      <c r="A430" s="31" t="s">
        <v>210</v>
      </c>
      <c r="B430" s="26" t="s">
        <v>709</v>
      </c>
      <c r="C430" s="27" t="s">
        <v>37</v>
      </c>
      <c r="D430" s="28" t="s">
        <v>755</v>
      </c>
      <c r="E430" s="28" t="s">
        <v>759</v>
      </c>
      <c r="F430" s="28" t="s">
        <v>75</v>
      </c>
      <c r="G430" s="28">
        <v>2.0</v>
      </c>
      <c r="H430" s="28">
        <v>6.0</v>
      </c>
      <c r="I430" s="28">
        <v>1.0</v>
      </c>
      <c r="J430" s="28"/>
      <c r="K430" s="30">
        <f t="shared" si="1"/>
        <v>50.26548246</v>
      </c>
    </row>
    <row r="431" ht="15.75" hidden="1" customHeight="1">
      <c r="A431" s="31" t="s">
        <v>210</v>
      </c>
      <c r="B431" s="26" t="s">
        <v>709</v>
      </c>
      <c r="C431" s="27" t="s">
        <v>37</v>
      </c>
      <c r="D431" s="28" t="s">
        <v>755</v>
      </c>
      <c r="E431" s="28" t="s">
        <v>832</v>
      </c>
      <c r="F431" s="28" t="s">
        <v>832</v>
      </c>
      <c r="G431" s="28">
        <v>1.0</v>
      </c>
      <c r="H431" s="28"/>
      <c r="I431" s="28"/>
      <c r="J431" s="28" t="s">
        <v>762</v>
      </c>
      <c r="K431" s="30">
        <f t="shared" si="1"/>
        <v>0</v>
      </c>
    </row>
    <row r="432" ht="15.75" hidden="1" customHeight="1">
      <c r="A432" s="31" t="s">
        <v>210</v>
      </c>
      <c r="B432" s="26" t="s">
        <v>709</v>
      </c>
      <c r="C432" s="27" t="s">
        <v>37</v>
      </c>
      <c r="D432" s="28" t="s">
        <v>755</v>
      </c>
      <c r="E432" s="28" t="s">
        <v>81</v>
      </c>
      <c r="F432" s="28" t="s">
        <v>81</v>
      </c>
      <c r="G432" s="28">
        <v>1.0</v>
      </c>
      <c r="H432" s="28"/>
      <c r="I432" s="28"/>
      <c r="J432" s="28" t="s">
        <v>762</v>
      </c>
      <c r="K432" s="30">
        <f t="shared" si="1"/>
        <v>0</v>
      </c>
    </row>
    <row r="433" ht="15.75" hidden="1" customHeight="1">
      <c r="A433" s="31" t="s">
        <v>210</v>
      </c>
      <c r="B433" s="26" t="s">
        <v>709</v>
      </c>
      <c r="C433" s="27" t="s">
        <v>37</v>
      </c>
      <c r="D433" s="28" t="s">
        <v>755</v>
      </c>
      <c r="E433" s="28" t="s">
        <v>63</v>
      </c>
      <c r="F433" s="28" t="s">
        <v>63</v>
      </c>
      <c r="G433" s="28">
        <v>1.0</v>
      </c>
      <c r="H433" s="28">
        <v>14.0</v>
      </c>
      <c r="I433" s="28">
        <v>4.0</v>
      </c>
      <c r="J433" s="28"/>
      <c r="K433" s="30">
        <f t="shared" si="1"/>
        <v>938.2890059</v>
      </c>
    </row>
    <row r="434" ht="15.75" hidden="1" customHeight="1">
      <c r="A434" s="31" t="s">
        <v>210</v>
      </c>
      <c r="B434" s="26" t="s">
        <v>709</v>
      </c>
      <c r="C434" s="27" t="s">
        <v>37</v>
      </c>
      <c r="D434" s="28" t="s">
        <v>755</v>
      </c>
      <c r="E434" s="28" t="s">
        <v>91</v>
      </c>
      <c r="F434" s="28" t="s">
        <v>91</v>
      </c>
      <c r="G434" s="28">
        <v>1.0</v>
      </c>
      <c r="H434" s="28">
        <v>6.0</v>
      </c>
      <c r="I434" s="28">
        <v>6.0</v>
      </c>
      <c r="J434" s="28"/>
      <c r="K434" s="30">
        <f t="shared" si="1"/>
        <v>904.7786842</v>
      </c>
    </row>
    <row r="435" ht="15.75" hidden="1" customHeight="1">
      <c r="A435" s="31" t="s">
        <v>210</v>
      </c>
      <c r="B435" s="26" t="s">
        <v>709</v>
      </c>
      <c r="C435" s="27" t="s">
        <v>37</v>
      </c>
      <c r="D435" s="28" t="s">
        <v>755</v>
      </c>
      <c r="E435" s="28" t="s">
        <v>91</v>
      </c>
      <c r="F435" s="28" t="s">
        <v>91</v>
      </c>
      <c r="G435" s="28">
        <v>1.0</v>
      </c>
      <c r="H435" s="28">
        <v>6.0</v>
      </c>
      <c r="I435" s="28">
        <v>5.0</v>
      </c>
      <c r="J435" s="28"/>
      <c r="K435" s="30">
        <f t="shared" si="1"/>
        <v>628.3185307</v>
      </c>
    </row>
    <row r="436" ht="15.75" hidden="1" customHeight="1">
      <c r="A436" s="31" t="s">
        <v>210</v>
      </c>
      <c r="B436" s="26" t="s">
        <v>709</v>
      </c>
      <c r="C436" s="27" t="s">
        <v>37</v>
      </c>
      <c r="D436" s="28" t="s">
        <v>755</v>
      </c>
      <c r="E436" s="28" t="s">
        <v>759</v>
      </c>
      <c r="F436" s="28" t="s">
        <v>75</v>
      </c>
      <c r="G436" s="28">
        <v>1.0</v>
      </c>
      <c r="H436" s="28">
        <v>5.0</v>
      </c>
      <c r="I436" s="28">
        <v>1.0</v>
      </c>
      <c r="J436" s="28"/>
      <c r="K436" s="30">
        <f t="shared" si="1"/>
        <v>20.94395102</v>
      </c>
    </row>
    <row r="437" ht="15.75" hidden="1" customHeight="1">
      <c r="A437" s="31" t="s">
        <v>210</v>
      </c>
      <c r="B437" s="26" t="s">
        <v>709</v>
      </c>
      <c r="C437" s="27" t="s">
        <v>37</v>
      </c>
      <c r="D437" s="28" t="s">
        <v>755</v>
      </c>
      <c r="E437" s="28" t="s">
        <v>63</v>
      </c>
      <c r="F437" s="28" t="s">
        <v>63</v>
      </c>
      <c r="G437" s="28">
        <v>1.0</v>
      </c>
      <c r="H437" s="28">
        <v>13.0</v>
      </c>
      <c r="I437" s="28">
        <v>6.0</v>
      </c>
      <c r="J437" s="28"/>
      <c r="K437" s="30">
        <f t="shared" si="1"/>
        <v>1960.353816</v>
      </c>
    </row>
    <row r="438" ht="15.75" hidden="1" customHeight="1">
      <c r="A438" s="31" t="s">
        <v>210</v>
      </c>
      <c r="B438" s="26" t="s">
        <v>709</v>
      </c>
      <c r="C438" s="27" t="s">
        <v>37</v>
      </c>
      <c r="D438" s="28" t="s">
        <v>755</v>
      </c>
      <c r="E438" s="28" t="s">
        <v>63</v>
      </c>
      <c r="F438" s="28" t="s">
        <v>63</v>
      </c>
      <c r="G438" s="28">
        <v>2.0</v>
      </c>
      <c r="H438" s="28"/>
      <c r="I438" s="28"/>
      <c r="J438" s="28" t="s">
        <v>762</v>
      </c>
      <c r="K438" s="30">
        <f t="shared" si="1"/>
        <v>0</v>
      </c>
    </row>
    <row r="439" ht="15.75" hidden="1" customHeight="1">
      <c r="A439" s="31" t="s">
        <v>210</v>
      </c>
      <c r="B439" s="26" t="s">
        <v>709</v>
      </c>
      <c r="C439" s="27" t="s">
        <v>37</v>
      </c>
      <c r="D439" s="28" t="s">
        <v>755</v>
      </c>
      <c r="E439" s="28" t="s">
        <v>63</v>
      </c>
      <c r="F439" s="28" t="s">
        <v>63</v>
      </c>
      <c r="G439" s="28">
        <v>2.0</v>
      </c>
      <c r="H439" s="28">
        <v>17.0</v>
      </c>
      <c r="I439" s="28">
        <v>8.0</v>
      </c>
      <c r="J439" s="28"/>
      <c r="K439" s="30">
        <f t="shared" si="1"/>
        <v>9114.807486</v>
      </c>
    </row>
    <row r="440" ht="15.75" hidden="1" customHeight="1">
      <c r="A440" s="31" t="s">
        <v>210</v>
      </c>
      <c r="B440" s="26" t="s">
        <v>709</v>
      </c>
      <c r="C440" s="27" t="s">
        <v>37</v>
      </c>
      <c r="D440" s="28" t="s">
        <v>755</v>
      </c>
      <c r="E440" s="28" t="s">
        <v>63</v>
      </c>
      <c r="F440" s="28" t="s">
        <v>63</v>
      </c>
      <c r="G440" s="28">
        <v>1.0</v>
      </c>
      <c r="H440" s="28">
        <v>9.0</v>
      </c>
      <c r="I440" s="28">
        <v>4.0</v>
      </c>
      <c r="J440" s="28"/>
      <c r="K440" s="30">
        <f t="shared" si="1"/>
        <v>603.1857895</v>
      </c>
    </row>
    <row r="441" ht="15.75" hidden="1" customHeight="1">
      <c r="A441" s="31" t="s">
        <v>210</v>
      </c>
      <c r="B441" s="26" t="s">
        <v>709</v>
      </c>
      <c r="C441" s="27" t="s">
        <v>37</v>
      </c>
      <c r="D441" s="28" t="s">
        <v>755</v>
      </c>
      <c r="E441" s="28" t="s">
        <v>63</v>
      </c>
      <c r="F441" s="28" t="s">
        <v>63</v>
      </c>
      <c r="G441" s="28">
        <v>8.0</v>
      </c>
      <c r="H441" s="28">
        <v>11.0</v>
      </c>
      <c r="I441" s="28">
        <v>5.0</v>
      </c>
      <c r="J441" s="28"/>
      <c r="K441" s="30">
        <f t="shared" si="1"/>
        <v>9215.338451</v>
      </c>
    </row>
    <row r="442" ht="15.75" hidden="1" customHeight="1">
      <c r="A442" s="31" t="s">
        <v>210</v>
      </c>
      <c r="B442" s="26" t="s">
        <v>709</v>
      </c>
      <c r="C442" s="27" t="s">
        <v>37</v>
      </c>
      <c r="D442" s="28" t="s">
        <v>755</v>
      </c>
      <c r="E442" s="28" t="s">
        <v>63</v>
      </c>
      <c r="F442" s="28" t="s">
        <v>63</v>
      </c>
      <c r="G442" s="28">
        <v>1.0</v>
      </c>
      <c r="H442" s="28"/>
      <c r="I442" s="28"/>
      <c r="J442" s="28" t="s">
        <v>762</v>
      </c>
      <c r="K442" s="30">
        <f t="shared" si="1"/>
        <v>0</v>
      </c>
    </row>
    <row r="443" ht="15.75" hidden="1" customHeight="1">
      <c r="A443" s="31" t="s">
        <v>210</v>
      </c>
      <c r="B443" s="26" t="s">
        <v>712</v>
      </c>
      <c r="C443" s="27" t="s">
        <v>37</v>
      </c>
      <c r="D443" s="28" t="s">
        <v>755</v>
      </c>
      <c r="E443" s="28" t="s">
        <v>71</v>
      </c>
      <c r="F443" s="28" t="s">
        <v>71</v>
      </c>
      <c r="G443" s="28">
        <v>1.0</v>
      </c>
      <c r="H443" s="28">
        <v>90.0</v>
      </c>
      <c r="I443" s="28">
        <v>5.0</v>
      </c>
      <c r="J443" s="28"/>
      <c r="K443" s="30">
        <f t="shared" si="1"/>
        <v>9424.777961</v>
      </c>
    </row>
    <row r="444" ht="15.75" hidden="1" customHeight="1">
      <c r="A444" s="31" t="s">
        <v>210</v>
      </c>
      <c r="B444" s="26" t="s">
        <v>712</v>
      </c>
      <c r="C444" s="27" t="s">
        <v>37</v>
      </c>
      <c r="D444" s="28" t="s">
        <v>755</v>
      </c>
      <c r="E444" s="28" t="s">
        <v>63</v>
      </c>
      <c r="F444" s="28" t="s">
        <v>63</v>
      </c>
      <c r="G444" s="28">
        <v>11.0</v>
      </c>
      <c r="H444" s="28">
        <v>19.0</v>
      </c>
      <c r="I444" s="28">
        <v>10.0</v>
      </c>
      <c r="J444" s="28"/>
      <c r="K444" s="30">
        <f t="shared" si="1"/>
        <v>87545.71528</v>
      </c>
    </row>
    <row r="445" ht="15.75" hidden="1" customHeight="1">
      <c r="A445" s="31" t="s">
        <v>210</v>
      </c>
      <c r="B445" s="26" t="s">
        <v>712</v>
      </c>
      <c r="C445" s="27" t="s">
        <v>37</v>
      </c>
      <c r="D445" s="28" t="s">
        <v>755</v>
      </c>
      <c r="E445" s="28" t="s">
        <v>63</v>
      </c>
      <c r="F445" s="28" t="s">
        <v>63</v>
      </c>
      <c r="G445" s="28">
        <v>1.0</v>
      </c>
      <c r="H445" s="28">
        <v>10.0</v>
      </c>
      <c r="I445" s="28">
        <v>4.0</v>
      </c>
      <c r="J445" s="28"/>
      <c r="K445" s="30">
        <f t="shared" si="1"/>
        <v>670.2064328</v>
      </c>
    </row>
    <row r="446" ht="15.75" hidden="1" customHeight="1">
      <c r="A446" s="31" t="s">
        <v>210</v>
      </c>
      <c r="B446" s="26" t="s">
        <v>712</v>
      </c>
      <c r="C446" s="27" t="s">
        <v>37</v>
      </c>
      <c r="D446" s="28" t="s">
        <v>755</v>
      </c>
      <c r="E446" s="28" t="s">
        <v>91</v>
      </c>
      <c r="F446" s="28" t="s">
        <v>91</v>
      </c>
      <c r="G446" s="28">
        <v>2.0</v>
      </c>
      <c r="H446" s="28">
        <v>9.0</v>
      </c>
      <c r="I446" s="28">
        <v>10.0</v>
      </c>
      <c r="J446" s="28"/>
      <c r="K446" s="30">
        <f t="shared" si="1"/>
        <v>7539.822369</v>
      </c>
    </row>
    <row r="447" ht="15.75" hidden="1" customHeight="1">
      <c r="A447" s="31" t="s">
        <v>210</v>
      </c>
      <c r="B447" s="26" t="s">
        <v>712</v>
      </c>
      <c r="C447" s="27" t="s">
        <v>37</v>
      </c>
      <c r="D447" s="28" t="s">
        <v>755</v>
      </c>
      <c r="E447" s="28" t="s">
        <v>63</v>
      </c>
      <c r="F447" s="28" t="s">
        <v>65</v>
      </c>
      <c r="G447" s="28">
        <v>1.0</v>
      </c>
      <c r="H447" s="28"/>
      <c r="I447" s="28"/>
      <c r="J447" s="28" t="s">
        <v>762</v>
      </c>
      <c r="K447" s="30">
        <f t="shared" si="1"/>
        <v>0</v>
      </c>
    </row>
    <row r="448" ht="15.75" hidden="1" customHeight="1">
      <c r="A448" s="31" t="s">
        <v>210</v>
      </c>
      <c r="B448" s="26" t="s">
        <v>712</v>
      </c>
      <c r="C448" s="27" t="s">
        <v>37</v>
      </c>
      <c r="D448" s="28" t="s">
        <v>755</v>
      </c>
      <c r="E448" s="28" t="s">
        <v>759</v>
      </c>
      <c r="F448" s="28" t="s">
        <v>75</v>
      </c>
      <c r="G448" s="28">
        <v>5.0</v>
      </c>
      <c r="H448" s="28">
        <v>7.0</v>
      </c>
      <c r="I448" s="28">
        <v>1.0</v>
      </c>
      <c r="J448" s="28"/>
      <c r="K448" s="30">
        <f t="shared" si="1"/>
        <v>146.6076572</v>
      </c>
    </row>
    <row r="449" ht="15.75" hidden="1" customHeight="1">
      <c r="A449" s="31" t="s">
        <v>210</v>
      </c>
      <c r="B449" s="26" t="s">
        <v>712</v>
      </c>
      <c r="C449" s="27" t="s">
        <v>37</v>
      </c>
      <c r="D449" s="28" t="s">
        <v>755</v>
      </c>
      <c r="E449" s="28" t="s">
        <v>63</v>
      </c>
      <c r="F449" s="28" t="s">
        <v>63</v>
      </c>
      <c r="G449" s="28">
        <v>1.0</v>
      </c>
      <c r="H449" s="28">
        <v>4.0</v>
      </c>
      <c r="I449" s="28">
        <v>3.0</v>
      </c>
      <c r="J449" s="28"/>
      <c r="K449" s="30">
        <f t="shared" si="1"/>
        <v>150.7964474</v>
      </c>
    </row>
    <row r="450" ht="15.75" hidden="1" customHeight="1">
      <c r="A450" s="31" t="s">
        <v>210</v>
      </c>
      <c r="B450" s="26" t="s">
        <v>712</v>
      </c>
      <c r="C450" s="27" t="s">
        <v>37</v>
      </c>
      <c r="D450" s="28" t="s">
        <v>755</v>
      </c>
      <c r="E450" s="28" t="s">
        <v>63</v>
      </c>
      <c r="F450" s="28" t="s">
        <v>63</v>
      </c>
      <c r="G450" s="28">
        <v>5.0</v>
      </c>
      <c r="H450" s="28"/>
      <c r="I450" s="28"/>
      <c r="J450" s="28" t="s">
        <v>762</v>
      </c>
      <c r="K450" s="30">
        <f t="shared" si="1"/>
        <v>0</v>
      </c>
    </row>
    <row r="451" ht="15.75" hidden="1" customHeight="1">
      <c r="A451" s="31" t="s">
        <v>714</v>
      </c>
      <c r="B451" s="26" t="s">
        <v>713</v>
      </c>
      <c r="C451" s="27" t="s">
        <v>37</v>
      </c>
      <c r="D451" s="28" t="s">
        <v>755</v>
      </c>
      <c r="E451" s="28" t="s">
        <v>63</v>
      </c>
      <c r="F451" s="28" t="s">
        <v>63</v>
      </c>
      <c r="G451" s="28">
        <v>1.0</v>
      </c>
      <c r="H451" s="28">
        <v>2.0</v>
      </c>
      <c r="I451" s="28">
        <v>1.0</v>
      </c>
      <c r="J451" s="28" t="s">
        <v>833</v>
      </c>
      <c r="K451" s="30">
        <f t="shared" si="1"/>
        <v>8.37758041</v>
      </c>
    </row>
    <row r="452" ht="15.75" hidden="1" customHeight="1">
      <c r="A452" s="31" t="s">
        <v>714</v>
      </c>
      <c r="B452" s="26" t="s">
        <v>713</v>
      </c>
      <c r="C452" s="27" t="s">
        <v>37</v>
      </c>
      <c r="D452" s="28" t="s">
        <v>755</v>
      </c>
      <c r="E452" s="28" t="s">
        <v>77</v>
      </c>
      <c r="F452" s="28" t="s">
        <v>79</v>
      </c>
      <c r="G452" s="28">
        <v>1.0</v>
      </c>
      <c r="H452" s="28">
        <v>2.0</v>
      </c>
      <c r="I452" s="28">
        <v>1.0</v>
      </c>
      <c r="J452" s="28"/>
      <c r="K452" s="30">
        <f t="shared" si="1"/>
        <v>8.37758041</v>
      </c>
    </row>
    <row r="453" ht="15.75" hidden="1" customHeight="1">
      <c r="A453" s="31" t="s">
        <v>714</v>
      </c>
      <c r="B453" s="26" t="s">
        <v>713</v>
      </c>
      <c r="C453" s="27" t="s">
        <v>37</v>
      </c>
      <c r="D453" s="28" t="s">
        <v>755</v>
      </c>
      <c r="E453" s="28" t="s">
        <v>59</v>
      </c>
      <c r="F453" s="28" t="s">
        <v>59</v>
      </c>
      <c r="G453" s="28">
        <v>1.0</v>
      </c>
      <c r="H453" s="28">
        <v>2.0</v>
      </c>
      <c r="I453" s="28">
        <v>2.0</v>
      </c>
      <c r="J453" s="28"/>
      <c r="K453" s="30">
        <f t="shared" si="1"/>
        <v>33.51032164</v>
      </c>
    </row>
    <row r="454" ht="15.75" hidden="1" customHeight="1">
      <c r="A454" s="31" t="s">
        <v>714</v>
      </c>
      <c r="B454" s="26" t="s">
        <v>713</v>
      </c>
      <c r="C454" s="27" t="s">
        <v>37</v>
      </c>
      <c r="D454" s="28" t="s">
        <v>755</v>
      </c>
      <c r="E454" s="28" t="s">
        <v>759</v>
      </c>
      <c r="F454" s="28" t="s">
        <v>101</v>
      </c>
      <c r="G454" s="28">
        <v>1.0</v>
      </c>
      <c r="H454" s="28">
        <v>3.0</v>
      </c>
      <c r="I454" s="28">
        <v>1.0</v>
      </c>
      <c r="J454" s="28"/>
      <c r="K454" s="30">
        <f t="shared" si="1"/>
        <v>12.56637061</v>
      </c>
    </row>
    <row r="455" ht="15.75" hidden="1" customHeight="1">
      <c r="A455" s="31" t="s">
        <v>714</v>
      </c>
      <c r="B455" s="26" t="s">
        <v>713</v>
      </c>
      <c r="C455" s="27" t="s">
        <v>37</v>
      </c>
      <c r="D455" s="28" t="s">
        <v>755</v>
      </c>
      <c r="E455" s="28" t="s">
        <v>63</v>
      </c>
      <c r="F455" s="28" t="s">
        <v>65</v>
      </c>
      <c r="G455" s="28">
        <v>1.0</v>
      </c>
      <c r="H455" s="28">
        <v>5.0</v>
      </c>
      <c r="I455" s="28">
        <v>0.5</v>
      </c>
      <c r="J455" s="28"/>
      <c r="K455" s="30">
        <f t="shared" si="1"/>
        <v>5.235987756</v>
      </c>
    </row>
    <row r="456" ht="15.75" hidden="1" customHeight="1">
      <c r="A456" s="31" t="s">
        <v>150</v>
      </c>
      <c r="B456" s="26" t="s">
        <v>716</v>
      </c>
      <c r="C456" s="27" t="s">
        <v>37</v>
      </c>
      <c r="D456" s="28" t="s">
        <v>755</v>
      </c>
      <c r="E456" s="28" t="s">
        <v>763</v>
      </c>
      <c r="F456" s="28" t="s">
        <v>763</v>
      </c>
      <c r="G456" s="28">
        <v>1.0</v>
      </c>
      <c r="H456" s="28"/>
      <c r="I456" s="28"/>
      <c r="J456" s="37" t="s">
        <v>762</v>
      </c>
      <c r="K456" s="30">
        <f t="shared" si="1"/>
        <v>0</v>
      </c>
    </row>
    <row r="457" ht="15.75" customHeight="1">
      <c r="A457" s="31" t="s">
        <v>214</v>
      </c>
      <c r="B457" s="26" t="s">
        <v>719</v>
      </c>
      <c r="C457" s="27" t="s">
        <v>30</v>
      </c>
      <c r="D457" s="28" t="s">
        <v>754</v>
      </c>
      <c r="E457" s="28" t="s">
        <v>771</v>
      </c>
      <c r="F457" s="28" t="s">
        <v>771</v>
      </c>
      <c r="G457" s="28">
        <v>1.0</v>
      </c>
      <c r="H457" s="28"/>
      <c r="I457" s="28"/>
      <c r="J457" s="37" t="s">
        <v>762</v>
      </c>
      <c r="K457" s="30">
        <f t="shared" si="1"/>
        <v>0</v>
      </c>
    </row>
    <row r="458" ht="15.75" customHeight="1">
      <c r="A458" s="31" t="s">
        <v>214</v>
      </c>
      <c r="B458" s="26" t="s">
        <v>719</v>
      </c>
      <c r="C458" s="27" t="s">
        <v>30</v>
      </c>
      <c r="D458" s="28" t="s">
        <v>754</v>
      </c>
      <c r="E458" s="28" t="s">
        <v>759</v>
      </c>
      <c r="F458" s="28" t="s">
        <v>75</v>
      </c>
      <c r="G458" s="28">
        <v>1.0</v>
      </c>
      <c r="H458" s="28"/>
      <c r="I458" s="28"/>
      <c r="J458" s="37" t="s">
        <v>762</v>
      </c>
      <c r="K458" s="30">
        <f t="shared" si="1"/>
        <v>0</v>
      </c>
    </row>
    <row r="459" ht="15.75" customHeight="1">
      <c r="A459" s="31" t="s">
        <v>214</v>
      </c>
      <c r="B459" s="26" t="s">
        <v>719</v>
      </c>
      <c r="C459" s="27" t="s">
        <v>30</v>
      </c>
      <c r="D459" s="28" t="s">
        <v>754</v>
      </c>
      <c r="E459" s="28" t="s">
        <v>63</v>
      </c>
      <c r="F459" s="28" t="s">
        <v>63</v>
      </c>
      <c r="G459" s="28">
        <v>1.0</v>
      </c>
      <c r="H459" s="28">
        <v>8.0</v>
      </c>
      <c r="I459" s="28">
        <v>3.0</v>
      </c>
      <c r="J459" s="28"/>
      <c r="K459" s="30">
        <f t="shared" si="1"/>
        <v>301.5928947</v>
      </c>
    </row>
    <row r="460" ht="15.75" hidden="1" customHeight="1">
      <c r="A460" s="25" t="s">
        <v>834</v>
      </c>
      <c r="B460" s="26" t="s">
        <v>721</v>
      </c>
      <c r="C460" s="27" t="s">
        <v>40</v>
      </c>
      <c r="D460" s="28" t="s">
        <v>755</v>
      </c>
      <c r="E460" s="28" t="s">
        <v>757</v>
      </c>
      <c r="F460" s="28" t="s">
        <v>757</v>
      </c>
      <c r="G460" s="28">
        <v>0.0</v>
      </c>
      <c r="H460" s="28"/>
      <c r="I460" s="28"/>
      <c r="J460" s="28"/>
      <c r="K460" s="30">
        <f t="shared" si="1"/>
        <v>0</v>
      </c>
    </row>
    <row r="461" ht="15.75" hidden="1" customHeight="1">
      <c r="A461" s="31" t="s">
        <v>835</v>
      </c>
      <c r="B461" s="26" t="s">
        <v>724</v>
      </c>
      <c r="C461" s="27" t="s">
        <v>12</v>
      </c>
      <c r="D461" s="28" t="s">
        <v>755</v>
      </c>
      <c r="E461" s="28" t="s">
        <v>57</v>
      </c>
      <c r="F461" s="28" t="s">
        <v>57</v>
      </c>
      <c r="G461" s="28">
        <v>1.0</v>
      </c>
      <c r="H461" s="28">
        <v>3.0</v>
      </c>
      <c r="I461" s="28">
        <v>1.0</v>
      </c>
      <c r="J461" s="28"/>
      <c r="K461" s="30">
        <f t="shared" si="1"/>
        <v>12.56637061</v>
      </c>
    </row>
    <row r="462" ht="15.75" hidden="1" customHeight="1">
      <c r="A462" s="31" t="s">
        <v>714</v>
      </c>
      <c r="B462" s="26" t="s">
        <v>727</v>
      </c>
      <c r="C462" s="27" t="s">
        <v>12</v>
      </c>
      <c r="D462" s="28" t="s">
        <v>755</v>
      </c>
      <c r="E462" s="28" t="s">
        <v>757</v>
      </c>
      <c r="F462" s="28" t="s">
        <v>757</v>
      </c>
      <c r="G462" s="28">
        <v>0.0</v>
      </c>
      <c r="H462" s="28"/>
      <c r="I462" s="28"/>
      <c r="J462" s="28"/>
      <c r="K462" s="30">
        <f t="shared" si="1"/>
        <v>0</v>
      </c>
    </row>
    <row r="463" ht="15.75" hidden="1" customHeight="1">
      <c r="A463" s="31" t="s">
        <v>714</v>
      </c>
      <c r="B463" s="26" t="s">
        <v>729</v>
      </c>
      <c r="C463" s="27" t="s">
        <v>12</v>
      </c>
      <c r="D463" s="28" t="s">
        <v>755</v>
      </c>
      <c r="E463" s="28" t="s">
        <v>757</v>
      </c>
      <c r="F463" s="28" t="s">
        <v>757</v>
      </c>
      <c r="G463" s="28">
        <v>0.0</v>
      </c>
      <c r="H463" s="28"/>
      <c r="I463" s="28"/>
      <c r="J463" s="28"/>
      <c r="K463" s="30">
        <f t="shared" si="1"/>
        <v>0</v>
      </c>
    </row>
    <row r="464" ht="15.75" hidden="1" customHeight="1">
      <c r="A464" s="31" t="s">
        <v>210</v>
      </c>
      <c r="B464" s="26" t="s">
        <v>731</v>
      </c>
      <c r="C464" s="27" t="s">
        <v>37</v>
      </c>
      <c r="D464" s="28" t="s">
        <v>755</v>
      </c>
      <c r="E464" s="28" t="s">
        <v>63</v>
      </c>
      <c r="F464" s="28" t="s">
        <v>63</v>
      </c>
      <c r="G464" s="28">
        <v>1.0</v>
      </c>
      <c r="H464" s="28">
        <v>17.0</v>
      </c>
      <c r="I464" s="28">
        <v>6.0</v>
      </c>
      <c r="J464" s="28"/>
      <c r="K464" s="30">
        <f t="shared" si="1"/>
        <v>2563.539605</v>
      </c>
    </row>
    <row r="465" ht="15.75" hidden="1" customHeight="1">
      <c r="A465" s="31" t="s">
        <v>210</v>
      </c>
      <c r="B465" s="26" t="s">
        <v>731</v>
      </c>
      <c r="C465" s="27" t="s">
        <v>37</v>
      </c>
      <c r="D465" s="28" t="s">
        <v>755</v>
      </c>
      <c r="E465" s="28" t="s">
        <v>91</v>
      </c>
      <c r="F465" s="28" t="s">
        <v>91</v>
      </c>
      <c r="G465" s="28">
        <v>1.0</v>
      </c>
      <c r="H465" s="28">
        <v>12.0</v>
      </c>
      <c r="I465" s="28">
        <v>11.0</v>
      </c>
      <c r="J465" s="28"/>
      <c r="K465" s="30">
        <f t="shared" si="1"/>
        <v>6082.123377</v>
      </c>
    </row>
    <row r="466" ht="15.75" hidden="1" customHeight="1">
      <c r="A466" s="31" t="s">
        <v>210</v>
      </c>
      <c r="B466" s="26" t="s">
        <v>731</v>
      </c>
      <c r="C466" s="27" t="s">
        <v>37</v>
      </c>
      <c r="D466" s="28" t="s">
        <v>755</v>
      </c>
      <c r="E466" s="28" t="s">
        <v>85</v>
      </c>
      <c r="F466" s="28" t="s">
        <v>85</v>
      </c>
      <c r="G466" s="28">
        <v>1.0</v>
      </c>
      <c r="H466" s="28">
        <v>10.0</v>
      </c>
      <c r="I466" s="28">
        <v>2.0</v>
      </c>
      <c r="J466" s="28" t="s">
        <v>111</v>
      </c>
      <c r="K466" s="30">
        <f t="shared" si="1"/>
        <v>167.5516082</v>
      </c>
    </row>
    <row r="467" ht="15.75" hidden="1" customHeight="1">
      <c r="A467" s="31" t="s">
        <v>210</v>
      </c>
      <c r="B467" s="26" t="s">
        <v>731</v>
      </c>
      <c r="C467" s="27" t="s">
        <v>37</v>
      </c>
      <c r="D467" s="28" t="s">
        <v>755</v>
      </c>
      <c r="E467" s="28" t="s">
        <v>63</v>
      </c>
      <c r="F467" s="28" t="s">
        <v>63</v>
      </c>
      <c r="G467" s="28">
        <v>1.0</v>
      </c>
      <c r="H467" s="28">
        <v>3.0</v>
      </c>
      <c r="I467" s="28">
        <v>3.0</v>
      </c>
      <c r="J467" s="28"/>
      <c r="K467" s="30">
        <f t="shared" si="1"/>
        <v>113.0973355</v>
      </c>
    </row>
    <row r="468" ht="15.75" hidden="1" customHeight="1">
      <c r="A468" s="31" t="s">
        <v>210</v>
      </c>
      <c r="B468" s="26" t="s">
        <v>731</v>
      </c>
      <c r="C468" s="27" t="s">
        <v>37</v>
      </c>
      <c r="D468" s="28" t="s">
        <v>755</v>
      </c>
      <c r="E468" s="28" t="s">
        <v>63</v>
      </c>
      <c r="F468" s="28" t="s">
        <v>63</v>
      </c>
      <c r="G468" s="28">
        <v>1.0</v>
      </c>
      <c r="H468" s="28">
        <v>28.0</v>
      </c>
      <c r="I468" s="28">
        <v>10.0</v>
      </c>
      <c r="J468" s="28"/>
      <c r="K468" s="30">
        <f t="shared" si="1"/>
        <v>11728.61257</v>
      </c>
    </row>
    <row r="469" ht="15.75" hidden="1" customHeight="1">
      <c r="A469" s="31" t="s">
        <v>210</v>
      </c>
      <c r="B469" s="26" t="s">
        <v>731</v>
      </c>
      <c r="C469" s="27" t="s">
        <v>37</v>
      </c>
      <c r="D469" s="28" t="s">
        <v>755</v>
      </c>
      <c r="E469" s="28" t="s">
        <v>759</v>
      </c>
      <c r="F469" s="28" t="s">
        <v>75</v>
      </c>
      <c r="G469" s="28">
        <v>6.0</v>
      </c>
      <c r="H469" s="28">
        <v>10.0</v>
      </c>
      <c r="I469" s="28">
        <v>2.0</v>
      </c>
      <c r="J469" s="28"/>
      <c r="K469" s="30">
        <f t="shared" si="1"/>
        <v>1005.309649</v>
      </c>
    </row>
    <row r="470" ht="15.75" hidden="1" customHeight="1">
      <c r="A470" s="31" t="s">
        <v>210</v>
      </c>
      <c r="B470" s="26" t="s">
        <v>731</v>
      </c>
      <c r="C470" s="27" t="s">
        <v>37</v>
      </c>
      <c r="D470" s="28" t="s">
        <v>755</v>
      </c>
      <c r="E470" s="28" t="s">
        <v>759</v>
      </c>
      <c r="F470" s="28" t="s">
        <v>75</v>
      </c>
      <c r="G470" s="28">
        <v>1.0</v>
      </c>
      <c r="H470" s="28">
        <v>9.0</v>
      </c>
      <c r="I470" s="28">
        <v>1.0</v>
      </c>
      <c r="J470" s="28"/>
      <c r="K470" s="30">
        <f t="shared" si="1"/>
        <v>37.69911184</v>
      </c>
    </row>
    <row r="471" ht="15.75" hidden="1" customHeight="1">
      <c r="A471" s="31" t="s">
        <v>210</v>
      </c>
      <c r="B471" s="26" t="s">
        <v>731</v>
      </c>
      <c r="C471" s="27" t="s">
        <v>37</v>
      </c>
      <c r="D471" s="28" t="s">
        <v>755</v>
      </c>
      <c r="E471" s="28" t="s">
        <v>759</v>
      </c>
      <c r="F471" s="28" t="s">
        <v>75</v>
      </c>
      <c r="G471" s="28">
        <v>6.0</v>
      </c>
      <c r="H471" s="28">
        <v>7.0</v>
      </c>
      <c r="I471" s="28">
        <v>1.0</v>
      </c>
      <c r="J471" s="28"/>
      <c r="K471" s="30">
        <f t="shared" si="1"/>
        <v>175.9291886</v>
      </c>
    </row>
    <row r="472" ht="15.75" hidden="1" customHeight="1">
      <c r="A472" s="31" t="s">
        <v>210</v>
      </c>
      <c r="B472" s="26" t="s">
        <v>731</v>
      </c>
      <c r="C472" s="27" t="s">
        <v>37</v>
      </c>
      <c r="D472" s="28" t="s">
        <v>755</v>
      </c>
      <c r="E472" s="28" t="s">
        <v>77</v>
      </c>
      <c r="F472" s="28" t="s">
        <v>79</v>
      </c>
      <c r="G472" s="28">
        <v>2.0</v>
      </c>
      <c r="H472" s="28">
        <v>9.0</v>
      </c>
      <c r="I472" s="28">
        <v>6.0</v>
      </c>
      <c r="J472" s="28"/>
      <c r="K472" s="30">
        <f t="shared" si="1"/>
        <v>2714.336053</v>
      </c>
    </row>
    <row r="473" ht="15.75" hidden="1" customHeight="1">
      <c r="A473" s="31" t="s">
        <v>210</v>
      </c>
      <c r="B473" s="26" t="s">
        <v>731</v>
      </c>
      <c r="C473" s="27" t="s">
        <v>37</v>
      </c>
      <c r="D473" s="28" t="s">
        <v>755</v>
      </c>
      <c r="E473" s="28" t="s">
        <v>63</v>
      </c>
      <c r="F473" s="28" t="s">
        <v>63</v>
      </c>
      <c r="G473" s="28">
        <v>5.0</v>
      </c>
      <c r="H473" s="28">
        <v>17.0</v>
      </c>
      <c r="I473" s="28">
        <v>7.0</v>
      </c>
      <c r="J473" s="28"/>
      <c r="K473" s="30">
        <f t="shared" si="1"/>
        <v>17446.3112</v>
      </c>
    </row>
    <row r="474" ht="15.75" hidden="1" customHeight="1">
      <c r="A474" s="31" t="s">
        <v>210</v>
      </c>
      <c r="B474" s="26" t="s">
        <v>731</v>
      </c>
      <c r="C474" s="27" t="s">
        <v>37</v>
      </c>
      <c r="D474" s="28" t="s">
        <v>755</v>
      </c>
      <c r="E474" s="28" t="s">
        <v>81</v>
      </c>
      <c r="F474" s="28" t="s">
        <v>81</v>
      </c>
      <c r="G474" s="28">
        <v>1.0</v>
      </c>
      <c r="H474" s="28">
        <v>3.0</v>
      </c>
      <c r="I474" s="28">
        <v>3.0</v>
      </c>
      <c r="J474" s="28" t="s">
        <v>762</v>
      </c>
      <c r="K474" s="30">
        <f t="shared" si="1"/>
        <v>113.0973355</v>
      </c>
    </row>
    <row r="475" ht="15.75" hidden="1" customHeight="1">
      <c r="A475" s="31" t="s">
        <v>150</v>
      </c>
      <c r="B475" s="26" t="s">
        <v>734</v>
      </c>
      <c r="C475" s="27" t="s">
        <v>37</v>
      </c>
      <c r="D475" s="28" t="s">
        <v>755</v>
      </c>
      <c r="E475" s="28" t="s">
        <v>757</v>
      </c>
      <c r="F475" s="28" t="s">
        <v>757</v>
      </c>
      <c r="G475" s="28">
        <v>0.0</v>
      </c>
      <c r="H475" s="28"/>
      <c r="I475" s="28"/>
      <c r="J475" s="28"/>
      <c r="K475" s="30">
        <f t="shared" si="1"/>
        <v>0</v>
      </c>
    </row>
    <row r="476" ht="15.75" hidden="1" customHeight="1">
      <c r="A476" s="31" t="s">
        <v>343</v>
      </c>
      <c r="B476" s="26" t="s">
        <v>736</v>
      </c>
      <c r="C476" s="27" t="s">
        <v>37</v>
      </c>
      <c r="D476" s="28" t="s">
        <v>755</v>
      </c>
      <c r="E476" s="28" t="s">
        <v>77</v>
      </c>
      <c r="F476" s="28" t="s">
        <v>79</v>
      </c>
      <c r="G476" s="28">
        <v>1.0</v>
      </c>
      <c r="H476" s="28">
        <v>5.0</v>
      </c>
      <c r="I476" s="28">
        <v>2.0</v>
      </c>
      <c r="J476" s="28" t="s">
        <v>836</v>
      </c>
      <c r="K476" s="30">
        <f t="shared" si="1"/>
        <v>83.7758041</v>
      </c>
    </row>
    <row r="477" ht="15.75" hidden="1" customHeight="1">
      <c r="A477" s="31" t="s">
        <v>343</v>
      </c>
      <c r="B477" s="26" t="s">
        <v>736</v>
      </c>
      <c r="C477" s="27" t="s">
        <v>37</v>
      </c>
      <c r="D477" s="28" t="s">
        <v>755</v>
      </c>
      <c r="E477" s="28" t="s">
        <v>81</v>
      </c>
      <c r="F477" s="28" t="s">
        <v>81</v>
      </c>
      <c r="G477" s="28">
        <v>1.0</v>
      </c>
      <c r="H477" s="28">
        <v>5.0</v>
      </c>
      <c r="I477" s="28">
        <v>3.0</v>
      </c>
      <c r="J477" s="28"/>
      <c r="K477" s="30">
        <f t="shared" si="1"/>
        <v>188.4955592</v>
      </c>
    </row>
    <row r="478" ht="15.75" hidden="1" customHeight="1">
      <c r="A478" s="31" t="s">
        <v>214</v>
      </c>
      <c r="B478" s="26" t="s">
        <v>738</v>
      </c>
      <c r="C478" s="27" t="s">
        <v>37</v>
      </c>
      <c r="D478" s="28" t="s">
        <v>755</v>
      </c>
      <c r="E478" s="28" t="s">
        <v>63</v>
      </c>
      <c r="F478" s="28" t="s">
        <v>63</v>
      </c>
      <c r="G478" s="28">
        <v>1.0</v>
      </c>
      <c r="H478" s="28">
        <v>11.0</v>
      </c>
      <c r="I478" s="28">
        <v>4.0</v>
      </c>
      <c r="J478" s="28"/>
      <c r="K478" s="30">
        <f t="shared" si="1"/>
        <v>737.227076</v>
      </c>
    </row>
    <row r="479" ht="15.75" hidden="1" customHeight="1">
      <c r="A479" s="31" t="s">
        <v>158</v>
      </c>
      <c r="B479" s="26" t="s">
        <v>739</v>
      </c>
      <c r="C479" s="27" t="s">
        <v>36</v>
      </c>
      <c r="D479" s="28" t="s">
        <v>754</v>
      </c>
      <c r="E479" s="28" t="s">
        <v>93</v>
      </c>
      <c r="F479" s="28" t="s">
        <v>93</v>
      </c>
      <c r="G479" s="28">
        <v>1.0</v>
      </c>
      <c r="H479" s="28">
        <v>13.0</v>
      </c>
      <c r="I479" s="28">
        <v>4.0</v>
      </c>
      <c r="J479" s="28"/>
      <c r="K479" s="30">
        <f t="shared" si="1"/>
        <v>871.2683626</v>
      </c>
    </row>
    <row r="480" ht="15.75" hidden="1" customHeight="1">
      <c r="A480" s="31" t="s">
        <v>134</v>
      </c>
      <c r="B480" s="26" t="s">
        <v>741</v>
      </c>
      <c r="C480" s="27" t="s">
        <v>6</v>
      </c>
      <c r="D480" s="28" t="s">
        <v>754</v>
      </c>
      <c r="E480" s="28" t="s">
        <v>63</v>
      </c>
      <c r="F480" s="28" t="s">
        <v>63</v>
      </c>
      <c r="G480" s="28">
        <v>1.0</v>
      </c>
      <c r="H480" s="28">
        <v>2.0</v>
      </c>
      <c r="I480" s="28">
        <v>1.0</v>
      </c>
      <c r="J480" s="28"/>
      <c r="K480" s="30">
        <f t="shared" si="1"/>
        <v>8.37758041</v>
      </c>
    </row>
    <row r="481" ht="15.75" hidden="1" customHeight="1">
      <c r="A481" s="31" t="s">
        <v>134</v>
      </c>
      <c r="B481" s="26" t="s">
        <v>741</v>
      </c>
      <c r="C481" s="27" t="s">
        <v>6</v>
      </c>
      <c r="D481" s="28" t="s">
        <v>754</v>
      </c>
      <c r="E481" s="28" t="s">
        <v>759</v>
      </c>
      <c r="F481" s="28" t="s">
        <v>75</v>
      </c>
      <c r="G481" s="28">
        <v>1.0</v>
      </c>
      <c r="H481" s="28">
        <v>6.0</v>
      </c>
      <c r="I481" s="28">
        <v>1.0</v>
      </c>
      <c r="J481" s="28"/>
      <c r="K481" s="30">
        <f t="shared" si="1"/>
        <v>25.13274123</v>
      </c>
    </row>
    <row r="482" ht="15.75" hidden="1" customHeight="1">
      <c r="A482" s="31" t="s">
        <v>134</v>
      </c>
      <c r="B482" s="26" t="s">
        <v>741</v>
      </c>
      <c r="C482" s="27" t="s">
        <v>6</v>
      </c>
      <c r="D482" s="28" t="s">
        <v>754</v>
      </c>
      <c r="E482" s="28" t="s">
        <v>759</v>
      </c>
      <c r="F482" s="28" t="s">
        <v>75</v>
      </c>
      <c r="G482" s="28">
        <v>1.0</v>
      </c>
      <c r="H482" s="28">
        <v>5.0</v>
      </c>
      <c r="I482" s="28">
        <v>1.0</v>
      </c>
      <c r="J482" s="28"/>
      <c r="K482" s="30">
        <f t="shared" si="1"/>
        <v>20.94395102</v>
      </c>
    </row>
    <row r="483" ht="15.75" hidden="1" customHeight="1">
      <c r="A483" s="31" t="s">
        <v>714</v>
      </c>
      <c r="B483" s="26" t="s">
        <v>743</v>
      </c>
      <c r="C483" s="27" t="s">
        <v>28</v>
      </c>
      <c r="D483" s="28" t="s">
        <v>755</v>
      </c>
      <c r="E483" s="28" t="s">
        <v>63</v>
      </c>
      <c r="F483" s="28" t="s">
        <v>63</v>
      </c>
      <c r="G483" s="28">
        <v>1.0</v>
      </c>
      <c r="H483" s="28">
        <v>8.0</v>
      </c>
      <c r="I483" s="28">
        <v>2.0</v>
      </c>
      <c r="J483" s="28"/>
      <c r="K483" s="30">
        <f t="shared" si="1"/>
        <v>134.0412866</v>
      </c>
    </row>
  </sheetData>
  <autoFilter ref="$C$1:$C$483">
    <filterColumn colId="0">
      <filters>
        <filter val="M_FA"/>
        <filter val="M_FB"/>
        <filter val="E_FA"/>
        <filter val="E_FB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25"/>
    <col customWidth="1" min="3" max="3" width="18.5"/>
    <col customWidth="1" min="4" max="4" width="17.13"/>
    <col customWidth="1" min="5" max="5" width="13.75"/>
    <col customWidth="1" min="6" max="6" width="20.0"/>
    <col customWidth="1" min="7" max="7" width="15.13"/>
    <col customWidth="1" min="8" max="8" width="16.88"/>
  </cols>
  <sheetData>
    <row r="1" ht="15.75" customHeight="1">
      <c r="A1" s="21" t="s">
        <v>108</v>
      </c>
      <c r="B1" s="22" t="s">
        <v>104</v>
      </c>
      <c r="C1" s="23" t="s">
        <v>105</v>
      </c>
      <c r="D1" s="3" t="s">
        <v>747</v>
      </c>
      <c r="E1" s="21" t="s">
        <v>748</v>
      </c>
      <c r="F1" s="21" t="s">
        <v>749</v>
      </c>
      <c r="G1" s="21" t="s">
        <v>750</v>
      </c>
      <c r="H1" s="21" t="s">
        <v>751</v>
      </c>
      <c r="I1" s="21" t="s">
        <v>752</v>
      </c>
      <c r="J1" s="21" t="s">
        <v>113</v>
      </c>
      <c r="K1" s="24" t="s">
        <v>753</v>
      </c>
    </row>
    <row r="2" ht="15.75" customHeight="1">
      <c r="A2" s="25" t="s">
        <v>119</v>
      </c>
      <c r="B2" s="26" t="s">
        <v>116</v>
      </c>
      <c r="C2" s="27" t="s">
        <v>30</v>
      </c>
      <c r="D2" s="28" t="s">
        <v>754</v>
      </c>
      <c r="E2" s="29" t="s">
        <v>57</v>
      </c>
      <c r="F2" s="28" t="s">
        <v>57</v>
      </c>
      <c r="G2" s="28">
        <v>1.0</v>
      </c>
      <c r="H2" s="28">
        <v>4.0</v>
      </c>
      <c r="I2" s="28">
        <v>2.0</v>
      </c>
      <c r="J2" s="28"/>
      <c r="K2" s="30">
        <f t="shared" ref="K2:K461" si="1">((4*PI()*H2*(I2)^2)/3)*G2</f>
        <v>67.02064328</v>
      </c>
    </row>
    <row r="3" ht="15.75" customHeight="1">
      <c r="A3" s="31" t="s">
        <v>126</v>
      </c>
      <c r="B3" s="26" t="s">
        <v>123</v>
      </c>
      <c r="C3" s="27" t="s">
        <v>37</v>
      </c>
      <c r="D3" s="28" t="s">
        <v>755</v>
      </c>
      <c r="E3" s="28" t="s">
        <v>756</v>
      </c>
      <c r="F3" s="28" t="s">
        <v>756</v>
      </c>
      <c r="G3" s="28">
        <v>1.0</v>
      </c>
      <c r="H3" s="28"/>
      <c r="I3" s="28"/>
      <c r="J3" s="28"/>
      <c r="K3" s="30">
        <f t="shared" si="1"/>
        <v>0</v>
      </c>
    </row>
    <row r="4" ht="15.75" customHeight="1">
      <c r="A4" s="31" t="s">
        <v>129</v>
      </c>
      <c r="B4" s="26" t="s">
        <v>127</v>
      </c>
      <c r="C4" s="27" t="s">
        <v>24</v>
      </c>
      <c r="D4" s="28" t="s">
        <v>755</v>
      </c>
      <c r="E4" s="28" t="s">
        <v>757</v>
      </c>
      <c r="F4" s="28" t="s">
        <v>757</v>
      </c>
      <c r="G4" s="28">
        <v>0.0</v>
      </c>
      <c r="H4" s="28"/>
      <c r="I4" s="28"/>
      <c r="J4" s="28" t="s">
        <v>758</v>
      </c>
      <c r="K4" s="30">
        <f t="shared" si="1"/>
        <v>0</v>
      </c>
    </row>
    <row r="5" ht="15.75" customHeight="1">
      <c r="A5" s="31" t="s">
        <v>134</v>
      </c>
      <c r="B5" s="26" t="s">
        <v>131</v>
      </c>
      <c r="C5" s="27" t="s">
        <v>40</v>
      </c>
      <c r="D5" s="28" t="s">
        <v>755</v>
      </c>
      <c r="E5" s="28" t="s">
        <v>759</v>
      </c>
      <c r="F5" s="28" t="s">
        <v>75</v>
      </c>
      <c r="G5" s="28">
        <v>1.0</v>
      </c>
      <c r="H5" s="28">
        <v>5.0</v>
      </c>
      <c r="I5" s="28">
        <v>1.0</v>
      </c>
      <c r="J5" s="28"/>
      <c r="K5" s="30">
        <f t="shared" si="1"/>
        <v>20.94395102</v>
      </c>
    </row>
    <row r="6" ht="15.75" customHeight="1">
      <c r="A6" s="31" t="s">
        <v>134</v>
      </c>
      <c r="B6" s="26" t="s">
        <v>131</v>
      </c>
      <c r="C6" s="27" t="s">
        <v>40</v>
      </c>
      <c r="D6" s="28" t="s">
        <v>755</v>
      </c>
      <c r="E6" s="28" t="s">
        <v>759</v>
      </c>
      <c r="F6" s="28" t="s">
        <v>75</v>
      </c>
      <c r="G6" s="28">
        <v>3.0</v>
      </c>
      <c r="H6" s="28">
        <v>3.0</v>
      </c>
      <c r="I6" s="28">
        <v>1.0</v>
      </c>
      <c r="J6" s="28"/>
      <c r="K6" s="30">
        <f t="shared" si="1"/>
        <v>37.69911184</v>
      </c>
    </row>
    <row r="7" ht="15.75" customHeight="1">
      <c r="A7" s="31" t="s">
        <v>134</v>
      </c>
      <c r="B7" s="26" t="s">
        <v>131</v>
      </c>
      <c r="C7" s="27" t="s">
        <v>40</v>
      </c>
      <c r="D7" s="28" t="s">
        <v>755</v>
      </c>
      <c r="E7" s="28" t="s">
        <v>759</v>
      </c>
      <c r="F7" s="28" t="s">
        <v>75</v>
      </c>
      <c r="G7" s="28">
        <v>2.0</v>
      </c>
      <c r="H7" s="28">
        <v>4.0</v>
      </c>
      <c r="I7" s="28">
        <v>1.0</v>
      </c>
      <c r="J7" s="28"/>
      <c r="K7" s="30">
        <f t="shared" si="1"/>
        <v>33.51032164</v>
      </c>
    </row>
    <row r="8" ht="15.75" customHeight="1">
      <c r="A8" s="25" t="s">
        <v>145</v>
      </c>
      <c r="B8" s="26" t="s">
        <v>143</v>
      </c>
      <c r="C8" s="27" t="s">
        <v>6</v>
      </c>
      <c r="D8" s="28" t="s">
        <v>754</v>
      </c>
      <c r="E8" s="28" t="s">
        <v>757</v>
      </c>
      <c r="F8" s="28" t="s">
        <v>757</v>
      </c>
      <c r="G8" s="28">
        <v>0.0</v>
      </c>
      <c r="H8" s="28"/>
      <c r="I8" s="28"/>
      <c r="J8" s="28"/>
      <c r="K8" s="30">
        <f t="shared" si="1"/>
        <v>0</v>
      </c>
    </row>
    <row r="9" ht="15.75" customHeight="1">
      <c r="A9" s="31" t="s">
        <v>150</v>
      </c>
      <c r="B9" s="26" t="s">
        <v>147</v>
      </c>
      <c r="C9" s="27" t="s">
        <v>37</v>
      </c>
      <c r="D9" s="37" t="s">
        <v>755</v>
      </c>
      <c r="E9" s="28" t="s">
        <v>757</v>
      </c>
      <c r="F9" s="28" t="s">
        <v>757</v>
      </c>
      <c r="G9" s="28">
        <v>0.0</v>
      </c>
      <c r="H9" s="28"/>
      <c r="I9" s="28"/>
      <c r="J9" s="28"/>
      <c r="K9" s="30">
        <f t="shared" si="1"/>
        <v>0</v>
      </c>
    </row>
    <row r="10" ht="15.75" customHeight="1">
      <c r="A10" s="31" t="s">
        <v>158</v>
      </c>
      <c r="B10" s="26" t="s">
        <v>156</v>
      </c>
      <c r="C10" s="27" t="s">
        <v>37</v>
      </c>
      <c r="D10" s="37" t="s">
        <v>755</v>
      </c>
      <c r="E10" s="28" t="s">
        <v>757</v>
      </c>
      <c r="F10" s="28" t="s">
        <v>757</v>
      </c>
      <c r="G10" s="28">
        <v>0.0</v>
      </c>
      <c r="H10" s="28"/>
      <c r="I10" s="28"/>
      <c r="J10" s="28"/>
      <c r="K10" s="30">
        <f t="shared" si="1"/>
        <v>0</v>
      </c>
    </row>
    <row r="11" ht="15.75" customHeight="1">
      <c r="A11" s="31" t="s">
        <v>162</v>
      </c>
      <c r="B11" s="26" t="s">
        <v>160</v>
      </c>
      <c r="C11" s="27" t="s">
        <v>37</v>
      </c>
      <c r="D11" s="37" t="s">
        <v>755</v>
      </c>
      <c r="E11" s="28" t="s">
        <v>757</v>
      </c>
      <c r="F11" s="28" t="s">
        <v>757</v>
      </c>
      <c r="G11" s="28">
        <v>0.0</v>
      </c>
      <c r="H11" s="28"/>
      <c r="I11" s="28"/>
      <c r="J11" s="28"/>
      <c r="K11" s="30">
        <f t="shared" si="1"/>
        <v>0</v>
      </c>
    </row>
    <row r="12" ht="15.75" customHeight="1">
      <c r="A12" s="31" t="s">
        <v>165</v>
      </c>
      <c r="B12" s="26" t="s">
        <v>163</v>
      </c>
      <c r="C12" s="27" t="s">
        <v>37</v>
      </c>
      <c r="D12" s="37" t="s">
        <v>755</v>
      </c>
      <c r="E12" s="28" t="s">
        <v>759</v>
      </c>
      <c r="F12" s="28" t="s">
        <v>75</v>
      </c>
      <c r="G12" s="28">
        <v>2.0</v>
      </c>
      <c r="H12" s="28">
        <v>2.0</v>
      </c>
      <c r="I12" s="28">
        <v>1.0</v>
      </c>
      <c r="J12" s="28"/>
      <c r="K12" s="30">
        <f t="shared" si="1"/>
        <v>16.75516082</v>
      </c>
    </row>
    <row r="13" ht="15.75" customHeight="1">
      <c r="A13" s="31" t="s">
        <v>165</v>
      </c>
      <c r="B13" s="26" t="s">
        <v>163</v>
      </c>
      <c r="C13" s="27" t="s">
        <v>37</v>
      </c>
      <c r="D13" s="37" t="s">
        <v>755</v>
      </c>
      <c r="E13" s="28" t="s">
        <v>756</v>
      </c>
      <c r="F13" s="28" t="s">
        <v>756</v>
      </c>
      <c r="G13" s="28">
        <v>1.0</v>
      </c>
      <c r="H13" s="28"/>
      <c r="I13" s="28"/>
      <c r="J13" s="28"/>
      <c r="K13" s="30">
        <f t="shared" si="1"/>
        <v>0</v>
      </c>
    </row>
    <row r="14" ht="15.75" customHeight="1">
      <c r="A14" s="31" t="s">
        <v>170</v>
      </c>
      <c r="B14" s="26" t="s">
        <v>167</v>
      </c>
      <c r="C14" s="27" t="s">
        <v>12</v>
      </c>
      <c r="D14" s="28" t="s">
        <v>755</v>
      </c>
      <c r="E14" s="28" t="s">
        <v>757</v>
      </c>
      <c r="F14" s="28" t="s">
        <v>757</v>
      </c>
      <c r="G14" s="28">
        <v>0.0</v>
      </c>
      <c r="H14" s="28"/>
      <c r="I14" s="28"/>
      <c r="J14" s="28"/>
      <c r="K14" s="30">
        <f t="shared" si="1"/>
        <v>0</v>
      </c>
    </row>
    <row r="15" ht="15.75" customHeight="1">
      <c r="A15" s="31" t="s">
        <v>158</v>
      </c>
      <c r="B15" s="26" t="s">
        <v>178</v>
      </c>
      <c r="C15" s="27" t="s">
        <v>10</v>
      </c>
      <c r="D15" s="28" t="s">
        <v>754</v>
      </c>
      <c r="E15" s="28" t="s">
        <v>757</v>
      </c>
      <c r="F15" s="28" t="s">
        <v>757</v>
      </c>
      <c r="G15" s="28">
        <v>0.0</v>
      </c>
      <c r="H15" s="28"/>
      <c r="I15" s="28"/>
      <c r="J15" s="28"/>
      <c r="K15" s="30">
        <f t="shared" si="1"/>
        <v>0</v>
      </c>
    </row>
    <row r="16" ht="15.75" customHeight="1">
      <c r="A16" s="31" t="s">
        <v>129</v>
      </c>
      <c r="B16" s="26" t="s">
        <v>183</v>
      </c>
      <c r="C16" s="27" t="s">
        <v>40</v>
      </c>
      <c r="D16" s="28" t="s">
        <v>755</v>
      </c>
      <c r="E16" s="28" t="s">
        <v>77</v>
      </c>
      <c r="F16" s="28" t="s">
        <v>79</v>
      </c>
      <c r="G16" s="28">
        <v>1.0</v>
      </c>
      <c r="H16" s="28"/>
      <c r="I16" s="28"/>
      <c r="J16" s="37" t="s">
        <v>762</v>
      </c>
      <c r="K16" s="30">
        <f t="shared" si="1"/>
        <v>0</v>
      </c>
    </row>
    <row r="17" ht="15.75" customHeight="1">
      <c r="A17" s="31" t="s">
        <v>137</v>
      </c>
      <c r="B17" s="26" t="s">
        <v>187</v>
      </c>
      <c r="C17" s="27" t="s">
        <v>30</v>
      </c>
      <c r="D17" s="28" t="s">
        <v>754</v>
      </c>
      <c r="E17" s="28" t="s">
        <v>759</v>
      </c>
      <c r="F17" s="28" t="s">
        <v>75</v>
      </c>
      <c r="G17" s="28">
        <v>1.0</v>
      </c>
      <c r="H17" s="28">
        <v>4.0</v>
      </c>
      <c r="I17" s="28">
        <v>1.0</v>
      </c>
      <c r="J17" s="28"/>
      <c r="K17" s="30">
        <f t="shared" si="1"/>
        <v>16.75516082</v>
      </c>
    </row>
    <row r="18" ht="15.75" customHeight="1">
      <c r="A18" s="31" t="s">
        <v>137</v>
      </c>
      <c r="B18" s="26" t="s">
        <v>187</v>
      </c>
      <c r="C18" s="27" t="s">
        <v>30</v>
      </c>
      <c r="D18" s="28" t="s">
        <v>754</v>
      </c>
      <c r="E18" s="28" t="s">
        <v>759</v>
      </c>
      <c r="F18" s="28" t="s">
        <v>75</v>
      </c>
      <c r="G18" s="28">
        <v>2.0</v>
      </c>
      <c r="H18" s="28">
        <v>5.0</v>
      </c>
      <c r="I18" s="28">
        <v>1.0</v>
      </c>
      <c r="J18" s="28"/>
      <c r="K18" s="30">
        <f t="shared" si="1"/>
        <v>41.88790205</v>
      </c>
    </row>
    <row r="19" ht="15.75" customHeight="1">
      <c r="A19" s="31" t="s">
        <v>137</v>
      </c>
      <c r="B19" s="26" t="s">
        <v>194</v>
      </c>
      <c r="C19" s="27" t="s">
        <v>33</v>
      </c>
      <c r="D19" s="28" t="s">
        <v>754</v>
      </c>
      <c r="E19" s="28" t="s">
        <v>763</v>
      </c>
      <c r="F19" s="28" t="s">
        <v>763</v>
      </c>
      <c r="G19" s="28">
        <v>1.0</v>
      </c>
      <c r="H19" s="28"/>
      <c r="I19" s="28"/>
      <c r="J19" s="37" t="s">
        <v>762</v>
      </c>
      <c r="K19" s="30">
        <f t="shared" si="1"/>
        <v>0</v>
      </c>
    </row>
    <row r="20" ht="15.75" customHeight="1">
      <c r="A20" s="25" t="s">
        <v>837</v>
      </c>
      <c r="B20" s="26" t="s">
        <v>195</v>
      </c>
      <c r="C20" s="27" t="s">
        <v>33</v>
      </c>
      <c r="D20" s="28" t="s">
        <v>754</v>
      </c>
      <c r="E20" s="28" t="s">
        <v>757</v>
      </c>
      <c r="F20" s="28" t="s">
        <v>757</v>
      </c>
      <c r="G20" s="28">
        <v>0.0</v>
      </c>
      <c r="H20" s="28"/>
      <c r="I20" s="28"/>
      <c r="J20" s="28"/>
      <c r="K20" s="30">
        <f t="shared" si="1"/>
        <v>0</v>
      </c>
    </row>
    <row r="21" ht="15.75" customHeight="1">
      <c r="A21" s="25" t="s">
        <v>145</v>
      </c>
      <c r="B21" s="26" t="s">
        <v>198</v>
      </c>
      <c r="C21" s="27" t="s">
        <v>14</v>
      </c>
      <c r="D21" s="28" t="s">
        <v>754</v>
      </c>
      <c r="E21" s="28" t="s">
        <v>91</v>
      </c>
      <c r="F21" s="28" t="s">
        <v>91</v>
      </c>
      <c r="G21" s="28">
        <v>1.0</v>
      </c>
      <c r="H21" s="28"/>
      <c r="I21" s="28"/>
      <c r="J21" s="37" t="s">
        <v>762</v>
      </c>
      <c r="K21" s="30">
        <f t="shared" si="1"/>
        <v>0</v>
      </c>
    </row>
    <row r="22" ht="15.75" customHeight="1">
      <c r="A22" s="31" t="s">
        <v>170</v>
      </c>
      <c r="B22" s="26" t="s">
        <v>200</v>
      </c>
      <c r="C22" s="27" t="s">
        <v>16</v>
      </c>
      <c r="D22" s="28" t="s">
        <v>755</v>
      </c>
      <c r="E22" s="28" t="s">
        <v>63</v>
      </c>
      <c r="F22" s="28" t="s">
        <v>63</v>
      </c>
      <c r="G22" s="28">
        <v>2.0</v>
      </c>
      <c r="H22" s="28">
        <v>4.0</v>
      </c>
      <c r="I22" s="28">
        <v>1.0</v>
      </c>
      <c r="J22" s="28"/>
      <c r="K22" s="30">
        <f t="shared" si="1"/>
        <v>33.51032164</v>
      </c>
    </row>
    <row r="23" ht="15.75" customHeight="1">
      <c r="A23" s="25" t="s">
        <v>838</v>
      </c>
      <c r="B23" s="26" t="s">
        <v>203</v>
      </c>
      <c r="C23" s="27" t="s">
        <v>16</v>
      </c>
      <c r="D23" s="28" t="s">
        <v>755</v>
      </c>
      <c r="E23" s="28" t="s">
        <v>63</v>
      </c>
      <c r="F23" s="28" t="s">
        <v>63</v>
      </c>
      <c r="G23" s="28">
        <v>1.0</v>
      </c>
      <c r="H23" s="28">
        <v>3.0</v>
      </c>
      <c r="I23" s="28">
        <v>1.0</v>
      </c>
      <c r="J23" s="28"/>
      <c r="K23" s="30">
        <f t="shared" si="1"/>
        <v>12.56637061</v>
      </c>
    </row>
    <row r="24" ht="15.75" customHeight="1">
      <c r="A24" s="31" t="s">
        <v>207</v>
      </c>
      <c r="B24" s="26" t="s">
        <v>205</v>
      </c>
      <c r="C24" s="27" t="s">
        <v>37</v>
      </c>
      <c r="D24" s="37" t="s">
        <v>755</v>
      </c>
      <c r="E24" s="28" t="s">
        <v>63</v>
      </c>
      <c r="F24" s="28" t="s">
        <v>63</v>
      </c>
      <c r="G24" s="28">
        <v>2.0</v>
      </c>
      <c r="H24" s="28">
        <v>12.0</v>
      </c>
      <c r="I24" s="28">
        <v>5.0</v>
      </c>
      <c r="J24" s="28"/>
      <c r="K24" s="30">
        <f t="shared" si="1"/>
        <v>2513.274123</v>
      </c>
    </row>
    <row r="25" ht="15.75" customHeight="1">
      <c r="A25" s="31" t="s">
        <v>207</v>
      </c>
      <c r="B25" s="26" t="s">
        <v>205</v>
      </c>
      <c r="C25" s="27" t="s">
        <v>37</v>
      </c>
      <c r="D25" s="37" t="s">
        <v>755</v>
      </c>
      <c r="E25" s="28" t="s">
        <v>63</v>
      </c>
      <c r="F25" s="28" t="s">
        <v>63</v>
      </c>
      <c r="G25" s="28">
        <v>2.0</v>
      </c>
      <c r="H25" s="28">
        <v>15.0</v>
      </c>
      <c r="I25" s="28">
        <v>7.0</v>
      </c>
      <c r="J25" s="28"/>
      <c r="K25" s="30">
        <f t="shared" si="1"/>
        <v>6157.521601</v>
      </c>
    </row>
    <row r="26" ht="15.75" customHeight="1">
      <c r="A26" s="31" t="s">
        <v>210</v>
      </c>
      <c r="B26" s="26" t="s">
        <v>208</v>
      </c>
      <c r="C26" s="27" t="s">
        <v>24</v>
      </c>
      <c r="D26" s="28" t="s">
        <v>755</v>
      </c>
      <c r="E26" s="28" t="s">
        <v>63</v>
      </c>
      <c r="F26" s="28" t="s">
        <v>63</v>
      </c>
      <c r="G26" s="28">
        <v>1.0</v>
      </c>
      <c r="H26" s="28">
        <v>43.0</v>
      </c>
      <c r="I26" s="28">
        <v>17.0</v>
      </c>
      <c r="J26" s="28"/>
      <c r="K26" s="30">
        <f t="shared" si="1"/>
        <v>52054.09587</v>
      </c>
    </row>
    <row r="27" ht="15.75" customHeight="1">
      <c r="A27" s="31" t="s">
        <v>210</v>
      </c>
      <c r="B27" s="26" t="s">
        <v>208</v>
      </c>
      <c r="C27" s="27" t="s">
        <v>24</v>
      </c>
      <c r="D27" s="28" t="s">
        <v>755</v>
      </c>
      <c r="E27" s="28" t="s">
        <v>63</v>
      </c>
      <c r="F27" s="28" t="s">
        <v>63</v>
      </c>
      <c r="G27" s="28">
        <v>2.0</v>
      </c>
      <c r="H27" s="28">
        <v>16.0</v>
      </c>
      <c r="I27" s="28">
        <v>10.0</v>
      </c>
      <c r="J27" s="28"/>
      <c r="K27" s="30">
        <f t="shared" si="1"/>
        <v>13404.12866</v>
      </c>
    </row>
    <row r="28" ht="15.75" customHeight="1">
      <c r="A28" s="31" t="s">
        <v>210</v>
      </c>
      <c r="B28" s="26" t="s">
        <v>208</v>
      </c>
      <c r="C28" s="27" t="s">
        <v>24</v>
      </c>
      <c r="D28" s="28" t="s">
        <v>755</v>
      </c>
      <c r="E28" s="28" t="s">
        <v>63</v>
      </c>
      <c r="F28" s="28" t="s">
        <v>63</v>
      </c>
      <c r="G28" s="28">
        <v>2.0</v>
      </c>
      <c r="H28" s="28">
        <v>10.0</v>
      </c>
      <c r="I28" s="28">
        <v>7.0</v>
      </c>
      <c r="J28" s="28"/>
      <c r="K28" s="30">
        <f t="shared" si="1"/>
        <v>4105.014401</v>
      </c>
    </row>
    <row r="29" ht="15.75" customHeight="1">
      <c r="A29" s="31" t="s">
        <v>210</v>
      </c>
      <c r="B29" s="26" t="s">
        <v>208</v>
      </c>
      <c r="C29" s="27" t="s">
        <v>24</v>
      </c>
      <c r="D29" s="28" t="s">
        <v>755</v>
      </c>
      <c r="E29" s="28" t="s">
        <v>63</v>
      </c>
      <c r="F29" s="28" t="s">
        <v>63</v>
      </c>
      <c r="G29" s="28">
        <v>1.0</v>
      </c>
      <c r="H29" s="28"/>
      <c r="I29" s="28"/>
      <c r="J29" s="28" t="s">
        <v>762</v>
      </c>
      <c r="K29" s="30">
        <f t="shared" si="1"/>
        <v>0</v>
      </c>
    </row>
    <row r="30" ht="15.75" customHeight="1">
      <c r="A30" s="31" t="s">
        <v>207</v>
      </c>
      <c r="B30" s="26" t="s">
        <v>211</v>
      </c>
      <c r="C30" s="27" t="s">
        <v>37</v>
      </c>
      <c r="D30" s="37" t="s">
        <v>755</v>
      </c>
      <c r="E30" s="28" t="s">
        <v>757</v>
      </c>
      <c r="F30" s="28" t="s">
        <v>757</v>
      </c>
      <c r="G30" s="28">
        <v>0.0</v>
      </c>
      <c r="H30" s="28"/>
      <c r="I30" s="28"/>
      <c r="J30" s="28"/>
      <c r="K30" s="30">
        <f t="shared" si="1"/>
        <v>0</v>
      </c>
    </row>
    <row r="31" ht="15.75" customHeight="1">
      <c r="A31" s="31" t="s">
        <v>214</v>
      </c>
      <c r="B31" s="26" t="s">
        <v>212</v>
      </c>
      <c r="C31" s="27" t="s">
        <v>16</v>
      </c>
      <c r="D31" s="37" t="s">
        <v>755</v>
      </c>
      <c r="E31" s="28" t="s">
        <v>757</v>
      </c>
      <c r="F31" s="28" t="s">
        <v>757</v>
      </c>
      <c r="G31" s="28">
        <v>0.0</v>
      </c>
      <c r="H31" s="28"/>
      <c r="I31" s="28"/>
      <c r="J31" s="28"/>
      <c r="K31" s="30">
        <f t="shared" si="1"/>
        <v>0</v>
      </c>
    </row>
    <row r="32" ht="15.75" customHeight="1">
      <c r="A32" s="31" t="s">
        <v>207</v>
      </c>
      <c r="B32" s="26" t="s">
        <v>215</v>
      </c>
      <c r="C32" s="27" t="s">
        <v>37</v>
      </c>
      <c r="D32" s="37" t="s">
        <v>755</v>
      </c>
      <c r="E32" s="28" t="s">
        <v>57</v>
      </c>
      <c r="F32" s="28" t="s">
        <v>57</v>
      </c>
      <c r="G32" s="28">
        <v>1.0</v>
      </c>
      <c r="H32" s="28"/>
      <c r="I32" s="28"/>
      <c r="J32" s="28" t="s">
        <v>762</v>
      </c>
      <c r="K32" s="30">
        <f t="shared" si="1"/>
        <v>0</v>
      </c>
    </row>
    <row r="33" ht="15.75" customHeight="1">
      <c r="A33" s="31" t="s">
        <v>137</v>
      </c>
      <c r="B33" s="26" t="s">
        <v>216</v>
      </c>
      <c r="C33" s="27" t="s">
        <v>16</v>
      </c>
      <c r="D33" s="28" t="s">
        <v>755</v>
      </c>
      <c r="E33" s="28" t="s">
        <v>759</v>
      </c>
      <c r="F33" s="28" t="s">
        <v>75</v>
      </c>
      <c r="G33" s="28">
        <v>1.0</v>
      </c>
      <c r="H33" s="28">
        <v>4.0</v>
      </c>
      <c r="I33" s="28">
        <v>1.0</v>
      </c>
      <c r="J33" s="28"/>
      <c r="K33" s="30">
        <f t="shared" si="1"/>
        <v>16.75516082</v>
      </c>
    </row>
    <row r="34" ht="15.75" customHeight="1">
      <c r="A34" s="31" t="s">
        <v>137</v>
      </c>
      <c r="B34" s="26" t="s">
        <v>216</v>
      </c>
      <c r="C34" s="27" t="s">
        <v>16</v>
      </c>
      <c r="D34" s="28" t="s">
        <v>755</v>
      </c>
      <c r="E34" s="28" t="s">
        <v>63</v>
      </c>
      <c r="F34" s="28" t="s">
        <v>63</v>
      </c>
      <c r="G34" s="28">
        <v>1.0</v>
      </c>
      <c r="H34" s="28">
        <v>3.0</v>
      </c>
      <c r="I34" s="28">
        <v>1.0</v>
      </c>
      <c r="J34" s="28"/>
      <c r="K34" s="30">
        <f t="shared" si="1"/>
        <v>12.56637061</v>
      </c>
    </row>
    <row r="35" ht="15.75" customHeight="1">
      <c r="A35" s="25" t="s">
        <v>145</v>
      </c>
      <c r="B35" s="26" t="s">
        <v>220</v>
      </c>
      <c r="C35" s="27" t="s">
        <v>26</v>
      </c>
      <c r="D35" s="28" t="s">
        <v>754</v>
      </c>
      <c r="E35" s="28" t="s">
        <v>757</v>
      </c>
      <c r="F35" s="28" t="s">
        <v>757</v>
      </c>
      <c r="G35" s="28">
        <v>0.0</v>
      </c>
      <c r="H35" s="28"/>
      <c r="I35" s="28"/>
      <c r="J35" s="28"/>
      <c r="K35" s="30">
        <f t="shared" si="1"/>
        <v>0</v>
      </c>
    </row>
    <row r="36" ht="15.75" customHeight="1">
      <c r="A36" s="31" t="s">
        <v>207</v>
      </c>
      <c r="B36" s="26" t="s">
        <v>224</v>
      </c>
      <c r="C36" s="27" t="s">
        <v>24</v>
      </c>
      <c r="D36" s="28" t="s">
        <v>755</v>
      </c>
      <c r="E36" s="28" t="s">
        <v>63</v>
      </c>
      <c r="F36" s="28" t="s">
        <v>63</v>
      </c>
      <c r="G36" s="28">
        <v>2.0</v>
      </c>
      <c r="H36" s="28">
        <v>14.0</v>
      </c>
      <c r="I36" s="28">
        <v>8.0</v>
      </c>
      <c r="J36" s="28"/>
      <c r="K36" s="30">
        <f t="shared" si="1"/>
        <v>7506.312047</v>
      </c>
    </row>
    <row r="37" ht="15.75" customHeight="1">
      <c r="A37" s="25" t="s">
        <v>145</v>
      </c>
      <c r="B37" s="26" t="s">
        <v>227</v>
      </c>
      <c r="C37" s="27" t="s">
        <v>26</v>
      </c>
      <c r="D37" s="28" t="s">
        <v>754</v>
      </c>
      <c r="E37" s="28" t="s">
        <v>63</v>
      </c>
      <c r="F37" s="28" t="s">
        <v>63</v>
      </c>
      <c r="G37" s="28">
        <v>2.0</v>
      </c>
      <c r="H37" s="28">
        <v>3.0</v>
      </c>
      <c r="I37" s="28">
        <v>1.0</v>
      </c>
      <c r="J37" s="28"/>
      <c r="K37" s="30">
        <f t="shared" si="1"/>
        <v>25.13274123</v>
      </c>
    </row>
    <row r="38" ht="15.75" customHeight="1">
      <c r="A38" s="25" t="s">
        <v>145</v>
      </c>
      <c r="B38" s="26" t="s">
        <v>229</v>
      </c>
      <c r="C38" s="27" t="s">
        <v>26</v>
      </c>
      <c r="D38" s="28" t="s">
        <v>754</v>
      </c>
      <c r="E38" s="28" t="s">
        <v>757</v>
      </c>
      <c r="F38" s="28" t="s">
        <v>757</v>
      </c>
      <c r="G38" s="28">
        <v>0.0</v>
      </c>
      <c r="H38" s="28"/>
      <c r="I38" s="28"/>
      <c r="J38" s="28"/>
      <c r="K38" s="30">
        <f t="shared" si="1"/>
        <v>0</v>
      </c>
    </row>
    <row r="39" ht="15.75" customHeight="1">
      <c r="A39" s="25" t="s">
        <v>145</v>
      </c>
      <c r="B39" s="26" t="s">
        <v>229</v>
      </c>
      <c r="C39" s="27" t="s">
        <v>26</v>
      </c>
      <c r="D39" s="28" t="s">
        <v>754</v>
      </c>
      <c r="E39" s="28" t="s">
        <v>91</v>
      </c>
      <c r="F39" s="28" t="s">
        <v>91</v>
      </c>
      <c r="G39" s="28">
        <v>1.0</v>
      </c>
      <c r="H39" s="28">
        <v>4.0</v>
      </c>
      <c r="I39" s="28">
        <v>4.0</v>
      </c>
      <c r="J39" s="28"/>
      <c r="K39" s="30">
        <f t="shared" si="1"/>
        <v>268.0825731</v>
      </c>
    </row>
    <row r="40" ht="15.75" customHeight="1">
      <c r="A40" s="25" t="s">
        <v>145</v>
      </c>
      <c r="B40" s="26" t="s">
        <v>229</v>
      </c>
      <c r="C40" s="27" t="s">
        <v>26</v>
      </c>
      <c r="D40" s="28" t="s">
        <v>754</v>
      </c>
      <c r="E40" s="28" t="s">
        <v>63</v>
      </c>
      <c r="F40" s="28" t="s">
        <v>63</v>
      </c>
      <c r="G40" s="28">
        <v>2.0</v>
      </c>
      <c r="H40" s="28">
        <v>7.0</v>
      </c>
      <c r="I40" s="28">
        <v>2.0</v>
      </c>
      <c r="J40" s="28"/>
      <c r="K40" s="30">
        <f t="shared" si="1"/>
        <v>234.5722515</v>
      </c>
    </row>
    <row r="41" ht="15.75" customHeight="1">
      <c r="A41" s="25" t="s">
        <v>145</v>
      </c>
      <c r="B41" s="26" t="s">
        <v>229</v>
      </c>
      <c r="C41" s="27" t="s">
        <v>26</v>
      </c>
      <c r="D41" s="28" t="s">
        <v>754</v>
      </c>
      <c r="E41" s="28" t="s">
        <v>69</v>
      </c>
      <c r="F41" s="28" t="s">
        <v>69</v>
      </c>
      <c r="G41" s="28">
        <v>1.0</v>
      </c>
      <c r="H41" s="28">
        <v>12.0</v>
      </c>
      <c r="I41" s="28">
        <v>2.0</v>
      </c>
      <c r="J41" s="28"/>
      <c r="K41" s="30">
        <f t="shared" si="1"/>
        <v>201.0619298</v>
      </c>
    </row>
    <row r="42" ht="15.75" customHeight="1">
      <c r="A42" s="25" t="s">
        <v>119</v>
      </c>
      <c r="B42" s="26" t="s">
        <v>231</v>
      </c>
      <c r="C42" s="27" t="s">
        <v>10</v>
      </c>
      <c r="D42" s="28" t="s">
        <v>754</v>
      </c>
      <c r="E42" s="28" t="s">
        <v>67</v>
      </c>
      <c r="F42" s="28" t="s">
        <v>67</v>
      </c>
      <c r="G42" s="28">
        <v>1.0</v>
      </c>
      <c r="H42" s="28">
        <v>1.0</v>
      </c>
      <c r="I42" s="28">
        <v>0.5</v>
      </c>
      <c r="J42" s="28"/>
      <c r="K42" s="30">
        <f t="shared" si="1"/>
        <v>1.047197551</v>
      </c>
    </row>
    <row r="43" ht="15.75" customHeight="1">
      <c r="A43" s="25" t="s">
        <v>119</v>
      </c>
      <c r="B43" s="26" t="s">
        <v>231</v>
      </c>
      <c r="C43" s="27" t="s">
        <v>10</v>
      </c>
      <c r="D43" s="28" t="s">
        <v>754</v>
      </c>
      <c r="E43" s="28" t="s">
        <v>63</v>
      </c>
      <c r="F43" s="28" t="s">
        <v>97</v>
      </c>
      <c r="G43" s="28">
        <v>1.0</v>
      </c>
      <c r="H43" s="28">
        <v>5.0</v>
      </c>
      <c r="I43" s="28">
        <v>1.0</v>
      </c>
      <c r="J43" s="28"/>
      <c r="K43" s="30">
        <f t="shared" si="1"/>
        <v>20.94395102</v>
      </c>
    </row>
    <row r="44" ht="15.75" customHeight="1">
      <c r="A44" s="25" t="s">
        <v>119</v>
      </c>
      <c r="B44" s="26" t="s">
        <v>231</v>
      </c>
      <c r="C44" s="27" t="s">
        <v>10</v>
      </c>
      <c r="D44" s="28" t="s">
        <v>754</v>
      </c>
      <c r="E44" s="28" t="s">
        <v>766</v>
      </c>
      <c r="F44" s="28" t="s">
        <v>87</v>
      </c>
      <c r="G44" s="28">
        <v>1.0</v>
      </c>
      <c r="H44" s="28">
        <v>13.0</v>
      </c>
      <c r="I44" s="28">
        <v>2.0</v>
      </c>
      <c r="J44" s="28"/>
      <c r="K44" s="30">
        <f t="shared" si="1"/>
        <v>217.8170906</v>
      </c>
    </row>
    <row r="45" ht="15.75" customHeight="1">
      <c r="A45" s="25" t="s">
        <v>119</v>
      </c>
      <c r="B45" s="26" t="s">
        <v>231</v>
      </c>
      <c r="C45" s="27" t="s">
        <v>10</v>
      </c>
      <c r="D45" s="28" t="s">
        <v>754</v>
      </c>
      <c r="E45" s="28" t="s">
        <v>63</v>
      </c>
      <c r="F45" s="28" t="s">
        <v>63</v>
      </c>
      <c r="G45" s="28">
        <v>1.0</v>
      </c>
      <c r="H45" s="28">
        <v>3.0</v>
      </c>
      <c r="I45" s="28">
        <v>1.0</v>
      </c>
      <c r="J45" s="28"/>
      <c r="K45" s="30">
        <f t="shared" si="1"/>
        <v>12.56637061</v>
      </c>
    </row>
    <row r="46" ht="15.75" customHeight="1">
      <c r="A46" s="25" t="s">
        <v>119</v>
      </c>
      <c r="B46" s="26" t="s">
        <v>231</v>
      </c>
      <c r="C46" s="27" t="s">
        <v>10</v>
      </c>
      <c r="D46" s="28" t="s">
        <v>754</v>
      </c>
      <c r="E46" s="28" t="s">
        <v>57</v>
      </c>
      <c r="F46" s="28" t="s">
        <v>57</v>
      </c>
      <c r="G46" s="28">
        <v>1.0</v>
      </c>
      <c r="H46" s="28">
        <v>6.0</v>
      </c>
      <c r="I46" s="28">
        <v>3.0</v>
      </c>
      <c r="J46" s="28"/>
      <c r="K46" s="30">
        <f t="shared" si="1"/>
        <v>226.1946711</v>
      </c>
    </row>
    <row r="47" ht="15.75" customHeight="1">
      <c r="A47" s="31" t="s">
        <v>158</v>
      </c>
      <c r="B47" s="26" t="s">
        <v>233</v>
      </c>
      <c r="C47" s="27" t="s">
        <v>37</v>
      </c>
      <c r="D47" s="37" t="s">
        <v>755</v>
      </c>
      <c r="E47" s="28" t="s">
        <v>757</v>
      </c>
      <c r="F47" s="28" t="s">
        <v>757</v>
      </c>
      <c r="G47" s="28">
        <v>0.0</v>
      </c>
      <c r="H47" s="28"/>
      <c r="I47" s="28"/>
      <c r="J47" s="28" t="s">
        <v>758</v>
      </c>
      <c r="K47" s="30">
        <f t="shared" si="1"/>
        <v>0</v>
      </c>
    </row>
    <row r="48" ht="15.75" customHeight="1">
      <c r="A48" s="31" t="s">
        <v>150</v>
      </c>
      <c r="B48" s="26" t="s">
        <v>236</v>
      </c>
      <c r="C48" s="27" t="s">
        <v>37</v>
      </c>
      <c r="D48" s="28" t="s">
        <v>755</v>
      </c>
      <c r="E48" s="28" t="s">
        <v>757</v>
      </c>
      <c r="F48" s="28" t="s">
        <v>757</v>
      </c>
      <c r="G48" s="28">
        <v>0.0</v>
      </c>
      <c r="H48" s="28"/>
      <c r="I48" s="28"/>
      <c r="J48" s="28"/>
      <c r="K48" s="30">
        <f t="shared" si="1"/>
        <v>0</v>
      </c>
    </row>
    <row r="49" ht="15.75" customHeight="1">
      <c r="A49" s="31" t="s">
        <v>126</v>
      </c>
      <c r="B49" s="26" t="s">
        <v>238</v>
      </c>
      <c r="C49" s="27" t="s">
        <v>37</v>
      </c>
      <c r="D49" s="37" t="s">
        <v>755</v>
      </c>
      <c r="E49" s="28" t="s">
        <v>763</v>
      </c>
      <c r="F49" s="28" t="s">
        <v>763</v>
      </c>
      <c r="G49" s="28">
        <v>1.0</v>
      </c>
      <c r="H49" s="28"/>
      <c r="I49" s="28"/>
      <c r="J49" s="37" t="s">
        <v>762</v>
      </c>
      <c r="K49" s="30">
        <f t="shared" si="1"/>
        <v>0</v>
      </c>
    </row>
    <row r="50" ht="15.75" customHeight="1">
      <c r="A50" s="31" t="s">
        <v>207</v>
      </c>
      <c r="B50" s="26" t="s">
        <v>241</v>
      </c>
      <c r="C50" s="27" t="s">
        <v>34</v>
      </c>
      <c r="D50" s="28" t="s">
        <v>755</v>
      </c>
      <c r="E50" s="28" t="s">
        <v>757</v>
      </c>
      <c r="F50" s="28" t="s">
        <v>757</v>
      </c>
      <c r="G50" s="28">
        <v>0.0</v>
      </c>
      <c r="H50" s="28"/>
      <c r="I50" s="28"/>
      <c r="J50" s="28"/>
      <c r="K50" s="30">
        <f t="shared" si="1"/>
        <v>0</v>
      </c>
    </row>
    <row r="51" ht="15.75" customHeight="1">
      <c r="A51" s="31" t="s">
        <v>839</v>
      </c>
      <c r="B51" s="26" t="s">
        <v>243</v>
      </c>
      <c r="C51" s="27" t="s">
        <v>37</v>
      </c>
      <c r="D51" s="37" t="s">
        <v>755</v>
      </c>
      <c r="E51" s="28" t="s">
        <v>757</v>
      </c>
      <c r="F51" s="28" t="s">
        <v>757</v>
      </c>
      <c r="G51" s="28">
        <v>0.0</v>
      </c>
      <c r="H51" s="28"/>
      <c r="I51" s="28"/>
      <c r="J51" s="28"/>
      <c r="K51" s="30">
        <f t="shared" si="1"/>
        <v>0</v>
      </c>
    </row>
    <row r="52" ht="15.75" customHeight="1">
      <c r="A52" s="25" t="s">
        <v>840</v>
      </c>
      <c r="B52" s="26" t="s">
        <v>245</v>
      </c>
      <c r="C52" s="27" t="s">
        <v>20</v>
      </c>
      <c r="D52" s="28" t="s">
        <v>755</v>
      </c>
      <c r="E52" s="28" t="s">
        <v>757</v>
      </c>
      <c r="F52" s="28" t="s">
        <v>757</v>
      </c>
      <c r="G52" s="28">
        <v>0.0</v>
      </c>
      <c r="H52" s="28"/>
      <c r="I52" s="28"/>
      <c r="J52" s="28"/>
      <c r="K52" s="30">
        <f t="shared" si="1"/>
        <v>0</v>
      </c>
    </row>
    <row r="53" ht="15.75" customHeight="1">
      <c r="A53" s="31" t="s">
        <v>129</v>
      </c>
      <c r="B53" s="26" t="s">
        <v>247</v>
      </c>
      <c r="C53" s="27" t="s">
        <v>34</v>
      </c>
      <c r="D53" s="28" t="s">
        <v>755</v>
      </c>
      <c r="E53" s="28" t="s">
        <v>63</v>
      </c>
      <c r="F53" s="28" t="s">
        <v>63</v>
      </c>
      <c r="G53" s="28">
        <v>1.0</v>
      </c>
      <c r="H53" s="28">
        <v>2.0</v>
      </c>
      <c r="I53" s="28">
        <v>1.0</v>
      </c>
      <c r="J53" s="28"/>
      <c r="K53" s="30">
        <f t="shared" si="1"/>
        <v>8.37758041</v>
      </c>
    </row>
    <row r="54" ht="15.75" customHeight="1">
      <c r="A54" s="31" t="s">
        <v>129</v>
      </c>
      <c r="B54" s="26" t="s">
        <v>247</v>
      </c>
      <c r="C54" s="27" t="s">
        <v>34</v>
      </c>
      <c r="D54" s="28" t="s">
        <v>755</v>
      </c>
      <c r="E54" s="28" t="s">
        <v>57</v>
      </c>
      <c r="F54" s="28" t="s">
        <v>57</v>
      </c>
      <c r="G54" s="28">
        <v>1.0</v>
      </c>
      <c r="H54" s="28"/>
      <c r="I54" s="28"/>
      <c r="J54" s="28" t="s">
        <v>762</v>
      </c>
      <c r="K54" s="30">
        <f t="shared" si="1"/>
        <v>0</v>
      </c>
    </row>
    <row r="55" ht="15.75" customHeight="1">
      <c r="A55" s="25" t="s">
        <v>841</v>
      </c>
      <c r="B55" s="26" t="s">
        <v>249</v>
      </c>
      <c r="C55" s="27" t="s">
        <v>34</v>
      </c>
      <c r="D55" s="28" t="s">
        <v>755</v>
      </c>
      <c r="E55" s="28" t="s">
        <v>757</v>
      </c>
      <c r="F55" s="28" t="s">
        <v>757</v>
      </c>
      <c r="G55" s="28">
        <v>0.0</v>
      </c>
      <c r="H55" s="28"/>
      <c r="I55" s="28"/>
      <c r="J55" s="28"/>
      <c r="K55" s="30">
        <f t="shared" si="1"/>
        <v>0</v>
      </c>
    </row>
    <row r="56" ht="15.75" customHeight="1">
      <c r="A56" s="31" t="s">
        <v>129</v>
      </c>
      <c r="B56" s="26" t="s">
        <v>251</v>
      </c>
      <c r="C56" s="27" t="s">
        <v>34</v>
      </c>
      <c r="D56" s="28" t="s">
        <v>755</v>
      </c>
      <c r="E56" s="28" t="s">
        <v>763</v>
      </c>
      <c r="F56" s="28" t="s">
        <v>763</v>
      </c>
      <c r="G56" s="28">
        <v>1.0</v>
      </c>
      <c r="H56" s="28"/>
      <c r="I56" s="28"/>
      <c r="J56" s="37" t="s">
        <v>762</v>
      </c>
      <c r="K56" s="30">
        <f t="shared" si="1"/>
        <v>0</v>
      </c>
    </row>
    <row r="57" ht="15.75" customHeight="1">
      <c r="A57" s="31" t="s">
        <v>170</v>
      </c>
      <c r="B57" s="26" t="s">
        <v>256</v>
      </c>
      <c r="C57" s="27" t="s">
        <v>24</v>
      </c>
      <c r="D57" s="28" t="s">
        <v>755</v>
      </c>
      <c r="E57" s="28" t="s">
        <v>756</v>
      </c>
      <c r="F57" s="28" t="s">
        <v>756</v>
      </c>
      <c r="G57" s="28">
        <v>1.0</v>
      </c>
      <c r="H57" s="28"/>
      <c r="I57" s="28"/>
      <c r="J57" s="37" t="s">
        <v>762</v>
      </c>
      <c r="K57" s="30">
        <f t="shared" si="1"/>
        <v>0</v>
      </c>
    </row>
    <row r="58" ht="15.75" customHeight="1">
      <c r="A58" s="31" t="s">
        <v>129</v>
      </c>
      <c r="B58" s="26" t="s">
        <v>258</v>
      </c>
      <c r="C58" s="27" t="s">
        <v>24</v>
      </c>
      <c r="D58" s="28" t="s">
        <v>755</v>
      </c>
      <c r="E58" s="28" t="s">
        <v>763</v>
      </c>
      <c r="F58" s="28" t="s">
        <v>763</v>
      </c>
      <c r="G58" s="28">
        <v>1.0</v>
      </c>
      <c r="H58" s="28"/>
      <c r="I58" s="28"/>
      <c r="J58" s="37" t="s">
        <v>762</v>
      </c>
      <c r="K58" s="30">
        <f t="shared" si="1"/>
        <v>0</v>
      </c>
    </row>
    <row r="59" ht="15.75" customHeight="1">
      <c r="A59" s="31" t="s">
        <v>150</v>
      </c>
      <c r="B59" s="26" t="s">
        <v>259</v>
      </c>
      <c r="C59" s="27" t="s">
        <v>24</v>
      </c>
      <c r="D59" s="28" t="s">
        <v>755</v>
      </c>
      <c r="E59" s="28" t="s">
        <v>757</v>
      </c>
      <c r="F59" s="28" t="s">
        <v>757</v>
      </c>
      <c r="G59" s="28">
        <v>0.0</v>
      </c>
      <c r="H59" s="28"/>
      <c r="I59" s="28"/>
      <c r="J59" s="28"/>
      <c r="K59" s="30">
        <f t="shared" si="1"/>
        <v>0</v>
      </c>
    </row>
    <row r="60" ht="15.75" customHeight="1">
      <c r="A60" s="31" t="s">
        <v>150</v>
      </c>
      <c r="B60" s="26" t="s">
        <v>261</v>
      </c>
      <c r="C60" s="27" t="s">
        <v>24</v>
      </c>
      <c r="D60" s="28" t="s">
        <v>755</v>
      </c>
      <c r="E60" s="28" t="s">
        <v>757</v>
      </c>
      <c r="F60" s="28" t="s">
        <v>757</v>
      </c>
      <c r="G60" s="28">
        <v>0.0</v>
      </c>
      <c r="H60" s="28"/>
      <c r="I60" s="28"/>
      <c r="J60" s="28"/>
      <c r="K60" s="30">
        <f t="shared" si="1"/>
        <v>0</v>
      </c>
    </row>
    <row r="61" ht="15.75" customHeight="1">
      <c r="A61" s="25" t="s">
        <v>842</v>
      </c>
      <c r="B61" s="26" t="s">
        <v>262</v>
      </c>
      <c r="C61" s="27" t="s">
        <v>31</v>
      </c>
      <c r="D61" s="28" t="s">
        <v>755</v>
      </c>
      <c r="E61" s="28" t="s">
        <v>757</v>
      </c>
      <c r="F61" s="28" t="s">
        <v>757</v>
      </c>
      <c r="G61" s="28">
        <v>0.0</v>
      </c>
      <c r="H61" s="28"/>
      <c r="I61" s="28"/>
      <c r="J61" s="28"/>
      <c r="K61" s="30">
        <f t="shared" si="1"/>
        <v>0</v>
      </c>
    </row>
    <row r="62" ht="15.75" customHeight="1">
      <c r="A62" s="25" t="s">
        <v>119</v>
      </c>
      <c r="B62" s="26" t="s">
        <v>267</v>
      </c>
      <c r="C62" s="27" t="s">
        <v>30</v>
      </c>
      <c r="D62" s="28" t="s">
        <v>754</v>
      </c>
      <c r="E62" s="28" t="s">
        <v>57</v>
      </c>
      <c r="F62" s="28" t="s">
        <v>57</v>
      </c>
      <c r="G62" s="28">
        <v>1.0</v>
      </c>
      <c r="H62" s="28"/>
      <c r="I62" s="28"/>
      <c r="J62" s="28" t="s">
        <v>762</v>
      </c>
      <c r="K62" s="30">
        <f t="shared" si="1"/>
        <v>0</v>
      </c>
    </row>
    <row r="63" ht="15.75" customHeight="1">
      <c r="A63" s="25" t="s">
        <v>119</v>
      </c>
      <c r="B63" s="26" t="s">
        <v>267</v>
      </c>
      <c r="C63" s="27" t="s">
        <v>30</v>
      </c>
      <c r="D63" s="28" t="s">
        <v>754</v>
      </c>
      <c r="E63" s="28" t="s">
        <v>757</v>
      </c>
      <c r="F63" s="28" t="s">
        <v>757</v>
      </c>
      <c r="G63" s="28">
        <v>0.0</v>
      </c>
      <c r="H63" s="28"/>
      <c r="I63" s="28"/>
      <c r="J63" s="28"/>
      <c r="K63" s="30">
        <f t="shared" si="1"/>
        <v>0</v>
      </c>
    </row>
    <row r="64" ht="15.75" customHeight="1">
      <c r="A64" s="25" t="s">
        <v>119</v>
      </c>
      <c r="B64" s="26" t="s">
        <v>269</v>
      </c>
      <c r="C64" s="27" t="s">
        <v>14</v>
      </c>
      <c r="D64" s="28" t="s">
        <v>754</v>
      </c>
      <c r="E64" s="28" t="s">
        <v>757</v>
      </c>
      <c r="F64" s="28" t="s">
        <v>757</v>
      </c>
      <c r="G64" s="28">
        <v>0.0</v>
      </c>
      <c r="H64" s="28"/>
      <c r="I64" s="28"/>
      <c r="J64" s="28"/>
      <c r="K64" s="30">
        <f t="shared" si="1"/>
        <v>0</v>
      </c>
    </row>
    <row r="65" ht="15.75" customHeight="1">
      <c r="A65" s="25" t="s">
        <v>119</v>
      </c>
      <c r="B65" s="26" t="s">
        <v>269</v>
      </c>
      <c r="C65" s="27" t="s">
        <v>14</v>
      </c>
      <c r="D65" s="28" t="s">
        <v>754</v>
      </c>
      <c r="E65" s="28" t="s">
        <v>757</v>
      </c>
      <c r="F65" s="28" t="s">
        <v>757</v>
      </c>
      <c r="G65" s="28">
        <v>0.0</v>
      </c>
      <c r="H65" s="28"/>
      <c r="I65" s="28"/>
      <c r="J65" s="28"/>
      <c r="K65" s="30">
        <f t="shared" si="1"/>
        <v>0</v>
      </c>
    </row>
    <row r="66" ht="15.75" customHeight="1">
      <c r="A66" s="31" t="s">
        <v>134</v>
      </c>
      <c r="B66" s="26" t="s">
        <v>271</v>
      </c>
      <c r="C66" s="27" t="s">
        <v>40</v>
      </c>
      <c r="D66" s="28" t="s">
        <v>755</v>
      </c>
      <c r="E66" s="28" t="s">
        <v>771</v>
      </c>
      <c r="F66" s="28" t="s">
        <v>771</v>
      </c>
      <c r="G66" s="28">
        <v>1.0</v>
      </c>
      <c r="H66" s="28"/>
      <c r="I66" s="28"/>
      <c r="J66" s="37" t="s">
        <v>762</v>
      </c>
      <c r="K66" s="30">
        <f t="shared" si="1"/>
        <v>0</v>
      </c>
    </row>
    <row r="67" ht="15.75" customHeight="1">
      <c r="A67" s="31" t="s">
        <v>170</v>
      </c>
      <c r="B67" s="26" t="s">
        <v>273</v>
      </c>
      <c r="C67" s="27" t="s">
        <v>40</v>
      </c>
      <c r="D67" s="28" t="s">
        <v>755</v>
      </c>
      <c r="E67" s="28" t="s">
        <v>757</v>
      </c>
      <c r="F67" s="28" t="s">
        <v>757</v>
      </c>
      <c r="G67" s="28">
        <v>0.0</v>
      </c>
      <c r="H67" s="28"/>
      <c r="I67" s="28"/>
      <c r="J67" s="28"/>
      <c r="K67" s="30">
        <f t="shared" si="1"/>
        <v>0</v>
      </c>
    </row>
    <row r="68" ht="15.75" customHeight="1">
      <c r="A68" s="31" t="s">
        <v>134</v>
      </c>
      <c r="B68" s="26" t="s">
        <v>276</v>
      </c>
      <c r="C68" s="27" t="s">
        <v>40</v>
      </c>
      <c r="D68" s="28" t="s">
        <v>755</v>
      </c>
      <c r="E68" s="28" t="s">
        <v>759</v>
      </c>
      <c r="F68" s="28" t="s">
        <v>75</v>
      </c>
      <c r="G68" s="28">
        <v>1.0</v>
      </c>
      <c r="H68" s="28">
        <v>4.0</v>
      </c>
      <c r="I68" s="28">
        <v>1.0</v>
      </c>
      <c r="J68" s="28"/>
      <c r="K68" s="30">
        <f t="shared" si="1"/>
        <v>16.75516082</v>
      </c>
    </row>
    <row r="69" ht="15.75" customHeight="1">
      <c r="A69" s="31" t="s">
        <v>134</v>
      </c>
      <c r="B69" s="26" t="s">
        <v>276</v>
      </c>
      <c r="C69" s="27" t="s">
        <v>40</v>
      </c>
      <c r="D69" s="28" t="s">
        <v>755</v>
      </c>
      <c r="E69" s="28" t="s">
        <v>57</v>
      </c>
      <c r="F69" s="28" t="s">
        <v>57</v>
      </c>
      <c r="G69" s="28">
        <v>1.0</v>
      </c>
      <c r="H69" s="28">
        <v>2.0</v>
      </c>
      <c r="I69" s="28">
        <v>1.0</v>
      </c>
      <c r="J69" s="28"/>
      <c r="K69" s="30">
        <f t="shared" si="1"/>
        <v>8.37758041</v>
      </c>
    </row>
    <row r="70" ht="15.75" customHeight="1">
      <c r="A70" s="31" t="s">
        <v>134</v>
      </c>
      <c r="B70" s="26" t="s">
        <v>278</v>
      </c>
      <c r="C70" s="27" t="s">
        <v>40</v>
      </c>
      <c r="D70" s="28" t="s">
        <v>755</v>
      </c>
      <c r="E70" s="28" t="s">
        <v>759</v>
      </c>
      <c r="F70" s="28" t="s">
        <v>75</v>
      </c>
      <c r="G70" s="28">
        <v>1.0</v>
      </c>
      <c r="H70" s="28">
        <v>2.0</v>
      </c>
      <c r="I70" s="28">
        <v>0.5</v>
      </c>
      <c r="J70" s="28"/>
      <c r="K70" s="30">
        <f t="shared" si="1"/>
        <v>2.094395102</v>
      </c>
    </row>
    <row r="71" ht="15.75" customHeight="1">
      <c r="A71" s="31" t="s">
        <v>134</v>
      </c>
      <c r="B71" s="26" t="s">
        <v>278</v>
      </c>
      <c r="C71" s="27" t="s">
        <v>40</v>
      </c>
      <c r="D71" s="28" t="s">
        <v>755</v>
      </c>
      <c r="E71" s="28" t="s">
        <v>759</v>
      </c>
      <c r="F71" s="28" t="s">
        <v>75</v>
      </c>
      <c r="G71" s="28">
        <v>4.0</v>
      </c>
      <c r="H71" s="28">
        <v>4.0</v>
      </c>
      <c r="I71" s="28">
        <v>1.0</v>
      </c>
      <c r="J71" s="28"/>
      <c r="K71" s="30">
        <f t="shared" si="1"/>
        <v>67.02064328</v>
      </c>
    </row>
    <row r="72" ht="15.75" customHeight="1">
      <c r="A72" s="31" t="s">
        <v>134</v>
      </c>
      <c r="B72" s="26" t="s">
        <v>278</v>
      </c>
      <c r="C72" s="27" t="s">
        <v>40</v>
      </c>
      <c r="D72" s="28" t="s">
        <v>755</v>
      </c>
      <c r="E72" s="28" t="s">
        <v>63</v>
      </c>
      <c r="F72" s="28" t="s">
        <v>63</v>
      </c>
      <c r="G72" s="28">
        <v>1.0</v>
      </c>
      <c r="H72" s="28">
        <v>6.0</v>
      </c>
      <c r="I72" s="28">
        <v>1.0</v>
      </c>
      <c r="J72" s="28"/>
      <c r="K72" s="30">
        <f t="shared" si="1"/>
        <v>25.13274123</v>
      </c>
    </row>
    <row r="73" ht="15.75" customHeight="1">
      <c r="A73" s="25" t="s">
        <v>843</v>
      </c>
      <c r="B73" s="26" t="s">
        <v>280</v>
      </c>
      <c r="C73" s="27" t="s">
        <v>39</v>
      </c>
      <c r="D73" s="28" t="s">
        <v>754</v>
      </c>
      <c r="E73" s="28" t="s">
        <v>757</v>
      </c>
      <c r="F73" s="28" t="s">
        <v>757</v>
      </c>
      <c r="G73" s="28">
        <v>0.0</v>
      </c>
      <c r="H73" s="28"/>
      <c r="I73" s="28"/>
      <c r="J73" s="28"/>
      <c r="K73" s="30">
        <f t="shared" si="1"/>
        <v>0</v>
      </c>
    </row>
    <row r="74" ht="15.75" customHeight="1">
      <c r="A74" s="25" t="s">
        <v>119</v>
      </c>
      <c r="B74" s="26" t="s">
        <v>283</v>
      </c>
      <c r="C74" s="27" t="s">
        <v>28</v>
      </c>
      <c r="D74" s="28" t="s">
        <v>755</v>
      </c>
      <c r="E74" s="28" t="s">
        <v>757</v>
      </c>
      <c r="F74" s="28" t="s">
        <v>757</v>
      </c>
      <c r="G74" s="28">
        <v>0.0</v>
      </c>
      <c r="H74" s="28"/>
      <c r="I74" s="28"/>
      <c r="J74" s="28"/>
      <c r="K74" s="30">
        <f t="shared" si="1"/>
        <v>0</v>
      </c>
    </row>
    <row r="75" ht="15.75" customHeight="1">
      <c r="A75" s="31" t="s">
        <v>210</v>
      </c>
      <c r="B75" s="26" t="s">
        <v>285</v>
      </c>
      <c r="C75" s="27" t="s">
        <v>28</v>
      </c>
      <c r="D75" s="28" t="s">
        <v>755</v>
      </c>
      <c r="E75" s="28" t="s">
        <v>63</v>
      </c>
      <c r="F75" s="28" t="s">
        <v>63</v>
      </c>
      <c r="G75" s="28">
        <v>27.0</v>
      </c>
      <c r="H75" s="28">
        <v>13.0</v>
      </c>
      <c r="I75" s="28">
        <v>10.0</v>
      </c>
      <c r="J75" s="28"/>
      <c r="K75" s="30">
        <f t="shared" si="1"/>
        <v>147026.5362</v>
      </c>
    </row>
    <row r="76" ht="15.75" customHeight="1">
      <c r="A76" s="31" t="s">
        <v>210</v>
      </c>
      <c r="B76" s="26" t="s">
        <v>285</v>
      </c>
      <c r="C76" s="27" t="s">
        <v>28</v>
      </c>
      <c r="D76" s="28" t="s">
        <v>755</v>
      </c>
      <c r="E76" s="28" t="s">
        <v>63</v>
      </c>
      <c r="F76" s="28" t="s">
        <v>63</v>
      </c>
      <c r="G76" s="28">
        <v>1.0</v>
      </c>
      <c r="H76" s="28">
        <v>22.0</v>
      </c>
      <c r="I76" s="28">
        <v>14.0</v>
      </c>
      <c r="J76" s="28"/>
      <c r="K76" s="30">
        <f t="shared" si="1"/>
        <v>18062.06336</v>
      </c>
    </row>
    <row r="77" ht="15.75" customHeight="1">
      <c r="A77" s="31" t="s">
        <v>210</v>
      </c>
      <c r="B77" s="26" t="s">
        <v>285</v>
      </c>
      <c r="C77" s="27" t="s">
        <v>28</v>
      </c>
      <c r="D77" s="28" t="s">
        <v>755</v>
      </c>
      <c r="E77" s="28" t="s">
        <v>63</v>
      </c>
      <c r="F77" s="28" t="s">
        <v>63</v>
      </c>
      <c r="G77" s="28">
        <v>1.0</v>
      </c>
      <c r="H77" s="28">
        <v>27.0</v>
      </c>
      <c r="I77" s="28">
        <v>18.0</v>
      </c>
      <c r="J77" s="28"/>
      <c r="K77" s="30">
        <f t="shared" si="1"/>
        <v>36643.53671</v>
      </c>
    </row>
    <row r="78" ht="15.75" customHeight="1">
      <c r="A78" s="25" t="s">
        <v>145</v>
      </c>
      <c r="B78" s="26" t="s">
        <v>287</v>
      </c>
      <c r="C78" s="27" t="s">
        <v>22</v>
      </c>
      <c r="D78" s="28" t="s">
        <v>754</v>
      </c>
      <c r="E78" s="28" t="s">
        <v>61</v>
      </c>
      <c r="F78" s="28" t="s">
        <v>61</v>
      </c>
      <c r="G78" s="28">
        <v>1.0</v>
      </c>
      <c r="H78" s="28">
        <v>21.0</v>
      </c>
      <c r="I78" s="28">
        <v>1.0</v>
      </c>
      <c r="J78" s="28"/>
      <c r="K78" s="30">
        <f t="shared" si="1"/>
        <v>87.9645943</v>
      </c>
    </row>
    <row r="79" ht="15.75" customHeight="1">
      <c r="A79" s="25" t="s">
        <v>119</v>
      </c>
      <c r="B79" s="26" t="s">
        <v>290</v>
      </c>
      <c r="C79" s="27" t="s">
        <v>10</v>
      </c>
      <c r="D79" s="28" t="s">
        <v>754</v>
      </c>
      <c r="E79" s="28" t="s">
        <v>759</v>
      </c>
      <c r="F79" s="28" t="s">
        <v>101</v>
      </c>
      <c r="G79" s="28">
        <v>1.0</v>
      </c>
      <c r="H79" s="28">
        <v>2.0</v>
      </c>
      <c r="I79" s="28">
        <v>1.0</v>
      </c>
      <c r="J79" s="28"/>
      <c r="K79" s="30">
        <f t="shared" si="1"/>
        <v>8.37758041</v>
      </c>
    </row>
    <row r="80" ht="15.75" customHeight="1">
      <c r="A80" s="25" t="s">
        <v>119</v>
      </c>
      <c r="B80" s="26" t="s">
        <v>290</v>
      </c>
      <c r="C80" s="27" t="s">
        <v>10</v>
      </c>
      <c r="D80" s="28" t="s">
        <v>754</v>
      </c>
      <c r="E80" s="28" t="s">
        <v>63</v>
      </c>
      <c r="F80" s="28" t="s">
        <v>63</v>
      </c>
      <c r="G80" s="28">
        <v>1.0</v>
      </c>
      <c r="H80" s="28">
        <v>4.0</v>
      </c>
      <c r="I80" s="28">
        <v>2.0</v>
      </c>
      <c r="J80" s="28"/>
      <c r="K80" s="30">
        <f t="shared" si="1"/>
        <v>67.02064328</v>
      </c>
    </row>
    <row r="81" ht="15.75" customHeight="1">
      <c r="A81" s="25" t="s">
        <v>119</v>
      </c>
      <c r="B81" s="26" t="s">
        <v>292</v>
      </c>
      <c r="C81" s="27" t="s">
        <v>10</v>
      </c>
      <c r="D81" s="28" t="s">
        <v>754</v>
      </c>
      <c r="E81" s="29" t="s">
        <v>57</v>
      </c>
      <c r="F81" s="28" t="s">
        <v>57</v>
      </c>
      <c r="G81" s="28">
        <v>1.0</v>
      </c>
      <c r="H81" s="28">
        <v>2.0</v>
      </c>
      <c r="I81" s="28">
        <v>1.0</v>
      </c>
      <c r="J81" s="28"/>
      <c r="K81" s="30">
        <f t="shared" si="1"/>
        <v>8.37758041</v>
      </c>
    </row>
    <row r="82" ht="15.75" customHeight="1">
      <c r="A82" s="25" t="s">
        <v>119</v>
      </c>
      <c r="B82" s="26" t="s">
        <v>292</v>
      </c>
      <c r="C82" s="27" t="s">
        <v>10</v>
      </c>
      <c r="D82" s="28" t="s">
        <v>754</v>
      </c>
      <c r="E82" s="28" t="s">
        <v>766</v>
      </c>
      <c r="F82" s="28" t="s">
        <v>87</v>
      </c>
      <c r="G82" s="28">
        <v>1.0</v>
      </c>
      <c r="H82" s="28">
        <v>6.0</v>
      </c>
      <c r="I82" s="28">
        <v>1.0</v>
      </c>
      <c r="J82" s="28"/>
      <c r="K82" s="30">
        <f t="shared" si="1"/>
        <v>25.13274123</v>
      </c>
    </row>
    <row r="83" ht="15.75" customHeight="1">
      <c r="A83" s="25" t="s">
        <v>145</v>
      </c>
      <c r="B83" s="26" t="s">
        <v>294</v>
      </c>
      <c r="C83" s="27" t="s">
        <v>6</v>
      </c>
      <c r="D83" s="28" t="s">
        <v>754</v>
      </c>
      <c r="E83" s="28" t="s">
        <v>59</v>
      </c>
      <c r="F83" s="28" t="s">
        <v>59</v>
      </c>
      <c r="G83" s="28">
        <v>3.0</v>
      </c>
      <c r="H83" s="28">
        <v>4.0</v>
      </c>
      <c r="I83" s="28">
        <v>2.0</v>
      </c>
      <c r="J83" s="28"/>
      <c r="K83" s="30">
        <f t="shared" si="1"/>
        <v>201.0619298</v>
      </c>
    </row>
    <row r="84" ht="15.75" customHeight="1">
      <c r="A84" s="38" t="s">
        <v>210</v>
      </c>
      <c r="B84" s="39" t="s">
        <v>296</v>
      </c>
      <c r="C84" s="27" t="s">
        <v>37</v>
      </c>
      <c r="D84" s="28" t="s">
        <v>755</v>
      </c>
      <c r="E84" s="38" t="s">
        <v>91</v>
      </c>
      <c r="F84" s="38" t="s">
        <v>91</v>
      </c>
      <c r="G84" s="38">
        <v>1.0</v>
      </c>
      <c r="H84" s="38">
        <v>3.0</v>
      </c>
      <c r="I84" s="38">
        <v>2.0</v>
      </c>
      <c r="J84" s="28"/>
      <c r="K84" s="30">
        <f t="shared" si="1"/>
        <v>50.26548246</v>
      </c>
    </row>
    <row r="85" ht="15.75" customHeight="1">
      <c r="A85" s="38" t="s">
        <v>210</v>
      </c>
      <c r="B85" s="39" t="s">
        <v>296</v>
      </c>
      <c r="C85" s="27" t="s">
        <v>37</v>
      </c>
      <c r="D85" s="28" t="s">
        <v>755</v>
      </c>
      <c r="E85" s="38" t="s">
        <v>69</v>
      </c>
      <c r="F85" s="38" t="s">
        <v>69</v>
      </c>
      <c r="G85" s="38">
        <v>3.0</v>
      </c>
      <c r="H85" s="38">
        <v>16.0</v>
      </c>
      <c r="I85" s="38">
        <v>3.0</v>
      </c>
      <c r="J85" s="28"/>
      <c r="K85" s="30">
        <f t="shared" si="1"/>
        <v>1809.557368</v>
      </c>
    </row>
    <row r="86" ht="15.75" customHeight="1">
      <c r="A86" s="38" t="s">
        <v>210</v>
      </c>
      <c r="B86" s="39" t="s">
        <v>296</v>
      </c>
      <c r="C86" s="27" t="s">
        <v>37</v>
      </c>
      <c r="D86" s="28" t="s">
        <v>755</v>
      </c>
      <c r="E86" s="38" t="s">
        <v>69</v>
      </c>
      <c r="F86" s="38" t="s">
        <v>69</v>
      </c>
      <c r="G86" s="38">
        <v>1.0</v>
      </c>
      <c r="H86" s="38">
        <v>10.0</v>
      </c>
      <c r="I86" s="38">
        <v>2.0</v>
      </c>
      <c r="J86" s="28"/>
      <c r="K86" s="30">
        <f t="shared" si="1"/>
        <v>167.5516082</v>
      </c>
    </row>
    <row r="87" ht="15.75" customHeight="1">
      <c r="A87" s="38" t="s">
        <v>210</v>
      </c>
      <c r="B87" s="39" t="s">
        <v>296</v>
      </c>
      <c r="C87" s="27" t="s">
        <v>37</v>
      </c>
      <c r="D87" s="28" t="s">
        <v>755</v>
      </c>
      <c r="E87" s="38" t="s">
        <v>63</v>
      </c>
      <c r="F87" s="38" t="s">
        <v>65</v>
      </c>
      <c r="G87" s="38">
        <v>1.0</v>
      </c>
      <c r="H87" s="38">
        <v>19.0</v>
      </c>
      <c r="I87" s="38">
        <v>3.0</v>
      </c>
      <c r="J87" s="28"/>
      <c r="K87" s="30">
        <f t="shared" si="1"/>
        <v>716.283125</v>
      </c>
    </row>
    <row r="88" ht="15.75" customHeight="1">
      <c r="A88" s="38" t="s">
        <v>210</v>
      </c>
      <c r="B88" s="39" t="s">
        <v>296</v>
      </c>
      <c r="C88" s="27" t="s">
        <v>37</v>
      </c>
      <c r="D88" s="28" t="s">
        <v>755</v>
      </c>
      <c r="E88" s="38" t="s">
        <v>71</v>
      </c>
      <c r="F88" s="38" t="s">
        <v>71</v>
      </c>
      <c r="G88" s="38">
        <v>1.0</v>
      </c>
      <c r="H88" s="38">
        <v>62.0</v>
      </c>
      <c r="I88" s="38">
        <v>4.0</v>
      </c>
      <c r="J88" s="28"/>
      <c r="K88" s="30">
        <f t="shared" si="1"/>
        <v>4155.279883</v>
      </c>
    </row>
    <row r="89" ht="15.75" customHeight="1">
      <c r="A89" s="25" t="s">
        <v>145</v>
      </c>
      <c r="B89" s="26" t="s">
        <v>301</v>
      </c>
      <c r="C89" s="27" t="s">
        <v>33</v>
      </c>
      <c r="D89" s="28" t="s">
        <v>754</v>
      </c>
      <c r="E89" s="28" t="s">
        <v>757</v>
      </c>
      <c r="F89" s="28" t="s">
        <v>757</v>
      </c>
      <c r="G89" s="28">
        <v>0.0</v>
      </c>
      <c r="H89" s="28"/>
      <c r="I89" s="28"/>
      <c r="J89" s="28"/>
      <c r="K89" s="30">
        <f t="shared" si="1"/>
        <v>0</v>
      </c>
    </row>
    <row r="90" ht="15.75" customHeight="1">
      <c r="A90" s="25" t="s">
        <v>119</v>
      </c>
      <c r="B90" s="26" t="s">
        <v>302</v>
      </c>
      <c r="C90" s="27" t="s">
        <v>33</v>
      </c>
      <c r="D90" s="28" t="s">
        <v>754</v>
      </c>
      <c r="E90" s="28" t="s">
        <v>77</v>
      </c>
      <c r="F90" s="28" t="s">
        <v>79</v>
      </c>
      <c r="G90" s="28">
        <v>1.0</v>
      </c>
      <c r="H90" s="28"/>
      <c r="I90" s="28"/>
      <c r="J90" s="28" t="s">
        <v>762</v>
      </c>
      <c r="K90" s="30">
        <f t="shared" si="1"/>
        <v>0</v>
      </c>
    </row>
    <row r="91" ht="15.75" customHeight="1">
      <c r="A91" s="25" t="s">
        <v>119</v>
      </c>
      <c r="B91" s="26" t="s">
        <v>302</v>
      </c>
      <c r="C91" s="27" t="s">
        <v>33</v>
      </c>
      <c r="D91" s="28" t="s">
        <v>754</v>
      </c>
      <c r="E91" s="28" t="s">
        <v>57</v>
      </c>
      <c r="F91" s="28" t="s">
        <v>57</v>
      </c>
      <c r="G91" s="28">
        <v>1.0</v>
      </c>
      <c r="H91" s="28">
        <v>3.0</v>
      </c>
      <c r="I91" s="28">
        <v>1.0</v>
      </c>
      <c r="J91" s="28"/>
      <c r="K91" s="30">
        <f t="shared" si="1"/>
        <v>12.56637061</v>
      </c>
    </row>
    <row r="92" ht="15.75" customHeight="1">
      <c r="A92" s="31" t="s">
        <v>844</v>
      </c>
      <c r="B92" s="26" t="s">
        <v>303</v>
      </c>
      <c r="C92" s="27" t="s">
        <v>37</v>
      </c>
      <c r="D92" s="28" t="s">
        <v>755</v>
      </c>
      <c r="E92" s="28" t="s">
        <v>757</v>
      </c>
      <c r="F92" s="28" t="s">
        <v>757</v>
      </c>
      <c r="G92" s="28">
        <v>0.0</v>
      </c>
      <c r="H92" s="28"/>
      <c r="I92" s="28"/>
      <c r="J92" s="28"/>
      <c r="K92" s="30">
        <f t="shared" si="1"/>
        <v>0</v>
      </c>
    </row>
    <row r="93" ht="15.75" customHeight="1">
      <c r="A93" s="31" t="s">
        <v>845</v>
      </c>
      <c r="B93" s="26" t="s">
        <v>308</v>
      </c>
      <c r="C93" s="27" t="s">
        <v>37</v>
      </c>
      <c r="D93" s="28" t="s">
        <v>755</v>
      </c>
      <c r="E93" s="28" t="s">
        <v>757</v>
      </c>
      <c r="F93" s="28" t="s">
        <v>757</v>
      </c>
      <c r="G93" s="28">
        <v>0.0</v>
      </c>
      <c r="H93" s="28"/>
      <c r="I93" s="28"/>
      <c r="J93" s="28"/>
      <c r="K93" s="30">
        <f t="shared" si="1"/>
        <v>0</v>
      </c>
    </row>
    <row r="94" ht="15.75" customHeight="1">
      <c r="A94" s="25" t="s">
        <v>119</v>
      </c>
      <c r="B94" s="26" t="s">
        <v>310</v>
      </c>
      <c r="C94" s="27" t="s">
        <v>36</v>
      </c>
      <c r="D94" s="28" t="s">
        <v>754</v>
      </c>
      <c r="E94" s="28" t="s">
        <v>757</v>
      </c>
      <c r="F94" s="28" t="s">
        <v>757</v>
      </c>
      <c r="G94" s="28">
        <v>0.0</v>
      </c>
      <c r="H94" s="28"/>
      <c r="I94" s="28"/>
      <c r="J94" s="28"/>
      <c r="K94" s="30">
        <f t="shared" si="1"/>
        <v>0</v>
      </c>
    </row>
    <row r="95" ht="15.75" customHeight="1">
      <c r="A95" s="25" t="s">
        <v>846</v>
      </c>
      <c r="B95" s="26" t="s">
        <v>312</v>
      </c>
      <c r="C95" s="27" t="s">
        <v>36</v>
      </c>
      <c r="D95" s="28" t="s">
        <v>754</v>
      </c>
      <c r="E95" s="28" t="s">
        <v>757</v>
      </c>
      <c r="F95" s="28" t="s">
        <v>757</v>
      </c>
      <c r="G95" s="28">
        <v>0.0</v>
      </c>
      <c r="H95" s="28"/>
      <c r="I95" s="28"/>
      <c r="J95" s="28"/>
      <c r="K95" s="30">
        <f t="shared" si="1"/>
        <v>0</v>
      </c>
    </row>
    <row r="96" ht="15.75" customHeight="1">
      <c r="A96" s="31" t="s">
        <v>170</v>
      </c>
      <c r="B96" s="26" t="s">
        <v>320</v>
      </c>
      <c r="C96" s="27" t="s">
        <v>12</v>
      </c>
      <c r="D96" s="28" t="s">
        <v>755</v>
      </c>
      <c r="E96" s="28" t="s">
        <v>57</v>
      </c>
      <c r="F96" s="28" t="s">
        <v>57</v>
      </c>
      <c r="G96" s="28">
        <v>1.0</v>
      </c>
      <c r="H96" s="28">
        <v>3.0</v>
      </c>
      <c r="I96" s="28">
        <v>1.0</v>
      </c>
      <c r="J96" s="28"/>
      <c r="K96" s="30">
        <f t="shared" si="1"/>
        <v>12.56637061</v>
      </c>
    </row>
    <row r="97" ht="15.75" customHeight="1">
      <c r="A97" s="31" t="s">
        <v>170</v>
      </c>
      <c r="B97" s="26" t="s">
        <v>323</v>
      </c>
      <c r="C97" s="27" t="s">
        <v>12</v>
      </c>
      <c r="D97" s="28" t="s">
        <v>755</v>
      </c>
      <c r="E97" s="28" t="s">
        <v>757</v>
      </c>
      <c r="F97" s="28" t="s">
        <v>757</v>
      </c>
      <c r="G97" s="28">
        <v>0.0</v>
      </c>
      <c r="H97" s="28"/>
      <c r="I97" s="28"/>
      <c r="J97" s="28"/>
      <c r="K97" s="30">
        <f t="shared" si="1"/>
        <v>0</v>
      </c>
    </row>
    <row r="98" ht="15.75" customHeight="1">
      <c r="A98" s="31" t="s">
        <v>137</v>
      </c>
      <c r="B98" s="26" t="s">
        <v>324</v>
      </c>
      <c r="C98" s="27" t="s">
        <v>10</v>
      </c>
      <c r="D98" s="28" t="s">
        <v>754</v>
      </c>
      <c r="E98" s="28" t="s">
        <v>759</v>
      </c>
      <c r="F98" s="28" t="s">
        <v>75</v>
      </c>
      <c r="G98" s="28">
        <v>1.0</v>
      </c>
      <c r="H98" s="28">
        <v>3.0</v>
      </c>
      <c r="I98" s="28">
        <v>0.5</v>
      </c>
      <c r="J98" s="28"/>
      <c r="K98" s="30">
        <f t="shared" si="1"/>
        <v>3.141592654</v>
      </c>
    </row>
    <row r="99" ht="15.75" customHeight="1">
      <c r="A99" s="31" t="s">
        <v>137</v>
      </c>
      <c r="B99" s="26" t="s">
        <v>324</v>
      </c>
      <c r="C99" s="27" t="s">
        <v>10</v>
      </c>
      <c r="D99" s="28" t="s">
        <v>754</v>
      </c>
      <c r="E99" s="28" t="s">
        <v>759</v>
      </c>
      <c r="F99" s="28" t="s">
        <v>75</v>
      </c>
      <c r="G99" s="28">
        <v>3.0</v>
      </c>
      <c r="H99" s="28">
        <v>2.0</v>
      </c>
      <c r="I99" s="28">
        <v>0.5</v>
      </c>
      <c r="J99" s="28"/>
      <c r="K99" s="30">
        <f t="shared" si="1"/>
        <v>6.283185307</v>
      </c>
    </row>
    <row r="100" ht="15.75" customHeight="1">
      <c r="A100" s="31" t="s">
        <v>134</v>
      </c>
      <c r="B100" s="26" t="s">
        <v>325</v>
      </c>
      <c r="C100" s="27" t="s">
        <v>10</v>
      </c>
      <c r="D100" s="28" t="s">
        <v>754</v>
      </c>
      <c r="E100" s="28" t="s">
        <v>759</v>
      </c>
      <c r="F100" s="28" t="s">
        <v>101</v>
      </c>
      <c r="G100" s="28">
        <v>1.0</v>
      </c>
      <c r="H100" s="28"/>
      <c r="I100" s="28"/>
      <c r="J100" s="37" t="s">
        <v>762</v>
      </c>
      <c r="K100" s="30">
        <f t="shared" si="1"/>
        <v>0</v>
      </c>
    </row>
    <row r="101" ht="15.75" customHeight="1">
      <c r="A101" s="31" t="s">
        <v>134</v>
      </c>
      <c r="B101" s="26" t="s">
        <v>325</v>
      </c>
      <c r="C101" s="27" t="s">
        <v>10</v>
      </c>
      <c r="D101" s="28" t="s">
        <v>754</v>
      </c>
      <c r="E101" s="28" t="s">
        <v>759</v>
      </c>
      <c r="F101" s="28" t="s">
        <v>75</v>
      </c>
      <c r="G101" s="28">
        <v>4.0</v>
      </c>
      <c r="H101" s="28">
        <v>5.0</v>
      </c>
      <c r="I101" s="28">
        <v>1.0</v>
      </c>
      <c r="J101" s="28"/>
      <c r="K101" s="30">
        <f t="shared" si="1"/>
        <v>83.7758041</v>
      </c>
    </row>
    <row r="102" ht="15.75" customHeight="1">
      <c r="A102" s="31" t="s">
        <v>134</v>
      </c>
      <c r="B102" s="26" t="s">
        <v>325</v>
      </c>
      <c r="C102" s="27" t="s">
        <v>10</v>
      </c>
      <c r="D102" s="28" t="s">
        <v>754</v>
      </c>
      <c r="E102" s="28" t="s">
        <v>759</v>
      </c>
      <c r="F102" s="28" t="s">
        <v>75</v>
      </c>
      <c r="G102" s="28">
        <v>3.0</v>
      </c>
      <c r="H102" s="28">
        <v>1.0</v>
      </c>
      <c r="I102" s="28">
        <v>0.5</v>
      </c>
      <c r="J102" s="28"/>
      <c r="K102" s="30">
        <f t="shared" si="1"/>
        <v>3.141592654</v>
      </c>
    </row>
    <row r="103" ht="15.75" customHeight="1">
      <c r="A103" s="31" t="s">
        <v>134</v>
      </c>
      <c r="B103" s="26" t="s">
        <v>325</v>
      </c>
      <c r="C103" s="27" t="s">
        <v>10</v>
      </c>
      <c r="D103" s="28" t="s">
        <v>754</v>
      </c>
      <c r="E103" s="28" t="s">
        <v>759</v>
      </c>
      <c r="F103" s="28" t="s">
        <v>75</v>
      </c>
      <c r="G103" s="28">
        <v>1.0</v>
      </c>
      <c r="H103" s="28">
        <v>2.0</v>
      </c>
      <c r="I103" s="28">
        <v>0.5</v>
      </c>
      <c r="J103" s="28"/>
      <c r="K103" s="30">
        <f t="shared" si="1"/>
        <v>2.094395102</v>
      </c>
    </row>
    <row r="104" ht="15.75" customHeight="1">
      <c r="A104" s="25" t="s">
        <v>145</v>
      </c>
      <c r="B104" s="26" t="s">
        <v>328</v>
      </c>
      <c r="C104" s="27" t="s">
        <v>14</v>
      </c>
      <c r="D104" s="28" t="s">
        <v>754</v>
      </c>
      <c r="E104" s="28" t="s">
        <v>63</v>
      </c>
      <c r="F104" s="28" t="s">
        <v>63</v>
      </c>
      <c r="G104" s="28">
        <v>1.0</v>
      </c>
      <c r="H104" s="28">
        <v>10.0</v>
      </c>
      <c r="I104" s="28">
        <v>4.0</v>
      </c>
      <c r="J104" s="28"/>
      <c r="K104" s="30">
        <f t="shared" si="1"/>
        <v>670.2064328</v>
      </c>
    </row>
    <row r="105" ht="15.75" customHeight="1">
      <c r="A105" s="25" t="s">
        <v>145</v>
      </c>
      <c r="B105" s="26" t="s">
        <v>328</v>
      </c>
      <c r="C105" s="27" t="s">
        <v>14</v>
      </c>
      <c r="D105" s="28" t="s">
        <v>754</v>
      </c>
      <c r="E105" s="28" t="s">
        <v>61</v>
      </c>
      <c r="F105" s="28" t="s">
        <v>61</v>
      </c>
      <c r="G105" s="28">
        <v>1.0</v>
      </c>
      <c r="H105" s="28">
        <v>25.0</v>
      </c>
      <c r="I105" s="28">
        <v>2.0</v>
      </c>
      <c r="J105" s="28"/>
      <c r="K105" s="30">
        <f t="shared" si="1"/>
        <v>418.8790205</v>
      </c>
    </row>
    <row r="106" ht="15.75" customHeight="1">
      <c r="A106" s="25" t="s">
        <v>145</v>
      </c>
      <c r="B106" s="26" t="s">
        <v>328</v>
      </c>
      <c r="C106" s="27" t="s">
        <v>14</v>
      </c>
      <c r="D106" s="28" t="s">
        <v>754</v>
      </c>
      <c r="E106" s="28" t="s">
        <v>91</v>
      </c>
      <c r="F106" s="28" t="s">
        <v>91</v>
      </c>
      <c r="G106" s="28">
        <v>1.0</v>
      </c>
      <c r="H106" s="28">
        <v>4.0</v>
      </c>
      <c r="I106" s="28">
        <v>4.0</v>
      </c>
      <c r="J106" s="28"/>
      <c r="K106" s="30">
        <f t="shared" si="1"/>
        <v>268.0825731</v>
      </c>
    </row>
    <row r="107" ht="15.75" customHeight="1">
      <c r="A107" s="25" t="s">
        <v>145</v>
      </c>
      <c r="B107" s="26" t="s">
        <v>328</v>
      </c>
      <c r="C107" s="27" t="s">
        <v>14</v>
      </c>
      <c r="D107" s="28" t="s">
        <v>754</v>
      </c>
      <c r="E107" s="28" t="s">
        <v>91</v>
      </c>
      <c r="F107" s="28" t="s">
        <v>91</v>
      </c>
      <c r="G107" s="28">
        <v>1.0</v>
      </c>
      <c r="H107" s="28">
        <v>3.0</v>
      </c>
      <c r="I107" s="28">
        <v>4.0</v>
      </c>
      <c r="J107" s="28"/>
      <c r="K107" s="30">
        <f t="shared" si="1"/>
        <v>201.0619298</v>
      </c>
    </row>
    <row r="108" ht="15.75" customHeight="1">
      <c r="A108" s="25" t="s">
        <v>145</v>
      </c>
      <c r="B108" s="26" t="s">
        <v>328</v>
      </c>
      <c r="C108" s="27" t="s">
        <v>14</v>
      </c>
      <c r="D108" s="28" t="s">
        <v>754</v>
      </c>
      <c r="E108" s="28" t="s">
        <v>757</v>
      </c>
      <c r="F108" s="28" t="s">
        <v>757</v>
      </c>
      <c r="G108" s="28">
        <v>0.0</v>
      </c>
      <c r="H108" s="28"/>
      <c r="I108" s="28"/>
      <c r="J108" s="28"/>
      <c r="K108" s="30">
        <f t="shared" si="1"/>
        <v>0</v>
      </c>
    </row>
    <row r="109" ht="15.75" customHeight="1">
      <c r="A109" s="31" t="s">
        <v>150</v>
      </c>
      <c r="B109" s="26" t="s">
        <v>331</v>
      </c>
      <c r="C109" s="27" t="s">
        <v>31</v>
      </c>
      <c r="D109" s="28" t="s">
        <v>755</v>
      </c>
      <c r="E109" s="28" t="s">
        <v>55</v>
      </c>
      <c r="F109" s="28" t="s">
        <v>55</v>
      </c>
      <c r="G109" s="28">
        <v>1.0</v>
      </c>
      <c r="H109" s="28">
        <v>1.0</v>
      </c>
      <c r="I109" s="28">
        <v>1.0</v>
      </c>
      <c r="J109" s="28"/>
      <c r="K109" s="30">
        <f t="shared" si="1"/>
        <v>4.188790205</v>
      </c>
    </row>
    <row r="110" ht="15.75" customHeight="1">
      <c r="A110" s="31" t="s">
        <v>207</v>
      </c>
      <c r="B110" s="26" t="s">
        <v>334</v>
      </c>
      <c r="C110" s="27" t="s">
        <v>31</v>
      </c>
      <c r="D110" s="28" t="s">
        <v>755</v>
      </c>
      <c r="E110" s="28" t="s">
        <v>63</v>
      </c>
      <c r="F110" s="28" t="s">
        <v>97</v>
      </c>
      <c r="G110" s="28">
        <v>1.0</v>
      </c>
      <c r="H110" s="28">
        <v>16.0</v>
      </c>
      <c r="I110" s="28">
        <v>3.0</v>
      </c>
      <c r="J110" s="28"/>
      <c r="K110" s="30">
        <f t="shared" si="1"/>
        <v>603.1857895</v>
      </c>
    </row>
    <row r="111" ht="15.75" customHeight="1">
      <c r="A111" s="31" t="s">
        <v>129</v>
      </c>
      <c r="B111" s="26" t="s">
        <v>337</v>
      </c>
      <c r="C111" s="27" t="s">
        <v>16</v>
      </c>
      <c r="D111" s="28" t="s">
        <v>755</v>
      </c>
      <c r="E111" s="28" t="s">
        <v>763</v>
      </c>
      <c r="F111" s="28" t="s">
        <v>763</v>
      </c>
      <c r="G111" s="28">
        <v>1.0</v>
      </c>
      <c r="H111" s="28"/>
      <c r="I111" s="28"/>
      <c r="J111" s="37" t="s">
        <v>762</v>
      </c>
      <c r="K111" s="30">
        <f t="shared" si="1"/>
        <v>0</v>
      </c>
    </row>
    <row r="112" ht="15.75" customHeight="1">
      <c r="A112" s="31" t="s">
        <v>207</v>
      </c>
      <c r="B112" s="26" t="s">
        <v>339</v>
      </c>
      <c r="C112" s="27" t="s">
        <v>31</v>
      </c>
      <c r="D112" s="28" t="s">
        <v>755</v>
      </c>
      <c r="E112" s="28" t="s">
        <v>71</v>
      </c>
      <c r="F112" s="28" t="s">
        <v>71</v>
      </c>
      <c r="G112" s="28">
        <v>1.0</v>
      </c>
      <c r="H112" s="28">
        <v>10.0</v>
      </c>
      <c r="I112" s="28">
        <v>1.0</v>
      </c>
      <c r="J112" s="28"/>
      <c r="K112" s="30">
        <f t="shared" si="1"/>
        <v>41.88790205</v>
      </c>
    </row>
    <row r="113" ht="15.75" customHeight="1">
      <c r="A113" s="31" t="s">
        <v>207</v>
      </c>
      <c r="B113" s="26" t="s">
        <v>339</v>
      </c>
      <c r="C113" s="27" t="s">
        <v>31</v>
      </c>
      <c r="D113" s="28" t="s">
        <v>755</v>
      </c>
      <c r="E113" s="28" t="s">
        <v>55</v>
      </c>
      <c r="F113" s="28" t="s">
        <v>55</v>
      </c>
      <c r="G113" s="28">
        <v>1.0</v>
      </c>
      <c r="H113" s="28">
        <v>2.0</v>
      </c>
      <c r="I113" s="28">
        <v>1.0</v>
      </c>
      <c r="J113" s="28"/>
      <c r="K113" s="30">
        <f t="shared" si="1"/>
        <v>8.37758041</v>
      </c>
    </row>
    <row r="114" ht="15.75" customHeight="1">
      <c r="A114" s="31" t="s">
        <v>207</v>
      </c>
      <c r="B114" s="26" t="s">
        <v>339</v>
      </c>
      <c r="C114" s="27" t="s">
        <v>31</v>
      </c>
      <c r="D114" s="28" t="s">
        <v>755</v>
      </c>
      <c r="E114" s="28" t="s">
        <v>61</v>
      </c>
      <c r="F114" s="28" t="s">
        <v>61</v>
      </c>
      <c r="G114" s="28">
        <v>1.0</v>
      </c>
      <c r="H114" s="28">
        <v>8.0</v>
      </c>
      <c r="I114" s="28">
        <v>1.0</v>
      </c>
      <c r="J114" s="28"/>
      <c r="K114" s="30">
        <f t="shared" si="1"/>
        <v>33.51032164</v>
      </c>
    </row>
    <row r="115" ht="15.75" customHeight="1">
      <c r="A115" s="31" t="s">
        <v>343</v>
      </c>
      <c r="B115" s="26" t="s">
        <v>341</v>
      </c>
      <c r="C115" s="27" t="s">
        <v>31</v>
      </c>
      <c r="D115" s="28" t="s">
        <v>755</v>
      </c>
      <c r="E115" s="28" t="s">
        <v>757</v>
      </c>
      <c r="F115" s="28" t="s">
        <v>757</v>
      </c>
      <c r="G115" s="28">
        <v>0.0</v>
      </c>
      <c r="H115" s="28"/>
      <c r="I115" s="28"/>
      <c r="J115" s="28"/>
      <c r="K115" s="30">
        <f t="shared" si="1"/>
        <v>0</v>
      </c>
    </row>
    <row r="116" ht="15.75" customHeight="1">
      <c r="A116" s="31" t="s">
        <v>150</v>
      </c>
      <c r="B116" s="26" t="s">
        <v>344</v>
      </c>
      <c r="C116" s="27" t="s">
        <v>31</v>
      </c>
      <c r="D116" s="28" t="s">
        <v>755</v>
      </c>
      <c r="E116" s="28" t="s">
        <v>93</v>
      </c>
      <c r="F116" s="28" t="s">
        <v>73</v>
      </c>
      <c r="G116" s="28">
        <v>1.0</v>
      </c>
      <c r="H116" s="28">
        <v>12.0</v>
      </c>
      <c r="I116" s="28">
        <v>4.0</v>
      </c>
      <c r="J116" s="28"/>
      <c r="K116" s="30">
        <f t="shared" si="1"/>
        <v>804.2477193</v>
      </c>
    </row>
    <row r="117" ht="15.75" customHeight="1">
      <c r="A117" s="31" t="s">
        <v>129</v>
      </c>
      <c r="B117" s="26" t="s">
        <v>345</v>
      </c>
      <c r="C117" s="27" t="s">
        <v>34</v>
      </c>
      <c r="D117" s="28" t="s">
        <v>755</v>
      </c>
      <c r="E117" s="28" t="s">
        <v>763</v>
      </c>
      <c r="F117" s="28" t="s">
        <v>763</v>
      </c>
      <c r="G117" s="28">
        <v>1.0</v>
      </c>
      <c r="H117" s="28"/>
      <c r="I117" s="28"/>
      <c r="J117" s="37" t="s">
        <v>762</v>
      </c>
      <c r="K117" s="30">
        <f t="shared" si="1"/>
        <v>0</v>
      </c>
    </row>
    <row r="118" ht="15.75" customHeight="1">
      <c r="A118" s="31" t="s">
        <v>349</v>
      </c>
      <c r="B118" s="26" t="s">
        <v>347</v>
      </c>
      <c r="C118" s="27" t="s">
        <v>20</v>
      </c>
      <c r="D118" s="28" t="s">
        <v>755</v>
      </c>
      <c r="E118" s="28" t="s">
        <v>757</v>
      </c>
      <c r="F118" s="28" t="s">
        <v>757</v>
      </c>
      <c r="G118" s="28">
        <v>0.0</v>
      </c>
      <c r="H118" s="28"/>
      <c r="I118" s="28"/>
      <c r="J118" s="28"/>
      <c r="K118" s="30">
        <f t="shared" si="1"/>
        <v>0</v>
      </c>
    </row>
    <row r="119" ht="15.75" customHeight="1">
      <c r="A119" s="31" t="s">
        <v>210</v>
      </c>
      <c r="B119" s="26" t="s">
        <v>350</v>
      </c>
      <c r="C119" s="27" t="s">
        <v>12</v>
      </c>
      <c r="D119" s="28" t="s">
        <v>755</v>
      </c>
      <c r="E119" s="28" t="s">
        <v>776</v>
      </c>
      <c r="F119" s="28" t="s">
        <v>776</v>
      </c>
      <c r="G119" s="28">
        <v>1.0</v>
      </c>
      <c r="H119" s="28">
        <v>5.0</v>
      </c>
      <c r="I119" s="28">
        <v>3.0</v>
      </c>
      <c r="J119" s="28"/>
      <c r="K119" s="30">
        <f t="shared" si="1"/>
        <v>188.4955592</v>
      </c>
    </row>
    <row r="120" ht="15.75" customHeight="1">
      <c r="A120" s="31" t="s">
        <v>210</v>
      </c>
      <c r="B120" s="26" t="s">
        <v>350</v>
      </c>
      <c r="C120" s="27" t="s">
        <v>12</v>
      </c>
      <c r="D120" s="28" t="s">
        <v>755</v>
      </c>
      <c r="E120" s="29" t="s">
        <v>91</v>
      </c>
      <c r="F120" s="28" t="s">
        <v>91</v>
      </c>
      <c r="G120" s="28">
        <v>1.0</v>
      </c>
      <c r="H120" s="28"/>
      <c r="I120" s="28"/>
      <c r="J120" s="28" t="s">
        <v>777</v>
      </c>
      <c r="K120" s="30">
        <f t="shared" si="1"/>
        <v>0</v>
      </c>
    </row>
    <row r="121" ht="15.75" customHeight="1">
      <c r="A121" s="31" t="s">
        <v>210</v>
      </c>
      <c r="B121" s="26" t="s">
        <v>350</v>
      </c>
      <c r="C121" s="27" t="s">
        <v>12</v>
      </c>
      <c r="D121" s="28" t="s">
        <v>755</v>
      </c>
      <c r="E121" s="28" t="s">
        <v>93</v>
      </c>
      <c r="F121" s="28" t="s">
        <v>93</v>
      </c>
      <c r="G121" s="28">
        <v>1.0</v>
      </c>
      <c r="H121" s="28"/>
      <c r="I121" s="28"/>
      <c r="J121" s="28" t="s">
        <v>762</v>
      </c>
      <c r="K121" s="30">
        <f t="shared" si="1"/>
        <v>0</v>
      </c>
    </row>
    <row r="122" ht="15.75" customHeight="1">
      <c r="A122" s="31" t="s">
        <v>210</v>
      </c>
      <c r="B122" s="26" t="s">
        <v>350</v>
      </c>
      <c r="C122" s="27" t="s">
        <v>12</v>
      </c>
      <c r="D122" s="28" t="s">
        <v>755</v>
      </c>
      <c r="E122" s="28" t="s">
        <v>63</v>
      </c>
      <c r="F122" s="28" t="s">
        <v>63</v>
      </c>
      <c r="G122" s="28">
        <v>1.0</v>
      </c>
      <c r="H122" s="28">
        <v>22.0</v>
      </c>
      <c r="I122" s="28">
        <v>5.0</v>
      </c>
      <c r="J122" s="28"/>
      <c r="K122" s="30">
        <f t="shared" si="1"/>
        <v>2303.834613</v>
      </c>
    </row>
    <row r="123" ht="15.75" customHeight="1">
      <c r="A123" s="31" t="s">
        <v>210</v>
      </c>
      <c r="B123" s="26" t="s">
        <v>350</v>
      </c>
      <c r="C123" s="27" t="s">
        <v>12</v>
      </c>
      <c r="D123" s="28" t="s">
        <v>755</v>
      </c>
      <c r="E123" s="28" t="s">
        <v>63</v>
      </c>
      <c r="F123" s="28" t="s">
        <v>63</v>
      </c>
      <c r="G123" s="28">
        <v>1.0</v>
      </c>
      <c r="H123" s="28">
        <v>12.0</v>
      </c>
      <c r="I123" s="28">
        <v>5.0</v>
      </c>
      <c r="J123" s="28"/>
      <c r="K123" s="30">
        <f t="shared" si="1"/>
        <v>1256.637061</v>
      </c>
    </row>
    <row r="124" ht="15.75" customHeight="1">
      <c r="A124" s="31" t="s">
        <v>210</v>
      </c>
      <c r="B124" s="26" t="s">
        <v>350</v>
      </c>
      <c r="C124" s="27" t="s">
        <v>12</v>
      </c>
      <c r="D124" s="28" t="s">
        <v>755</v>
      </c>
      <c r="E124" s="28" t="s">
        <v>63</v>
      </c>
      <c r="F124" s="28" t="s">
        <v>63</v>
      </c>
      <c r="G124" s="28">
        <v>1.0</v>
      </c>
      <c r="H124" s="28">
        <v>10.0</v>
      </c>
      <c r="I124" s="28">
        <v>3.0</v>
      </c>
      <c r="J124" s="28"/>
      <c r="K124" s="30">
        <f t="shared" si="1"/>
        <v>376.9911184</v>
      </c>
    </row>
    <row r="125" ht="15.75" customHeight="1">
      <c r="A125" s="31" t="s">
        <v>210</v>
      </c>
      <c r="B125" s="26" t="s">
        <v>350</v>
      </c>
      <c r="C125" s="27" t="s">
        <v>12</v>
      </c>
      <c r="D125" s="28" t="s">
        <v>755</v>
      </c>
      <c r="E125" s="28" t="s">
        <v>63</v>
      </c>
      <c r="F125" s="28" t="s">
        <v>63</v>
      </c>
      <c r="G125" s="28">
        <v>1.0</v>
      </c>
      <c r="H125" s="28">
        <v>12.0</v>
      </c>
      <c r="I125" s="28">
        <v>2.0</v>
      </c>
      <c r="J125" s="28" t="s">
        <v>111</v>
      </c>
      <c r="K125" s="30">
        <f t="shared" si="1"/>
        <v>201.0619298</v>
      </c>
    </row>
    <row r="126" ht="15.75" customHeight="1">
      <c r="A126" s="31" t="s">
        <v>210</v>
      </c>
      <c r="B126" s="26" t="s">
        <v>350</v>
      </c>
      <c r="C126" s="27" t="s">
        <v>12</v>
      </c>
      <c r="D126" s="28" t="s">
        <v>755</v>
      </c>
      <c r="E126" s="28" t="s">
        <v>63</v>
      </c>
      <c r="F126" s="28" t="s">
        <v>63</v>
      </c>
      <c r="G126" s="28">
        <v>1.0</v>
      </c>
      <c r="H126" s="28">
        <v>10.0</v>
      </c>
      <c r="I126" s="28">
        <v>5.0</v>
      </c>
      <c r="J126" s="28"/>
      <c r="K126" s="30">
        <f t="shared" si="1"/>
        <v>1047.197551</v>
      </c>
    </row>
    <row r="127" ht="15.75" customHeight="1">
      <c r="A127" s="31" t="s">
        <v>210</v>
      </c>
      <c r="B127" s="26" t="s">
        <v>350</v>
      </c>
      <c r="C127" s="27" t="s">
        <v>12</v>
      </c>
      <c r="D127" s="28" t="s">
        <v>755</v>
      </c>
      <c r="E127" s="28" t="s">
        <v>63</v>
      </c>
      <c r="F127" s="28" t="s">
        <v>63</v>
      </c>
      <c r="G127" s="28">
        <v>1.0</v>
      </c>
      <c r="H127" s="28">
        <v>11.0</v>
      </c>
      <c r="I127" s="28">
        <v>4.0</v>
      </c>
      <c r="J127" s="28"/>
      <c r="K127" s="30">
        <f t="shared" si="1"/>
        <v>737.227076</v>
      </c>
    </row>
    <row r="128" ht="15.75" customHeight="1">
      <c r="A128" s="31" t="s">
        <v>210</v>
      </c>
      <c r="B128" s="26" t="s">
        <v>350</v>
      </c>
      <c r="C128" s="27" t="s">
        <v>12</v>
      </c>
      <c r="D128" s="28" t="s">
        <v>755</v>
      </c>
      <c r="E128" s="28" t="s">
        <v>63</v>
      </c>
      <c r="F128" s="28" t="s">
        <v>63</v>
      </c>
      <c r="G128" s="28">
        <v>1.0</v>
      </c>
      <c r="H128" s="28">
        <v>7.0</v>
      </c>
      <c r="I128" s="28">
        <v>4.0</v>
      </c>
      <c r="J128" s="28"/>
      <c r="K128" s="30">
        <f t="shared" si="1"/>
        <v>469.1445029</v>
      </c>
    </row>
    <row r="129" ht="15.75" customHeight="1">
      <c r="A129" s="31" t="s">
        <v>134</v>
      </c>
      <c r="B129" s="26" t="s">
        <v>353</v>
      </c>
      <c r="C129" s="27" t="s">
        <v>16</v>
      </c>
      <c r="D129" s="28" t="s">
        <v>755</v>
      </c>
      <c r="E129" s="28" t="s">
        <v>63</v>
      </c>
      <c r="F129" s="28" t="s">
        <v>63</v>
      </c>
      <c r="G129" s="28">
        <v>1.0</v>
      </c>
      <c r="H129" s="28">
        <v>4.0</v>
      </c>
      <c r="I129" s="28">
        <v>2.0</v>
      </c>
      <c r="J129" s="28"/>
      <c r="K129" s="30">
        <f t="shared" si="1"/>
        <v>67.02064328</v>
      </c>
    </row>
    <row r="130" ht="15.75" customHeight="1">
      <c r="A130" s="31" t="s">
        <v>134</v>
      </c>
      <c r="B130" s="26" t="s">
        <v>353</v>
      </c>
      <c r="C130" s="27" t="s">
        <v>16</v>
      </c>
      <c r="D130" s="28" t="s">
        <v>755</v>
      </c>
      <c r="E130" s="28" t="s">
        <v>57</v>
      </c>
      <c r="F130" s="28" t="s">
        <v>57</v>
      </c>
      <c r="G130" s="28">
        <v>1.0</v>
      </c>
      <c r="H130" s="28">
        <v>2.0</v>
      </c>
      <c r="I130" s="28">
        <v>1.0</v>
      </c>
      <c r="J130" s="28"/>
      <c r="K130" s="30">
        <f t="shared" si="1"/>
        <v>8.37758041</v>
      </c>
    </row>
    <row r="131" ht="15.75" customHeight="1">
      <c r="A131" s="31" t="s">
        <v>134</v>
      </c>
      <c r="B131" s="26" t="s">
        <v>353</v>
      </c>
      <c r="C131" s="27" t="s">
        <v>16</v>
      </c>
      <c r="D131" s="28" t="s">
        <v>755</v>
      </c>
      <c r="E131" s="28" t="s">
        <v>759</v>
      </c>
      <c r="F131" s="28" t="s">
        <v>75</v>
      </c>
      <c r="G131" s="28">
        <v>1.0</v>
      </c>
      <c r="H131" s="28">
        <v>4.0</v>
      </c>
      <c r="I131" s="28">
        <v>1.0</v>
      </c>
      <c r="J131" s="28"/>
      <c r="K131" s="30">
        <f t="shared" si="1"/>
        <v>16.75516082</v>
      </c>
    </row>
    <row r="132" ht="15.75" customHeight="1">
      <c r="A132" s="31" t="s">
        <v>134</v>
      </c>
      <c r="B132" s="26" t="s">
        <v>353</v>
      </c>
      <c r="C132" s="27" t="s">
        <v>16</v>
      </c>
      <c r="D132" s="28" t="s">
        <v>755</v>
      </c>
      <c r="E132" s="28" t="s">
        <v>759</v>
      </c>
      <c r="F132" s="28" t="s">
        <v>75</v>
      </c>
      <c r="G132" s="28">
        <v>1.0</v>
      </c>
      <c r="H132" s="28">
        <v>5.0</v>
      </c>
      <c r="I132" s="28">
        <v>1.0</v>
      </c>
      <c r="J132" s="28"/>
      <c r="K132" s="30">
        <f t="shared" si="1"/>
        <v>20.94395102</v>
      </c>
    </row>
    <row r="133" ht="15.75" customHeight="1">
      <c r="A133" s="31" t="s">
        <v>134</v>
      </c>
      <c r="B133" s="26" t="s">
        <v>353</v>
      </c>
      <c r="C133" s="27" t="s">
        <v>16</v>
      </c>
      <c r="D133" s="28" t="s">
        <v>755</v>
      </c>
      <c r="E133" s="28" t="s">
        <v>63</v>
      </c>
      <c r="F133" s="28" t="s">
        <v>97</v>
      </c>
      <c r="G133" s="28">
        <v>2.0</v>
      </c>
      <c r="H133" s="28">
        <v>6.0</v>
      </c>
      <c r="I133" s="28">
        <v>2.0</v>
      </c>
      <c r="J133" s="28"/>
      <c r="K133" s="30">
        <f t="shared" si="1"/>
        <v>201.0619298</v>
      </c>
    </row>
    <row r="134" ht="15.75" customHeight="1">
      <c r="A134" s="25" t="s">
        <v>119</v>
      </c>
      <c r="B134" s="26" t="s">
        <v>356</v>
      </c>
      <c r="C134" s="27" t="s">
        <v>10</v>
      </c>
      <c r="D134" s="28" t="s">
        <v>754</v>
      </c>
      <c r="E134" s="28" t="s">
        <v>757</v>
      </c>
      <c r="F134" s="28" t="s">
        <v>757</v>
      </c>
      <c r="G134" s="28">
        <v>0.0</v>
      </c>
      <c r="H134" s="28"/>
      <c r="I134" s="28"/>
      <c r="J134" s="28"/>
      <c r="K134" s="30">
        <f t="shared" si="1"/>
        <v>0</v>
      </c>
    </row>
    <row r="135" ht="15.75" customHeight="1">
      <c r="A135" s="31" t="s">
        <v>360</v>
      </c>
      <c r="B135" s="26" t="s">
        <v>359</v>
      </c>
      <c r="C135" s="27" t="s">
        <v>10</v>
      </c>
      <c r="D135" s="28" t="s">
        <v>754</v>
      </c>
      <c r="E135" s="28" t="s">
        <v>59</v>
      </c>
      <c r="F135" s="28" t="s">
        <v>59</v>
      </c>
      <c r="G135" s="28">
        <v>1.0</v>
      </c>
      <c r="H135" s="28">
        <v>13.0</v>
      </c>
      <c r="I135" s="28">
        <v>4.0</v>
      </c>
      <c r="J135" s="28"/>
      <c r="K135" s="30">
        <f t="shared" si="1"/>
        <v>871.2683626</v>
      </c>
    </row>
    <row r="136" ht="15.75" customHeight="1">
      <c r="A136" s="31" t="s">
        <v>129</v>
      </c>
      <c r="B136" s="26" t="s">
        <v>361</v>
      </c>
      <c r="C136" s="27" t="s">
        <v>20</v>
      </c>
      <c r="D136" s="28" t="s">
        <v>755</v>
      </c>
      <c r="E136" s="28" t="s">
        <v>57</v>
      </c>
      <c r="F136" s="28" t="s">
        <v>57</v>
      </c>
      <c r="G136" s="28">
        <v>1.0</v>
      </c>
      <c r="H136" s="28">
        <v>7.0</v>
      </c>
      <c r="I136" s="28">
        <v>3.0</v>
      </c>
      <c r="J136" s="28"/>
      <c r="K136" s="30">
        <f t="shared" si="1"/>
        <v>263.8937829</v>
      </c>
    </row>
    <row r="137" ht="15.75" customHeight="1">
      <c r="A137" s="25" t="s">
        <v>847</v>
      </c>
      <c r="B137" s="26" t="s">
        <v>363</v>
      </c>
      <c r="C137" s="27" t="s">
        <v>16</v>
      </c>
      <c r="D137" s="28" t="s">
        <v>755</v>
      </c>
      <c r="E137" s="28" t="s">
        <v>757</v>
      </c>
      <c r="F137" s="28" t="s">
        <v>757</v>
      </c>
      <c r="G137" s="28">
        <v>0.0</v>
      </c>
      <c r="H137" s="28"/>
      <c r="I137" s="28"/>
      <c r="J137" s="28"/>
      <c r="K137" s="30">
        <f t="shared" si="1"/>
        <v>0</v>
      </c>
    </row>
    <row r="138" ht="15.75" customHeight="1">
      <c r="A138" s="31" t="s">
        <v>129</v>
      </c>
      <c r="B138" s="26" t="s">
        <v>366</v>
      </c>
      <c r="C138" s="27" t="s">
        <v>16</v>
      </c>
      <c r="D138" s="28" t="s">
        <v>755</v>
      </c>
      <c r="E138" s="28" t="s">
        <v>756</v>
      </c>
      <c r="F138" s="28" t="s">
        <v>756</v>
      </c>
      <c r="G138" s="28">
        <v>1.0</v>
      </c>
      <c r="H138" s="28"/>
      <c r="I138" s="28"/>
      <c r="J138" s="28"/>
      <c r="K138" s="30">
        <f t="shared" si="1"/>
        <v>0</v>
      </c>
    </row>
    <row r="139" ht="15.75" customHeight="1">
      <c r="A139" s="25" t="s">
        <v>145</v>
      </c>
      <c r="B139" s="26" t="s">
        <v>368</v>
      </c>
      <c r="C139" s="27" t="s">
        <v>37</v>
      </c>
      <c r="D139" s="28" t="s">
        <v>755</v>
      </c>
      <c r="E139" s="28" t="s">
        <v>61</v>
      </c>
      <c r="F139" s="28" t="s">
        <v>61</v>
      </c>
      <c r="G139" s="28">
        <v>1.0</v>
      </c>
      <c r="H139" s="28"/>
      <c r="I139" s="28"/>
      <c r="J139" s="28" t="s">
        <v>762</v>
      </c>
      <c r="K139" s="30">
        <f t="shared" si="1"/>
        <v>0</v>
      </c>
    </row>
    <row r="140" ht="15.75" customHeight="1">
      <c r="A140" s="31" t="s">
        <v>129</v>
      </c>
      <c r="B140" s="26" t="s">
        <v>371</v>
      </c>
      <c r="C140" s="27" t="s">
        <v>37</v>
      </c>
      <c r="D140" s="28" t="s">
        <v>755</v>
      </c>
      <c r="E140" s="28" t="s">
        <v>57</v>
      </c>
      <c r="F140" s="28" t="s">
        <v>57</v>
      </c>
      <c r="G140" s="28">
        <v>2.0</v>
      </c>
      <c r="H140" s="28">
        <v>2.0</v>
      </c>
      <c r="I140" s="28">
        <v>1.0</v>
      </c>
      <c r="J140" s="28"/>
      <c r="K140" s="30">
        <f t="shared" si="1"/>
        <v>16.75516082</v>
      </c>
    </row>
    <row r="141" ht="15.75" customHeight="1">
      <c r="A141" s="31" t="s">
        <v>170</v>
      </c>
      <c r="B141" s="26" t="s">
        <v>373</v>
      </c>
      <c r="C141" s="27" t="s">
        <v>37</v>
      </c>
      <c r="D141" s="28" t="s">
        <v>755</v>
      </c>
      <c r="E141" s="28" t="s">
        <v>757</v>
      </c>
      <c r="F141" s="28" t="s">
        <v>757</v>
      </c>
      <c r="G141" s="28">
        <v>0.0</v>
      </c>
      <c r="H141" s="28"/>
      <c r="I141" s="28"/>
      <c r="J141" s="28"/>
      <c r="K141" s="30">
        <f t="shared" si="1"/>
        <v>0</v>
      </c>
    </row>
    <row r="142" ht="15.75" customHeight="1">
      <c r="A142" s="25" t="s">
        <v>145</v>
      </c>
      <c r="B142" s="26" t="s">
        <v>375</v>
      </c>
      <c r="C142" s="27" t="s">
        <v>37</v>
      </c>
      <c r="D142" s="28" t="s">
        <v>755</v>
      </c>
      <c r="E142" s="28" t="s">
        <v>57</v>
      </c>
      <c r="F142" s="28" t="s">
        <v>57</v>
      </c>
      <c r="G142" s="28">
        <v>2.0</v>
      </c>
      <c r="H142" s="28">
        <v>2.0</v>
      </c>
      <c r="I142" s="28">
        <v>1.0</v>
      </c>
      <c r="J142" s="28"/>
      <c r="K142" s="30">
        <f t="shared" si="1"/>
        <v>16.75516082</v>
      </c>
    </row>
    <row r="143" ht="15.75" customHeight="1">
      <c r="A143" s="31" t="s">
        <v>170</v>
      </c>
      <c r="B143" s="26" t="s">
        <v>381</v>
      </c>
      <c r="C143" s="27" t="s">
        <v>8</v>
      </c>
      <c r="D143" s="28" t="s">
        <v>755</v>
      </c>
      <c r="E143" s="28" t="s">
        <v>781</v>
      </c>
      <c r="F143" s="28" t="s">
        <v>89</v>
      </c>
      <c r="G143" s="28">
        <v>1.0</v>
      </c>
      <c r="H143" s="28">
        <v>8.0</v>
      </c>
      <c r="I143" s="28">
        <v>3.0</v>
      </c>
      <c r="J143" s="28"/>
      <c r="K143" s="30">
        <f t="shared" si="1"/>
        <v>301.5928947</v>
      </c>
    </row>
    <row r="144" ht="15.75" customHeight="1">
      <c r="A144" s="31" t="s">
        <v>170</v>
      </c>
      <c r="B144" s="26" t="s">
        <v>381</v>
      </c>
      <c r="C144" s="27" t="s">
        <v>8</v>
      </c>
      <c r="D144" s="28" t="s">
        <v>755</v>
      </c>
      <c r="E144" s="28" t="s">
        <v>771</v>
      </c>
      <c r="F144" s="28" t="s">
        <v>771</v>
      </c>
      <c r="G144" s="28">
        <v>2.0</v>
      </c>
      <c r="H144" s="28"/>
      <c r="I144" s="28"/>
      <c r="J144" s="37" t="s">
        <v>762</v>
      </c>
      <c r="K144" s="30">
        <f t="shared" si="1"/>
        <v>0</v>
      </c>
    </row>
    <row r="145" ht="15.75" customHeight="1">
      <c r="A145" s="31" t="s">
        <v>388</v>
      </c>
      <c r="B145" s="26" t="s">
        <v>386</v>
      </c>
      <c r="C145" s="27" t="s">
        <v>37</v>
      </c>
      <c r="D145" s="37" t="s">
        <v>755</v>
      </c>
      <c r="E145" s="28" t="s">
        <v>99</v>
      </c>
      <c r="F145" s="28" t="s">
        <v>99</v>
      </c>
      <c r="G145" s="28">
        <v>1.0</v>
      </c>
      <c r="H145" s="28">
        <v>1.0</v>
      </c>
      <c r="I145" s="28">
        <v>0.5</v>
      </c>
      <c r="J145" s="28"/>
      <c r="K145" s="30">
        <f t="shared" si="1"/>
        <v>1.047197551</v>
      </c>
    </row>
    <row r="146" ht="15.75" customHeight="1">
      <c r="A146" s="31" t="s">
        <v>126</v>
      </c>
      <c r="B146" s="26" t="s">
        <v>389</v>
      </c>
      <c r="C146" s="27" t="s">
        <v>37</v>
      </c>
      <c r="D146" s="28" t="s">
        <v>755</v>
      </c>
      <c r="E146" s="28" t="s">
        <v>63</v>
      </c>
      <c r="F146" s="28" t="s">
        <v>65</v>
      </c>
      <c r="G146" s="28">
        <v>1.0</v>
      </c>
      <c r="H146" s="28"/>
      <c r="I146" s="28"/>
      <c r="J146" s="37" t="s">
        <v>762</v>
      </c>
      <c r="K146" s="30">
        <f t="shared" si="1"/>
        <v>0</v>
      </c>
    </row>
    <row r="147" ht="15.75" customHeight="1">
      <c r="A147" s="31" t="s">
        <v>126</v>
      </c>
      <c r="B147" s="26" t="s">
        <v>392</v>
      </c>
      <c r="C147" s="27" t="s">
        <v>37</v>
      </c>
      <c r="D147" s="28" t="s">
        <v>755</v>
      </c>
      <c r="E147" s="28" t="s">
        <v>59</v>
      </c>
      <c r="F147" s="28" t="s">
        <v>59</v>
      </c>
      <c r="G147" s="28">
        <v>1.0</v>
      </c>
      <c r="H147" s="28">
        <v>6.0</v>
      </c>
      <c r="I147" s="28">
        <v>3.0</v>
      </c>
      <c r="J147" s="28"/>
      <c r="K147" s="30">
        <f t="shared" si="1"/>
        <v>226.1946711</v>
      </c>
    </row>
    <row r="148" ht="15.75" customHeight="1">
      <c r="A148" s="31" t="s">
        <v>126</v>
      </c>
      <c r="B148" s="26" t="s">
        <v>392</v>
      </c>
      <c r="C148" s="27" t="s">
        <v>37</v>
      </c>
      <c r="D148" s="28" t="s">
        <v>755</v>
      </c>
      <c r="E148" s="28" t="s">
        <v>57</v>
      </c>
      <c r="F148" s="28" t="s">
        <v>57</v>
      </c>
      <c r="G148" s="28">
        <v>1.0</v>
      </c>
      <c r="H148" s="28">
        <v>3.0</v>
      </c>
      <c r="I148" s="28">
        <v>2.0</v>
      </c>
      <c r="J148" s="28"/>
      <c r="K148" s="30">
        <f t="shared" si="1"/>
        <v>50.26548246</v>
      </c>
    </row>
    <row r="149" ht="15.75" customHeight="1">
      <c r="A149" s="31" t="s">
        <v>126</v>
      </c>
      <c r="B149" s="26" t="s">
        <v>392</v>
      </c>
      <c r="C149" s="27" t="s">
        <v>37</v>
      </c>
      <c r="D149" s="28" t="s">
        <v>755</v>
      </c>
      <c r="E149" s="28" t="s">
        <v>63</v>
      </c>
      <c r="F149" s="28" t="s">
        <v>63</v>
      </c>
      <c r="G149" s="28">
        <v>1.0</v>
      </c>
      <c r="H149" s="28">
        <v>3.0</v>
      </c>
      <c r="I149" s="28">
        <v>1.0</v>
      </c>
      <c r="J149" s="28"/>
      <c r="K149" s="30">
        <f t="shared" si="1"/>
        <v>12.56637061</v>
      </c>
    </row>
    <row r="150" ht="15.75" customHeight="1">
      <c r="A150" s="25" t="s">
        <v>145</v>
      </c>
      <c r="B150" s="26" t="s">
        <v>395</v>
      </c>
      <c r="C150" s="27" t="s">
        <v>37</v>
      </c>
      <c r="D150" s="28" t="s">
        <v>755</v>
      </c>
      <c r="E150" s="28" t="s">
        <v>57</v>
      </c>
      <c r="F150" s="28" t="s">
        <v>57</v>
      </c>
      <c r="G150" s="28">
        <v>1.0</v>
      </c>
      <c r="H150" s="28">
        <v>5.0</v>
      </c>
      <c r="I150" s="28">
        <v>2.0</v>
      </c>
      <c r="J150" s="28"/>
      <c r="K150" s="30">
        <f t="shared" si="1"/>
        <v>83.7758041</v>
      </c>
    </row>
    <row r="151" ht="15.75" customHeight="1">
      <c r="A151" s="25" t="s">
        <v>145</v>
      </c>
      <c r="B151" s="26" t="s">
        <v>395</v>
      </c>
      <c r="C151" s="27" t="s">
        <v>37</v>
      </c>
      <c r="D151" s="28" t="s">
        <v>755</v>
      </c>
      <c r="E151" s="41" t="s">
        <v>91</v>
      </c>
      <c r="F151" s="28" t="s">
        <v>91</v>
      </c>
      <c r="G151" s="28">
        <v>1.0</v>
      </c>
      <c r="H151" s="28"/>
      <c r="I151" s="28"/>
      <c r="J151" s="37" t="s">
        <v>762</v>
      </c>
      <c r="K151" s="30">
        <f t="shared" si="1"/>
        <v>0</v>
      </c>
    </row>
    <row r="152" ht="15.75" customHeight="1">
      <c r="A152" s="25" t="s">
        <v>145</v>
      </c>
      <c r="B152" s="26" t="s">
        <v>395</v>
      </c>
      <c r="C152" s="27" t="s">
        <v>37</v>
      </c>
      <c r="D152" s="28" t="s">
        <v>755</v>
      </c>
      <c r="E152" s="28" t="s">
        <v>63</v>
      </c>
      <c r="F152" s="28" t="s">
        <v>63</v>
      </c>
      <c r="G152" s="28">
        <v>1.0</v>
      </c>
      <c r="H152" s="28"/>
      <c r="I152" s="28"/>
      <c r="J152" s="28" t="s">
        <v>762</v>
      </c>
      <c r="K152" s="30">
        <f t="shared" si="1"/>
        <v>0</v>
      </c>
    </row>
    <row r="153" ht="15.75" customHeight="1">
      <c r="A153" s="25" t="s">
        <v>145</v>
      </c>
      <c r="B153" s="26" t="s">
        <v>395</v>
      </c>
      <c r="C153" s="27" t="s">
        <v>37</v>
      </c>
      <c r="D153" s="28" t="s">
        <v>755</v>
      </c>
      <c r="E153" s="28" t="s">
        <v>57</v>
      </c>
      <c r="F153" s="28" t="s">
        <v>57</v>
      </c>
      <c r="G153" s="28">
        <v>1.0</v>
      </c>
      <c r="H153" s="28"/>
      <c r="I153" s="28"/>
      <c r="J153" s="28" t="s">
        <v>762</v>
      </c>
      <c r="K153" s="30">
        <f t="shared" si="1"/>
        <v>0</v>
      </c>
    </row>
    <row r="154" ht="15.75" customHeight="1">
      <c r="A154" s="25" t="s">
        <v>210</v>
      </c>
      <c r="B154" s="42" t="s">
        <v>397</v>
      </c>
      <c r="C154" s="27" t="s">
        <v>36</v>
      </c>
      <c r="D154" s="28" t="s">
        <v>754</v>
      </c>
      <c r="E154" s="5" t="s">
        <v>63</v>
      </c>
      <c r="F154" s="5" t="s">
        <v>63</v>
      </c>
      <c r="G154" s="5">
        <v>4.0</v>
      </c>
      <c r="H154" s="5">
        <v>13.0</v>
      </c>
      <c r="I154" s="5">
        <v>6.0</v>
      </c>
      <c r="J154" s="43"/>
      <c r="K154" s="30">
        <f t="shared" si="1"/>
        <v>7841.415263</v>
      </c>
    </row>
    <row r="155" ht="15.75" customHeight="1">
      <c r="A155" s="25" t="s">
        <v>210</v>
      </c>
      <c r="B155" s="42" t="s">
        <v>397</v>
      </c>
      <c r="C155" s="27" t="s">
        <v>36</v>
      </c>
      <c r="D155" s="28" t="s">
        <v>754</v>
      </c>
      <c r="E155" s="5" t="s">
        <v>63</v>
      </c>
      <c r="F155" s="5" t="s">
        <v>63</v>
      </c>
      <c r="G155" s="5">
        <v>1.0</v>
      </c>
      <c r="H155" s="5">
        <v>22.0</v>
      </c>
      <c r="I155" s="5">
        <v>12.0</v>
      </c>
      <c r="J155" s="43"/>
      <c r="K155" s="30">
        <f t="shared" si="1"/>
        <v>13270.08737</v>
      </c>
    </row>
    <row r="156" ht="15.75" customHeight="1">
      <c r="A156" s="25" t="s">
        <v>848</v>
      </c>
      <c r="B156" s="26" t="s">
        <v>399</v>
      </c>
      <c r="C156" s="27" t="s">
        <v>40</v>
      </c>
      <c r="D156" s="28" t="s">
        <v>755</v>
      </c>
      <c r="E156" s="28" t="s">
        <v>57</v>
      </c>
      <c r="F156" s="28" t="s">
        <v>57</v>
      </c>
      <c r="G156" s="28">
        <v>1.0</v>
      </c>
      <c r="H156" s="28">
        <v>5.0</v>
      </c>
      <c r="I156" s="28">
        <v>2.0</v>
      </c>
      <c r="J156" s="28"/>
      <c r="K156" s="30">
        <f t="shared" si="1"/>
        <v>83.7758041</v>
      </c>
    </row>
    <row r="157" ht="15.75" customHeight="1">
      <c r="A157" s="31" t="s">
        <v>134</v>
      </c>
      <c r="B157" s="26" t="s">
        <v>401</v>
      </c>
      <c r="C157" s="27" t="s">
        <v>40</v>
      </c>
      <c r="D157" s="28" t="s">
        <v>755</v>
      </c>
      <c r="E157" s="28" t="s">
        <v>759</v>
      </c>
      <c r="F157" s="28" t="s">
        <v>75</v>
      </c>
      <c r="G157" s="28">
        <v>1.0</v>
      </c>
      <c r="H157" s="28">
        <v>3.0</v>
      </c>
      <c r="I157" s="28">
        <v>0.5</v>
      </c>
      <c r="J157" s="28"/>
      <c r="K157" s="30">
        <f t="shared" si="1"/>
        <v>3.141592654</v>
      </c>
    </row>
    <row r="158" ht="15.75" customHeight="1">
      <c r="A158" s="31" t="s">
        <v>134</v>
      </c>
      <c r="B158" s="26" t="s">
        <v>401</v>
      </c>
      <c r="C158" s="27" t="s">
        <v>40</v>
      </c>
      <c r="D158" s="28" t="s">
        <v>755</v>
      </c>
      <c r="E158" s="28" t="s">
        <v>759</v>
      </c>
      <c r="F158" s="28" t="s">
        <v>75</v>
      </c>
      <c r="G158" s="28">
        <v>3.0</v>
      </c>
      <c r="H158" s="28">
        <v>2.0</v>
      </c>
      <c r="I158" s="28">
        <v>0.5</v>
      </c>
      <c r="J158" s="28"/>
      <c r="K158" s="30">
        <f t="shared" si="1"/>
        <v>6.283185307</v>
      </c>
    </row>
    <row r="159" ht="15.75" customHeight="1">
      <c r="A159" s="25" t="s">
        <v>119</v>
      </c>
      <c r="B159" s="26" t="s">
        <v>403</v>
      </c>
      <c r="C159" s="27" t="s">
        <v>33</v>
      </c>
      <c r="D159" s="28" t="s">
        <v>754</v>
      </c>
      <c r="E159" s="28" t="s">
        <v>57</v>
      </c>
      <c r="F159" s="28" t="s">
        <v>57</v>
      </c>
      <c r="G159" s="28">
        <v>1.0</v>
      </c>
      <c r="H159" s="28">
        <v>4.0</v>
      </c>
      <c r="I159" s="28">
        <v>2.0</v>
      </c>
      <c r="J159" s="28"/>
      <c r="K159" s="30">
        <f t="shared" si="1"/>
        <v>67.02064328</v>
      </c>
    </row>
    <row r="160" ht="15.75" customHeight="1">
      <c r="A160" s="25" t="s">
        <v>119</v>
      </c>
      <c r="B160" s="26" t="s">
        <v>403</v>
      </c>
      <c r="C160" s="27" t="s">
        <v>33</v>
      </c>
      <c r="D160" s="28" t="s">
        <v>754</v>
      </c>
      <c r="E160" s="28" t="s">
        <v>57</v>
      </c>
      <c r="F160" s="28" t="s">
        <v>57</v>
      </c>
      <c r="G160" s="28">
        <v>4.0</v>
      </c>
      <c r="H160" s="28">
        <v>1.0</v>
      </c>
      <c r="I160" s="28">
        <v>1.0</v>
      </c>
      <c r="J160" s="28"/>
      <c r="K160" s="30">
        <f t="shared" si="1"/>
        <v>16.75516082</v>
      </c>
    </row>
    <row r="161" ht="15.75" customHeight="1">
      <c r="A161" s="25" t="s">
        <v>119</v>
      </c>
      <c r="B161" s="26" t="s">
        <v>403</v>
      </c>
      <c r="C161" s="27" t="s">
        <v>33</v>
      </c>
      <c r="D161" s="28" t="s">
        <v>754</v>
      </c>
      <c r="E161" s="28" t="s">
        <v>783</v>
      </c>
      <c r="F161" s="28" t="s">
        <v>783</v>
      </c>
      <c r="G161" s="28">
        <v>1.0</v>
      </c>
      <c r="H161" s="28"/>
      <c r="I161" s="28"/>
      <c r="J161" s="28" t="s">
        <v>762</v>
      </c>
      <c r="K161" s="30">
        <f t="shared" si="1"/>
        <v>0</v>
      </c>
    </row>
    <row r="162" ht="15.75" customHeight="1">
      <c r="A162" s="31" t="s">
        <v>137</v>
      </c>
      <c r="B162" s="26" t="s">
        <v>406</v>
      </c>
      <c r="C162" s="27" t="s">
        <v>30</v>
      </c>
      <c r="D162" s="28" t="s">
        <v>754</v>
      </c>
      <c r="E162" s="28" t="s">
        <v>757</v>
      </c>
      <c r="F162" s="28" t="s">
        <v>757</v>
      </c>
      <c r="G162" s="28">
        <v>0.0</v>
      </c>
      <c r="H162" s="28"/>
      <c r="I162" s="28"/>
      <c r="J162" s="28"/>
      <c r="K162" s="30">
        <f t="shared" si="1"/>
        <v>0</v>
      </c>
    </row>
    <row r="163" ht="15.75" customHeight="1">
      <c r="A163" s="25" t="s">
        <v>145</v>
      </c>
      <c r="B163" s="26" t="s">
        <v>408</v>
      </c>
      <c r="C163" s="27" t="s">
        <v>30</v>
      </c>
      <c r="D163" s="28" t="s">
        <v>754</v>
      </c>
      <c r="E163" s="28" t="s">
        <v>757</v>
      </c>
      <c r="F163" s="28" t="s">
        <v>757</v>
      </c>
      <c r="G163" s="28">
        <v>0.0</v>
      </c>
      <c r="H163" s="28"/>
      <c r="I163" s="28"/>
      <c r="J163" s="28"/>
      <c r="K163" s="30">
        <f t="shared" si="1"/>
        <v>0</v>
      </c>
    </row>
    <row r="164" ht="15.75" customHeight="1">
      <c r="A164" s="31" t="s">
        <v>137</v>
      </c>
      <c r="B164" s="26" t="s">
        <v>411</v>
      </c>
      <c r="C164" s="27" t="s">
        <v>30</v>
      </c>
      <c r="D164" s="28" t="s">
        <v>754</v>
      </c>
      <c r="E164" s="28" t="s">
        <v>759</v>
      </c>
      <c r="F164" s="28" t="s">
        <v>75</v>
      </c>
      <c r="G164" s="28">
        <v>1.0</v>
      </c>
      <c r="H164" s="28">
        <v>5.0</v>
      </c>
      <c r="I164" s="28">
        <v>1.0</v>
      </c>
      <c r="J164" s="28"/>
      <c r="K164" s="30">
        <f t="shared" si="1"/>
        <v>20.94395102</v>
      </c>
    </row>
    <row r="165" ht="15.75" customHeight="1">
      <c r="A165" s="31" t="s">
        <v>137</v>
      </c>
      <c r="B165" s="26" t="s">
        <v>413</v>
      </c>
      <c r="C165" s="27" t="s">
        <v>33</v>
      </c>
      <c r="D165" s="28" t="s">
        <v>754</v>
      </c>
      <c r="E165" s="28" t="s">
        <v>757</v>
      </c>
      <c r="F165" s="28" t="s">
        <v>757</v>
      </c>
      <c r="G165" s="28">
        <v>0.0</v>
      </c>
      <c r="H165" s="28"/>
      <c r="I165" s="28"/>
      <c r="J165" s="28" t="s">
        <v>784</v>
      </c>
      <c r="K165" s="30">
        <f t="shared" si="1"/>
        <v>0</v>
      </c>
    </row>
    <row r="166" ht="15.75" customHeight="1">
      <c r="A166" s="25" t="s">
        <v>119</v>
      </c>
      <c r="B166" s="26" t="s">
        <v>415</v>
      </c>
      <c r="C166" s="27" t="s">
        <v>33</v>
      </c>
      <c r="D166" s="28" t="s">
        <v>754</v>
      </c>
      <c r="E166" s="28" t="s">
        <v>757</v>
      </c>
      <c r="F166" s="28" t="s">
        <v>757</v>
      </c>
      <c r="G166" s="28">
        <v>0.0</v>
      </c>
      <c r="H166" s="28"/>
      <c r="I166" s="28"/>
      <c r="J166" s="28"/>
      <c r="K166" s="30">
        <f t="shared" si="1"/>
        <v>0</v>
      </c>
    </row>
    <row r="167" ht="15.75" customHeight="1">
      <c r="A167" s="25" t="s">
        <v>119</v>
      </c>
      <c r="B167" s="26" t="s">
        <v>418</v>
      </c>
      <c r="C167" s="27" t="s">
        <v>33</v>
      </c>
      <c r="D167" s="28" t="s">
        <v>754</v>
      </c>
      <c r="E167" s="28" t="s">
        <v>756</v>
      </c>
      <c r="F167" s="28" t="s">
        <v>756</v>
      </c>
      <c r="G167" s="28">
        <v>1.0</v>
      </c>
      <c r="H167" s="28"/>
      <c r="I167" s="28"/>
      <c r="J167" s="37" t="s">
        <v>762</v>
      </c>
      <c r="K167" s="30">
        <f t="shared" si="1"/>
        <v>0</v>
      </c>
    </row>
    <row r="168" ht="15.75" customHeight="1">
      <c r="A168" s="31" t="s">
        <v>137</v>
      </c>
      <c r="B168" s="26" t="s">
        <v>420</v>
      </c>
      <c r="C168" s="27" t="s">
        <v>33</v>
      </c>
      <c r="D168" s="28" t="s">
        <v>754</v>
      </c>
      <c r="E168" s="28" t="s">
        <v>759</v>
      </c>
      <c r="F168" s="28" t="s">
        <v>75</v>
      </c>
      <c r="G168" s="28">
        <v>1.0</v>
      </c>
      <c r="H168" s="28">
        <v>3.0</v>
      </c>
      <c r="I168" s="28">
        <v>0.5</v>
      </c>
      <c r="J168" s="28"/>
      <c r="K168" s="30">
        <f t="shared" si="1"/>
        <v>3.141592654</v>
      </c>
    </row>
    <row r="169" ht="15.75" customHeight="1">
      <c r="A169" s="31" t="s">
        <v>849</v>
      </c>
      <c r="B169" s="26" t="s">
        <v>424</v>
      </c>
      <c r="C169" s="27" t="s">
        <v>37</v>
      </c>
      <c r="D169" s="28" t="s">
        <v>755</v>
      </c>
      <c r="E169" s="28" t="s">
        <v>63</v>
      </c>
      <c r="F169" s="28" t="s">
        <v>63</v>
      </c>
      <c r="G169" s="28">
        <v>2.0</v>
      </c>
      <c r="H169" s="28">
        <v>3.0</v>
      </c>
      <c r="I169" s="28">
        <v>2.0</v>
      </c>
      <c r="J169" s="28"/>
      <c r="K169" s="30">
        <f t="shared" si="1"/>
        <v>100.5309649</v>
      </c>
    </row>
    <row r="170" ht="15.75" customHeight="1">
      <c r="A170" s="31" t="s">
        <v>850</v>
      </c>
      <c r="B170" s="26" t="s">
        <v>424</v>
      </c>
      <c r="C170" s="27" t="s">
        <v>37</v>
      </c>
      <c r="D170" s="28" t="s">
        <v>755</v>
      </c>
      <c r="E170" s="28" t="s">
        <v>57</v>
      </c>
      <c r="F170" s="28" t="s">
        <v>57</v>
      </c>
      <c r="G170" s="28">
        <v>1.0</v>
      </c>
      <c r="H170" s="28"/>
      <c r="I170" s="28"/>
      <c r="J170" s="28" t="s">
        <v>762</v>
      </c>
      <c r="K170" s="30">
        <f t="shared" si="1"/>
        <v>0</v>
      </c>
    </row>
    <row r="171" ht="15.75" customHeight="1">
      <c r="A171" s="31" t="s">
        <v>851</v>
      </c>
      <c r="B171" s="26" t="s">
        <v>424</v>
      </c>
      <c r="C171" s="27" t="s">
        <v>37</v>
      </c>
      <c r="D171" s="28" t="s">
        <v>755</v>
      </c>
      <c r="E171" s="28" t="s">
        <v>91</v>
      </c>
      <c r="F171" s="28" t="s">
        <v>91</v>
      </c>
      <c r="G171" s="28">
        <v>1.0</v>
      </c>
      <c r="H171" s="28"/>
      <c r="I171" s="28"/>
      <c r="J171" s="28" t="s">
        <v>762</v>
      </c>
      <c r="K171" s="30">
        <f t="shared" si="1"/>
        <v>0</v>
      </c>
    </row>
    <row r="172" ht="15.75" customHeight="1">
      <c r="A172" s="31" t="s">
        <v>852</v>
      </c>
      <c r="B172" s="26" t="s">
        <v>427</v>
      </c>
      <c r="C172" s="27" t="s">
        <v>37</v>
      </c>
      <c r="D172" s="28" t="s">
        <v>755</v>
      </c>
      <c r="E172" s="28" t="s">
        <v>757</v>
      </c>
      <c r="F172" s="28" t="s">
        <v>757</v>
      </c>
      <c r="G172" s="28">
        <v>0.0</v>
      </c>
      <c r="H172" s="28"/>
      <c r="I172" s="28"/>
      <c r="J172" s="28"/>
      <c r="K172" s="30">
        <f t="shared" si="1"/>
        <v>0</v>
      </c>
    </row>
    <row r="173" ht="15.75" customHeight="1">
      <c r="A173" s="25" t="s">
        <v>853</v>
      </c>
      <c r="B173" s="42" t="s">
        <v>428</v>
      </c>
      <c r="C173" s="27" t="s">
        <v>37</v>
      </c>
      <c r="D173" s="28" t="s">
        <v>755</v>
      </c>
      <c r="E173" s="5" t="s">
        <v>791</v>
      </c>
      <c r="F173" s="5" t="s">
        <v>101</v>
      </c>
      <c r="G173" s="5">
        <v>1.0</v>
      </c>
      <c r="H173" s="5">
        <v>6.0</v>
      </c>
      <c r="I173" s="5">
        <v>2.0</v>
      </c>
      <c r="J173" s="43"/>
      <c r="K173" s="30">
        <f t="shared" si="1"/>
        <v>100.5309649</v>
      </c>
    </row>
    <row r="174" ht="15.75" customHeight="1">
      <c r="A174" s="25" t="s">
        <v>854</v>
      </c>
      <c r="B174" s="42" t="s">
        <v>428</v>
      </c>
      <c r="C174" s="27" t="s">
        <v>37</v>
      </c>
      <c r="D174" s="28" t="s">
        <v>755</v>
      </c>
      <c r="E174" s="5" t="s">
        <v>793</v>
      </c>
      <c r="F174" s="5" t="s">
        <v>793</v>
      </c>
      <c r="G174" s="5">
        <v>1.0</v>
      </c>
      <c r="H174" s="5">
        <v>5.0</v>
      </c>
      <c r="I174" s="5">
        <v>2.0</v>
      </c>
      <c r="J174" s="43"/>
      <c r="K174" s="30">
        <f t="shared" si="1"/>
        <v>83.7758041</v>
      </c>
    </row>
    <row r="175" ht="15.75" customHeight="1">
      <c r="A175" s="31" t="s">
        <v>343</v>
      </c>
      <c r="B175" s="26" t="s">
        <v>429</v>
      </c>
      <c r="C175" s="27" t="s">
        <v>28</v>
      </c>
      <c r="D175" s="28" t="s">
        <v>755</v>
      </c>
      <c r="E175" s="28" t="s">
        <v>63</v>
      </c>
      <c r="F175" s="28" t="s">
        <v>63</v>
      </c>
      <c r="G175" s="28">
        <v>1.0</v>
      </c>
      <c r="H175" s="28">
        <v>3.0</v>
      </c>
      <c r="I175" s="28">
        <v>2.0</v>
      </c>
      <c r="J175" s="28"/>
      <c r="K175" s="30">
        <f t="shared" si="1"/>
        <v>50.26548246</v>
      </c>
    </row>
    <row r="176" ht="15.75" customHeight="1">
      <c r="A176" s="31" t="s">
        <v>343</v>
      </c>
      <c r="B176" s="26" t="s">
        <v>429</v>
      </c>
      <c r="C176" s="27" t="s">
        <v>28</v>
      </c>
      <c r="D176" s="28" t="s">
        <v>755</v>
      </c>
      <c r="E176" s="28" t="s">
        <v>57</v>
      </c>
      <c r="F176" s="28" t="s">
        <v>57</v>
      </c>
      <c r="G176" s="28">
        <v>1.0</v>
      </c>
      <c r="H176" s="28">
        <v>6.0</v>
      </c>
      <c r="I176" s="28">
        <v>2.0</v>
      </c>
      <c r="J176" s="28"/>
      <c r="K176" s="30">
        <f t="shared" si="1"/>
        <v>100.5309649</v>
      </c>
    </row>
    <row r="177" ht="15.75" customHeight="1">
      <c r="A177" s="31" t="s">
        <v>434</v>
      </c>
      <c r="B177" s="26" t="s">
        <v>433</v>
      </c>
      <c r="C177" s="27" t="s">
        <v>24</v>
      </c>
      <c r="D177" s="28" t="s">
        <v>755</v>
      </c>
      <c r="E177" s="28" t="s">
        <v>771</v>
      </c>
      <c r="F177" s="28" t="s">
        <v>771</v>
      </c>
      <c r="G177" s="28">
        <v>1.0</v>
      </c>
      <c r="H177" s="28"/>
      <c r="I177" s="28"/>
      <c r="J177" s="37" t="s">
        <v>762</v>
      </c>
      <c r="K177" s="30">
        <f t="shared" si="1"/>
        <v>0</v>
      </c>
    </row>
    <row r="178" ht="15.75" customHeight="1">
      <c r="A178" s="31" t="s">
        <v>434</v>
      </c>
      <c r="B178" s="26" t="s">
        <v>433</v>
      </c>
      <c r="C178" s="27" t="s">
        <v>24</v>
      </c>
      <c r="D178" s="28" t="s">
        <v>755</v>
      </c>
      <c r="E178" s="44" t="s">
        <v>794</v>
      </c>
      <c r="F178" s="28" t="s">
        <v>794</v>
      </c>
      <c r="G178" s="28">
        <v>1.0</v>
      </c>
      <c r="H178" s="28"/>
      <c r="I178" s="28"/>
      <c r="J178" s="37" t="s">
        <v>762</v>
      </c>
      <c r="K178" s="30">
        <f t="shared" si="1"/>
        <v>0</v>
      </c>
    </row>
    <row r="179" ht="15.75" customHeight="1">
      <c r="A179" s="31" t="s">
        <v>434</v>
      </c>
      <c r="B179" s="26" t="s">
        <v>435</v>
      </c>
      <c r="C179" s="27" t="s">
        <v>24</v>
      </c>
      <c r="D179" s="28" t="s">
        <v>755</v>
      </c>
      <c r="E179" s="28" t="s">
        <v>759</v>
      </c>
      <c r="F179" s="28" t="s">
        <v>75</v>
      </c>
      <c r="G179" s="28">
        <v>1.0</v>
      </c>
      <c r="H179" s="28">
        <v>3.0</v>
      </c>
      <c r="I179" s="28">
        <v>0.5</v>
      </c>
      <c r="J179" s="28"/>
      <c r="K179" s="30">
        <f t="shared" si="1"/>
        <v>3.141592654</v>
      </c>
    </row>
    <row r="180" ht="15.75" customHeight="1">
      <c r="A180" s="31" t="s">
        <v>434</v>
      </c>
      <c r="B180" s="26" t="s">
        <v>435</v>
      </c>
      <c r="C180" s="27" t="s">
        <v>24</v>
      </c>
      <c r="D180" s="28" t="s">
        <v>755</v>
      </c>
      <c r="E180" s="28" t="s">
        <v>77</v>
      </c>
      <c r="F180" s="28" t="s">
        <v>79</v>
      </c>
      <c r="G180" s="28">
        <v>1.0</v>
      </c>
      <c r="H180" s="28">
        <v>3.0</v>
      </c>
      <c r="I180" s="28">
        <v>1.0</v>
      </c>
      <c r="J180" s="28"/>
      <c r="K180" s="30">
        <f t="shared" si="1"/>
        <v>12.56637061</v>
      </c>
    </row>
    <row r="181" ht="15.75" customHeight="1">
      <c r="A181" s="31" t="s">
        <v>129</v>
      </c>
      <c r="B181" s="26" t="s">
        <v>436</v>
      </c>
      <c r="C181" s="27" t="s">
        <v>8</v>
      </c>
      <c r="D181" s="28" t="s">
        <v>755</v>
      </c>
      <c r="E181" s="28" t="s">
        <v>756</v>
      </c>
      <c r="F181" s="28" t="s">
        <v>756</v>
      </c>
      <c r="G181" s="28">
        <v>1.0</v>
      </c>
      <c r="H181" s="28"/>
      <c r="I181" s="28"/>
      <c r="J181" s="37" t="s">
        <v>762</v>
      </c>
      <c r="K181" s="30">
        <f t="shared" si="1"/>
        <v>0</v>
      </c>
    </row>
    <row r="182" ht="15.75" customHeight="1">
      <c r="A182" s="31" t="s">
        <v>441</v>
      </c>
      <c r="B182" s="26" t="s">
        <v>439</v>
      </c>
      <c r="C182" s="27" t="s">
        <v>40</v>
      </c>
      <c r="D182" s="28" t="s">
        <v>755</v>
      </c>
      <c r="E182" s="28" t="s">
        <v>63</v>
      </c>
      <c r="F182" s="28" t="s">
        <v>63</v>
      </c>
      <c r="G182" s="28">
        <v>1.0</v>
      </c>
      <c r="H182" s="28">
        <v>8.0</v>
      </c>
      <c r="I182" s="28">
        <v>4.0</v>
      </c>
      <c r="J182" s="28"/>
      <c r="K182" s="30">
        <f t="shared" si="1"/>
        <v>536.1651462</v>
      </c>
    </row>
    <row r="183" ht="15.75" customHeight="1">
      <c r="A183" s="31" t="s">
        <v>441</v>
      </c>
      <c r="B183" s="26" t="s">
        <v>439</v>
      </c>
      <c r="C183" s="27" t="s">
        <v>40</v>
      </c>
      <c r="D183" s="28" t="s">
        <v>755</v>
      </c>
      <c r="E183" s="28" t="s">
        <v>63</v>
      </c>
      <c r="F183" s="28" t="s">
        <v>63</v>
      </c>
      <c r="G183" s="28">
        <v>1.0</v>
      </c>
      <c r="H183" s="28">
        <v>5.0</v>
      </c>
      <c r="I183" s="28">
        <v>2.0</v>
      </c>
      <c r="J183" s="28"/>
      <c r="K183" s="30">
        <f t="shared" si="1"/>
        <v>83.7758041</v>
      </c>
    </row>
    <row r="184" ht="15.75" customHeight="1">
      <c r="A184" s="31" t="s">
        <v>441</v>
      </c>
      <c r="B184" s="26" t="s">
        <v>439</v>
      </c>
      <c r="C184" s="27" t="s">
        <v>40</v>
      </c>
      <c r="D184" s="28" t="s">
        <v>755</v>
      </c>
      <c r="E184" s="28" t="s">
        <v>63</v>
      </c>
      <c r="F184" s="28" t="s">
        <v>63</v>
      </c>
      <c r="G184" s="28">
        <v>1.0</v>
      </c>
      <c r="H184" s="28">
        <v>4.0</v>
      </c>
      <c r="I184" s="28">
        <v>2.0</v>
      </c>
      <c r="J184" s="28"/>
      <c r="K184" s="30">
        <f t="shared" si="1"/>
        <v>67.02064328</v>
      </c>
    </row>
    <row r="185" ht="15.75" customHeight="1">
      <c r="A185" s="31" t="s">
        <v>441</v>
      </c>
      <c r="B185" s="26" t="s">
        <v>439</v>
      </c>
      <c r="C185" s="27" t="s">
        <v>40</v>
      </c>
      <c r="D185" s="28" t="s">
        <v>755</v>
      </c>
      <c r="E185" s="28" t="s">
        <v>63</v>
      </c>
      <c r="F185" s="28" t="s">
        <v>63</v>
      </c>
      <c r="G185" s="28">
        <v>1.0</v>
      </c>
      <c r="H185" s="28">
        <v>6.0</v>
      </c>
      <c r="I185" s="28">
        <v>2.0</v>
      </c>
      <c r="J185" s="28"/>
      <c r="K185" s="30">
        <f t="shared" si="1"/>
        <v>100.5309649</v>
      </c>
    </row>
    <row r="186" ht="15.75" customHeight="1">
      <c r="A186" s="31" t="s">
        <v>441</v>
      </c>
      <c r="B186" s="26" t="s">
        <v>439</v>
      </c>
      <c r="C186" s="27" t="s">
        <v>40</v>
      </c>
      <c r="D186" s="28" t="s">
        <v>755</v>
      </c>
      <c r="E186" s="28" t="s">
        <v>759</v>
      </c>
      <c r="F186" s="28" t="s">
        <v>75</v>
      </c>
      <c r="G186" s="28">
        <v>6.0</v>
      </c>
      <c r="H186" s="28">
        <v>7.0</v>
      </c>
      <c r="I186" s="28">
        <v>2.0</v>
      </c>
      <c r="J186" s="28"/>
      <c r="K186" s="30">
        <f t="shared" si="1"/>
        <v>703.7167544</v>
      </c>
    </row>
    <row r="187" ht="15.75" customHeight="1">
      <c r="A187" s="31" t="s">
        <v>441</v>
      </c>
      <c r="B187" s="26" t="s">
        <v>439</v>
      </c>
      <c r="C187" s="27" t="s">
        <v>40</v>
      </c>
      <c r="D187" s="28" t="s">
        <v>755</v>
      </c>
      <c r="E187" s="28" t="s">
        <v>759</v>
      </c>
      <c r="F187" s="28" t="s">
        <v>75</v>
      </c>
      <c r="G187" s="28">
        <v>1.0</v>
      </c>
      <c r="H187" s="28">
        <v>4.0</v>
      </c>
      <c r="I187" s="28">
        <v>1.0</v>
      </c>
      <c r="J187" s="28"/>
      <c r="K187" s="30">
        <f t="shared" si="1"/>
        <v>16.75516082</v>
      </c>
    </row>
    <row r="188" ht="15.75" customHeight="1">
      <c r="A188" s="31" t="s">
        <v>441</v>
      </c>
      <c r="B188" s="26" t="s">
        <v>439</v>
      </c>
      <c r="C188" s="27" t="s">
        <v>40</v>
      </c>
      <c r="D188" s="28" t="s">
        <v>755</v>
      </c>
      <c r="E188" s="28" t="s">
        <v>759</v>
      </c>
      <c r="F188" s="28" t="s">
        <v>75</v>
      </c>
      <c r="G188" s="28">
        <v>30.0</v>
      </c>
      <c r="H188" s="28">
        <v>7.0</v>
      </c>
      <c r="I188" s="28">
        <v>1.0</v>
      </c>
      <c r="J188" s="28"/>
      <c r="K188" s="30">
        <f t="shared" si="1"/>
        <v>879.645943</v>
      </c>
    </row>
    <row r="189" ht="15.75" customHeight="1">
      <c r="A189" s="31" t="s">
        <v>441</v>
      </c>
      <c r="B189" s="26" t="s">
        <v>439</v>
      </c>
      <c r="C189" s="27" t="s">
        <v>40</v>
      </c>
      <c r="D189" s="28" t="s">
        <v>755</v>
      </c>
      <c r="E189" s="28" t="s">
        <v>759</v>
      </c>
      <c r="F189" s="28" t="s">
        <v>75</v>
      </c>
      <c r="G189" s="28">
        <v>6.0</v>
      </c>
      <c r="H189" s="28">
        <v>8.0</v>
      </c>
      <c r="I189" s="28">
        <v>1.0</v>
      </c>
      <c r="J189" s="28"/>
      <c r="K189" s="30">
        <f t="shared" si="1"/>
        <v>201.0619298</v>
      </c>
    </row>
    <row r="190" ht="15.75" customHeight="1">
      <c r="A190" s="31" t="s">
        <v>150</v>
      </c>
      <c r="B190" s="26" t="s">
        <v>443</v>
      </c>
      <c r="C190" s="27" t="s">
        <v>37</v>
      </c>
      <c r="D190" s="28" t="s">
        <v>755</v>
      </c>
      <c r="E190" s="28" t="s">
        <v>57</v>
      </c>
      <c r="F190" s="28" t="s">
        <v>57</v>
      </c>
      <c r="G190" s="28">
        <v>1.0</v>
      </c>
      <c r="H190" s="28">
        <v>7.0</v>
      </c>
      <c r="I190" s="28">
        <v>3.0</v>
      </c>
      <c r="J190" s="28"/>
      <c r="K190" s="30">
        <f t="shared" si="1"/>
        <v>263.8937829</v>
      </c>
    </row>
    <row r="191" ht="15.75" customHeight="1">
      <c r="A191" s="31" t="s">
        <v>150</v>
      </c>
      <c r="B191" s="26" t="s">
        <v>443</v>
      </c>
      <c r="C191" s="27" t="s">
        <v>37</v>
      </c>
      <c r="D191" s="28" t="s">
        <v>755</v>
      </c>
      <c r="E191" s="28" t="s">
        <v>57</v>
      </c>
      <c r="F191" s="28" t="s">
        <v>57</v>
      </c>
      <c r="G191" s="28">
        <v>1.0</v>
      </c>
      <c r="H191" s="28">
        <v>14.0</v>
      </c>
      <c r="I191" s="28">
        <v>6.0</v>
      </c>
      <c r="J191" s="28"/>
      <c r="K191" s="30">
        <f t="shared" si="1"/>
        <v>2111.150263</v>
      </c>
    </row>
    <row r="192" ht="15.75" customHeight="1">
      <c r="A192" s="31" t="s">
        <v>448</v>
      </c>
      <c r="B192" s="26" t="s">
        <v>446</v>
      </c>
      <c r="C192" s="27" t="s">
        <v>37</v>
      </c>
      <c r="D192" s="28" t="s">
        <v>755</v>
      </c>
      <c r="E192" s="28" t="s">
        <v>81</v>
      </c>
      <c r="F192" s="28" t="s">
        <v>81</v>
      </c>
      <c r="G192" s="28">
        <v>1.0</v>
      </c>
      <c r="H192" s="28">
        <v>5.0</v>
      </c>
      <c r="I192" s="28">
        <v>2.0</v>
      </c>
      <c r="J192" s="28"/>
      <c r="K192" s="30">
        <f t="shared" si="1"/>
        <v>83.7758041</v>
      </c>
    </row>
    <row r="193" ht="15.75" customHeight="1">
      <c r="A193" s="31" t="s">
        <v>448</v>
      </c>
      <c r="B193" s="26" t="s">
        <v>446</v>
      </c>
      <c r="C193" s="27" t="s">
        <v>37</v>
      </c>
      <c r="D193" s="28" t="s">
        <v>755</v>
      </c>
      <c r="E193" s="28" t="s">
        <v>57</v>
      </c>
      <c r="F193" s="28" t="s">
        <v>57</v>
      </c>
      <c r="G193" s="28">
        <v>1.0</v>
      </c>
      <c r="H193" s="28">
        <v>1.0</v>
      </c>
      <c r="I193" s="28">
        <v>0.5</v>
      </c>
      <c r="J193" s="28"/>
      <c r="K193" s="30">
        <f t="shared" si="1"/>
        <v>1.047197551</v>
      </c>
    </row>
    <row r="194" ht="15.75" customHeight="1">
      <c r="A194" s="31" t="s">
        <v>448</v>
      </c>
      <c r="B194" s="26" t="s">
        <v>446</v>
      </c>
      <c r="C194" s="27" t="s">
        <v>37</v>
      </c>
      <c r="D194" s="28" t="s">
        <v>755</v>
      </c>
      <c r="E194" s="28" t="s">
        <v>81</v>
      </c>
      <c r="F194" s="28" t="s">
        <v>81</v>
      </c>
      <c r="G194" s="28">
        <v>1.0</v>
      </c>
      <c r="H194" s="28">
        <v>2.0</v>
      </c>
      <c r="I194" s="28">
        <v>1.0</v>
      </c>
      <c r="J194" s="28"/>
      <c r="K194" s="30">
        <f t="shared" si="1"/>
        <v>8.37758041</v>
      </c>
    </row>
    <row r="195" ht="15.75" customHeight="1">
      <c r="A195" s="31" t="s">
        <v>129</v>
      </c>
      <c r="B195" s="26" t="s">
        <v>451</v>
      </c>
      <c r="C195" s="27" t="s">
        <v>12</v>
      </c>
      <c r="D195" s="28" t="s">
        <v>755</v>
      </c>
      <c r="E195" s="28" t="s">
        <v>57</v>
      </c>
      <c r="F195" s="28" t="s">
        <v>57</v>
      </c>
      <c r="G195" s="28">
        <v>1.0</v>
      </c>
      <c r="H195" s="28"/>
      <c r="I195" s="28"/>
      <c r="J195" s="37" t="s">
        <v>762</v>
      </c>
      <c r="K195" s="30">
        <f t="shared" si="1"/>
        <v>0</v>
      </c>
    </row>
    <row r="196" ht="15.75" customHeight="1">
      <c r="A196" s="25" t="s">
        <v>855</v>
      </c>
      <c r="B196" s="26" t="s">
        <v>455</v>
      </c>
      <c r="C196" s="27" t="s">
        <v>30</v>
      </c>
      <c r="D196" s="28" t="s">
        <v>754</v>
      </c>
      <c r="E196" s="28" t="s">
        <v>57</v>
      </c>
      <c r="F196" s="28" t="s">
        <v>57</v>
      </c>
      <c r="G196" s="28">
        <v>1.0</v>
      </c>
      <c r="H196" s="28"/>
      <c r="I196" s="28"/>
      <c r="J196" s="37" t="s">
        <v>762</v>
      </c>
      <c r="K196" s="30">
        <f t="shared" si="1"/>
        <v>0</v>
      </c>
    </row>
    <row r="197" ht="15.75" customHeight="1">
      <c r="A197" s="31" t="s">
        <v>349</v>
      </c>
      <c r="B197" s="26" t="s">
        <v>457</v>
      </c>
      <c r="C197" s="27" t="s">
        <v>31</v>
      </c>
      <c r="D197" s="28" t="s">
        <v>755</v>
      </c>
      <c r="E197" s="41" t="s">
        <v>61</v>
      </c>
      <c r="F197" s="41" t="s">
        <v>61</v>
      </c>
      <c r="G197" s="28">
        <v>1.0</v>
      </c>
      <c r="H197" s="28"/>
      <c r="I197" s="28"/>
      <c r="J197" s="37" t="s">
        <v>762</v>
      </c>
      <c r="K197" s="30">
        <f t="shared" si="1"/>
        <v>0</v>
      </c>
    </row>
    <row r="198" ht="15.75" customHeight="1">
      <c r="A198" s="31" t="s">
        <v>349</v>
      </c>
      <c r="B198" s="26" t="s">
        <v>457</v>
      </c>
      <c r="C198" s="27" t="s">
        <v>31</v>
      </c>
      <c r="D198" s="28" t="s">
        <v>755</v>
      </c>
      <c r="E198" s="41" t="s">
        <v>763</v>
      </c>
      <c r="F198" s="41" t="s">
        <v>763</v>
      </c>
      <c r="G198" s="28">
        <v>1.0</v>
      </c>
      <c r="H198" s="28"/>
      <c r="I198" s="28"/>
      <c r="J198" s="37" t="s">
        <v>762</v>
      </c>
      <c r="K198" s="30">
        <f t="shared" si="1"/>
        <v>0</v>
      </c>
    </row>
    <row r="199" ht="15.75" customHeight="1">
      <c r="A199" s="31" t="s">
        <v>349</v>
      </c>
      <c r="B199" s="26" t="s">
        <v>457</v>
      </c>
      <c r="C199" s="27" t="s">
        <v>31</v>
      </c>
      <c r="D199" s="28" t="s">
        <v>755</v>
      </c>
      <c r="E199" s="28" t="s">
        <v>57</v>
      </c>
      <c r="F199" s="28" t="s">
        <v>57</v>
      </c>
      <c r="G199" s="28">
        <v>1.0</v>
      </c>
      <c r="H199" s="28"/>
      <c r="I199" s="28"/>
      <c r="J199" s="37" t="s">
        <v>762</v>
      </c>
      <c r="K199" s="30">
        <f t="shared" si="1"/>
        <v>0</v>
      </c>
    </row>
    <row r="200" ht="15.75" customHeight="1">
      <c r="A200" s="31" t="s">
        <v>349</v>
      </c>
      <c r="B200" s="26" t="s">
        <v>457</v>
      </c>
      <c r="C200" s="27" t="s">
        <v>31</v>
      </c>
      <c r="D200" s="28" t="s">
        <v>755</v>
      </c>
      <c r="E200" s="28" t="s">
        <v>63</v>
      </c>
      <c r="F200" s="28" t="s">
        <v>63</v>
      </c>
      <c r="G200" s="28">
        <v>1.0</v>
      </c>
      <c r="H200" s="28">
        <v>6.0</v>
      </c>
      <c r="I200" s="28">
        <v>4.0</v>
      </c>
      <c r="J200" s="28"/>
      <c r="K200" s="30">
        <f t="shared" si="1"/>
        <v>402.1238597</v>
      </c>
    </row>
    <row r="201" ht="15.75" customHeight="1">
      <c r="A201" s="25" t="s">
        <v>856</v>
      </c>
      <c r="B201" s="26" t="s">
        <v>460</v>
      </c>
      <c r="C201" s="27" t="s">
        <v>34</v>
      </c>
      <c r="D201" s="28" t="s">
        <v>755</v>
      </c>
      <c r="E201" s="28" t="s">
        <v>57</v>
      </c>
      <c r="F201" s="28" t="s">
        <v>57</v>
      </c>
      <c r="G201" s="28">
        <v>1.0</v>
      </c>
      <c r="H201" s="28">
        <v>1.0</v>
      </c>
      <c r="I201" s="28">
        <v>0.5</v>
      </c>
      <c r="J201" s="28"/>
      <c r="K201" s="30">
        <f t="shared" si="1"/>
        <v>1.047197551</v>
      </c>
    </row>
    <row r="202" ht="15.75" customHeight="1">
      <c r="A202" s="25" t="s">
        <v>857</v>
      </c>
      <c r="B202" s="26" t="s">
        <v>460</v>
      </c>
      <c r="C202" s="27" t="s">
        <v>34</v>
      </c>
      <c r="D202" s="28" t="s">
        <v>755</v>
      </c>
      <c r="E202" s="28" t="s">
        <v>57</v>
      </c>
      <c r="F202" s="28" t="s">
        <v>57</v>
      </c>
      <c r="G202" s="28">
        <v>1.0</v>
      </c>
      <c r="H202" s="28">
        <v>3.0</v>
      </c>
      <c r="I202" s="28">
        <v>2.0</v>
      </c>
      <c r="J202" s="28"/>
      <c r="K202" s="30">
        <f t="shared" si="1"/>
        <v>50.26548246</v>
      </c>
    </row>
    <row r="203" ht="15.75" customHeight="1">
      <c r="A203" s="25" t="s">
        <v>858</v>
      </c>
      <c r="B203" s="26" t="s">
        <v>464</v>
      </c>
      <c r="C203" s="27" t="s">
        <v>16</v>
      </c>
      <c r="D203" s="28" t="s">
        <v>755</v>
      </c>
      <c r="E203" s="28" t="s">
        <v>757</v>
      </c>
      <c r="F203" s="28" t="s">
        <v>757</v>
      </c>
      <c r="G203" s="28">
        <v>0.0</v>
      </c>
      <c r="H203" s="28"/>
      <c r="I203" s="28"/>
      <c r="J203" s="28"/>
      <c r="K203" s="30">
        <f t="shared" si="1"/>
        <v>0</v>
      </c>
    </row>
    <row r="204" ht="15.75" customHeight="1">
      <c r="A204" s="25" t="s">
        <v>859</v>
      </c>
      <c r="B204" s="26" t="s">
        <v>466</v>
      </c>
      <c r="C204" s="27" t="s">
        <v>16</v>
      </c>
      <c r="D204" s="28" t="s">
        <v>755</v>
      </c>
      <c r="E204" s="28" t="s">
        <v>57</v>
      </c>
      <c r="F204" s="28" t="s">
        <v>57</v>
      </c>
      <c r="G204" s="28">
        <v>1.0</v>
      </c>
      <c r="H204" s="28"/>
      <c r="I204" s="28"/>
      <c r="J204" s="28" t="s">
        <v>762</v>
      </c>
      <c r="K204" s="30">
        <f t="shared" si="1"/>
        <v>0</v>
      </c>
    </row>
    <row r="205" ht="15.75" customHeight="1">
      <c r="A205" s="31" t="s">
        <v>129</v>
      </c>
      <c r="B205" s="26" t="s">
        <v>470</v>
      </c>
      <c r="C205" s="27" t="s">
        <v>16</v>
      </c>
      <c r="D205" s="28" t="s">
        <v>755</v>
      </c>
      <c r="E205" s="28" t="s">
        <v>57</v>
      </c>
      <c r="F205" s="28" t="s">
        <v>57</v>
      </c>
      <c r="G205" s="28">
        <v>1.0</v>
      </c>
      <c r="H205" s="28">
        <v>4.0</v>
      </c>
      <c r="I205" s="28">
        <v>2.0</v>
      </c>
      <c r="J205" s="28"/>
      <c r="K205" s="30">
        <f t="shared" si="1"/>
        <v>67.02064328</v>
      </c>
    </row>
    <row r="206" ht="15.75" customHeight="1">
      <c r="A206" s="25" t="s">
        <v>860</v>
      </c>
      <c r="B206" s="26" t="s">
        <v>471</v>
      </c>
      <c r="C206" s="27" t="s">
        <v>24</v>
      </c>
      <c r="D206" s="28" t="s">
        <v>755</v>
      </c>
      <c r="E206" s="28" t="s">
        <v>771</v>
      </c>
      <c r="F206" s="28" t="s">
        <v>771</v>
      </c>
      <c r="G206" s="28">
        <v>1.0</v>
      </c>
      <c r="H206" s="28"/>
      <c r="I206" s="28"/>
      <c r="J206" s="37" t="s">
        <v>762</v>
      </c>
      <c r="K206" s="30">
        <f t="shared" si="1"/>
        <v>0</v>
      </c>
    </row>
    <row r="207" ht="15.75" customHeight="1">
      <c r="A207" s="25" t="s">
        <v>861</v>
      </c>
      <c r="B207" s="26" t="s">
        <v>471</v>
      </c>
      <c r="C207" s="27" t="s">
        <v>24</v>
      </c>
      <c r="D207" s="28" t="s">
        <v>755</v>
      </c>
      <c r="E207" s="28" t="s">
        <v>57</v>
      </c>
      <c r="F207" s="28" t="s">
        <v>57</v>
      </c>
      <c r="G207" s="28">
        <v>1.0</v>
      </c>
      <c r="H207" s="28"/>
      <c r="I207" s="28"/>
      <c r="J207" s="37" t="s">
        <v>762</v>
      </c>
      <c r="K207" s="30">
        <f t="shared" si="1"/>
        <v>0</v>
      </c>
    </row>
    <row r="208" ht="15.75" customHeight="1">
      <c r="A208" s="25" t="s">
        <v>862</v>
      </c>
      <c r="B208" s="26" t="s">
        <v>471</v>
      </c>
      <c r="C208" s="27" t="s">
        <v>24</v>
      </c>
      <c r="D208" s="28" t="s">
        <v>755</v>
      </c>
      <c r="E208" s="28" t="s">
        <v>91</v>
      </c>
      <c r="F208" s="28" t="s">
        <v>91</v>
      </c>
      <c r="G208" s="28">
        <v>1.0</v>
      </c>
      <c r="H208" s="28"/>
      <c r="I208" s="28"/>
      <c r="J208" s="37" t="s">
        <v>762</v>
      </c>
      <c r="K208" s="30">
        <f t="shared" si="1"/>
        <v>0</v>
      </c>
    </row>
    <row r="209" ht="15.75" customHeight="1">
      <c r="A209" s="31" t="s">
        <v>207</v>
      </c>
      <c r="B209" s="26" t="s">
        <v>473</v>
      </c>
      <c r="C209" s="27" t="s">
        <v>24</v>
      </c>
      <c r="D209" s="28" t="s">
        <v>755</v>
      </c>
      <c r="E209" s="28" t="s">
        <v>61</v>
      </c>
      <c r="F209" s="28" t="s">
        <v>61</v>
      </c>
      <c r="G209" s="28">
        <v>1.0</v>
      </c>
      <c r="H209" s="28"/>
      <c r="I209" s="28"/>
      <c r="J209" s="37" t="s">
        <v>762</v>
      </c>
      <c r="K209" s="30">
        <f t="shared" si="1"/>
        <v>0</v>
      </c>
    </row>
    <row r="210" ht="15.75" customHeight="1">
      <c r="A210" s="25" t="s">
        <v>863</v>
      </c>
      <c r="B210" s="26" t="s">
        <v>475</v>
      </c>
      <c r="C210" s="27" t="s">
        <v>40</v>
      </c>
      <c r="D210" s="28" t="s">
        <v>755</v>
      </c>
      <c r="E210" s="28" t="s">
        <v>757</v>
      </c>
      <c r="F210" s="28" t="s">
        <v>757</v>
      </c>
      <c r="G210" s="28">
        <v>0.0</v>
      </c>
      <c r="H210" s="28"/>
      <c r="I210" s="28"/>
      <c r="J210" s="28"/>
      <c r="K210" s="30">
        <f t="shared" si="1"/>
        <v>0</v>
      </c>
    </row>
    <row r="211" ht="15.75" customHeight="1">
      <c r="A211" s="25" t="s">
        <v>864</v>
      </c>
      <c r="B211" s="26" t="s">
        <v>477</v>
      </c>
      <c r="C211" s="27" t="s">
        <v>40</v>
      </c>
      <c r="D211" s="28" t="s">
        <v>755</v>
      </c>
      <c r="E211" s="28" t="s">
        <v>757</v>
      </c>
      <c r="F211" s="28" t="s">
        <v>757</v>
      </c>
      <c r="G211" s="28">
        <v>0.0</v>
      </c>
      <c r="H211" s="28"/>
      <c r="I211" s="28"/>
      <c r="J211" s="28"/>
      <c r="K211" s="30">
        <f t="shared" si="1"/>
        <v>0</v>
      </c>
    </row>
    <row r="212" ht="15.75" customHeight="1">
      <c r="A212" s="25" t="s">
        <v>865</v>
      </c>
      <c r="B212" s="26" t="s">
        <v>479</v>
      </c>
      <c r="C212" s="27" t="s">
        <v>40</v>
      </c>
      <c r="D212" s="28" t="s">
        <v>755</v>
      </c>
      <c r="E212" s="28" t="s">
        <v>757</v>
      </c>
      <c r="F212" s="28" t="s">
        <v>757</v>
      </c>
      <c r="G212" s="28">
        <v>0.0</v>
      </c>
      <c r="H212" s="28"/>
      <c r="I212" s="28"/>
      <c r="J212" s="28"/>
      <c r="K212" s="30">
        <f t="shared" si="1"/>
        <v>0</v>
      </c>
    </row>
    <row r="213" ht="15.75" customHeight="1">
      <c r="A213" s="25" t="s">
        <v>866</v>
      </c>
      <c r="B213" s="26" t="s">
        <v>481</v>
      </c>
      <c r="C213" s="27" t="s">
        <v>40</v>
      </c>
      <c r="D213" s="28" t="s">
        <v>755</v>
      </c>
      <c r="E213" s="28" t="s">
        <v>757</v>
      </c>
      <c r="F213" s="28" t="s">
        <v>757</v>
      </c>
      <c r="G213" s="28">
        <v>0.0</v>
      </c>
      <c r="H213" s="28"/>
      <c r="I213" s="28"/>
      <c r="J213" s="28"/>
      <c r="K213" s="30">
        <f t="shared" si="1"/>
        <v>0</v>
      </c>
    </row>
    <row r="214" ht="15.75" customHeight="1">
      <c r="A214" s="31" t="s">
        <v>207</v>
      </c>
      <c r="B214" s="26" t="s">
        <v>483</v>
      </c>
      <c r="C214" s="27" t="s">
        <v>40</v>
      </c>
      <c r="D214" s="28" t="s">
        <v>755</v>
      </c>
      <c r="E214" s="28" t="s">
        <v>757</v>
      </c>
      <c r="F214" s="28" t="s">
        <v>757</v>
      </c>
      <c r="G214" s="28">
        <v>0.0</v>
      </c>
      <c r="H214" s="28"/>
      <c r="I214" s="28"/>
      <c r="J214" s="28"/>
      <c r="K214" s="30">
        <f t="shared" si="1"/>
        <v>0</v>
      </c>
    </row>
    <row r="215" ht="15.75" customHeight="1">
      <c r="A215" s="25" t="s">
        <v>867</v>
      </c>
      <c r="B215" s="26" t="s">
        <v>485</v>
      </c>
      <c r="C215" s="27" t="s">
        <v>33</v>
      </c>
      <c r="D215" s="28" t="s">
        <v>754</v>
      </c>
      <c r="E215" s="28" t="s">
        <v>794</v>
      </c>
      <c r="F215" s="28" t="s">
        <v>794</v>
      </c>
      <c r="G215" s="28">
        <v>1.0</v>
      </c>
      <c r="H215" s="28"/>
      <c r="I215" s="28"/>
      <c r="J215" s="37" t="s">
        <v>762</v>
      </c>
      <c r="K215" s="30">
        <f t="shared" si="1"/>
        <v>0</v>
      </c>
    </row>
    <row r="216" ht="15.75" customHeight="1">
      <c r="A216" s="31" t="s">
        <v>150</v>
      </c>
      <c r="B216" s="26" t="s">
        <v>488</v>
      </c>
      <c r="C216" s="27" t="s">
        <v>34</v>
      </c>
      <c r="D216" s="28" t="s">
        <v>755</v>
      </c>
      <c r="E216" s="28" t="s">
        <v>63</v>
      </c>
      <c r="F216" s="28" t="s">
        <v>63</v>
      </c>
      <c r="G216" s="28">
        <v>1.0</v>
      </c>
      <c r="H216" s="28">
        <v>11.0</v>
      </c>
      <c r="I216" s="28">
        <v>4.0</v>
      </c>
      <c r="J216" s="28"/>
      <c r="K216" s="30">
        <f t="shared" si="1"/>
        <v>737.227076</v>
      </c>
    </row>
    <row r="217" ht="15.75" customHeight="1">
      <c r="A217" s="31" t="s">
        <v>150</v>
      </c>
      <c r="B217" s="26" t="s">
        <v>488</v>
      </c>
      <c r="C217" s="27" t="s">
        <v>34</v>
      </c>
      <c r="D217" s="28" t="s">
        <v>755</v>
      </c>
      <c r="E217" s="28" t="s">
        <v>59</v>
      </c>
      <c r="F217" s="28" t="s">
        <v>59</v>
      </c>
      <c r="G217" s="28">
        <v>1.0</v>
      </c>
      <c r="H217" s="28">
        <v>4.0</v>
      </c>
      <c r="I217" s="28">
        <v>1.0</v>
      </c>
      <c r="J217" s="28"/>
      <c r="K217" s="30">
        <f t="shared" si="1"/>
        <v>16.75516082</v>
      </c>
    </row>
    <row r="218" ht="15.75" customHeight="1">
      <c r="A218" s="31" t="s">
        <v>343</v>
      </c>
      <c r="B218" s="26" t="s">
        <v>492</v>
      </c>
      <c r="C218" s="27" t="s">
        <v>16</v>
      </c>
      <c r="D218" s="37" t="s">
        <v>755</v>
      </c>
      <c r="E218" s="28" t="s">
        <v>63</v>
      </c>
      <c r="F218" s="28" t="s">
        <v>63</v>
      </c>
      <c r="G218" s="28">
        <v>1.0</v>
      </c>
      <c r="H218" s="28">
        <v>4.0</v>
      </c>
      <c r="I218" s="28">
        <v>2.0</v>
      </c>
      <c r="J218" s="28"/>
      <c r="K218" s="30">
        <f t="shared" si="1"/>
        <v>67.02064328</v>
      </c>
    </row>
    <row r="219" ht="15.75" customHeight="1">
      <c r="A219" s="31" t="s">
        <v>343</v>
      </c>
      <c r="B219" s="26" t="s">
        <v>492</v>
      </c>
      <c r="C219" s="27" t="s">
        <v>16</v>
      </c>
      <c r="D219" s="37" t="s">
        <v>755</v>
      </c>
      <c r="E219" s="28" t="s">
        <v>81</v>
      </c>
      <c r="F219" s="28" t="s">
        <v>81</v>
      </c>
      <c r="G219" s="28">
        <v>1.0</v>
      </c>
      <c r="H219" s="28">
        <v>6.0</v>
      </c>
      <c r="I219" s="28">
        <v>2.0</v>
      </c>
      <c r="J219" s="28"/>
      <c r="K219" s="30">
        <f t="shared" si="1"/>
        <v>100.5309649</v>
      </c>
    </row>
    <row r="220" ht="15.75" customHeight="1">
      <c r="A220" s="31" t="s">
        <v>170</v>
      </c>
      <c r="B220" s="26" t="s">
        <v>493</v>
      </c>
      <c r="C220" s="27" t="s">
        <v>37</v>
      </c>
      <c r="D220" s="28" t="s">
        <v>755</v>
      </c>
      <c r="E220" s="28" t="s">
        <v>757</v>
      </c>
      <c r="F220" s="28" t="s">
        <v>757</v>
      </c>
      <c r="G220" s="28">
        <v>0.0</v>
      </c>
      <c r="H220" s="28"/>
      <c r="I220" s="28"/>
      <c r="J220" s="28"/>
      <c r="K220" s="30">
        <f t="shared" si="1"/>
        <v>0</v>
      </c>
    </row>
    <row r="221" ht="15.75" customHeight="1">
      <c r="A221" s="31" t="s">
        <v>129</v>
      </c>
      <c r="B221" s="26" t="s">
        <v>496</v>
      </c>
      <c r="C221" s="27" t="s">
        <v>16</v>
      </c>
      <c r="D221" s="28" t="s">
        <v>755</v>
      </c>
      <c r="E221" s="28" t="s">
        <v>57</v>
      </c>
      <c r="F221" s="28" t="s">
        <v>57</v>
      </c>
      <c r="G221" s="28">
        <v>1.0</v>
      </c>
      <c r="H221" s="28">
        <v>3.0</v>
      </c>
      <c r="I221" s="28">
        <v>2.0</v>
      </c>
      <c r="J221" s="28"/>
      <c r="K221" s="30">
        <f t="shared" si="1"/>
        <v>50.26548246</v>
      </c>
    </row>
    <row r="222" ht="15.75" customHeight="1">
      <c r="A222" s="31" t="s">
        <v>129</v>
      </c>
      <c r="B222" s="26" t="s">
        <v>497</v>
      </c>
      <c r="C222" s="27" t="s">
        <v>16</v>
      </c>
      <c r="D222" s="28" t="s">
        <v>755</v>
      </c>
      <c r="E222" s="28" t="s">
        <v>771</v>
      </c>
      <c r="F222" s="28" t="s">
        <v>771</v>
      </c>
      <c r="G222" s="28">
        <v>1.0</v>
      </c>
      <c r="H222" s="28"/>
      <c r="I222" s="28"/>
      <c r="J222" s="37" t="s">
        <v>762</v>
      </c>
      <c r="K222" s="30">
        <f t="shared" si="1"/>
        <v>0</v>
      </c>
    </row>
    <row r="223" ht="15.75" customHeight="1">
      <c r="A223" s="31" t="s">
        <v>145</v>
      </c>
      <c r="B223" s="26" t="s">
        <v>501</v>
      </c>
      <c r="C223" s="27" t="s">
        <v>18</v>
      </c>
      <c r="D223" s="28" t="s">
        <v>754</v>
      </c>
      <c r="E223" s="28" t="s">
        <v>757</v>
      </c>
      <c r="F223" s="28" t="s">
        <v>757</v>
      </c>
      <c r="G223" s="28">
        <v>0.0</v>
      </c>
      <c r="H223" s="28"/>
      <c r="I223" s="28"/>
      <c r="J223" s="28"/>
      <c r="K223" s="30">
        <f t="shared" si="1"/>
        <v>0</v>
      </c>
    </row>
    <row r="224" ht="15.75" customHeight="1">
      <c r="A224" s="31" t="s">
        <v>119</v>
      </c>
      <c r="B224" s="26" t="s">
        <v>504</v>
      </c>
      <c r="C224" s="27" t="s">
        <v>18</v>
      </c>
      <c r="D224" s="28" t="s">
        <v>754</v>
      </c>
      <c r="E224" s="28" t="s">
        <v>757</v>
      </c>
      <c r="F224" s="28" t="s">
        <v>757</v>
      </c>
      <c r="G224" s="28">
        <v>0.0</v>
      </c>
      <c r="H224" s="28"/>
      <c r="I224" s="28"/>
      <c r="J224" s="28"/>
      <c r="K224" s="30">
        <f t="shared" si="1"/>
        <v>0</v>
      </c>
    </row>
    <row r="225" ht="15.75" customHeight="1">
      <c r="A225" s="31" t="s">
        <v>119</v>
      </c>
      <c r="B225" s="26" t="s">
        <v>506</v>
      </c>
      <c r="C225" s="27" t="s">
        <v>18</v>
      </c>
      <c r="D225" s="28" t="s">
        <v>754</v>
      </c>
      <c r="E225" s="28" t="s">
        <v>784</v>
      </c>
      <c r="F225" s="28" t="s">
        <v>784</v>
      </c>
      <c r="G225" s="28">
        <v>0.0</v>
      </c>
      <c r="H225" s="28"/>
      <c r="I225" s="28"/>
      <c r="J225" s="28"/>
      <c r="K225" s="30">
        <f t="shared" si="1"/>
        <v>0</v>
      </c>
    </row>
    <row r="226" ht="15.75" customHeight="1">
      <c r="A226" s="31" t="s">
        <v>134</v>
      </c>
      <c r="B226" s="26" t="s">
        <v>508</v>
      </c>
      <c r="C226" s="27" t="s">
        <v>6</v>
      </c>
      <c r="D226" s="28" t="s">
        <v>754</v>
      </c>
      <c r="E226" s="28" t="s">
        <v>757</v>
      </c>
      <c r="F226" s="28" t="s">
        <v>757</v>
      </c>
      <c r="G226" s="28">
        <v>0.0</v>
      </c>
      <c r="H226" s="28"/>
      <c r="I226" s="28"/>
      <c r="J226" s="28"/>
      <c r="K226" s="30">
        <f t="shared" si="1"/>
        <v>0</v>
      </c>
    </row>
    <row r="227" ht="15.75" customHeight="1">
      <c r="A227" s="31" t="s">
        <v>137</v>
      </c>
      <c r="B227" s="26" t="s">
        <v>511</v>
      </c>
      <c r="C227" s="27" t="s">
        <v>6</v>
      </c>
      <c r="D227" s="28" t="s">
        <v>754</v>
      </c>
      <c r="E227" s="28" t="s">
        <v>759</v>
      </c>
      <c r="F227" s="28" t="s">
        <v>75</v>
      </c>
      <c r="G227" s="28">
        <v>1.0</v>
      </c>
      <c r="H227" s="28">
        <v>3.0</v>
      </c>
      <c r="I227" s="28">
        <v>0.5</v>
      </c>
      <c r="J227" s="28"/>
      <c r="K227" s="30">
        <f t="shared" si="1"/>
        <v>3.141592654</v>
      </c>
    </row>
    <row r="228" ht="15.75" customHeight="1">
      <c r="A228" s="31" t="s">
        <v>137</v>
      </c>
      <c r="B228" s="26" t="s">
        <v>511</v>
      </c>
      <c r="C228" s="27" t="s">
        <v>6</v>
      </c>
      <c r="D228" s="28" t="s">
        <v>754</v>
      </c>
      <c r="E228" s="28" t="s">
        <v>759</v>
      </c>
      <c r="F228" s="28" t="s">
        <v>75</v>
      </c>
      <c r="G228" s="28">
        <v>1.0</v>
      </c>
      <c r="H228" s="28"/>
      <c r="I228" s="28"/>
      <c r="J228" s="37" t="s">
        <v>762</v>
      </c>
      <c r="K228" s="30">
        <f t="shared" si="1"/>
        <v>0</v>
      </c>
    </row>
    <row r="229" ht="15.75" customHeight="1">
      <c r="A229" s="31" t="s">
        <v>126</v>
      </c>
      <c r="B229" s="26" t="s">
        <v>513</v>
      </c>
      <c r="C229" s="27" t="s">
        <v>37</v>
      </c>
      <c r="D229" s="28" t="s">
        <v>755</v>
      </c>
      <c r="E229" s="28" t="s">
        <v>93</v>
      </c>
      <c r="F229" s="28" t="s">
        <v>93</v>
      </c>
      <c r="G229" s="28">
        <v>1.0</v>
      </c>
      <c r="H229" s="28"/>
      <c r="I229" s="28"/>
      <c r="J229" s="37" t="s">
        <v>762</v>
      </c>
      <c r="K229" s="30">
        <f t="shared" si="1"/>
        <v>0</v>
      </c>
    </row>
    <row r="230" ht="15.75" customHeight="1">
      <c r="A230" s="31" t="s">
        <v>207</v>
      </c>
      <c r="B230" s="26" t="s">
        <v>515</v>
      </c>
      <c r="C230" s="27" t="s">
        <v>30</v>
      </c>
      <c r="D230" s="28" t="s">
        <v>754</v>
      </c>
      <c r="E230" s="28" t="s">
        <v>63</v>
      </c>
      <c r="F230" s="28" t="s">
        <v>63</v>
      </c>
      <c r="G230" s="28">
        <v>1.0</v>
      </c>
      <c r="H230" s="28">
        <v>16.0</v>
      </c>
      <c r="I230" s="28">
        <v>6.0</v>
      </c>
      <c r="J230" s="28"/>
      <c r="K230" s="30">
        <f t="shared" si="1"/>
        <v>2412.743158</v>
      </c>
    </row>
    <row r="231" ht="15.75" customHeight="1">
      <c r="A231" s="31" t="s">
        <v>137</v>
      </c>
      <c r="B231" s="26" t="s">
        <v>517</v>
      </c>
      <c r="C231" s="27" t="s">
        <v>30</v>
      </c>
      <c r="D231" s="28" t="s">
        <v>754</v>
      </c>
      <c r="E231" s="28" t="s">
        <v>763</v>
      </c>
      <c r="F231" s="28" t="s">
        <v>763</v>
      </c>
      <c r="G231" s="28">
        <v>1.0</v>
      </c>
      <c r="H231" s="28"/>
      <c r="I231" s="28"/>
      <c r="J231" s="37" t="s">
        <v>762</v>
      </c>
      <c r="K231" s="30">
        <f t="shared" si="1"/>
        <v>0</v>
      </c>
    </row>
    <row r="232" ht="15.75" customHeight="1">
      <c r="A232" s="31" t="s">
        <v>137</v>
      </c>
      <c r="B232" s="26" t="s">
        <v>517</v>
      </c>
      <c r="C232" s="27" t="s">
        <v>30</v>
      </c>
      <c r="D232" s="28" t="s">
        <v>754</v>
      </c>
      <c r="E232" s="28" t="s">
        <v>759</v>
      </c>
      <c r="F232" s="28" t="s">
        <v>75</v>
      </c>
      <c r="G232" s="28">
        <v>1.0</v>
      </c>
      <c r="H232" s="28">
        <v>3.0</v>
      </c>
      <c r="I232" s="28">
        <v>1.0</v>
      </c>
      <c r="J232" s="28"/>
      <c r="K232" s="30">
        <f t="shared" si="1"/>
        <v>12.56637061</v>
      </c>
    </row>
    <row r="233" ht="15.75" customHeight="1">
      <c r="A233" s="31" t="s">
        <v>137</v>
      </c>
      <c r="B233" s="26" t="s">
        <v>519</v>
      </c>
      <c r="C233" s="27" t="s">
        <v>30</v>
      </c>
      <c r="D233" s="28" t="s">
        <v>754</v>
      </c>
      <c r="E233" s="28" t="s">
        <v>63</v>
      </c>
      <c r="F233" s="28" t="s">
        <v>63</v>
      </c>
      <c r="G233" s="28">
        <v>1.0</v>
      </c>
      <c r="H233" s="28">
        <v>2.0</v>
      </c>
      <c r="I233" s="28">
        <v>1.0</v>
      </c>
      <c r="J233" s="28"/>
      <c r="K233" s="30">
        <f t="shared" si="1"/>
        <v>8.37758041</v>
      </c>
    </row>
    <row r="234" ht="15.75" customHeight="1">
      <c r="A234" s="31" t="s">
        <v>137</v>
      </c>
      <c r="B234" s="26" t="s">
        <v>519</v>
      </c>
      <c r="C234" s="27" t="s">
        <v>30</v>
      </c>
      <c r="D234" s="28" t="s">
        <v>754</v>
      </c>
      <c r="E234" s="28" t="s">
        <v>759</v>
      </c>
      <c r="F234" s="28" t="s">
        <v>75</v>
      </c>
      <c r="G234" s="28">
        <v>1.0</v>
      </c>
      <c r="H234" s="28">
        <v>4.0</v>
      </c>
      <c r="I234" s="28">
        <v>1.0</v>
      </c>
      <c r="J234" s="28"/>
      <c r="K234" s="30">
        <f t="shared" si="1"/>
        <v>16.75516082</v>
      </c>
    </row>
    <row r="235" ht="15.75" customHeight="1">
      <c r="A235" s="31" t="s">
        <v>145</v>
      </c>
      <c r="B235" s="26" t="s">
        <v>520</v>
      </c>
      <c r="C235" s="27" t="s">
        <v>33</v>
      </c>
      <c r="D235" s="28" t="s">
        <v>754</v>
      </c>
      <c r="E235" s="28" t="s">
        <v>757</v>
      </c>
      <c r="F235" s="28" t="s">
        <v>757</v>
      </c>
      <c r="G235" s="28">
        <v>0.0</v>
      </c>
      <c r="H235" s="28"/>
      <c r="I235" s="28"/>
      <c r="J235" s="28"/>
      <c r="K235" s="30">
        <f t="shared" si="1"/>
        <v>0</v>
      </c>
    </row>
    <row r="236" ht="15.75" customHeight="1">
      <c r="A236" s="31" t="s">
        <v>150</v>
      </c>
      <c r="B236" s="26" t="s">
        <v>521</v>
      </c>
      <c r="C236" s="27" t="s">
        <v>30</v>
      </c>
      <c r="D236" s="28" t="s">
        <v>754</v>
      </c>
      <c r="E236" s="28" t="s">
        <v>757</v>
      </c>
      <c r="F236" s="28" t="s">
        <v>757</v>
      </c>
      <c r="G236" s="28">
        <v>0.0</v>
      </c>
      <c r="H236" s="28"/>
      <c r="I236" s="28"/>
      <c r="J236" s="28"/>
      <c r="K236" s="30">
        <f t="shared" si="1"/>
        <v>0</v>
      </c>
    </row>
    <row r="237" ht="15.75" customHeight="1">
      <c r="A237" s="31" t="s">
        <v>145</v>
      </c>
      <c r="B237" s="26" t="s">
        <v>523</v>
      </c>
      <c r="C237" s="27" t="s">
        <v>33</v>
      </c>
      <c r="D237" s="28" t="s">
        <v>754</v>
      </c>
      <c r="E237" s="28" t="s">
        <v>63</v>
      </c>
      <c r="F237" s="28" t="s">
        <v>97</v>
      </c>
      <c r="G237" s="28">
        <v>1.0</v>
      </c>
      <c r="H237" s="28">
        <v>8.0</v>
      </c>
      <c r="I237" s="28">
        <v>2.0</v>
      </c>
      <c r="J237" s="28"/>
      <c r="K237" s="30">
        <f t="shared" si="1"/>
        <v>134.0412866</v>
      </c>
    </row>
    <row r="238" ht="15.75" customHeight="1">
      <c r="A238" s="25" t="s">
        <v>868</v>
      </c>
      <c r="B238" s="26" t="s">
        <v>524</v>
      </c>
      <c r="C238" s="27" t="s">
        <v>12</v>
      </c>
      <c r="D238" s="28" t="s">
        <v>755</v>
      </c>
      <c r="E238" s="28" t="s">
        <v>757</v>
      </c>
      <c r="F238" s="28" t="s">
        <v>757</v>
      </c>
      <c r="G238" s="28">
        <v>0.0</v>
      </c>
      <c r="H238" s="28"/>
      <c r="I238" s="28"/>
      <c r="J238" s="28"/>
      <c r="K238" s="30">
        <f t="shared" si="1"/>
        <v>0</v>
      </c>
    </row>
    <row r="239" ht="15.75" customHeight="1">
      <c r="A239" s="25" t="s">
        <v>210</v>
      </c>
      <c r="B239" s="42" t="s">
        <v>527</v>
      </c>
      <c r="C239" s="27" t="s">
        <v>37</v>
      </c>
      <c r="D239" s="28" t="s">
        <v>755</v>
      </c>
      <c r="E239" s="5" t="s">
        <v>63</v>
      </c>
      <c r="F239" s="5" t="s">
        <v>63</v>
      </c>
      <c r="G239" s="5">
        <v>2.0</v>
      </c>
      <c r="H239" s="5">
        <v>14.0</v>
      </c>
      <c r="I239" s="5">
        <v>4.0</v>
      </c>
      <c r="J239" s="43"/>
      <c r="K239" s="30">
        <f t="shared" si="1"/>
        <v>1876.578012</v>
      </c>
    </row>
    <row r="240" ht="15.75" customHeight="1">
      <c r="A240" s="25" t="s">
        <v>210</v>
      </c>
      <c r="B240" s="42" t="s">
        <v>527</v>
      </c>
      <c r="C240" s="27" t="s">
        <v>37</v>
      </c>
      <c r="D240" s="28" t="s">
        <v>755</v>
      </c>
      <c r="E240" s="5" t="s">
        <v>63</v>
      </c>
      <c r="F240" s="5" t="s">
        <v>63</v>
      </c>
      <c r="G240" s="5">
        <v>1.0</v>
      </c>
      <c r="H240" s="5">
        <v>16.0</v>
      </c>
      <c r="I240" s="5">
        <v>4.0</v>
      </c>
      <c r="J240" s="43"/>
      <c r="K240" s="30">
        <f t="shared" si="1"/>
        <v>1072.330292</v>
      </c>
    </row>
    <row r="241" ht="15.75" customHeight="1">
      <c r="A241" s="25" t="s">
        <v>210</v>
      </c>
      <c r="B241" s="42" t="s">
        <v>527</v>
      </c>
      <c r="C241" s="27" t="s">
        <v>37</v>
      </c>
      <c r="D241" s="28" t="s">
        <v>755</v>
      </c>
      <c r="E241" s="5" t="s">
        <v>63</v>
      </c>
      <c r="F241" s="5" t="s">
        <v>63</v>
      </c>
      <c r="G241" s="5">
        <v>3.0</v>
      </c>
      <c r="H241" s="5">
        <v>8.0</v>
      </c>
      <c r="I241" s="5">
        <v>6.0</v>
      </c>
      <c r="J241" s="43"/>
      <c r="K241" s="30">
        <f t="shared" si="1"/>
        <v>3619.114737</v>
      </c>
    </row>
    <row r="242" ht="15.75" customHeight="1">
      <c r="A242" s="25" t="s">
        <v>210</v>
      </c>
      <c r="B242" s="42" t="s">
        <v>527</v>
      </c>
      <c r="C242" s="27" t="s">
        <v>37</v>
      </c>
      <c r="D242" s="28" t="s">
        <v>755</v>
      </c>
      <c r="E242" s="5" t="s">
        <v>63</v>
      </c>
      <c r="F242" s="5" t="s">
        <v>63</v>
      </c>
      <c r="G242" s="5">
        <v>1.0</v>
      </c>
      <c r="H242" s="5">
        <v>18.0</v>
      </c>
      <c r="I242" s="5">
        <v>5.0</v>
      </c>
      <c r="J242" s="43"/>
      <c r="K242" s="30">
        <f t="shared" si="1"/>
        <v>1884.955592</v>
      </c>
    </row>
    <row r="243" ht="15.75" customHeight="1">
      <c r="A243" s="25" t="s">
        <v>210</v>
      </c>
      <c r="B243" s="42" t="s">
        <v>527</v>
      </c>
      <c r="C243" s="27" t="s">
        <v>37</v>
      </c>
      <c r="D243" s="28" t="s">
        <v>755</v>
      </c>
      <c r="E243" s="5" t="s">
        <v>63</v>
      </c>
      <c r="F243" s="5" t="s">
        <v>63</v>
      </c>
      <c r="G243" s="5">
        <v>2.0</v>
      </c>
      <c r="H243" s="5">
        <v>14.0</v>
      </c>
      <c r="I243" s="5">
        <v>6.0</v>
      </c>
      <c r="J243" s="43"/>
      <c r="K243" s="30">
        <f t="shared" si="1"/>
        <v>4222.300526</v>
      </c>
    </row>
    <row r="244" ht="15.75" customHeight="1">
      <c r="A244" s="31" t="s">
        <v>119</v>
      </c>
      <c r="B244" s="26" t="s">
        <v>532</v>
      </c>
      <c r="C244" s="27" t="s">
        <v>39</v>
      </c>
      <c r="D244" s="28" t="s">
        <v>754</v>
      </c>
      <c r="E244" s="28" t="s">
        <v>63</v>
      </c>
      <c r="F244" s="28" t="s">
        <v>63</v>
      </c>
      <c r="G244" s="28">
        <v>1.0</v>
      </c>
      <c r="H244" s="28">
        <v>2.0</v>
      </c>
      <c r="I244" s="28">
        <v>1.0</v>
      </c>
      <c r="J244" s="28"/>
      <c r="K244" s="30">
        <f t="shared" si="1"/>
        <v>8.37758041</v>
      </c>
    </row>
    <row r="245" ht="15.75" customHeight="1">
      <c r="A245" s="31" t="s">
        <v>170</v>
      </c>
      <c r="B245" s="26" t="s">
        <v>533</v>
      </c>
      <c r="C245" s="27" t="s">
        <v>40</v>
      </c>
      <c r="D245" s="28" t="s">
        <v>755</v>
      </c>
      <c r="E245" s="28" t="s">
        <v>757</v>
      </c>
      <c r="F245" s="28" t="s">
        <v>757</v>
      </c>
      <c r="G245" s="28">
        <v>0.0</v>
      </c>
      <c r="H245" s="28"/>
      <c r="I245" s="28"/>
      <c r="J245" s="28"/>
      <c r="K245" s="30">
        <f t="shared" si="1"/>
        <v>0</v>
      </c>
    </row>
    <row r="246" ht="15.75" customHeight="1">
      <c r="A246" s="31" t="s">
        <v>207</v>
      </c>
      <c r="B246" s="26" t="s">
        <v>534</v>
      </c>
      <c r="C246" s="27" t="s">
        <v>40</v>
      </c>
      <c r="D246" s="28" t="s">
        <v>755</v>
      </c>
      <c r="E246" s="28" t="s">
        <v>93</v>
      </c>
      <c r="F246" s="28" t="s">
        <v>73</v>
      </c>
      <c r="G246" s="28">
        <v>1.0</v>
      </c>
      <c r="H246" s="28">
        <v>20.0</v>
      </c>
      <c r="I246" s="28">
        <v>7.0</v>
      </c>
      <c r="J246" s="28"/>
      <c r="K246" s="30">
        <f t="shared" si="1"/>
        <v>4105.014401</v>
      </c>
    </row>
    <row r="247" ht="15.75" customHeight="1">
      <c r="A247" s="31" t="s">
        <v>207</v>
      </c>
      <c r="B247" s="26" t="s">
        <v>534</v>
      </c>
      <c r="C247" s="27" t="s">
        <v>40</v>
      </c>
      <c r="D247" s="28" t="s">
        <v>755</v>
      </c>
      <c r="E247" s="28" t="s">
        <v>63</v>
      </c>
      <c r="F247" s="28" t="s">
        <v>63</v>
      </c>
      <c r="G247" s="28">
        <v>1.0</v>
      </c>
      <c r="H247" s="28">
        <v>15.0</v>
      </c>
      <c r="I247" s="28">
        <v>8.0</v>
      </c>
      <c r="J247" s="28"/>
      <c r="K247" s="30">
        <f t="shared" si="1"/>
        <v>4021.238597</v>
      </c>
    </row>
    <row r="248" ht="15.75" customHeight="1">
      <c r="A248" s="31" t="s">
        <v>129</v>
      </c>
      <c r="B248" s="26" t="s">
        <v>536</v>
      </c>
      <c r="C248" s="27" t="s">
        <v>40</v>
      </c>
      <c r="D248" s="28" t="s">
        <v>755</v>
      </c>
      <c r="E248" s="28" t="s">
        <v>757</v>
      </c>
      <c r="F248" s="28" t="s">
        <v>757</v>
      </c>
      <c r="G248" s="28">
        <v>0.0</v>
      </c>
      <c r="H248" s="28"/>
      <c r="I248" s="28"/>
      <c r="J248" s="28"/>
      <c r="K248" s="30">
        <f t="shared" si="1"/>
        <v>0</v>
      </c>
    </row>
    <row r="249" ht="15.75" customHeight="1">
      <c r="A249" s="25" t="s">
        <v>119</v>
      </c>
      <c r="B249" s="26" t="s">
        <v>538</v>
      </c>
      <c r="C249" s="27" t="s">
        <v>10</v>
      </c>
      <c r="D249" s="28" t="s">
        <v>754</v>
      </c>
      <c r="E249" s="28" t="s">
        <v>759</v>
      </c>
      <c r="F249" s="28" t="s">
        <v>75</v>
      </c>
      <c r="G249" s="28">
        <v>1.0</v>
      </c>
      <c r="H249" s="28">
        <v>2.0</v>
      </c>
      <c r="I249" s="28">
        <v>0.5</v>
      </c>
      <c r="J249" s="28"/>
      <c r="K249" s="30">
        <f t="shared" si="1"/>
        <v>2.094395102</v>
      </c>
    </row>
    <row r="250" ht="15.75" customHeight="1">
      <c r="A250" s="25" t="s">
        <v>119</v>
      </c>
      <c r="B250" s="26" t="s">
        <v>538</v>
      </c>
      <c r="C250" s="27" t="s">
        <v>10</v>
      </c>
      <c r="D250" s="28" t="s">
        <v>754</v>
      </c>
      <c r="E250" s="28" t="s">
        <v>61</v>
      </c>
      <c r="F250" s="28" t="s">
        <v>61</v>
      </c>
      <c r="G250" s="28">
        <v>1.0</v>
      </c>
      <c r="H250" s="28">
        <v>10.0</v>
      </c>
      <c r="I250" s="28">
        <v>1.0</v>
      </c>
      <c r="J250" s="28"/>
      <c r="K250" s="30">
        <f t="shared" si="1"/>
        <v>41.88790205</v>
      </c>
    </row>
    <row r="251" ht="15.75" customHeight="1">
      <c r="A251" s="25" t="s">
        <v>119</v>
      </c>
      <c r="B251" s="26" t="s">
        <v>538</v>
      </c>
      <c r="C251" s="27" t="s">
        <v>10</v>
      </c>
      <c r="D251" s="28" t="s">
        <v>754</v>
      </c>
      <c r="E251" s="28" t="s">
        <v>794</v>
      </c>
      <c r="F251" s="28" t="s">
        <v>794</v>
      </c>
      <c r="G251" s="28">
        <v>1.0</v>
      </c>
      <c r="H251" s="28"/>
      <c r="I251" s="28"/>
      <c r="J251" s="37" t="s">
        <v>762</v>
      </c>
      <c r="K251" s="30">
        <f t="shared" si="1"/>
        <v>0</v>
      </c>
    </row>
    <row r="252" ht="15.75" customHeight="1">
      <c r="A252" s="25" t="s">
        <v>119</v>
      </c>
      <c r="B252" s="26" t="s">
        <v>538</v>
      </c>
      <c r="C252" s="27" t="s">
        <v>10</v>
      </c>
      <c r="D252" s="28" t="s">
        <v>754</v>
      </c>
      <c r="E252" s="28" t="s">
        <v>63</v>
      </c>
      <c r="F252" s="28" t="s">
        <v>63</v>
      </c>
      <c r="G252" s="28">
        <v>1.0</v>
      </c>
      <c r="H252" s="28">
        <v>4.0</v>
      </c>
      <c r="I252" s="28">
        <v>1.0</v>
      </c>
      <c r="J252" s="28"/>
      <c r="K252" s="30">
        <f t="shared" si="1"/>
        <v>16.75516082</v>
      </c>
    </row>
    <row r="253" ht="15.75" customHeight="1">
      <c r="A253" s="25" t="s">
        <v>119</v>
      </c>
      <c r="B253" s="26" t="s">
        <v>538</v>
      </c>
      <c r="C253" s="27" t="s">
        <v>10</v>
      </c>
      <c r="D253" s="28" t="s">
        <v>754</v>
      </c>
      <c r="E253" s="28" t="s">
        <v>63</v>
      </c>
      <c r="F253" s="28" t="s">
        <v>63</v>
      </c>
      <c r="G253" s="28">
        <v>1.0</v>
      </c>
      <c r="H253" s="28">
        <v>3.0</v>
      </c>
      <c r="I253" s="28">
        <v>1.0</v>
      </c>
      <c r="J253" s="28"/>
      <c r="K253" s="30">
        <f t="shared" si="1"/>
        <v>12.56637061</v>
      </c>
    </row>
    <row r="254" ht="15.75" customHeight="1">
      <c r="A254" s="25" t="s">
        <v>119</v>
      </c>
      <c r="B254" s="26" t="s">
        <v>538</v>
      </c>
      <c r="C254" s="27" t="s">
        <v>10</v>
      </c>
      <c r="D254" s="28" t="s">
        <v>754</v>
      </c>
      <c r="E254" s="28" t="s">
        <v>759</v>
      </c>
      <c r="F254" s="28" t="s">
        <v>75</v>
      </c>
      <c r="G254" s="28">
        <v>1.0</v>
      </c>
      <c r="H254" s="28">
        <v>2.0</v>
      </c>
      <c r="I254" s="28">
        <v>0.5</v>
      </c>
      <c r="J254" s="28"/>
      <c r="K254" s="30">
        <f t="shared" si="1"/>
        <v>2.094395102</v>
      </c>
    </row>
    <row r="255" ht="15.75" customHeight="1">
      <c r="A255" s="31" t="s">
        <v>214</v>
      </c>
      <c r="B255" s="26" t="s">
        <v>540</v>
      </c>
      <c r="C255" s="27" t="s">
        <v>16</v>
      </c>
      <c r="D255" s="37" t="s">
        <v>755</v>
      </c>
      <c r="E255" s="28" t="s">
        <v>757</v>
      </c>
      <c r="F255" s="28" t="s">
        <v>757</v>
      </c>
      <c r="G255" s="28">
        <v>0.0</v>
      </c>
      <c r="H255" s="28"/>
      <c r="I255" s="28"/>
      <c r="J255" s="28"/>
      <c r="K255" s="30">
        <f t="shared" si="1"/>
        <v>0</v>
      </c>
    </row>
    <row r="256" ht="15.75" customHeight="1">
      <c r="A256" s="31" t="s">
        <v>170</v>
      </c>
      <c r="B256" s="26" t="s">
        <v>543</v>
      </c>
      <c r="C256" s="27" t="s">
        <v>16</v>
      </c>
      <c r="D256" s="28" t="s">
        <v>755</v>
      </c>
      <c r="E256" s="28" t="s">
        <v>756</v>
      </c>
      <c r="F256" s="28" t="s">
        <v>756</v>
      </c>
      <c r="G256" s="28">
        <v>1.0</v>
      </c>
      <c r="H256" s="28"/>
      <c r="I256" s="28"/>
      <c r="J256" s="37" t="s">
        <v>762</v>
      </c>
      <c r="K256" s="30">
        <f t="shared" si="1"/>
        <v>0</v>
      </c>
    </row>
    <row r="257" ht="15.75" customHeight="1">
      <c r="A257" s="31" t="s">
        <v>150</v>
      </c>
      <c r="B257" s="26" t="s">
        <v>545</v>
      </c>
      <c r="C257" s="27" t="s">
        <v>16</v>
      </c>
      <c r="D257" s="28" t="s">
        <v>755</v>
      </c>
      <c r="E257" s="28" t="s">
        <v>71</v>
      </c>
      <c r="F257" s="28" t="s">
        <v>71</v>
      </c>
      <c r="G257" s="28">
        <v>1.0</v>
      </c>
      <c r="H257" s="28"/>
      <c r="I257" s="28"/>
      <c r="J257" s="28" t="s">
        <v>762</v>
      </c>
      <c r="K257" s="30">
        <f t="shared" si="1"/>
        <v>0</v>
      </c>
    </row>
    <row r="258" ht="15.75" customHeight="1">
      <c r="A258" s="31" t="s">
        <v>150</v>
      </c>
      <c r="B258" s="26" t="s">
        <v>545</v>
      </c>
      <c r="C258" s="27" t="s">
        <v>16</v>
      </c>
      <c r="D258" s="28" t="s">
        <v>755</v>
      </c>
      <c r="E258" s="28" t="s">
        <v>71</v>
      </c>
      <c r="F258" s="28" t="s">
        <v>71</v>
      </c>
      <c r="G258" s="28">
        <v>1.0</v>
      </c>
      <c r="H258" s="28"/>
      <c r="I258" s="28"/>
      <c r="J258" s="28" t="s">
        <v>762</v>
      </c>
      <c r="K258" s="30">
        <f t="shared" si="1"/>
        <v>0</v>
      </c>
    </row>
    <row r="259" ht="15.75" customHeight="1">
      <c r="A259" s="25" t="s">
        <v>869</v>
      </c>
      <c r="B259" s="26" t="s">
        <v>547</v>
      </c>
      <c r="C259" s="27" t="s">
        <v>40</v>
      </c>
      <c r="D259" s="28" t="s">
        <v>755</v>
      </c>
      <c r="E259" s="28" t="s">
        <v>63</v>
      </c>
      <c r="F259" s="28" t="s">
        <v>63</v>
      </c>
      <c r="G259" s="28">
        <v>1.0</v>
      </c>
      <c r="H259" s="28">
        <v>6.0</v>
      </c>
      <c r="I259" s="28">
        <v>2.0</v>
      </c>
      <c r="J259" s="28"/>
      <c r="K259" s="30">
        <f t="shared" si="1"/>
        <v>100.5309649</v>
      </c>
    </row>
    <row r="260" ht="15.75" customHeight="1">
      <c r="A260" s="25" t="s">
        <v>870</v>
      </c>
      <c r="B260" s="26" t="s">
        <v>547</v>
      </c>
      <c r="C260" s="27" t="s">
        <v>40</v>
      </c>
      <c r="D260" s="28" t="s">
        <v>755</v>
      </c>
      <c r="E260" s="28" t="s">
        <v>63</v>
      </c>
      <c r="F260" s="28" t="s">
        <v>63</v>
      </c>
      <c r="G260" s="28">
        <v>1.0</v>
      </c>
      <c r="H260" s="28">
        <v>5.0</v>
      </c>
      <c r="I260" s="28">
        <v>2.0</v>
      </c>
      <c r="J260" s="28"/>
      <c r="K260" s="30">
        <f t="shared" si="1"/>
        <v>83.7758041</v>
      </c>
    </row>
    <row r="261" ht="15.75" customHeight="1">
      <c r="A261" s="25" t="s">
        <v>871</v>
      </c>
      <c r="B261" s="26" t="s">
        <v>547</v>
      </c>
      <c r="C261" s="27" t="s">
        <v>40</v>
      </c>
      <c r="D261" s="28" t="s">
        <v>755</v>
      </c>
      <c r="E261" s="28" t="s">
        <v>57</v>
      </c>
      <c r="F261" s="28" t="s">
        <v>57</v>
      </c>
      <c r="G261" s="28">
        <v>1.0</v>
      </c>
      <c r="H261" s="28">
        <v>5.0</v>
      </c>
      <c r="I261" s="28">
        <v>2.0</v>
      </c>
      <c r="J261" s="28"/>
      <c r="K261" s="30">
        <f t="shared" si="1"/>
        <v>83.7758041</v>
      </c>
    </row>
    <row r="262" ht="15.75" customHeight="1">
      <c r="A262" s="31" t="s">
        <v>207</v>
      </c>
      <c r="B262" s="26" t="s">
        <v>549</v>
      </c>
      <c r="C262" s="27" t="s">
        <v>31</v>
      </c>
      <c r="D262" s="28" t="s">
        <v>755</v>
      </c>
      <c r="E262" s="28" t="s">
        <v>757</v>
      </c>
      <c r="F262" s="28" t="s">
        <v>757</v>
      </c>
      <c r="G262" s="28">
        <v>0.0</v>
      </c>
      <c r="H262" s="28"/>
      <c r="I262" s="28"/>
      <c r="J262" s="28" t="s">
        <v>813</v>
      </c>
      <c r="K262" s="30">
        <f t="shared" si="1"/>
        <v>0</v>
      </c>
    </row>
    <row r="263" ht="15.75" customHeight="1">
      <c r="A263" s="31" t="s">
        <v>170</v>
      </c>
      <c r="B263" s="26" t="s">
        <v>553</v>
      </c>
      <c r="C263" s="27" t="s">
        <v>31</v>
      </c>
      <c r="D263" s="28" t="s">
        <v>755</v>
      </c>
      <c r="E263" s="28" t="s">
        <v>757</v>
      </c>
      <c r="F263" s="28" t="s">
        <v>757</v>
      </c>
      <c r="G263" s="28">
        <v>0.0</v>
      </c>
      <c r="H263" s="28"/>
      <c r="I263" s="28"/>
      <c r="J263" s="28"/>
      <c r="K263" s="30">
        <f t="shared" si="1"/>
        <v>0</v>
      </c>
    </row>
    <row r="264" ht="15.75" customHeight="1">
      <c r="A264" s="31" t="s">
        <v>150</v>
      </c>
      <c r="B264" s="47" t="s">
        <v>555</v>
      </c>
      <c r="C264" s="27" t="s">
        <v>31</v>
      </c>
      <c r="D264" s="28" t="s">
        <v>755</v>
      </c>
      <c r="E264" s="28" t="s">
        <v>757</v>
      </c>
      <c r="F264" s="28" t="s">
        <v>757</v>
      </c>
      <c r="G264" s="28">
        <v>0.0</v>
      </c>
      <c r="H264" s="28"/>
      <c r="I264" s="28"/>
      <c r="J264" s="28"/>
      <c r="K264" s="30">
        <f t="shared" si="1"/>
        <v>0</v>
      </c>
    </row>
    <row r="265" ht="15.75" customHeight="1">
      <c r="A265" s="31" t="s">
        <v>129</v>
      </c>
      <c r="B265" s="26" t="s">
        <v>557</v>
      </c>
      <c r="C265" s="27" t="s">
        <v>31</v>
      </c>
      <c r="D265" s="28" t="s">
        <v>755</v>
      </c>
      <c r="E265" s="28" t="s">
        <v>757</v>
      </c>
      <c r="F265" s="28" t="s">
        <v>757</v>
      </c>
      <c r="G265" s="28">
        <v>0.0</v>
      </c>
      <c r="H265" s="28"/>
      <c r="I265" s="28"/>
      <c r="J265" s="28"/>
      <c r="K265" s="30">
        <f t="shared" si="1"/>
        <v>0</v>
      </c>
    </row>
    <row r="266" ht="15.75" customHeight="1">
      <c r="A266" s="31" t="s">
        <v>207</v>
      </c>
      <c r="B266" s="26" t="s">
        <v>558</v>
      </c>
      <c r="C266" s="27" t="s">
        <v>40</v>
      </c>
      <c r="D266" s="28" t="s">
        <v>755</v>
      </c>
      <c r="E266" s="28" t="s">
        <v>93</v>
      </c>
      <c r="F266" s="28" t="s">
        <v>93</v>
      </c>
      <c r="G266" s="28">
        <v>1.0</v>
      </c>
      <c r="H266" s="28"/>
      <c r="I266" s="28"/>
      <c r="J266" s="28" t="s">
        <v>762</v>
      </c>
      <c r="K266" s="30">
        <f t="shared" si="1"/>
        <v>0</v>
      </c>
    </row>
    <row r="267" ht="15.75" customHeight="1">
      <c r="A267" s="31" t="s">
        <v>207</v>
      </c>
      <c r="B267" s="26" t="s">
        <v>558</v>
      </c>
      <c r="C267" s="27" t="s">
        <v>40</v>
      </c>
      <c r="D267" s="28" t="s">
        <v>755</v>
      </c>
      <c r="E267" s="28" t="s">
        <v>81</v>
      </c>
      <c r="F267" s="28" t="s">
        <v>81</v>
      </c>
      <c r="G267" s="28">
        <v>1.0</v>
      </c>
      <c r="H267" s="28">
        <v>4.0</v>
      </c>
      <c r="I267" s="28">
        <v>3.0</v>
      </c>
      <c r="J267" s="28"/>
      <c r="K267" s="30">
        <f t="shared" si="1"/>
        <v>150.7964474</v>
      </c>
    </row>
    <row r="268" ht="15.75" customHeight="1">
      <c r="A268" s="31" t="s">
        <v>207</v>
      </c>
      <c r="B268" s="26" t="s">
        <v>558</v>
      </c>
      <c r="C268" s="27" t="s">
        <v>40</v>
      </c>
      <c r="D268" s="28" t="s">
        <v>755</v>
      </c>
      <c r="E268" s="28" t="s">
        <v>63</v>
      </c>
      <c r="F268" s="28" t="s">
        <v>63</v>
      </c>
      <c r="G268" s="28">
        <v>1.0</v>
      </c>
      <c r="H268" s="28">
        <v>7.0</v>
      </c>
      <c r="I268" s="28">
        <v>4.0</v>
      </c>
      <c r="J268" s="28"/>
      <c r="K268" s="30">
        <f t="shared" si="1"/>
        <v>469.1445029</v>
      </c>
    </row>
    <row r="269" ht="15.75" customHeight="1">
      <c r="A269" s="31" t="s">
        <v>207</v>
      </c>
      <c r="B269" s="26" t="s">
        <v>558</v>
      </c>
      <c r="C269" s="27" t="s">
        <v>40</v>
      </c>
      <c r="D269" s="28" t="s">
        <v>755</v>
      </c>
      <c r="E269" s="28" t="s">
        <v>63</v>
      </c>
      <c r="F269" s="28" t="s">
        <v>63</v>
      </c>
      <c r="G269" s="28">
        <v>1.0</v>
      </c>
      <c r="H269" s="28">
        <v>9.0</v>
      </c>
      <c r="I269" s="28">
        <v>4.0</v>
      </c>
      <c r="J269" s="28"/>
      <c r="K269" s="30">
        <f t="shared" si="1"/>
        <v>603.1857895</v>
      </c>
    </row>
    <row r="270" ht="15.75" customHeight="1">
      <c r="A270" s="31" t="s">
        <v>150</v>
      </c>
      <c r="B270" s="26" t="s">
        <v>560</v>
      </c>
      <c r="C270" s="27" t="s">
        <v>40</v>
      </c>
      <c r="D270" s="28" t="s">
        <v>755</v>
      </c>
      <c r="E270" s="28" t="s">
        <v>91</v>
      </c>
      <c r="F270" s="28" t="s">
        <v>91</v>
      </c>
      <c r="G270" s="28">
        <v>1.0</v>
      </c>
      <c r="H270" s="28">
        <v>6.0</v>
      </c>
      <c r="I270" s="28">
        <v>5.0</v>
      </c>
      <c r="J270" s="28"/>
      <c r="K270" s="30">
        <f t="shared" si="1"/>
        <v>628.3185307</v>
      </c>
    </row>
    <row r="271" ht="15.75" customHeight="1">
      <c r="A271" s="31" t="s">
        <v>210</v>
      </c>
      <c r="B271" s="26" t="s">
        <v>564</v>
      </c>
      <c r="C271" s="27" t="s">
        <v>28</v>
      </c>
      <c r="D271" s="28" t="s">
        <v>755</v>
      </c>
      <c r="E271" s="28" t="s">
        <v>63</v>
      </c>
      <c r="F271" s="28" t="s">
        <v>63</v>
      </c>
      <c r="G271" s="28">
        <v>1.0</v>
      </c>
      <c r="H271" s="28">
        <v>30.0</v>
      </c>
      <c r="I271" s="28">
        <v>10.0</v>
      </c>
      <c r="J271" s="28"/>
      <c r="K271" s="30">
        <f t="shared" si="1"/>
        <v>12566.37061</v>
      </c>
    </row>
    <row r="272" ht="15.75" customHeight="1">
      <c r="A272" s="31" t="s">
        <v>210</v>
      </c>
      <c r="B272" s="26" t="s">
        <v>564</v>
      </c>
      <c r="C272" s="27" t="s">
        <v>28</v>
      </c>
      <c r="D272" s="28" t="s">
        <v>755</v>
      </c>
      <c r="E272" s="28" t="s">
        <v>63</v>
      </c>
      <c r="F272" s="28" t="s">
        <v>63</v>
      </c>
      <c r="G272" s="28">
        <v>1.0</v>
      </c>
      <c r="H272" s="28">
        <v>7.0</v>
      </c>
      <c r="I272" s="28">
        <v>2.0</v>
      </c>
      <c r="J272" s="28"/>
      <c r="K272" s="30">
        <f t="shared" si="1"/>
        <v>117.2861257</v>
      </c>
    </row>
    <row r="273" ht="15.75" customHeight="1">
      <c r="A273" s="31" t="s">
        <v>210</v>
      </c>
      <c r="B273" s="26" t="s">
        <v>564</v>
      </c>
      <c r="C273" s="27" t="s">
        <v>28</v>
      </c>
      <c r="D273" s="28" t="s">
        <v>755</v>
      </c>
      <c r="E273" s="28" t="s">
        <v>63</v>
      </c>
      <c r="F273" s="28" t="s">
        <v>63</v>
      </c>
      <c r="G273" s="28">
        <v>1.0</v>
      </c>
      <c r="H273" s="28">
        <v>3.0</v>
      </c>
      <c r="I273" s="28">
        <v>1.0</v>
      </c>
      <c r="J273" s="28"/>
      <c r="K273" s="30">
        <f t="shared" si="1"/>
        <v>12.56637061</v>
      </c>
    </row>
    <row r="274" ht="15.75" customHeight="1">
      <c r="A274" s="31" t="s">
        <v>210</v>
      </c>
      <c r="B274" s="26" t="s">
        <v>564</v>
      </c>
      <c r="C274" s="27" t="s">
        <v>28</v>
      </c>
      <c r="D274" s="28" t="s">
        <v>755</v>
      </c>
      <c r="E274" s="28" t="s">
        <v>71</v>
      </c>
      <c r="F274" s="28" t="s">
        <v>71</v>
      </c>
      <c r="G274" s="28">
        <v>5.0</v>
      </c>
      <c r="H274" s="28"/>
      <c r="I274" s="28"/>
      <c r="J274" s="28" t="s">
        <v>762</v>
      </c>
      <c r="K274" s="30">
        <f t="shared" si="1"/>
        <v>0</v>
      </c>
    </row>
    <row r="275" ht="15.75" customHeight="1">
      <c r="A275" s="31" t="s">
        <v>210</v>
      </c>
      <c r="B275" s="26" t="s">
        <v>564</v>
      </c>
      <c r="C275" s="27" t="s">
        <v>28</v>
      </c>
      <c r="D275" s="28" t="s">
        <v>755</v>
      </c>
      <c r="E275" s="28" t="s">
        <v>63</v>
      </c>
      <c r="F275" s="28" t="s">
        <v>97</v>
      </c>
      <c r="G275" s="28">
        <v>3.0</v>
      </c>
      <c r="H275" s="28">
        <v>7.0</v>
      </c>
      <c r="I275" s="28">
        <v>2.0</v>
      </c>
      <c r="J275" s="28"/>
      <c r="K275" s="30">
        <f t="shared" si="1"/>
        <v>351.8583772</v>
      </c>
    </row>
    <row r="276" ht="15.75" customHeight="1">
      <c r="A276" s="31" t="s">
        <v>210</v>
      </c>
      <c r="B276" s="26" t="s">
        <v>564</v>
      </c>
      <c r="C276" s="27" t="s">
        <v>28</v>
      </c>
      <c r="D276" s="28" t="s">
        <v>755</v>
      </c>
      <c r="E276" s="28" t="s">
        <v>69</v>
      </c>
      <c r="F276" s="28" t="s">
        <v>69</v>
      </c>
      <c r="G276" s="28">
        <v>1.0</v>
      </c>
      <c r="H276" s="28"/>
      <c r="I276" s="28"/>
      <c r="J276" s="28" t="s">
        <v>814</v>
      </c>
      <c r="K276" s="30">
        <f t="shared" si="1"/>
        <v>0</v>
      </c>
    </row>
    <row r="277" ht="15.75" customHeight="1">
      <c r="A277" s="31" t="s">
        <v>210</v>
      </c>
      <c r="B277" s="26" t="s">
        <v>564</v>
      </c>
      <c r="C277" s="27" t="s">
        <v>28</v>
      </c>
      <c r="D277" s="28" t="s">
        <v>755</v>
      </c>
      <c r="E277" s="28" t="s">
        <v>63</v>
      </c>
      <c r="F277" s="28" t="s">
        <v>63</v>
      </c>
      <c r="G277" s="28">
        <v>1.0</v>
      </c>
      <c r="H277" s="28">
        <v>7.0</v>
      </c>
      <c r="I277" s="28">
        <v>4.0</v>
      </c>
      <c r="J277" s="28"/>
      <c r="K277" s="30">
        <f t="shared" si="1"/>
        <v>469.1445029</v>
      </c>
    </row>
    <row r="278" ht="15.75" customHeight="1">
      <c r="A278" s="31" t="s">
        <v>210</v>
      </c>
      <c r="B278" s="26" t="s">
        <v>564</v>
      </c>
      <c r="C278" s="27" t="s">
        <v>28</v>
      </c>
      <c r="D278" s="28" t="s">
        <v>755</v>
      </c>
      <c r="E278" s="28" t="s">
        <v>63</v>
      </c>
      <c r="F278" s="28" t="s">
        <v>63</v>
      </c>
      <c r="G278" s="28">
        <v>1.0</v>
      </c>
      <c r="H278" s="28">
        <v>14.0</v>
      </c>
      <c r="I278" s="28">
        <v>4.0</v>
      </c>
      <c r="J278" s="28"/>
      <c r="K278" s="30">
        <f t="shared" si="1"/>
        <v>938.2890059</v>
      </c>
    </row>
    <row r="279" ht="15.75" customHeight="1">
      <c r="A279" s="31" t="s">
        <v>210</v>
      </c>
      <c r="B279" s="26" t="s">
        <v>564</v>
      </c>
      <c r="C279" s="27" t="s">
        <v>28</v>
      </c>
      <c r="D279" s="28" t="s">
        <v>755</v>
      </c>
      <c r="E279" s="28" t="s">
        <v>63</v>
      </c>
      <c r="F279" s="28" t="s">
        <v>63</v>
      </c>
      <c r="G279" s="28">
        <v>1.0</v>
      </c>
      <c r="H279" s="28">
        <v>6.0</v>
      </c>
      <c r="I279" s="28">
        <v>3.0</v>
      </c>
      <c r="J279" s="28"/>
      <c r="K279" s="30">
        <f t="shared" si="1"/>
        <v>226.1946711</v>
      </c>
    </row>
    <row r="280" ht="15.75" customHeight="1">
      <c r="A280" s="31" t="s">
        <v>210</v>
      </c>
      <c r="B280" s="26" t="s">
        <v>564</v>
      </c>
      <c r="C280" s="27" t="s">
        <v>28</v>
      </c>
      <c r="D280" s="28" t="s">
        <v>755</v>
      </c>
      <c r="E280" s="28" t="s">
        <v>63</v>
      </c>
      <c r="F280" s="28" t="s">
        <v>63</v>
      </c>
      <c r="G280" s="28">
        <v>1.0</v>
      </c>
      <c r="H280" s="28">
        <v>17.0</v>
      </c>
      <c r="I280" s="28">
        <v>6.0</v>
      </c>
      <c r="J280" s="28"/>
      <c r="K280" s="30">
        <f t="shared" si="1"/>
        <v>2563.539605</v>
      </c>
    </row>
    <row r="281" ht="15.75" customHeight="1">
      <c r="A281" s="31" t="s">
        <v>129</v>
      </c>
      <c r="B281" s="26" t="s">
        <v>566</v>
      </c>
      <c r="C281" s="27" t="s">
        <v>6</v>
      </c>
      <c r="D281" s="28" t="s">
        <v>754</v>
      </c>
      <c r="E281" s="28" t="s">
        <v>757</v>
      </c>
      <c r="F281" s="28" t="s">
        <v>757</v>
      </c>
      <c r="G281" s="28">
        <v>0.0</v>
      </c>
      <c r="H281" s="28"/>
      <c r="I281" s="28"/>
      <c r="J281" s="28"/>
      <c r="K281" s="30">
        <f t="shared" si="1"/>
        <v>0</v>
      </c>
    </row>
    <row r="282" ht="15.75" customHeight="1">
      <c r="A282" s="25" t="s">
        <v>872</v>
      </c>
      <c r="B282" s="26" t="s">
        <v>568</v>
      </c>
      <c r="C282" s="27" t="s">
        <v>6</v>
      </c>
      <c r="D282" s="28" t="s">
        <v>754</v>
      </c>
      <c r="E282" s="28" t="s">
        <v>57</v>
      </c>
      <c r="F282" s="28" t="s">
        <v>57</v>
      </c>
      <c r="G282" s="28">
        <v>1.0</v>
      </c>
      <c r="H282" s="28"/>
      <c r="I282" s="28"/>
      <c r="J282" s="37" t="s">
        <v>762</v>
      </c>
      <c r="K282" s="30">
        <f t="shared" si="1"/>
        <v>0</v>
      </c>
    </row>
    <row r="283" ht="15.75" customHeight="1">
      <c r="A283" s="31" t="s">
        <v>137</v>
      </c>
      <c r="B283" s="26" t="s">
        <v>570</v>
      </c>
      <c r="C283" s="27" t="s">
        <v>6</v>
      </c>
      <c r="D283" s="28" t="s">
        <v>754</v>
      </c>
      <c r="E283" s="28" t="s">
        <v>759</v>
      </c>
      <c r="F283" s="28" t="s">
        <v>75</v>
      </c>
      <c r="G283" s="28">
        <v>2.0</v>
      </c>
      <c r="H283" s="28">
        <v>5.0</v>
      </c>
      <c r="I283" s="28">
        <v>1.0</v>
      </c>
      <c r="J283" s="28"/>
      <c r="K283" s="30">
        <f t="shared" si="1"/>
        <v>41.88790205</v>
      </c>
    </row>
    <row r="284" ht="15.75" customHeight="1">
      <c r="A284" s="31" t="s">
        <v>137</v>
      </c>
      <c r="B284" s="26" t="s">
        <v>570</v>
      </c>
      <c r="C284" s="27" t="s">
        <v>6</v>
      </c>
      <c r="D284" s="28" t="s">
        <v>754</v>
      </c>
      <c r="E284" s="28" t="s">
        <v>759</v>
      </c>
      <c r="F284" s="28" t="s">
        <v>75</v>
      </c>
      <c r="G284" s="28">
        <v>10.0</v>
      </c>
      <c r="H284" s="28">
        <v>4.0</v>
      </c>
      <c r="I284" s="28">
        <v>1.0</v>
      </c>
      <c r="J284" s="28"/>
      <c r="K284" s="30">
        <f t="shared" si="1"/>
        <v>167.5516082</v>
      </c>
    </row>
    <row r="285" ht="15.75" customHeight="1">
      <c r="A285" s="31" t="s">
        <v>137</v>
      </c>
      <c r="B285" s="26" t="s">
        <v>570</v>
      </c>
      <c r="C285" s="27" t="s">
        <v>6</v>
      </c>
      <c r="D285" s="28" t="s">
        <v>754</v>
      </c>
      <c r="E285" s="28" t="s">
        <v>759</v>
      </c>
      <c r="F285" s="28" t="s">
        <v>75</v>
      </c>
      <c r="G285" s="28">
        <v>5.0</v>
      </c>
      <c r="H285" s="28">
        <v>3.0</v>
      </c>
      <c r="I285" s="28">
        <v>1.0</v>
      </c>
      <c r="J285" s="28"/>
      <c r="K285" s="30">
        <f t="shared" si="1"/>
        <v>62.83185307</v>
      </c>
    </row>
    <row r="286" ht="15.75" customHeight="1">
      <c r="A286" s="31" t="s">
        <v>210</v>
      </c>
      <c r="B286" s="26" t="s">
        <v>572</v>
      </c>
      <c r="C286" s="27" t="s">
        <v>36</v>
      </c>
      <c r="D286" s="28" t="s">
        <v>754</v>
      </c>
      <c r="E286" s="28" t="s">
        <v>759</v>
      </c>
      <c r="F286" s="28" t="s">
        <v>75</v>
      </c>
      <c r="G286" s="28">
        <v>2.0</v>
      </c>
      <c r="H286" s="28"/>
      <c r="I286" s="28"/>
      <c r="J286" s="28" t="s">
        <v>762</v>
      </c>
      <c r="K286" s="30">
        <f t="shared" si="1"/>
        <v>0</v>
      </c>
    </row>
    <row r="287" ht="15.75" customHeight="1">
      <c r="A287" s="31" t="s">
        <v>210</v>
      </c>
      <c r="B287" s="26" t="s">
        <v>572</v>
      </c>
      <c r="C287" s="27" t="s">
        <v>36</v>
      </c>
      <c r="D287" s="28" t="s">
        <v>754</v>
      </c>
      <c r="E287" s="28" t="s">
        <v>63</v>
      </c>
      <c r="F287" s="28" t="s">
        <v>63</v>
      </c>
      <c r="G287" s="28">
        <v>1.0</v>
      </c>
      <c r="H287" s="28">
        <v>8.0</v>
      </c>
      <c r="I287" s="28">
        <v>5.0</v>
      </c>
      <c r="J287" s="28"/>
      <c r="K287" s="30">
        <f t="shared" si="1"/>
        <v>837.758041</v>
      </c>
    </row>
    <row r="288" ht="15.75" customHeight="1">
      <c r="A288" s="31" t="s">
        <v>210</v>
      </c>
      <c r="B288" s="26" t="s">
        <v>572</v>
      </c>
      <c r="C288" s="27" t="s">
        <v>36</v>
      </c>
      <c r="D288" s="28" t="s">
        <v>754</v>
      </c>
      <c r="E288" s="28" t="s">
        <v>63</v>
      </c>
      <c r="F288" s="28" t="s">
        <v>63</v>
      </c>
      <c r="G288" s="28">
        <v>5.0</v>
      </c>
      <c r="H288" s="28"/>
      <c r="I288" s="28"/>
      <c r="J288" s="28" t="s">
        <v>762</v>
      </c>
      <c r="K288" s="30">
        <f t="shared" si="1"/>
        <v>0</v>
      </c>
    </row>
    <row r="289" ht="15.75" customHeight="1">
      <c r="A289" s="31" t="s">
        <v>210</v>
      </c>
      <c r="B289" s="26" t="s">
        <v>572</v>
      </c>
      <c r="C289" s="27" t="s">
        <v>36</v>
      </c>
      <c r="D289" s="28" t="s">
        <v>754</v>
      </c>
      <c r="E289" s="28" t="s">
        <v>63</v>
      </c>
      <c r="F289" s="28" t="s">
        <v>63</v>
      </c>
      <c r="G289" s="28">
        <v>2.0</v>
      </c>
      <c r="H289" s="28">
        <v>5.0</v>
      </c>
      <c r="I289" s="28">
        <v>2.0</v>
      </c>
      <c r="J289" s="28"/>
      <c r="K289" s="30">
        <f t="shared" si="1"/>
        <v>167.5516082</v>
      </c>
    </row>
    <row r="290" ht="15.75" customHeight="1">
      <c r="A290" s="31" t="s">
        <v>210</v>
      </c>
      <c r="B290" s="26" t="s">
        <v>572</v>
      </c>
      <c r="C290" s="27" t="s">
        <v>36</v>
      </c>
      <c r="D290" s="28" t="s">
        <v>754</v>
      </c>
      <c r="E290" s="28" t="s">
        <v>63</v>
      </c>
      <c r="F290" s="28" t="s">
        <v>63</v>
      </c>
      <c r="G290" s="28">
        <v>2.0</v>
      </c>
      <c r="H290" s="28">
        <v>18.0</v>
      </c>
      <c r="I290" s="28">
        <v>6.0</v>
      </c>
      <c r="J290" s="28"/>
      <c r="K290" s="30">
        <f t="shared" si="1"/>
        <v>5428.672105</v>
      </c>
    </row>
    <row r="291" ht="15.75" customHeight="1">
      <c r="A291" s="31" t="s">
        <v>210</v>
      </c>
      <c r="B291" s="26" t="s">
        <v>572</v>
      </c>
      <c r="C291" s="27" t="s">
        <v>36</v>
      </c>
      <c r="D291" s="28" t="s">
        <v>754</v>
      </c>
      <c r="E291" s="28" t="s">
        <v>63</v>
      </c>
      <c r="F291" s="28" t="s">
        <v>63</v>
      </c>
      <c r="G291" s="28">
        <v>1.0</v>
      </c>
      <c r="H291" s="28">
        <v>12.0</v>
      </c>
      <c r="I291" s="28">
        <v>5.0</v>
      </c>
      <c r="J291" s="28"/>
      <c r="K291" s="30">
        <f t="shared" si="1"/>
        <v>1256.637061</v>
      </c>
    </row>
    <row r="292" ht="15.75" customHeight="1">
      <c r="A292" s="31" t="s">
        <v>210</v>
      </c>
      <c r="B292" s="26" t="s">
        <v>572</v>
      </c>
      <c r="C292" s="27" t="s">
        <v>36</v>
      </c>
      <c r="D292" s="28" t="s">
        <v>754</v>
      </c>
      <c r="E292" s="28" t="s">
        <v>63</v>
      </c>
      <c r="F292" s="28" t="s">
        <v>63</v>
      </c>
      <c r="G292" s="28">
        <v>1.0</v>
      </c>
      <c r="H292" s="28">
        <v>12.0</v>
      </c>
      <c r="I292" s="28">
        <v>4.0</v>
      </c>
      <c r="J292" s="28"/>
      <c r="K292" s="30">
        <f t="shared" si="1"/>
        <v>804.2477193</v>
      </c>
    </row>
    <row r="293" ht="15.75" customHeight="1">
      <c r="A293" s="31" t="s">
        <v>210</v>
      </c>
      <c r="B293" s="26" t="s">
        <v>572</v>
      </c>
      <c r="C293" s="27" t="s">
        <v>36</v>
      </c>
      <c r="D293" s="28" t="s">
        <v>754</v>
      </c>
      <c r="E293" s="28" t="s">
        <v>63</v>
      </c>
      <c r="F293" s="28" t="s">
        <v>63</v>
      </c>
      <c r="G293" s="28">
        <v>1.0</v>
      </c>
      <c r="H293" s="28">
        <v>17.0</v>
      </c>
      <c r="I293" s="28">
        <v>7.0</v>
      </c>
      <c r="J293" s="28"/>
      <c r="K293" s="30">
        <f t="shared" si="1"/>
        <v>3489.262241</v>
      </c>
    </row>
    <row r="294" ht="15.75" customHeight="1">
      <c r="A294" s="25" t="s">
        <v>441</v>
      </c>
      <c r="B294" s="42" t="s">
        <v>582</v>
      </c>
      <c r="C294" s="27" t="s">
        <v>37</v>
      </c>
      <c r="D294" s="28" t="s">
        <v>755</v>
      </c>
      <c r="E294" s="5" t="s">
        <v>91</v>
      </c>
      <c r="F294" s="5" t="s">
        <v>91</v>
      </c>
      <c r="G294" s="5">
        <v>1.0</v>
      </c>
      <c r="H294" s="5">
        <v>4.0</v>
      </c>
      <c r="I294" s="5">
        <v>3.0</v>
      </c>
      <c r="J294" s="43"/>
      <c r="K294" s="30">
        <f t="shared" si="1"/>
        <v>150.7964474</v>
      </c>
    </row>
    <row r="295" ht="15.75" customHeight="1">
      <c r="A295" s="25" t="s">
        <v>441</v>
      </c>
      <c r="B295" s="42" t="s">
        <v>582</v>
      </c>
      <c r="C295" s="27" t="s">
        <v>37</v>
      </c>
      <c r="D295" s="28" t="s">
        <v>755</v>
      </c>
      <c r="E295" s="5" t="s">
        <v>63</v>
      </c>
      <c r="F295" s="5" t="s">
        <v>63</v>
      </c>
      <c r="G295" s="5">
        <v>1.0</v>
      </c>
      <c r="H295" s="5">
        <v>18.0</v>
      </c>
      <c r="I295" s="5">
        <v>6.0</v>
      </c>
      <c r="J295" s="43"/>
      <c r="K295" s="30">
        <f t="shared" si="1"/>
        <v>2714.336053</v>
      </c>
    </row>
    <row r="296" ht="15.75" customHeight="1">
      <c r="A296" s="25" t="s">
        <v>441</v>
      </c>
      <c r="B296" s="42" t="s">
        <v>582</v>
      </c>
      <c r="C296" s="27" t="s">
        <v>37</v>
      </c>
      <c r="D296" s="28" t="s">
        <v>755</v>
      </c>
      <c r="E296" s="5" t="s">
        <v>63</v>
      </c>
      <c r="F296" s="5" t="s">
        <v>63</v>
      </c>
      <c r="G296" s="5">
        <v>1.0</v>
      </c>
      <c r="H296" s="5">
        <v>6.0</v>
      </c>
      <c r="I296" s="5">
        <v>3.0</v>
      </c>
      <c r="J296" s="43"/>
      <c r="K296" s="30">
        <f t="shared" si="1"/>
        <v>226.1946711</v>
      </c>
    </row>
    <row r="297" ht="15.75" customHeight="1">
      <c r="A297" s="25" t="s">
        <v>441</v>
      </c>
      <c r="B297" s="42" t="s">
        <v>582</v>
      </c>
      <c r="C297" s="27" t="s">
        <v>37</v>
      </c>
      <c r="D297" s="28" t="s">
        <v>755</v>
      </c>
      <c r="E297" s="5" t="s">
        <v>63</v>
      </c>
      <c r="F297" s="5" t="s">
        <v>63</v>
      </c>
      <c r="G297" s="5">
        <v>1.0</v>
      </c>
      <c r="H297" s="5">
        <v>2.0</v>
      </c>
      <c r="I297" s="5">
        <v>1.0</v>
      </c>
      <c r="J297" s="43"/>
      <c r="K297" s="30">
        <f t="shared" si="1"/>
        <v>8.37758041</v>
      </c>
    </row>
    <row r="298" ht="15.75" customHeight="1">
      <c r="A298" s="25" t="s">
        <v>441</v>
      </c>
      <c r="B298" s="42" t="s">
        <v>582</v>
      </c>
      <c r="C298" s="27" t="s">
        <v>37</v>
      </c>
      <c r="D298" s="28" t="s">
        <v>755</v>
      </c>
      <c r="E298" s="5" t="s">
        <v>791</v>
      </c>
      <c r="F298" s="5" t="s">
        <v>75</v>
      </c>
      <c r="G298" s="5">
        <v>1.0</v>
      </c>
      <c r="H298" s="5">
        <v>13.0</v>
      </c>
      <c r="I298" s="5">
        <v>2.0</v>
      </c>
      <c r="J298" s="43"/>
      <c r="K298" s="30">
        <f t="shared" si="1"/>
        <v>217.8170906</v>
      </c>
    </row>
    <row r="299" ht="15.75" customHeight="1">
      <c r="A299" s="25" t="s">
        <v>441</v>
      </c>
      <c r="B299" s="42" t="s">
        <v>582</v>
      </c>
      <c r="C299" s="27" t="s">
        <v>37</v>
      </c>
      <c r="D299" s="28" t="s">
        <v>755</v>
      </c>
      <c r="E299" s="5" t="s">
        <v>791</v>
      </c>
      <c r="F299" s="5" t="s">
        <v>75</v>
      </c>
      <c r="G299" s="5">
        <v>1.0</v>
      </c>
      <c r="H299" s="5">
        <v>7.0</v>
      </c>
      <c r="I299" s="5">
        <v>2.0</v>
      </c>
      <c r="J299" s="43"/>
      <c r="K299" s="30">
        <f t="shared" si="1"/>
        <v>117.2861257</v>
      </c>
    </row>
    <row r="300" ht="15.75" customHeight="1">
      <c r="A300" s="25" t="s">
        <v>441</v>
      </c>
      <c r="B300" s="42" t="s">
        <v>582</v>
      </c>
      <c r="C300" s="27" t="s">
        <v>37</v>
      </c>
      <c r="D300" s="28" t="s">
        <v>755</v>
      </c>
      <c r="E300" s="5" t="s">
        <v>791</v>
      </c>
      <c r="F300" s="5" t="s">
        <v>75</v>
      </c>
      <c r="G300" s="5">
        <v>12.0</v>
      </c>
      <c r="H300" s="5">
        <v>5.0</v>
      </c>
      <c r="I300" s="5">
        <v>1.0</v>
      </c>
      <c r="J300" s="43"/>
      <c r="K300" s="30">
        <f t="shared" si="1"/>
        <v>251.3274123</v>
      </c>
    </row>
    <row r="301" ht="15.75" customHeight="1">
      <c r="A301" s="25" t="s">
        <v>441</v>
      </c>
      <c r="B301" s="42" t="s">
        <v>582</v>
      </c>
      <c r="C301" s="27" t="s">
        <v>37</v>
      </c>
      <c r="D301" s="28" t="s">
        <v>755</v>
      </c>
      <c r="E301" s="5" t="s">
        <v>791</v>
      </c>
      <c r="F301" s="5" t="s">
        <v>75</v>
      </c>
      <c r="G301" s="5">
        <v>1.0</v>
      </c>
      <c r="H301" s="5">
        <v>3.0</v>
      </c>
      <c r="I301" s="5">
        <v>1.0</v>
      </c>
      <c r="J301" s="43"/>
      <c r="K301" s="30">
        <f t="shared" si="1"/>
        <v>12.56637061</v>
      </c>
    </row>
    <row r="302" ht="15.75" customHeight="1">
      <c r="A302" s="25" t="s">
        <v>441</v>
      </c>
      <c r="B302" s="42" t="s">
        <v>582</v>
      </c>
      <c r="C302" s="27" t="s">
        <v>37</v>
      </c>
      <c r="D302" s="28" t="s">
        <v>755</v>
      </c>
      <c r="E302" s="5" t="s">
        <v>791</v>
      </c>
      <c r="F302" s="5" t="s">
        <v>75</v>
      </c>
      <c r="G302" s="5">
        <v>1.0</v>
      </c>
      <c r="H302" s="5">
        <v>4.0</v>
      </c>
      <c r="I302" s="5">
        <v>1.0</v>
      </c>
      <c r="J302" s="43"/>
      <c r="K302" s="30">
        <f t="shared" si="1"/>
        <v>16.75516082</v>
      </c>
    </row>
    <row r="303" ht="15.75" customHeight="1">
      <c r="A303" s="25" t="s">
        <v>441</v>
      </c>
      <c r="B303" s="42" t="s">
        <v>582</v>
      </c>
      <c r="C303" s="27" t="s">
        <v>37</v>
      </c>
      <c r="D303" s="28" t="s">
        <v>755</v>
      </c>
      <c r="E303" s="5" t="s">
        <v>77</v>
      </c>
      <c r="F303" s="5" t="s">
        <v>77</v>
      </c>
      <c r="G303" s="5">
        <v>1.0</v>
      </c>
      <c r="H303" s="5">
        <v>12.0</v>
      </c>
      <c r="I303" s="5">
        <v>5.0</v>
      </c>
      <c r="J303" s="43"/>
      <c r="K303" s="30">
        <f t="shared" si="1"/>
        <v>1256.637061</v>
      </c>
    </row>
    <row r="304" ht="15.75" customHeight="1">
      <c r="A304" s="25" t="s">
        <v>441</v>
      </c>
      <c r="B304" s="42" t="s">
        <v>582</v>
      </c>
      <c r="C304" s="27" t="s">
        <v>37</v>
      </c>
      <c r="D304" s="28" t="s">
        <v>755</v>
      </c>
      <c r="E304" s="5" t="s">
        <v>71</v>
      </c>
      <c r="F304" s="5" t="s">
        <v>71</v>
      </c>
      <c r="G304" s="5">
        <v>1.0</v>
      </c>
      <c r="H304" s="5">
        <v>35.0</v>
      </c>
      <c r="I304" s="5">
        <v>3.0</v>
      </c>
      <c r="J304" s="43"/>
      <c r="K304" s="30">
        <f t="shared" si="1"/>
        <v>1319.468915</v>
      </c>
    </row>
    <row r="305" ht="15.75" customHeight="1">
      <c r="A305" s="31" t="s">
        <v>150</v>
      </c>
      <c r="B305" s="26" t="s">
        <v>585</v>
      </c>
      <c r="C305" s="27" t="s">
        <v>40</v>
      </c>
      <c r="D305" s="28" t="s">
        <v>755</v>
      </c>
      <c r="E305" s="28" t="s">
        <v>757</v>
      </c>
      <c r="F305" s="28" t="s">
        <v>757</v>
      </c>
      <c r="G305" s="28">
        <v>0.0</v>
      </c>
      <c r="H305" s="28"/>
      <c r="I305" s="28"/>
      <c r="J305" s="28"/>
      <c r="K305" s="30">
        <f t="shared" si="1"/>
        <v>0</v>
      </c>
    </row>
    <row r="306" ht="15.75" customHeight="1">
      <c r="A306" s="25" t="s">
        <v>873</v>
      </c>
      <c r="B306" s="26" t="s">
        <v>587</v>
      </c>
      <c r="C306" s="27" t="s">
        <v>40</v>
      </c>
      <c r="D306" s="28" t="s">
        <v>755</v>
      </c>
      <c r="E306" s="28" t="s">
        <v>757</v>
      </c>
      <c r="F306" s="28" t="s">
        <v>757</v>
      </c>
      <c r="G306" s="28">
        <v>0.0</v>
      </c>
      <c r="H306" s="28"/>
      <c r="I306" s="28"/>
      <c r="J306" s="28"/>
      <c r="K306" s="30">
        <f t="shared" si="1"/>
        <v>0</v>
      </c>
    </row>
    <row r="307" ht="15.75" customHeight="1">
      <c r="A307" s="31" t="s">
        <v>214</v>
      </c>
      <c r="B307" s="26" t="s">
        <v>588</v>
      </c>
      <c r="C307" s="27" t="s">
        <v>30</v>
      </c>
      <c r="D307" s="37" t="s">
        <v>754</v>
      </c>
      <c r="E307" s="28" t="s">
        <v>757</v>
      </c>
      <c r="F307" s="28" t="s">
        <v>757</v>
      </c>
      <c r="G307" s="28">
        <v>0.0</v>
      </c>
      <c r="H307" s="28"/>
      <c r="I307" s="28"/>
      <c r="J307" s="28"/>
      <c r="K307" s="30">
        <f t="shared" si="1"/>
        <v>0</v>
      </c>
    </row>
    <row r="308" ht="15.75" customHeight="1">
      <c r="A308" s="31" t="s">
        <v>207</v>
      </c>
      <c r="B308" s="26" t="s">
        <v>590</v>
      </c>
      <c r="C308" s="27" t="s">
        <v>30</v>
      </c>
      <c r="D308" s="37" t="s">
        <v>754</v>
      </c>
      <c r="E308" s="28" t="s">
        <v>757</v>
      </c>
      <c r="F308" s="28" t="s">
        <v>757</v>
      </c>
      <c r="G308" s="28">
        <v>0.0</v>
      </c>
      <c r="H308" s="28"/>
      <c r="I308" s="28"/>
      <c r="J308" s="28"/>
      <c r="K308" s="30">
        <f t="shared" si="1"/>
        <v>0</v>
      </c>
    </row>
    <row r="309" ht="15.75" customHeight="1">
      <c r="A309" s="25" t="s">
        <v>145</v>
      </c>
      <c r="B309" s="26" t="s">
        <v>593</v>
      </c>
      <c r="C309" s="27" t="s">
        <v>18</v>
      </c>
      <c r="D309" s="28" t="s">
        <v>754</v>
      </c>
      <c r="E309" s="28" t="s">
        <v>757</v>
      </c>
      <c r="F309" s="28" t="s">
        <v>757</v>
      </c>
      <c r="G309" s="28">
        <v>0.0</v>
      </c>
      <c r="H309" s="28"/>
      <c r="I309" s="28"/>
      <c r="J309" s="28"/>
      <c r="K309" s="30">
        <f t="shared" si="1"/>
        <v>0</v>
      </c>
    </row>
    <row r="310" ht="15.75" customHeight="1">
      <c r="A310" s="25" t="s">
        <v>119</v>
      </c>
      <c r="B310" s="26" t="s">
        <v>595</v>
      </c>
      <c r="C310" s="27" t="s">
        <v>18</v>
      </c>
      <c r="D310" s="28" t="s">
        <v>754</v>
      </c>
      <c r="E310" s="28" t="s">
        <v>757</v>
      </c>
      <c r="F310" s="28" t="s">
        <v>757</v>
      </c>
      <c r="G310" s="28">
        <v>0.0</v>
      </c>
      <c r="H310" s="28"/>
      <c r="I310" s="28"/>
      <c r="J310" s="28"/>
      <c r="K310" s="30">
        <f t="shared" si="1"/>
        <v>0</v>
      </c>
    </row>
    <row r="311" ht="15.75" customHeight="1">
      <c r="A311" s="25" t="s">
        <v>119</v>
      </c>
      <c r="B311" s="26" t="s">
        <v>597</v>
      </c>
      <c r="C311" s="27" t="s">
        <v>18</v>
      </c>
      <c r="D311" s="28" t="s">
        <v>754</v>
      </c>
      <c r="E311" s="28" t="s">
        <v>763</v>
      </c>
      <c r="F311" s="28" t="s">
        <v>763</v>
      </c>
      <c r="G311" s="28">
        <v>1.0</v>
      </c>
      <c r="H311" s="28"/>
      <c r="I311" s="28"/>
      <c r="J311" s="37" t="s">
        <v>762</v>
      </c>
      <c r="K311" s="30">
        <f t="shared" si="1"/>
        <v>0</v>
      </c>
    </row>
    <row r="312" ht="15.75" customHeight="1">
      <c r="A312" s="31" t="s">
        <v>137</v>
      </c>
      <c r="B312" s="26" t="s">
        <v>603</v>
      </c>
      <c r="C312" s="27" t="s">
        <v>10</v>
      </c>
      <c r="D312" s="28" t="s">
        <v>754</v>
      </c>
      <c r="E312" s="28" t="s">
        <v>757</v>
      </c>
      <c r="F312" s="28" t="s">
        <v>757</v>
      </c>
      <c r="G312" s="28">
        <v>0.0</v>
      </c>
      <c r="H312" s="28"/>
      <c r="I312" s="28"/>
      <c r="J312" s="28"/>
      <c r="K312" s="30">
        <f t="shared" si="1"/>
        <v>0</v>
      </c>
    </row>
    <row r="313" ht="15.75" customHeight="1">
      <c r="A313" s="31" t="s">
        <v>150</v>
      </c>
      <c r="B313" s="26" t="s">
        <v>604</v>
      </c>
      <c r="C313" s="27" t="s">
        <v>24</v>
      </c>
      <c r="D313" s="28" t="s">
        <v>755</v>
      </c>
      <c r="E313" s="28" t="s">
        <v>93</v>
      </c>
      <c r="F313" s="28" t="s">
        <v>93</v>
      </c>
      <c r="G313" s="28">
        <v>1.0</v>
      </c>
      <c r="H313" s="28"/>
      <c r="I313" s="28"/>
      <c r="J313" s="37" t="s">
        <v>762</v>
      </c>
      <c r="K313" s="30">
        <f t="shared" si="1"/>
        <v>0</v>
      </c>
    </row>
    <row r="314" ht="15.75" customHeight="1">
      <c r="A314" s="31" t="s">
        <v>134</v>
      </c>
      <c r="B314" s="26" t="s">
        <v>608</v>
      </c>
      <c r="C314" s="27" t="s">
        <v>18</v>
      </c>
      <c r="D314" s="28" t="s">
        <v>754</v>
      </c>
      <c r="E314" s="28" t="s">
        <v>759</v>
      </c>
      <c r="F314" s="28" t="s">
        <v>75</v>
      </c>
      <c r="G314" s="28">
        <v>2.0</v>
      </c>
      <c r="H314" s="28">
        <v>2.0</v>
      </c>
      <c r="I314" s="28">
        <v>0.5</v>
      </c>
      <c r="J314" s="28"/>
      <c r="K314" s="30">
        <f t="shared" si="1"/>
        <v>4.188790205</v>
      </c>
    </row>
    <row r="315" ht="15.75" customHeight="1">
      <c r="A315" s="31" t="s">
        <v>134</v>
      </c>
      <c r="B315" s="26" t="s">
        <v>608</v>
      </c>
      <c r="C315" s="27" t="s">
        <v>18</v>
      </c>
      <c r="D315" s="28" t="s">
        <v>754</v>
      </c>
      <c r="E315" s="28" t="s">
        <v>759</v>
      </c>
      <c r="F315" s="28" t="s">
        <v>75</v>
      </c>
      <c r="G315" s="28">
        <v>2.0</v>
      </c>
      <c r="H315" s="28">
        <v>5.0</v>
      </c>
      <c r="I315" s="28">
        <v>1.0</v>
      </c>
      <c r="J315" s="28"/>
      <c r="K315" s="30">
        <f t="shared" si="1"/>
        <v>41.88790205</v>
      </c>
    </row>
    <row r="316" ht="15.75" customHeight="1">
      <c r="A316" s="31" t="s">
        <v>134</v>
      </c>
      <c r="B316" s="26" t="s">
        <v>608</v>
      </c>
      <c r="C316" s="27" t="s">
        <v>18</v>
      </c>
      <c r="D316" s="28" t="s">
        <v>754</v>
      </c>
      <c r="E316" s="28" t="s">
        <v>759</v>
      </c>
      <c r="F316" s="28" t="s">
        <v>75</v>
      </c>
      <c r="G316" s="28">
        <v>1.0</v>
      </c>
      <c r="H316" s="28">
        <v>3.0</v>
      </c>
      <c r="I316" s="28">
        <v>0.5</v>
      </c>
      <c r="J316" s="28"/>
      <c r="K316" s="30">
        <f t="shared" si="1"/>
        <v>3.141592654</v>
      </c>
    </row>
    <row r="317" ht="15.75" customHeight="1">
      <c r="A317" s="31" t="s">
        <v>150</v>
      </c>
      <c r="B317" s="26" t="s">
        <v>610</v>
      </c>
      <c r="C317" s="27" t="s">
        <v>37</v>
      </c>
      <c r="D317" s="28" t="s">
        <v>755</v>
      </c>
      <c r="E317" s="28" t="s">
        <v>77</v>
      </c>
      <c r="F317" s="28" t="s">
        <v>79</v>
      </c>
      <c r="G317" s="28">
        <v>2.0</v>
      </c>
      <c r="H317" s="28">
        <v>13.0</v>
      </c>
      <c r="I317" s="28">
        <v>5.0</v>
      </c>
      <c r="J317" s="28"/>
      <c r="K317" s="30">
        <f t="shared" si="1"/>
        <v>2722.713633</v>
      </c>
    </row>
    <row r="318" ht="15.75" customHeight="1">
      <c r="A318" s="31" t="s">
        <v>158</v>
      </c>
      <c r="B318" s="26" t="s">
        <v>613</v>
      </c>
      <c r="C318" s="27" t="s">
        <v>36</v>
      </c>
      <c r="D318" s="28" t="s">
        <v>754</v>
      </c>
      <c r="E318" s="28" t="s">
        <v>757</v>
      </c>
      <c r="F318" s="28" t="s">
        <v>757</v>
      </c>
      <c r="G318" s="28">
        <v>0.0</v>
      </c>
      <c r="H318" s="28"/>
      <c r="I318" s="28"/>
      <c r="J318" s="28"/>
      <c r="K318" s="30">
        <f t="shared" si="1"/>
        <v>0</v>
      </c>
    </row>
    <row r="319" ht="15.75" customHeight="1">
      <c r="A319" s="25" t="s">
        <v>874</v>
      </c>
      <c r="B319" s="26" t="s">
        <v>616</v>
      </c>
      <c r="C319" s="27" t="s">
        <v>40</v>
      </c>
      <c r="D319" s="28" t="s">
        <v>755</v>
      </c>
      <c r="E319" s="28" t="s">
        <v>757</v>
      </c>
      <c r="F319" s="28" t="s">
        <v>757</v>
      </c>
      <c r="G319" s="28">
        <v>0.0</v>
      </c>
      <c r="H319" s="28"/>
      <c r="I319" s="28"/>
      <c r="J319" s="28"/>
      <c r="K319" s="30">
        <f t="shared" si="1"/>
        <v>0</v>
      </c>
    </row>
    <row r="320" ht="15.75" customHeight="1">
      <c r="A320" s="31" t="s">
        <v>150</v>
      </c>
      <c r="B320" s="26" t="s">
        <v>617</v>
      </c>
      <c r="C320" s="27" t="s">
        <v>40</v>
      </c>
      <c r="D320" s="28" t="s">
        <v>755</v>
      </c>
      <c r="E320" s="28" t="s">
        <v>757</v>
      </c>
      <c r="F320" s="28" t="s">
        <v>757</v>
      </c>
      <c r="G320" s="28">
        <v>0.0</v>
      </c>
      <c r="H320" s="28"/>
      <c r="I320" s="28"/>
      <c r="J320" s="28"/>
      <c r="K320" s="30">
        <f t="shared" si="1"/>
        <v>0</v>
      </c>
    </row>
    <row r="321" ht="15.75" customHeight="1">
      <c r="A321" s="25" t="s">
        <v>875</v>
      </c>
      <c r="B321" s="26" t="s">
        <v>618</v>
      </c>
      <c r="C321" s="27" t="s">
        <v>40</v>
      </c>
      <c r="D321" s="28" t="s">
        <v>755</v>
      </c>
      <c r="E321" s="28" t="s">
        <v>757</v>
      </c>
      <c r="F321" s="28" t="s">
        <v>757</v>
      </c>
      <c r="G321" s="28">
        <v>0.0</v>
      </c>
      <c r="H321" s="28"/>
      <c r="I321" s="28"/>
      <c r="J321" s="28"/>
      <c r="K321" s="30">
        <f t="shared" si="1"/>
        <v>0</v>
      </c>
    </row>
    <row r="322" ht="15.75" customHeight="1">
      <c r="A322" s="31" t="s">
        <v>170</v>
      </c>
      <c r="B322" s="26" t="s">
        <v>620</v>
      </c>
      <c r="C322" s="27" t="s">
        <v>40</v>
      </c>
      <c r="D322" s="28" t="s">
        <v>755</v>
      </c>
      <c r="E322" s="28" t="s">
        <v>757</v>
      </c>
      <c r="F322" s="28" t="s">
        <v>757</v>
      </c>
      <c r="G322" s="28">
        <v>0.0</v>
      </c>
      <c r="H322" s="28"/>
      <c r="I322" s="28"/>
      <c r="J322" s="28"/>
      <c r="K322" s="30">
        <f t="shared" si="1"/>
        <v>0</v>
      </c>
    </row>
    <row r="323" ht="15.75" customHeight="1">
      <c r="A323" s="31" t="s">
        <v>207</v>
      </c>
      <c r="B323" s="26" t="s">
        <v>621</v>
      </c>
      <c r="C323" s="27" t="s">
        <v>40</v>
      </c>
      <c r="D323" s="28" t="s">
        <v>755</v>
      </c>
      <c r="E323" s="28" t="s">
        <v>63</v>
      </c>
      <c r="F323" s="28" t="s">
        <v>63</v>
      </c>
      <c r="G323" s="28">
        <v>1.0</v>
      </c>
      <c r="H323" s="28">
        <v>18.0</v>
      </c>
      <c r="I323" s="28">
        <v>7.0</v>
      </c>
      <c r="J323" s="28"/>
      <c r="K323" s="30">
        <f t="shared" si="1"/>
        <v>3694.512961</v>
      </c>
    </row>
    <row r="324" ht="15.75" customHeight="1">
      <c r="A324" s="31" t="s">
        <v>207</v>
      </c>
      <c r="B324" s="26" t="s">
        <v>621</v>
      </c>
      <c r="C324" s="27" t="s">
        <v>40</v>
      </c>
      <c r="D324" s="28" t="s">
        <v>755</v>
      </c>
      <c r="E324" s="28" t="s">
        <v>63</v>
      </c>
      <c r="F324" s="28" t="s">
        <v>63</v>
      </c>
      <c r="G324" s="28">
        <v>1.0</v>
      </c>
      <c r="H324" s="28">
        <v>14.0</v>
      </c>
      <c r="I324" s="28">
        <v>9.0</v>
      </c>
      <c r="J324" s="28"/>
      <c r="K324" s="30">
        <f t="shared" si="1"/>
        <v>4750.088092</v>
      </c>
    </row>
    <row r="325" ht="15.75" customHeight="1">
      <c r="A325" s="51" t="s">
        <v>210</v>
      </c>
      <c r="B325" s="52" t="s">
        <v>622</v>
      </c>
      <c r="C325" s="27" t="s">
        <v>40</v>
      </c>
      <c r="D325" s="28" t="s">
        <v>755</v>
      </c>
      <c r="E325" s="4" t="s">
        <v>63</v>
      </c>
      <c r="F325" s="4" t="s">
        <v>63</v>
      </c>
      <c r="G325" s="4">
        <v>15.0</v>
      </c>
      <c r="H325" s="4">
        <v>15.0</v>
      </c>
      <c r="I325" s="4">
        <v>9.0</v>
      </c>
      <c r="J325" s="28"/>
      <c r="K325" s="30">
        <f t="shared" si="1"/>
        <v>76340.70148</v>
      </c>
    </row>
    <row r="326" ht="15.75" customHeight="1">
      <c r="A326" s="51" t="s">
        <v>210</v>
      </c>
      <c r="B326" s="52" t="s">
        <v>622</v>
      </c>
      <c r="C326" s="27" t="s">
        <v>40</v>
      </c>
      <c r="D326" s="28" t="s">
        <v>755</v>
      </c>
      <c r="E326" s="28" t="s">
        <v>63</v>
      </c>
      <c r="F326" s="28" t="s">
        <v>63</v>
      </c>
      <c r="G326" s="28">
        <v>8.0</v>
      </c>
      <c r="H326" s="28">
        <v>14.0</v>
      </c>
      <c r="I326" s="28">
        <v>7.0</v>
      </c>
      <c r="J326" s="28"/>
      <c r="K326" s="30">
        <f t="shared" si="1"/>
        <v>22988.08064</v>
      </c>
    </row>
    <row r="327" ht="15.75" customHeight="1">
      <c r="A327" s="51" t="s">
        <v>210</v>
      </c>
      <c r="B327" s="52" t="s">
        <v>622</v>
      </c>
      <c r="C327" s="27" t="s">
        <v>40</v>
      </c>
      <c r="D327" s="28" t="s">
        <v>755</v>
      </c>
      <c r="E327" s="28" t="s">
        <v>63</v>
      </c>
      <c r="F327" s="28" t="s">
        <v>63</v>
      </c>
      <c r="G327" s="28">
        <v>1.0</v>
      </c>
      <c r="H327" s="28">
        <v>17.0</v>
      </c>
      <c r="I327" s="28">
        <v>11.0</v>
      </c>
      <c r="J327" s="28"/>
      <c r="K327" s="30">
        <f t="shared" si="1"/>
        <v>8616.341451</v>
      </c>
    </row>
    <row r="328" ht="15.75" customHeight="1">
      <c r="A328" s="51" t="s">
        <v>210</v>
      </c>
      <c r="B328" s="52" t="s">
        <v>622</v>
      </c>
      <c r="C328" s="27" t="s">
        <v>40</v>
      </c>
      <c r="D328" s="28" t="s">
        <v>755</v>
      </c>
      <c r="E328" s="28" t="s">
        <v>759</v>
      </c>
      <c r="F328" s="28" t="s">
        <v>75</v>
      </c>
      <c r="G328" s="28">
        <v>3.0</v>
      </c>
      <c r="H328" s="28">
        <v>17.0</v>
      </c>
      <c r="I328" s="28">
        <v>2.0</v>
      </c>
      <c r="J328" s="28"/>
      <c r="K328" s="30">
        <f t="shared" si="1"/>
        <v>854.5132018</v>
      </c>
    </row>
    <row r="329" ht="15.75" customHeight="1">
      <c r="A329" s="51" t="s">
        <v>210</v>
      </c>
      <c r="B329" s="52" t="s">
        <v>622</v>
      </c>
      <c r="C329" s="27" t="s">
        <v>40</v>
      </c>
      <c r="D329" s="28" t="s">
        <v>755</v>
      </c>
      <c r="E329" s="28" t="s">
        <v>63</v>
      </c>
      <c r="F329" s="28" t="s">
        <v>63</v>
      </c>
      <c r="G329" s="28">
        <v>1.0</v>
      </c>
      <c r="H329" s="28">
        <v>9.0</v>
      </c>
      <c r="I329" s="28">
        <v>3.0</v>
      </c>
      <c r="J329" s="28"/>
      <c r="K329" s="30">
        <f t="shared" si="1"/>
        <v>339.2920066</v>
      </c>
    </row>
    <row r="330" ht="15.75" customHeight="1">
      <c r="A330" s="31" t="s">
        <v>150</v>
      </c>
      <c r="B330" s="26" t="s">
        <v>628</v>
      </c>
      <c r="C330" s="27" t="s">
        <v>31</v>
      </c>
      <c r="D330" s="28" t="s">
        <v>755</v>
      </c>
      <c r="E330" s="28" t="s">
        <v>757</v>
      </c>
      <c r="F330" s="28" t="s">
        <v>757</v>
      </c>
      <c r="G330" s="28">
        <v>0.0</v>
      </c>
      <c r="H330" s="28"/>
      <c r="I330" s="28"/>
      <c r="J330" s="28"/>
      <c r="K330" s="30">
        <f t="shared" si="1"/>
        <v>0</v>
      </c>
    </row>
    <row r="331" ht="15.75" customHeight="1">
      <c r="A331" s="31" t="s">
        <v>129</v>
      </c>
      <c r="B331" s="26" t="s">
        <v>629</v>
      </c>
      <c r="C331" s="27" t="s">
        <v>31</v>
      </c>
      <c r="D331" s="28" t="s">
        <v>755</v>
      </c>
      <c r="E331" s="28" t="s">
        <v>763</v>
      </c>
      <c r="F331" s="28" t="s">
        <v>771</v>
      </c>
      <c r="G331" s="28">
        <v>1.0</v>
      </c>
      <c r="H331" s="28"/>
      <c r="I331" s="28"/>
      <c r="J331" s="37" t="s">
        <v>762</v>
      </c>
      <c r="K331" s="30">
        <f t="shared" si="1"/>
        <v>0</v>
      </c>
    </row>
    <row r="332" ht="15.75" customHeight="1">
      <c r="A332" s="25" t="s">
        <v>119</v>
      </c>
      <c r="B332" s="26" t="s">
        <v>630</v>
      </c>
      <c r="C332" s="27" t="s">
        <v>31</v>
      </c>
      <c r="D332" s="28" t="s">
        <v>755</v>
      </c>
      <c r="E332" s="28" t="s">
        <v>63</v>
      </c>
      <c r="F332" s="28" t="s">
        <v>63</v>
      </c>
      <c r="G332" s="28">
        <v>1.0</v>
      </c>
      <c r="H332" s="28">
        <v>5.0</v>
      </c>
      <c r="I332" s="28">
        <v>2.0</v>
      </c>
      <c r="J332" s="28"/>
      <c r="K332" s="30">
        <f t="shared" si="1"/>
        <v>83.7758041</v>
      </c>
    </row>
    <row r="333" ht="15.75" customHeight="1">
      <c r="A333" s="31" t="s">
        <v>129</v>
      </c>
      <c r="B333" s="26" t="s">
        <v>631</v>
      </c>
      <c r="C333" s="27" t="s">
        <v>12</v>
      </c>
      <c r="D333" s="28" t="s">
        <v>755</v>
      </c>
      <c r="E333" s="28" t="s">
        <v>757</v>
      </c>
      <c r="F333" s="28" t="s">
        <v>757</v>
      </c>
      <c r="G333" s="28">
        <v>0.0</v>
      </c>
      <c r="H333" s="28"/>
      <c r="I333" s="28"/>
      <c r="J333" s="28"/>
      <c r="K333" s="30">
        <f t="shared" si="1"/>
        <v>0</v>
      </c>
    </row>
    <row r="334" ht="15.75" customHeight="1">
      <c r="A334" s="31" t="s">
        <v>137</v>
      </c>
      <c r="B334" s="26" t="s">
        <v>632</v>
      </c>
      <c r="C334" s="27" t="s">
        <v>10</v>
      </c>
      <c r="D334" s="28" t="s">
        <v>754</v>
      </c>
      <c r="E334" s="28" t="s">
        <v>63</v>
      </c>
      <c r="F334" s="28" t="s">
        <v>63</v>
      </c>
      <c r="G334" s="28">
        <v>1.0</v>
      </c>
      <c r="H334" s="28">
        <v>2.0</v>
      </c>
      <c r="I334" s="28">
        <v>1.0</v>
      </c>
      <c r="J334" s="28"/>
      <c r="K334" s="30">
        <f t="shared" si="1"/>
        <v>8.37758041</v>
      </c>
    </row>
    <row r="335" ht="15.75" customHeight="1">
      <c r="A335" s="31" t="s">
        <v>137</v>
      </c>
      <c r="B335" s="26" t="s">
        <v>632</v>
      </c>
      <c r="C335" s="27" t="s">
        <v>10</v>
      </c>
      <c r="D335" s="28" t="s">
        <v>754</v>
      </c>
      <c r="E335" s="28" t="s">
        <v>759</v>
      </c>
      <c r="F335" s="28" t="s">
        <v>75</v>
      </c>
      <c r="G335" s="28">
        <v>2.0</v>
      </c>
      <c r="H335" s="28">
        <v>5.0</v>
      </c>
      <c r="I335" s="28">
        <v>1.0</v>
      </c>
      <c r="J335" s="28" t="s">
        <v>819</v>
      </c>
      <c r="K335" s="30">
        <f t="shared" si="1"/>
        <v>41.88790205</v>
      </c>
    </row>
    <row r="336" ht="15.75" customHeight="1">
      <c r="A336" s="31" t="s">
        <v>137</v>
      </c>
      <c r="B336" s="26" t="s">
        <v>632</v>
      </c>
      <c r="C336" s="27" t="s">
        <v>10</v>
      </c>
      <c r="D336" s="28" t="s">
        <v>754</v>
      </c>
      <c r="E336" s="28" t="s">
        <v>759</v>
      </c>
      <c r="F336" s="28" t="s">
        <v>75</v>
      </c>
      <c r="G336" s="28">
        <v>3.0</v>
      </c>
      <c r="H336" s="28">
        <v>5.0</v>
      </c>
      <c r="I336" s="28">
        <v>1.0</v>
      </c>
      <c r="J336" s="28" t="s">
        <v>820</v>
      </c>
      <c r="K336" s="30">
        <f t="shared" si="1"/>
        <v>62.83185307</v>
      </c>
    </row>
    <row r="337" ht="15.75" customHeight="1">
      <c r="A337" s="31" t="s">
        <v>137</v>
      </c>
      <c r="B337" s="26" t="s">
        <v>632</v>
      </c>
      <c r="C337" s="27" t="s">
        <v>10</v>
      </c>
      <c r="D337" s="28" t="s">
        <v>754</v>
      </c>
      <c r="E337" s="28" t="s">
        <v>759</v>
      </c>
      <c r="F337" s="28" t="s">
        <v>75</v>
      </c>
      <c r="G337" s="28">
        <v>3.0</v>
      </c>
      <c r="H337" s="28">
        <v>5.0</v>
      </c>
      <c r="I337" s="28">
        <v>1.0</v>
      </c>
      <c r="J337" s="28" t="s">
        <v>821</v>
      </c>
      <c r="K337" s="30">
        <f t="shared" si="1"/>
        <v>62.83185307</v>
      </c>
    </row>
    <row r="338" ht="15.75" customHeight="1">
      <c r="A338" s="31" t="s">
        <v>137</v>
      </c>
      <c r="B338" s="26" t="s">
        <v>632</v>
      </c>
      <c r="C338" s="27" t="s">
        <v>10</v>
      </c>
      <c r="D338" s="28" t="s">
        <v>754</v>
      </c>
      <c r="E338" s="28" t="s">
        <v>759</v>
      </c>
      <c r="F338" s="28" t="s">
        <v>75</v>
      </c>
      <c r="G338" s="28">
        <v>37.0</v>
      </c>
      <c r="H338" s="28">
        <v>3.0</v>
      </c>
      <c r="I338" s="28">
        <v>0.5</v>
      </c>
      <c r="J338" s="28"/>
      <c r="K338" s="30">
        <f t="shared" si="1"/>
        <v>116.2389282</v>
      </c>
    </row>
    <row r="339" ht="15.75" customHeight="1">
      <c r="A339" s="31" t="s">
        <v>434</v>
      </c>
      <c r="B339" s="26" t="s">
        <v>633</v>
      </c>
      <c r="C339" s="27" t="s">
        <v>28</v>
      </c>
      <c r="D339" s="28" t="s">
        <v>755</v>
      </c>
      <c r="E339" s="28" t="s">
        <v>756</v>
      </c>
      <c r="F339" s="28" t="s">
        <v>756</v>
      </c>
      <c r="G339" s="28">
        <v>1.0</v>
      </c>
      <c r="H339" s="28"/>
      <c r="I339" s="28"/>
      <c r="J339" s="37" t="s">
        <v>762</v>
      </c>
      <c r="K339" s="30">
        <f t="shared" si="1"/>
        <v>0</v>
      </c>
    </row>
    <row r="340" ht="15.75" customHeight="1">
      <c r="A340" s="31" t="s">
        <v>343</v>
      </c>
      <c r="B340" s="26" t="s">
        <v>635</v>
      </c>
      <c r="C340" s="27" t="s">
        <v>28</v>
      </c>
      <c r="D340" s="28" t="s">
        <v>755</v>
      </c>
      <c r="E340" s="28" t="s">
        <v>757</v>
      </c>
      <c r="F340" s="28" t="s">
        <v>757</v>
      </c>
      <c r="G340" s="28">
        <v>0.0</v>
      </c>
      <c r="H340" s="28"/>
      <c r="I340" s="28"/>
      <c r="J340" s="28"/>
      <c r="K340" s="30">
        <f t="shared" si="1"/>
        <v>0</v>
      </c>
    </row>
    <row r="341" ht="15.75" customHeight="1">
      <c r="A341" s="31" t="s">
        <v>137</v>
      </c>
      <c r="B341" s="26" t="s">
        <v>637</v>
      </c>
      <c r="C341" s="27" t="s">
        <v>8</v>
      </c>
      <c r="D341" s="28" t="s">
        <v>755</v>
      </c>
      <c r="E341" s="28" t="s">
        <v>759</v>
      </c>
      <c r="F341" s="28" t="s">
        <v>75</v>
      </c>
      <c r="G341" s="28">
        <v>2.0</v>
      </c>
      <c r="H341" s="28">
        <v>4.0</v>
      </c>
      <c r="I341" s="28">
        <v>1.0</v>
      </c>
      <c r="J341" s="28"/>
      <c r="K341" s="30">
        <f t="shared" si="1"/>
        <v>33.51032164</v>
      </c>
    </row>
    <row r="342" ht="15.75" customHeight="1">
      <c r="A342" s="31" t="s">
        <v>137</v>
      </c>
      <c r="B342" s="26" t="s">
        <v>640</v>
      </c>
      <c r="C342" s="27" t="s">
        <v>6</v>
      </c>
      <c r="D342" s="28" t="s">
        <v>754</v>
      </c>
      <c r="E342" s="28" t="s">
        <v>759</v>
      </c>
      <c r="F342" s="28" t="s">
        <v>75</v>
      </c>
      <c r="G342" s="28">
        <v>3.0</v>
      </c>
      <c r="H342" s="28">
        <v>5.0</v>
      </c>
      <c r="I342" s="28">
        <v>1.0</v>
      </c>
      <c r="J342" s="28"/>
      <c r="K342" s="30">
        <f t="shared" si="1"/>
        <v>62.83185307</v>
      </c>
    </row>
    <row r="343" ht="15.75" customHeight="1">
      <c r="A343" s="31" t="s">
        <v>137</v>
      </c>
      <c r="B343" s="26" t="s">
        <v>640</v>
      </c>
      <c r="C343" s="27" t="s">
        <v>6</v>
      </c>
      <c r="D343" s="28" t="s">
        <v>754</v>
      </c>
      <c r="E343" s="28" t="s">
        <v>63</v>
      </c>
      <c r="F343" s="28" t="s">
        <v>63</v>
      </c>
      <c r="G343" s="28">
        <v>1.0</v>
      </c>
      <c r="H343" s="28">
        <v>5.0</v>
      </c>
      <c r="I343" s="28">
        <v>1.0</v>
      </c>
      <c r="J343" s="28"/>
      <c r="K343" s="30">
        <f t="shared" si="1"/>
        <v>20.94395102</v>
      </c>
    </row>
    <row r="344" ht="15.75" customHeight="1">
      <c r="A344" s="31" t="s">
        <v>207</v>
      </c>
      <c r="B344" s="26" t="s">
        <v>641</v>
      </c>
      <c r="C344" s="27" t="s">
        <v>16</v>
      </c>
      <c r="D344" s="28" t="s">
        <v>755</v>
      </c>
      <c r="E344" s="28" t="s">
        <v>757</v>
      </c>
      <c r="F344" s="28" t="s">
        <v>757</v>
      </c>
      <c r="G344" s="28">
        <v>0.0</v>
      </c>
      <c r="H344" s="28"/>
      <c r="I344" s="28"/>
      <c r="J344" s="28"/>
      <c r="K344" s="30">
        <f t="shared" si="1"/>
        <v>0</v>
      </c>
    </row>
    <row r="345" ht="15.75" customHeight="1">
      <c r="A345" s="31" t="s">
        <v>129</v>
      </c>
      <c r="B345" s="26" t="s">
        <v>643</v>
      </c>
      <c r="C345" s="27" t="s">
        <v>20</v>
      </c>
      <c r="D345" s="28" t="s">
        <v>755</v>
      </c>
      <c r="E345" s="28" t="s">
        <v>757</v>
      </c>
      <c r="F345" s="28" t="s">
        <v>757</v>
      </c>
      <c r="G345" s="28">
        <v>0.0</v>
      </c>
      <c r="H345" s="28"/>
      <c r="I345" s="28"/>
      <c r="J345" s="28"/>
      <c r="K345" s="30">
        <f t="shared" si="1"/>
        <v>0</v>
      </c>
    </row>
    <row r="346" ht="15.75" customHeight="1">
      <c r="A346" s="31" t="s">
        <v>170</v>
      </c>
      <c r="B346" s="26" t="s">
        <v>645</v>
      </c>
      <c r="C346" s="27" t="s">
        <v>20</v>
      </c>
      <c r="D346" s="28" t="s">
        <v>755</v>
      </c>
      <c r="E346" s="28" t="s">
        <v>63</v>
      </c>
      <c r="F346" s="28" t="s">
        <v>63</v>
      </c>
      <c r="G346" s="28">
        <v>1.0</v>
      </c>
      <c r="H346" s="28">
        <v>2.0</v>
      </c>
      <c r="I346" s="28">
        <v>1.0</v>
      </c>
      <c r="J346" s="28"/>
      <c r="K346" s="30">
        <f t="shared" si="1"/>
        <v>8.37758041</v>
      </c>
    </row>
    <row r="347" ht="15.75" customHeight="1">
      <c r="A347" s="31" t="s">
        <v>129</v>
      </c>
      <c r="B347" s="26" t="s">
        <v>647</v>
      </c>
      <c r="C347" s="27" t="s">
        <v>20</v>
      </c>
      <c r="D347" s="28" t="s">
        <v>755</v>
      </c>
      <c r="E347" s="28" t="s">
        <v>757</v>
      </c>
      <c r="F347" s="28" t="s">
        <v>757</v>
      </c>
      <c r="G347" s="28">
        <v>0.0</v>
      </c>
      <c r="H347" s="28"/>
      <c r="I347" s="28"/>
      <c r="J347" s="28"/>
      <c r="K347" s="30">
        <f t="shared" si="1"/>
        <v>0</v>
      </c>
    </row>
    <row r="348" ht="15.75" customHeight="1">
      <c r="A348" s="28" t="s">
        <v>876</v>
      </c>
      <c r="B348" s="26" t="s">
        <v>648</v>
      </c>
      <c r="C348" s="27" t="s">
        <v>20</v>
      </c>
      <c r="D348" s="28" t="s">
        <v>755</v>
      </c>
      <c r="E348" s="28" t="s">
        <v>757</v>
      </c>
      <c r="F348" s="28" t="s">
        <v>757</v>
      </c>
      <c r="G348" s="28">
        <v>0.0</v>
      </c>
      <c r="H348" s="28"/>
      <c r="I348" s="28"/>
      <c r="J348" s="28"/>
      <c r="K348" s="30">
        <f t="shared" si="1"/>
        <v>0</v>
      </c>
    </row>
    <row r="349" ht="15.75" customHeight="1">
      <c r="A349" s="31" t="s">
        <v>129</v>
      </c>
      <c r="B349" s="26" t="s">
        <v>649</v>
      </c>
      <c r="C349" s="27" t="s">
        <v>16</v>
      </c>
      <c r="D349" s="28" t="s">
        <v>755</v>
      </c>
      <c r="E349" s="28" t="s">
        <v>757</v>
      </c>
      <c r="F349" s="28" t="s">
        <v>757</v>
      </c>
      <c r="G349" s="28">
        <v>0.0</v>
      </c>
      <c r="H349" s="28"/>
      <c r="I349" s="28"/>
      <c r="J349" s="28"/>
      <c r="K349" s="30">
        <f t="shared" si="1"/>
        <v>0</v>
      </c>
    </row>
    <row r="350" ht="15.75" customHeight="1">
      <c r="A350" s="31" t="s">
        <v>170</v>
      </c>
      <c r="B350" s="26" t="s">
        <v>650</v>
      </c>
      <c r="C350" s="27" t="s">
        <v>16</v>
      </c>
      <c r="D350" s="28" t="s">
        <v>755</v>
      </c>
      <c r="E350" s="28" t="s">
        <v>63</v>
      </c>
      <c r="F350" s="28" t="s">
        <v>63</v>
      </c>
      <c r="G350" s="28">
        <v>1.0</v>
      </c>
      <c r="H350" s="28">
        <v>4.0</v>
      </c>
      <c r="I350" s="28">
        <v>2.0</v>
      </c>
      <c r="J350" s="28"/>
      <c r="K350" s="30">
        <f t="shared" si="1"/>
        <v>67.02064328</v>
      </c>
    </row>
    <row r="351" ht="15.75" customHeight="1">
      <c r="A351" s="31" t="s">
        <v>170</v>
      </c>
      <c r="B351" s="26" t="s">
        <v>650</v>
      </c>
      <c r="C351" s="27" t="s">
        <v>16</v>
      </c>
      <c r="D351" s="28" t="s">
        <v>755</v>
      </c>
      <c r="E351" s="28" t="s">
        <v>63</v>
      </c>
      <c r="F351" s="28" t="s">
        <v>63</v>
      </c>
      <c r="G351" s="28">
        <v>1.0</v>
      </c>
      <c r="H351" s="28">
        <v>2.0</v>
      </c>
      <c r="I351" s="28">
        <v>1.0</v>
      </c>
      <c r="J351" s="28"/>
      <c r="K351" s="30">
        <f t="shared" si="1"/>
        <v>8.37758041</v>
      </c>
    </row>
    <row r="352" ht="15.75" customHeight="1">
      <c r="A352" s="31" t="s">
        <v>207</v>
      </c>
      <c r="B352" s="26" t="s">
        <v>652</v>
      </c>
      <c r="C352" s="27" t="s">
        <v>26</v>
      </c>
      <c r="D352" s="28" t="s">
        <v>754</v>
      </c>
      <c r="E352" s="28" t="s">
        <v>757</v>
      </c>
      <c r="F352" s="28" t="s">
        <v>757</v>
      </c>
      <c r="G352" s="28">
        <v>0.0</v>
      </c>
      <c r="H352" s="28"/>
      <c r="I352" s="28"/>
      <c r="J352" s="28"/>
      <c r="K352" s="30">
        <f t="shared" si="1"/>
        <v>0</v>
      </c>
    </row>
    <row r="353" ht="15.75" customHeight="1">
      <c r="A353" s="31" t="s">
        <v>877</v>
      </c>
      <c r="B353" s="26" t="s">
        <v>654</v>
      </c>
      <c r="C353" s="27" t="s">
        <v>26</v>
      </c>
      <c r="D353" s="28" t="s">
        <v>754</v>
      </c>
      <c r="E353" s="28" t="s">
        <v>63</v>
      </c>
      <c r="F353" s="28" t="s">
        <v>63</v>
      </c>
      <c r="G353" s="28">
        <v>1.0</v>
      </c>
      <c r="H353" s="28">
        <v>3.0</v>
      </c>
      <c r="I353" s="28">
        <v>1.0</v>
      </c>
      <c r="J353" s="28"/>
      <c r="K353" s="30">
        <f t="shared" si="1"/>
        <v>12.56637061</v>
      </c>
    </row>
    <row r="354" ht="15.75" customHeight="1">
      <c r="A354" s="31" t="s">
        <v>170</v>
      </c>
      <c r="B354" s="26" t="s">
        <v>657</v>
      </c>
      <c r="C354" s="27" t="s">
        <v>34</v>
      </c>
      <c r="D354" s="28" t="s">
        <v>755</v>
      </c>
      <c r="E354" s="28" t="s">
        <v>63</v>
      </c>
      <c r="F354" s="28" t="s">
        <v>63</v>
      </c>
      <c r="G354" s="28">
        <v>1.0</v>
      </c>
      <c r="H354" s="28">
        <v>3.0</v>
      </c>
      <c r="I354" s="28">
        <v>1.0</v>
      </c>
      <c r="J354" s="28"/>
      <c r="K354" s="30">
        <f t="shared" si="1"/>
        <v>12.56637061</v>
      </c>
    </row>
    <row r="355" ht="15.75" customHeight="1">
      <c r="A355" s="31" t="s">
        <v>150</v>
      </c>
      <c r="B355" s="26" t="s">
        <v>659</v>
      </c>
      <c r="C355" s="27" t="s">
        <v>34</v>
      </c>
      <c r="D355" s="28" t="s">
        <v>755</v>
      </c>
      <c r="E355" s="28" t="s">
        <v>77</v>
      </c>
      <c r="F355" s="28" t="s">
        <v>79</v>
      </c>
      <c r="G355" s="28">
        <v>1.0</v>
      </c>
      <c r="H355" s="28">
        <v>13.0</v>
      </c>
      <c r="I355" s="28">
        <v>7.0</v>
      </c>
      <c r="J355" s="28"/>
      <c r="K355" s="30">
        <f t="shared" si="1"/>
        <v>2668.25936</v>
      </c>
    </row>
    <row r="356" ht="15.75" customHeight="1">
      <c r="A356" s="31" t="s">
        <v>129</v>
      </c>
      <c r="B356" s="26" t="s">
        <v>660</v>
      </c>
      <c r="C356" s="27" t="s">
        <v>33</v>
      </c>
      <c r="D356" s="28" t="s">
        <v>754</v>
      </c>
      <c r="E356" s="28" t="s">
        <v>57</v>
      </c>
      <c r="F356" s="28" t="s">
        <v>57</v>
      </c>
      <c r="G356" s="28">
        <v>1.0</v>
      </c>
      <c r="H356" s="28">
        <v>4.0</v>
      </c>
      <c r="I356" s="28">
        <v>2.0</v>
      </c>
      <c r="J356" s="28"/>
      <c r="K356" s="30">
        <f t="shared" si="1"/>
        <v>67.02064328</v>
      </c>
    </row>
    <row r="357" ht="15.75" customHeight="1">
      <c r="A357" s="31" t="s">
        <v>137</v>
      </c>
      <c r="B357" s="26" t="s">
        <v>662</v>
      </c>
      <c r="C357" s="27" t="s">
        <v>30</v>
      </c>
      <c r="D357" s="28" t="s">
        <v>754</v>
      </c>
      <c r="E357" s="28" t="s">
        <v>55</v>
      </c>
      <c r="F357" s="28" t="s">
        <v>55</v>
      </c>
      <c r="G357" s="28">
        <v>1.0</v>
      </c>
      <c r="H357" s="28">
        <v>0.5</v>
      </c>
      <c r="I357" s="28">
        <v>0.5</v>
      </c>
      <c r="J357" s="28"/>
      <c r="K357" s="30">
        <f t="shared" si="1"/>
        <v>0.5235987756</v>
      </c>
    </row>
    <row r="358" ht="15.75" customHeight="1">
      <c r="A358" s="31" t="s">
        <v>137</v>
      </c>
      <c r="B358" s="26" t="s">
        <v>662</v>
      </c>
      <c r="C358" s="27" t="s">
        <v>30</v>
      </c>
      <c r="D358" s="28" t="s">
        <v>754</v>
      </c>
      <c r="E358" s="28" t="s">
        <v>63</v>
      </c>
      <c r="F358" s="28" t="s">
        <v>63</v>
      </c>
      <c r="G358" s="28">
        <v>1.0</v>
      </c>
      <c r="H358" s="28"/>
      <c r="I358" s="28"/>
      <c r="J358" s="28" t="s">
        <v>762</v>
      </c>
      <c r="K358" s="30">
        <f t="shared" si="1"/>
        <v>0</v>
      </c>
    </row>
    <row r="359" ht="15.75" customHeight="1">
      <c r="A359" s="31" t="s">
        <v>137</v>
      </c>
      <c r="B359" s="26" t="s">
        <v>662</v>
      </c>
      <c r="C359" s="27" t="s">
        <v>30</v>
      </c>
      <c r="D359" s="28" t="s">
        <v>754</v>
      </c>
      <c r="E359" s="28" t="s">
        <v>91</v>
      </c>
      <c r="F359" s="28" t="s">
        <v>91</v>
      </c>
      <c r="G359" s="28">
        <v>1.0</v>
      </c>
      <c r="H359" s="28"/>
      <c r="I359" s="28"/>
      <c r="J359" s="28" t="s">
        <v>762</v>
      </c>
      <c r="K359" s="30">
        <f t="shared" si="1"/>
        <v>0</v>
      </c>
    </row>
    <row r="360" ht="15.75" customHeight="1">
      <c r="A360" s="31" t="s">
        <v>137</v>
      </c>
      <c r="B360" s="26" t="s">
        <v>662</v>
      </c>
      <c r="C360" s="27" t="s">
        <v>30</v>
      </c>
      <c r="D360" s="28" t="s">
        <v>754</v>
      </c>
      <c r="E360" s="28" t="s">
        <v>759</v>
      </c>
      <c r="F360" s="28" t="s">
        <v>75</v>
      </c>
      <c r="G360" s="28">
        <v>1.0</v>
      </c>
      <c r="H360" s="28">
        <v>3.0</v>
      </c>
      <c r="I360" s="28">
        <v>1.0</v>
      </c>
      <c r="J360" s="28"/>
      <c r="K360" s="30">
        <f t="shared" si="1"/>
        <v>12.56637061</v>
      </c>
    </row>
    <row r="361" ht="15.75" customHeight="1">
      <c r="A361" s="31" t="s">
        <v>207</v>
      </c>
      <c r="B361" s="26" t="s">
        <v>663</v>
      </c>
      <c r="C361" s="27" t="s">
        <v>8</v>
      </c>
      <c r="D361" s="28" t="s">
        <v>755</v>
      </c>
      <c r="E361" s="28" t="s">
        <v>757</v>
      </c>
      <c r="F361" s="28" t="s">
        <v>757</v>
      </c>
      <c r="G361" s="28">
        <v>0.0</v>
      </c>
      <c r="H361" s="28"/>
      <c r="I361" s="28"/>
      <c r="J361" s="28"/>
      <c r="K361" s="30">
        <f t="shared" si="1"/>
        <v>0</v>
      </c>
    </row>
    <row r="362" ht="15.75" customHeight="1">
      <c r="A362" s="31" t="s">
        <v>129</v>
      </c>
      <c r="B362" s="26" t="s">
        <v>665</v>
      </c>
      <c r="C362" s="27" t="s">
        <v>8</v>
      </c>
      <c r="D362" s="28" t="s">
        <v>755</v>
      </c>
      <c r="E362" s="28" t="s">
        <v>763</v>
      </c>
      <c r="F362" s="28" t="s">
        <v>763</v>
      </c>
      <c r="G362" s="28">
        <v>1.0</v>
      </c>
      <c r="H362" s="28"/>
      <c r="I362" s="28"/>
      <c r="J362" s="37" t="s">
        <v>762</v>
      </c>
      <c r="K362" s="30">
        <f t="shared" si="1"/>
        <v>0</v>
      </c>
    </row>
    <row r="363" ht="15.75" customHeight="1">
      <c r="A363" s="31" t="s">
        <v>129</v>
      </c>
      <c r="B363" s="26" t="s">
        <v>667</v>
      </c>
      <c r="C363" s="27" t="s">
        <v>36</v>
      </c>
      <c r="D363" s="28" t="s">
        <v>754</v>
      </c>
      <c r="E363" s="28" t="s">
        <v>57</v>
      </c>
      <c r="F363" s="28" t="s">
        <v>57</v>
      </c>
      <c r="G363" s="28">
        <v>1.0</v>
      </c>
      <c r="H363" s="28"/>
      <c r="I363" s="28"/>
      <c r="J363" s="37" t="s">
        <v>762</v>
      </c>
      <c r="K363" s="30">
        <f t="shared" si="1"/>
        <v>0</v>
      </c>
    </row>
    <row r="364" ht="15.75" customHeight="1">
      <c r="A364" s="31" t="s">
        <v>129</v>
      </c>
      <c r="B364" s="26" t="s">
        <v>667</v>
      </c>
      <c r="C364" s="27" t="s">
        <v>36</v>
      </c>
      <c r="D364" s="28" t="s">
        <v>754</v>
      </c>
      <c r="E364" s="28" t="s">
        <v>771</v>
      </c>
      <c r="F364" s="28" t="s">
        <v>771</v>
      </c>
      <c r="G364" s="28">
        <v>1.0</v>
      </c>
      <c r="H364" s="28"/>
      <c r="I364" s="28"/>
      <c r="J364" s="37" t="s">
        <v>762</v>
      </c>
      <c r="K364" s="30">
        <f t="shared" si="1"/>
        <v>0</v>
      </c>
    </row>
    <row r="365" ht="15.75" customHeight="1">
      <c r="A365" s="25" t="s">
        <v>878</v>
      </c>
      <c r="B365" s="26" t="s">
        <v>668</v>
      </c>
      <c r="C365" s="27" t="s">
        <v>39</v>
      </c>
      <c r="D365" s="28" t="s">
        <v>754</v>
      </c>
      <c r="E365" s="28" t="s">
        <v>757</v>
      </c>
      <c r="F365" s="28" t="s">
        <v>757</v>
      </c>
      <c r="G365" s="28">
        <v>0.0</v>
      </c>
      <c r="H365" s="28"/>
      <c r="I365" s="28"/>
      <c r="J365" s="28"/>
      <c r="K365" s="30">
        <f t="shared" si="1"/>
        <v>0</v>
      </c>
    </row>
    <row r="366" ht="15.75" customHeight="1">
      <c r="A366" s="25" t="s">
        <v>360</v>
      </c>
      <c r="B366" s="42" t="s">
        <v>669</v>
      </c>
      <c r="C366" s="27" t="s">
        <v>40</v>
      </c>
      <c r="D366" s="28" t="s">
        <v>755</v>
      </c>
      <c r="E366" s="5" t="s">
        <v>93</v>
      </c>
      <c r="F366" s="5" t="s">
        <v>73</v>
      </c>
      <c r="G366" s="5">
        <v>1.0</v>
      </c>
      <c r="H366" s="5">
        <v>18.0</v>
      </c>
      <c r="I366" s="5">
        <v>10.0</v>
      </c>
      <c r="J366" s="43"/>
      <c r="K366" s="30">
        <f t="shared" si="1"/>
        <v>7539.822369</v>
      </c>
    </row>
    <row r="367" ht="15.75" customHeight="1">
      <c r="A367" s="25" t="s">
        <v>360</v>
      </c>
      <c r="B367" s="42" t="s">
        <v>669</v>
      </c>
      <c r="C367" s="27" t="s">
        <v>40</v>
      </c>
      <c r="D367" s="28" t="s">
        <v>755</v>
      </c>
      <c r="E367" s="5" t="s">
        <v>57</v>
      </c>
      <c r="F367" s="5" t="s">
        <v>57</v>
      </c>
      <c r="G367" s="5">
        <v>1.0</v>
      </c>
      <c r="H367" s="5">
        <v>20.0</v>
      </c>
      <c r="I367" s="5">
        <v>7.0</v>
      </c>
      <c r="J367" s="43"/>
      <c r="K367" s="30">
        <f t="shared" si="1"/>
        <v>4105.014401</v>
      </c>
    </row>
    <row r="368" ht="15.75" customHeight="1">
      <c r="A368" s="25" t="s">
        <v>360</v>
      </c>
      <c r="B368" s="42" t="s">
        <v>669</v>
      </c>
      <c r="C368" s="27" t="s">
        <v>40</v>
      </c>
      <c r="D368" s="28" t="s">
        <v>755</v>
      </c>
      <c r="E368" s="5" t="s">
        <v>71</v>
      </c>
      <c r="F368" s="5" t="s">
        <v>71</v>
      </c>
      <c r="G368" s="5">
        <v>1.0</v>
      </c>
      <c r="H368" s="5">
        <v>18.0</v>
      </c>
      <c r="I368" s="5">
        <v>3.0</v>
      </c>
      <c r="J368" s="43"/>
      <c r="K368" s="30">
        <f t="shared" si="1"/>
        <v>678.5840132</v>
      </c>
    </row>
    <row r="369" ht="15.75" customHeight="1">
      <c r="A369" s="31" t="s">
        <v>129</v>
      </c>
      <c r="B369" s="26" t="s">
        <v>671</v>
      </c>
      <c r="C369" s="27" t="s">
        <v>40</v>
      </c>
      <c r="D369" s="28" t="s">
        <v>755</v>
      </c>
      <c r="E369" s="28" t="s">
        <v>95</v>
      </c>
      <c r="F369" s="28" t="s">
        <v>95</v>
      </c>
      <c r="G369" s="28">
        <v>1.0</v>
      </c>
      <c r="H369" s="28">
        <v>3.0</v>
      </c>
      <c r="I369" s="28">
        <v>2.0</v>
      </c>
      <c r="J369" s="28"/>
      <c r="K369" s="30">
        <f t="shared" si="1"/>
        <v>50.26548246</v>
      </c>
    </row>
    <row r="370" ht="15.75" customHeight="1">
      <c r="A370" s="31" t="s">
        <v>129</v>
      </c>
      <c r="B370" s="26" t="s">
        <v>674</v>
      </c>
      <c r="C370" s="27" t="s">
        <v>37</v>
      </c>
      <c r="D370" s="28" t="s">
        <v>755</v>
      </c>
      <c r="E370" s="28" t="s">
        <v>757</v>
      </c>
      <c r="F370" s="28" t="s">
        <v>757</v>
      </c>
      <c r="G370" s="28">
        <v>0.0</v>
      </c>
      <c r="H370" s="28"/>
      <c r="I370" s="28"/>
      <c r="J370" s="28"/>
      <c r="K370" s="30">
        <f t="shared" si="1"/>
        <v>0</v>
      </c>
    </row>
    <row r="371" ht="15.75" customHeight="1">
      <c r="A371" s="31" t="s">
        <v>150</v>
      </c>
      <c r="B371" s="26" t="s">
        <v>675</v>
      </c>
      <c r="C371" s="27" t="s">
        <v>37</v>
      </c>
      <c r="D371" s="28" t="s">
        <v>755</v>
      </c>
      <c r="E371" s="28" t="s">
        <v>757</v>
      </c>
      <c r="F371" s="28" t="s">
        <v>757</v>
      </c>
      <c r="G371" s="28">
        <v>0.0</v>
      </c>
      <c r="H371" s="28"/>
      <c r="I371" s="28"/>
      <c r="J371" s="28"/>
      <c r="K371" s="30">
        <f t="shared" si="1"/>
        <v>0</v>
      </c>
    </row>
    <row r="372" ht="15.75" customHeight="1">
      <c r="A372" s="25" t="s">
        <v>879</v>
      </c>
      <c r="B372" s="26" t="s">
        <v>677</v>
      </c>
      <c r="C372" s="27" t="s">
        <v>16</v>
      </c>
      <c r="D372" s="28" t="s">
        <v>755</v>
      </c>
      <c r="E372" s="28" t="s">
        <v>757</v>
      </c>
      <c r="F372" s="28" t="s">
        <v>757</v>
      </c>
      <c r="G372" s="28">
        <v>0.0</v>
      </c>
      <c r="H372" s="28"/>
      <c r="I372" s="28"/>
      <c r="J372" s="28"/>
      <c r="K372" s="30">
        <f t="shared" si="1"/>
        <v>0</v>
      </c>
    </row>
    <row r="373" ht="15.75" customHeight="1">
      <c r="A373" s="31" t="s">
        <v>343</v>
      </c>
      <c r="B373" s="26" t="s">
        <v>679</v>
      </c>
      <c r="C373" s="27" t="s">
        <v>12</v>
      </c>
      <c r="D373" s="28" t="s">
        <v>755</v>
      </c>
      <c r="E373" s="28" t="s">
        <v>757</v>
      </c>
      <c r="F373" s="28" t="s">
        <v>757</v>
      </c>
      <c r="G373" s="28">
        <v>0.0</v>
      </c>
      <c r="H373" s="28"/>
      <c r="I373" s="28"/>
      <c r="J373" s="28"/>
      <c r="K373" s="30">
        <f t="shared" si="1"/>
        <v>0</v>
      </c>
    </row>
    <row r="374" ht="15.75" customHeight="1">
      <c r="A374" s="31" t="s">
        <v>170</v>
      </c>
      <c r="B374" s="26" t="s">
        <v>681</v>
      </c>
      <c r="C374" s="27" t="s">
        <v>16</v>
      </c>
      <c r="D374" s="28" t="s">
        <v>755</v>
      </c>
      <c r="E374" s="28" t="s">
        <v>59</v>
      </c>
      <c r="F374" s="28" t="s">
        <v>83</v>
      </c>
      <c r="G374" s="28">
        <v>13.0</v>
      </c>
      <c r="H374" s="28">
        <v>6.0</v>
      </c>
      <c r="I374" s="28">
        <v>1.0</v>
      </c>
      <c r="J374" s="28"/>
      <c r="K374" s="30">
        <f t="shared" si="1"/>
        <v>326.725636</v>
      </c>
    </row>
    <row r="375" ht="15.75" customHeight="1">
      <c r="A375" s="31" t="s">
        <v>343</v>
      </c>
      <c r="B375" s="26" t="s">
        <v>683</v>
      </c>
      <c r="C375" s="27" t="s">
        <v>12</v>
      </c>
      <c r="D375" s="28" t="s">
        <v>755</v>
      </c>
      <c r="E375" s="28" t="s">
        <v>757</v>
      </c>
      <c r="F375" s="28" t="s">
        <v>757</v>
      </c>
      <c r="G375" s="28">
        <v>0.0</v>
      </c>
      <c r="H375" s="28"/>
      <c r="I375" s="28"/>
      <c r="J375" s="28"/>
      <c r="K375" s="30">
        <f t="shared" si="1"/>
        <v>0</v>
      </c>
    </row>
    <row r="376" ht="15.75" customHeight="1">
      <c r="A376" s="31" t="s">
        <v>880</v>
      </c>
      <c r="B376" s="26" t="s">
        <v>685</v>
      </c>
      <c r="C376" s="27" t="s">
        <v>12</v>
      </c>
      <c r="D376" s="28" t="s">
        <v>755</v>
      </c>
      <c r="E376" s="28" t="s">
        <v>67</v>
      </c>
      <c r="F376" s="28" t="s">
        <v>67</v>
      </c>
      <c r="G376" s="28">
        <v>1.0</v>
      </c>
      <c r="H376" s="28">
        <v>3.0</v>
      </c>
      <c r="I376" s="28">
        <v>2.0</v>
      </c>
      <c r="J376" s="28"/>
      <c r="K376" s="30">
        <f t="shared" si="1"/>
        <v>50.26548246</v>
      </c>
    </row>
    <row r="377" ht="15.75" customHeight="1">
      <c r="A377" s="31" t="s">
        <v>881</v>
      </c>
      <c r="B377" s="26" t="s">
        <v>685</v>
      </c>
      <c r="C377" s="27" t="s">
        <v>12</v>
      </c>
      <c r="D377" s="28" t="s">
        <v>755</v>
      </c>
      <c r="E377" s="28" t="s">
        <v>69</v>
      </c>
      <c r="F377" s="28" t="s">
        <v>69</v>
      </c>
      <c r="G377" s="28">
        <v>1.0</v>
      </c>
      <c r="H377" s="28"/>
      <c r="I377" s="28"/>
      <c r="J377" s="28" t="s">
        <v>762</v>
      </c>
      <c r="K377" s="30">
        <f t="shared" si="1"/>
        <v>0</v>
      </c>
    </row>
    <row r="378" ht="15.75" customHeight="1">
      <c r="A378" s="25" t="s">
        <v>882</v>
      </c>
      <c r="B378" s="26" t="s">
        <v>686</v>
      </c>
      <c r="C378" s="27" t="s">
        <v>12</v>
      </c>
      <c r="D378" s="28" t="s">
        <v>755</v>
      </c>
      <c r="E378" s="28" t="s">
        <v>757</v>
      </c>
      <c r="F378" s="28" t="s">
        <v>757</v>
      </c>
      <c r="G378" s="28">
        <v>0.0</v>
      </c>
      <c r="H378" s="28"/>
      <c r="I378" s="28"/>
      <c r="J378" s="28"/>
      <c r="K378" s="30">
        <f t="shared" si="1"/>
        <v>0</v>
      </c>
    </row>
    <row r="379" ht="15.75" customHeight="1">
      <c r="A379" s="31" t="s">
        <v>145</v>
      </c>
      <c r="B379" s="26" t="s">
        <v>688</v>
      </c>
      <c r="C379" s="27" t="s">
        <v>20</v>
      </c>
      <c r="D379" s="28" t="s">
        <v>755</v>
      </c>
      <c r="E379" s="28" t="s">
        <v>69</v>
      </c>
      <c r="F379" s="28" t="s">
        <v>69</v>
      </c>
      <c r="G379" s="28">
        <v>1.0</v>
      </c>
      <c r="H379" s="28">
        <v>10.0</v>
      </c>
      <c r="I379" s="28">
        <v>3.0</v>
      </c>
      <c r="J379" s="28"/>
      <c r="K379" s="30">
        <f t="shared" si="1"/>
        <v>376.9911184</v>
      </c>
    </row>
    <row r="380" ht="15.75" customHeight="1">
      <c r="A380" s="31" t="s">
        <v>145</v>
      </c>
      <c r="B380" s="26" t="s">
        <v>688</v>
      </c>
      <c r="C380" s="27" t="s">
        <v>20</v>
      </c>
      <c r="D380" s="28" t="s">
        <v>755</v>
      </c>
      <c r="E380" s="28" t="s">
        <v>63</v>
      </c>
      <c r="F380" s="28" t="s">
        <v>63</v>
      </c>
      <c r="G380" s="28">
        <v>1.0</v>
      </c>
      <c r="H380" s="28">
        <v>13.0</v>
      </c>
      <c r="I380" s="28">
        <v>4.0</v>
      </c>
      <c r="J380" s="28"/>
      <c r="K380" s="30">
        <f t="shared" si="1"/>
        <v>871.2683626</v>
      </c>
    </row>
    <row r="381" ht="15.75" customHeight="1">
      <c r="A381" s="31" t="s">
        <v>145</v>
      </c>
      <c r="B381" s="26" t="s">
        <v>688</v>
      </c>
      <c r="C381" s="27" t="s">
        <v>20</v>
      </c>
      <c r="D381" s="28" t="s">
        <v>755</v>
      </c>
      <c r="E381" s="28" t="s">
        <v>57</v>
      </c>
      <c r="F381" s="28" t="s">
        <v>57</v>
      </c>
      <c r="G381" s="28">
        <v>1.0</v>
      </c>
      <c r="H381" s="28">
        <v>1.0</v>
      </c>
      <c r="I381" s="28">
        <v>1.0</v>
      </c>
      <c r="J381" s="28"/>
      <c r="K381" s="30">
        <f t="shared" si="1"/>
        <v>4.188790205</v>
      </c>
    </row>
    <row r="382" ht="15.75" customHeight="1">
      <c r="A382" s="31" t="s">
        <v>145</v>
      </c>
      <c r="B382" s="26" t="s">
        <v>688</v>
      </c>
      <c r="C382" s="27" t="s">
        <v>20</v>
      </c>
      <c r="D382" s="28" t="s">
        <v>755</v>
      </c>
      <c r="E382" s="28" t="s">
        <v>759</v>
      </c>
      <c r="F382" s="28" t="s">
        <v>75</v>
      </c>
      <c r="G382" s="28">
        <v>1.0</v>
      </c>
      <c r="H382" s="28">
        <v>5.0</v>
      </c>
      <c r="I382" s="28">
        <v>2.0</v>
      </c>
      <c r="J382" s="28"/>
      <c r="K382" s="30">
        <f t="shared" si="1"/>
        <v>83.7758041</v>
      </c>
    </row>
    <row r="383" ht="15.75" customHeight="1">
      <c r="A383" s="31" t="s">
        <v>170</v>
      </c>
      <c r="B383" s="26" t="s">
        <v>691</v>
      </c>
      <c r="C383" s="27" t="s">
        <v>31</v>
      </c>
      <c r="D383" s="28" t="s">
        <v>755</v>
      </c>
      <c r="E383" s="28" t="s">
        <v>757</v>
      </c>
      <c r="F383" s="28" t="s">
        <v>757</v>
      </c>
      <c r="G383" s="28">
        <v>0.0</v>
      </c>
      <c r="H383" s="28"/>
      <c r="I383" s="28"/>
      <c r="J383" s="28"/>
      <c r="K383" s="30">
        <f t="shared" si="1"/>
        <v>0</v>
      </c>
    </row>
    <row r="384" ht="15.75" customHeight="1">
      <c r="A384" s="31" t="s">
        <v>170</v>
      </c>
      <c r="B384" s="26" t="s">
        <v>691</v>
      </c>
      <c r="C384" s="27" t="s">
        <v>31</v>
      </c>
      <c r="D384" s="28" t="s">
        <v>755</v>
      </c>
      <c r="E384" s="28" t="s">
        <v>757</v>
      </c>
      <c r="F384" s="28" t="s">
        <v>757</v>
      </c>
      <c r="G384" s="28">
        <v>0.0</v>
      </c>
      <c r="H384" s="28"/>
      <c r="I384" s="28"/>
      <c r="J384" s="28"/>
      <c r="K384" s="30">
        <f t="shared" si="1"/>
        <v>0</v>
      </c>
    </row>
    <row r="385" ht="15.75" customHeight="1">
      <c r="A385" s="31" t="s">
        <v>134</v>
      </c>
      <c r="B385" s="26" t="s">
        <v>694</v>
      </c>
      <c r="C385" s="27" t="s">
        <v>16</v>
      </c>
      <c r="D385" s="28" t="s">
        <v>755</v>
      </c>
      <c r="E385" s="28" t="s">
        <v>63</v>
      </c>
      <c r="F385" s="28" t="s">
        <v>63</v>
      </c>
      <c r="G385" s="28">
        <v>1.0</v>
      </c>
      <c r="H385" s="28">
        <v>5.0</v>
      </c>
      <c r="I385" s="28">
        <v>3.0</v>
      </c>
      <c r="J385" s="28"/>
      <c r="K385" s="30">
        <f t="shared" si="1"/>
        <v>188.4955592</v>
      </c>
    </row>
    <row r="386" ht="15.75" customHeight="1">
      <c r="A386" s="31" t="s">
        <v>134</v>
      </c>
      <c r="B386" s="26" t="s">
        <v>694</v>
      </c>
      <c r="C386" s="27" t="s">
        <v>16</v>
      </c>
      <c r="D386" s="28" t="s">
        <v>755</v>
      </c>
      <c r="E386" s="28" t="s">
        <v>63</v>
      </c>
      <c r="F386" s="28" t="s">
        <v>63</v>
      </c>
      <c r="G386" s="28">
        <v>1.0</v>
      </c>
      <c r="H386" s="28">
        <v>2.0</v>
      </c>
      <c r="I386" s="28">
        <v>0.5</v>
      </c>
      <c r="J386" s="28"/>
      <c r="K386" s="30">
        <f t="shared" si="1"/>
        <v>2.094395102</v>
      </c>
    </row>
    <row r="387" ht="15.75" customHeight="1">
      <c r="A387" s="31" t="s">
        <v>134</v>
      </c>
      <c r="B387" s="26" t="s">
        <v>694</v>
      </c>
      <c r="C387" s="27" t="s">
        <v>16</v>
      </c>
      <c r="D387" s="28" t="s">
        <v>755</v>
      </c>
      <c r="E387" s="28" t="s">
        <v>759</v>
      </c>
      <c r="F387" s="28" t="s">
        <v>75</v>
      </c>
      <c r="G387" s="28">
        <v>1.0</v>
      </c>
      <c r="H387" s="28">
        <v>5.0</v>
      </c>
      <c r="I387" s="28">
        <v>1.0</v>
      </c>
      <c r="J387" s="28"/>
      <c r="K387" s="30">
        <f t="shared" si="1"/>
        <v>20.94395102</v>
      </c>
    </row>
    <row r="388" ht="15.75" customHeight="1">
      <c r="A388" s="31" t="s">
        <v>134</v>
      </c>
      <c r="B388" s="26" t="s">
        <v>694</v>
      </c>
      <c r="C388" s="27" t="s">
        <v>16</v>
      </c>
      <c r="D388" s="28" t="s">
        <v>755</v>
      </c>
      <c r="E388" s="28" t="s">
        <v>759</v>
      </c>
      <c r="F388" s="28" t="s">
        <v>75</v>
      </c>
      <c r="G388" s="28">
        <v>1.0</v>
      </c>
      <c r="H388" s="28">
        <v>3.0</v>
      </c>
      <c r="I388" s="28">
        <v>1.0</v>
      </c>
      <c r="J388" s="28"/>
      <c r="K388" s="30">
        <f t="shared" si="1"/>
        <v>12.56637061</v>
      </c>
    </row>
    <row r="389" ht="15.75" customHeight="1">
      <c r="A389" s="31" t="s">
        <v>134</v>
      </c>
      <c r="B389" s="26" t="s">
        <v>697</v>
      </c>
      <c r="C389" s="27" t="s">
        <v>16</v>
      </c>
      <c r="D389" s="28" t="s">
        <v>755</v>
      </c>
      <c r="E389" s="28" t="s">
        <v>757</v>
      </c>
      <c r="F389" s="28" t="s">
        <v>757</v>
      </c>
      <c r="G389" s="28">
        <v>0.0</v>
      </c>
      <c r="H389" s="28"/>
      <c r="I389" s="28"/>
      <c r="J389" s="28"/>
      <c r="K389" s="30">
        <f t="shared" si="1"/>
        <v>0</v>
      </c>
    </row>
    <row r="390" ht="15.75" customHeight="1">
      <c r="A390" s="31" t="s">
        <v>349</v>
      </c>
      <c r="B390" s="26" t="s">
        <v>699</v>
      </c>
      <c r="C390" s="27" t="s">
        <v>16</v>
      </c>
      <c r="D390" s="28" t="s">
        <v>755</v>
      </c>
      <c r="E390" s="28" t="s">
        <v>757</v>
      </c>
      <c r="F390" s="28" t="s">
        <v>757</v>
      </c>
      <c r="G390" s="28">
        <v>0.0</v>
      </c>
      <c r="H390" s="28"/>
      <c r="I390" s="28"/>
      <c r="J390" s="28"/>
      <c r="K390" s="30">
        <f t="shared" si="1"/>
        <v>0</v>
      </c>
    </row>
    <row r="391" ht="15.75" customHeight="1">
      <c r="A391" s="25" t="s">
        <v>883</v>
      </c>
      <c r="B391" s="26" t="s">
        <v>701</v>
      </c>
      <c r="C391" s="27" t="s">
        <v>16</v>
      </c>
      <c r="D391" s="28" t="s">
        <v>755</v>
      </c>
      <c r="E391" s="28" t="s">
        <v>757</v>
      </c>
      <c r="F391" s="28" t="s">
        <v>757</v>
      </c>
      <c r="G391" s="28">
        <v>0.0</v>
      </c>
      <c r="H391" s="28"/>
      <c r="I391" s="28"/>
      <c r="J391" s="28" t="s">
        <v>830</v>
      </c>
      <c r="K391" s="30">
        <f t="shared" si="1"/>
        <v>0</v>
      </c>
    </row>
    <row r="392" ht="15.75" customHeight="1">
      <c r="A392" s="31" t="s">
        <v>170</v>
      </c>
      <c r="B392" s="26" t="s">
        <v>704</v>
      </c>
      <c r="C392" s="27" t="s">
        <v>16</v>
      </c>
      <c r="D392" s="28" t="s">
        <v>755</v>
      </c>
      <c r="E392" s="28" t="s">
        <v>757</v>
      </c>
      <c r="F392" s="28" t="s">
        <v>757</v>
      </c>
      <c r="G392" s="28">
        <v>0.0</v>
      </c>
      <c r="H392" s="28"/>
      <c r="I392" s="28"/>
      <c r="J392" s="28"/>
      <c r="K392" s="30">
        <f t="shared" si="1"/>
        <v>0</v>
      </c>
    </row>
    <row r="393" ht="15.75" customHeight="1">
      <c r="A393" s="25" t="s">
        <v>884</v>
      </c>
      <c r="B393" s="26" t="s">
        <v>706</v>
      </c>
      <c r="C393" s="27" t="s">
        <v>16</v>
      </c>
      <c r="D393" s="28" t="s">
        <v>755</v>
      </c>
      <c r="E393" s="28" t="s">
        <v>757</v>
      </c>
      <c r="F393" s="28" t="s">
        <v>757</v>
      </c>
      <c r="G393" s="28">
        <v>0.0</v>
      </c>
      <c r="H393" s="28"/>
      <c r="I393" s="28"/>
      <c r="J393" s="28"/>
      <c r="K393" s="30">
        <f t="shared" si="1"/>
        <v>0</v>
      </c>
    </row>
    <row r="394" ht="15.75" customHeight="1">
      <c r="A394" s="31" t="s">
        <v>134</v>
      </c>
      <c r="B394" s="26" t="s">
        <v>708</v>
      </c>
      <c r="C394" s="27" t="s">
        <v>16</v>
      </c>
      <c r="D394" s="28" t="s">
        <v>755</v>
      </c>
      <c r="E394" s="28" t="s">
        <v>757</v>
      </c>
      <c r="F394" s="28" t="s">
        <v>757</v>
      </c>
      <c r="G394" s="28">
        <v>0.0</v>
      </c>
      <c r="H394" s="28"/>
      <c r="I394" s="28"/>
      <c r="J394" s="28"/>
      <c r="K394" s="30">
        <f t="shared" si="1"/>
        <v>0</v>
      </c>
    </row>
    <row r="395" ht="15.75" customHeight="1">
      <c r="A395" s="31" t="s">
        <v>210</v>
      </c>
      <c r="B395" s="26" t="s">
        <v>709</v>
      </c>
      <c r="C395" s="27" t="s">
        <v>37</v>
      </c>
      <c r="D395" s="28" t="s">
        <v>755</v>
      </c>
      <c r="E395" s="28" t="s">
        <v>766</v>
      </c>
      <c r="F395" s="28" t="s">
        <v>87</v>
      </c>
      <c r="G395" s="28">
        <v>1.0</v>
      </c>
      <c r="H395" s="28">
        <v>30.0</v>
      </c>
      <c r="I395" s="28">
        <v>4.0</v>
      </c>
      <c r="J395" s="28"/>
      <c r="K395" s="30">
        <f t="shared" si="1"/>
        <v>2010.619298</v>
      </c>
    </row>
    <row r="396" ht="15.75" customHeight="1">
      <c r="A396" s="31" t="s">
        <v>210</v>
      </c>
      <c r="B396" s="26" t="s">
        <v>709</v>
      </c>
      <c r="C396" s="27" t="s">
        <v>37</v>
      </c>
      <c r="D396" s="28" t="s">
        <v>755</v>
      </c>
      <c r="E396" s="28" t="s">
        <v>63</v>
      </c>
      <c r="F396" s="28" t="s">
        <v>63</v>
      </c>
      <c r="G396" s="28">
        <v>1.0</v>
      </c>
      <c r="H396" s="28">
        <v>25.0</v>
      </c>
      <c r="I396" s="28">
        <v>5.0</v>
      </c>
      <c r="J396" s="28"/>
      <c r="K396" s="30">
        <f t="shared" si="1"/>
        <v>2617.993878</v>
      </c>
    </row>
    <row r="397" ht="15.75" customHeight="1">
      <c r="A397" s="31" t="s">
        <v>210</v>
      </c>
      <c r="B397" s="26" t="s">
        <v>709</v>
      </c>
      <c r="C397" s="27" t="s">
        <v>37</v>
      </c>
      <c r="D397" s="28" t="s">
        <v>755</v>
      </c>
      <c r="E397" s="28" t="s">
        <v>93</v>
      </c>
      <c r="F397" s="28" t="s">
        <v>93</v>
      </c>
      <c r="G397" s="28">
        <v>1.0</v>
      </c>
      <c r="H397" s="28"/>
      <c r="I397" s="28"/>
      <c r="J397" s="28" t="s">
        <v>762</v>
      </c>
      <c r="K397" s="30">
        <f t="shared" si="1"/>
        <v>0</v>
      </c>
    </row>
    <row r="398" ht="15.75" customHeight="1">
      <c r="A398" s="31" t="s">
        <v>210</v>
      </c>
      <c r="B398" s="26" t="s">
        <v>709</v>
      </c>
      <c r="C398" s="27" t="s">
        <v>37</v>
      </c>
      <c r="D398" s="28" t="s">
        <v>755</v>
      </c>
      <c r="E398" s="28" t="s">
        <v>71</v>
      </c>
      <c r="F398" s="28" t="s">
        <v>71</v>
      </c>
      <c r="G398" s="28">
        <v>1.0</v>
      </c>
      <c r="H398" s="28">
        <v>80.0</v>
      </c>
      <c r="I398" s="28">
        <v>6.0</v>
      </c>
      <c r="J398" s="28"/>
      <c r="K398" s="30">
        <f t="shared" si="1"/>
        <v>12063.71579</v>
      </c>
    </row>
    <row r="399" ht="15.75" customHeight="1">
      <c r="A399" s="31" t="s">
        <v>210</v>
      </c>
      <c r="B399" s="26" t="s">
        <v>709</v>
      </c>
      <c r="C399" s="27" t="s">
        <v>37</v>
      </c>
      <c r="D399" s="28" t="s">
        <v>755</v>
      </c>
      <c r="E399" s="28" t="s">
        <v>63</v>
      </c>
      <c r="F399" s="28" t="s">
        <v>63</v>
      </c>
      <c r="G399" s="28">
        <v>1.0</v>
      </c>
      <c r="H399" s="28">
        <v>14.0</v>
      </c>
      <c r="I399" s="28">
        <v>5.0</v>
      </c>
      <c r="J399" s="28"/>
      <c r="K399" s="30">
        <f t="shared" si="1"/>
        <v>1466.076572</v>
      </c>
    </row>
    <row r="400" ht="15.75" customHeight="1">
      <c r="A400" s="31" t="s">
        <v>210</v>
      </c>
      <c r="B400" s="26" t="s">
        <v>709</v>
      </c>
      <c r="C400" s="27" t="s">
        <v>37</v>
      </c>
      <c r="D400" s="28" t="s">
        <v>755</v>
      </c>
      <c r="E400" s="28" t="s">
        <v>63</v>
      </c>
      <c r="F400" s="28" t="s">
        <v>97</v>
      </c>
      <c r="G400" s="28">
        <v>1.0</v>
      </c>
      <c r="H400" s="28">
        <v>15.0</v>
      </c>
      <c r="I400" s="28">
        <v>3.0</v>
      </c>
      <c r="J400" s="28"/>
      <c r="K400" s="30">
        <f t="shared" si="1"/>
        <v>565.4866776</v>
      </c>
    </row>
    <row r="401" ht="15.75" customHeight="1">
      <c r="A401" s="31" t="s">
        <v>210</v>
      </c>
      <c r="B401" s="26" t="s">
        <v>709</v>
      </c>
      <c r="C401" s="27" t="s">
        <v>37</v>
      </c>
      <c r="D401" s="28" t="s">
        <v>755</v>
      </c>
      <c r="E401" s="28" t="s">
        <v>63</v>
      </c>
      <c r="F401" s="28" t="s">
        <v>65</v>
      </c>
      <c r="G401" s="28">
        <v>1.0</v>
      </c>
      <c r="H401" s="28">
        <v>20.0</v>
      </c>
      <c r="I401" s="28">
        <v>3.0</v>
      </c>
      <c r="J401" s="28"/>
      <c r="K401" s="30">
        <f t="shared" si="1"/>
        <v>753.9822369</v>
      </c>
    </row>
    <row r="402" ht="15.75" customHeight="1">
      <c r="A402" s="31" t="s">
        <v>210</v>
      </c>
      <c r="B402" s="26" t="s">
        <v>709</v>
      </c>
      <c r="C402" s="27" t="s">
        <v>37</v>
      </c>
      <c r="D402" s="28" t="s">
        <v>755</v>
      </c>
      <c r="E402" s="28" t="s">
        <v>63</v>
      </c>
      <c r="F402" s="28" t="s">
        <v>63</v>
      </c>
      <c r="G402" s="28">
        <v>1.0</v>
      </c>
      <c r="H402" s="28">
        <v>18.0</v>
      </c>
      <c r="I402" s="28">
        <v>10.0</v>
      </c>
      <c r="J402" s="28"/>
      <c r="K402" s="30">
        <f t="shared" si="1"/>
        <v>7539.822369</v>
      </c>
    </row>
    <row r="403" ht="15.75" customHeight="1">
      <c r="A403" s="31" t="s">
        <v>210</v>
      </c>
      <c r="B403" s="26" t="s">
        <v>709</v>
      </c>
      <c r="C403" s="27" t="s">
        <v>37</v>
      </c>
      <c r="D403" s="28" t="s">
        <v>755</v>
      </c>
      <c r="E403" s="28" t="s">
        <v>759</v>
      </c>
      <c r="F403" s="28" t="s">
        <v>75</v>
      </c>
      <c r="G403" s="28">
        <v>5.0</v>
      </c>
      <c r="H403" s="28">
        <v>12.0</v>
      </c>
      <c r="I403" s="28">
        <v>2.0</v>
      </c>
      <c r="J403" s="28"/>
      <c r="K403" s="30">
        <f t="shared" si="1"/>
        <v>1005.309649</v>
      </c>
    </row>
    <row r="404" ht="15.75" customHeight="1">
      <c r="A404" s="31" t="s">
        <v>210</v>
      </c>
      <c r="B404" s="26" t="s">
        <v>709</v>
      </c>
      <c r="C404" s="27" t="s">
        <v>37</v>
      </c>
      <c r="D404" s="28" t="s">
        <v>755</v>
      </c>
      <c r="E404" s="28" t="s">
        <v>759</v>
      </c>
      <c r="F404" s="28" t="s">
        <v>75</v>
      </c>
      <c r="G404" s="28">
        <v>1.0</v>
      </c>
      <c r="H404" s="28">
        <v>8.0</v>
      </c>
      <c r="I404" s="28">
        <v>1.0</v>
      </c>
      <c r="J404" s="28"/>
      <c r="K404" s="30">
        <f t="shared" si="1"/>
        <v>33.51032164</v>
      </c>
    </row>
    <row r="405" ht="15.75" customHeight="1">
      <c r="A405" s="31" t="s">
        <v>210</v>
      </c>
      <c r="B405" s="26" t="s">
        <v>709</v>
      </c>
      <c r="C405" s="27" t="s">
        <v>37</v>
      </c>
      <c r="D405" s="28" t="s">
        <v>755</v>
      </c>
      <c r="E405" s="28" t="s">
        <v>759</v>
      </c>
      <c r="F405" s="28" t="s">
        <v>75</v>
      </c>
      <c r="G405" s="28">
        <v>1.0</v>
      </c>
      <c r="H405" s="28">
        <v>10.0</v>
      </c>
      <c r="I405" s="28">
        <v>2.0</v>
      </c>
      <c r="J405" s="28"/>
      <c r="K405" s="30">
        <f t="shared" si="1"/>
        <v>167.5516082</v>
      </c>
    </row>
    <row r="406" ht="15.75" customHeight="1">
      <c r="A406" s="31" t="s">
        <v>210</v>
      </c>
      <c r="B406" s="26" t="s">
        <v>709</v>
      </c>
      <c r="C406" s="27" t="s">
        <v>37</v>
      </c>
      <c r="D406" s="28" t="s">
        <v>755</v>
      </c>
      <c r="E406" s="28" t="s">
        <v>759</v>
      </c>
      <c r="F406" s="28" t="s">
        <v>75</v>
      </c>
      <c r="G406" s="28">
        <v>16.0</v>
      </c>
      <c r="H406" s="28">
        <v>9.0</v>
      </c>
      <c r="I406" s="28">
        <v>1.0</v>
      </c>
      <c r="J406" s="28"/>
      <c r="K406" s="30">
        <f t="shared" si="1"/>
        <v>603.1857895</v>
      </c>
    </row>
    <row r="407" ht="15.75" customHeight="1">
      <c r="A407" s="31" t="s">
        <v>210</v>
      </c>
      <c r="B407" s="26" t="s">
        <v>709</v>
      </c>
      <c r="C407" s="27" t="s">
        <v>37</v>
      </c>
      <c r="D407" s="28" t="s">
        <v>755</v>
      </c>
      <c r="E407" s="28" t="s">
        <v>759</v>
      </c>
      <c r="F407" s="28" t="s">
        <v>75</v>
      </c>
      <c r="G407" s="28">
        <v>1.0</v>
      </c>
      <c r="H407" s="28">
        <v>4.0</v>
      </c>
      <c r="I407" s="28">
        <v>1.0</v>
      </c>
      <c r="J407" s="28"/>
      <c r="K407" s="30">
        <f t="shared" si="1"/>
        <v>16.75516082</v>
      </c>
    </row>
    <row r="408" ht="15.75" customHeight="1">
      <c r="A408" s="31" t="s">
        <v>210</v>
      </c>
      <c r="B408" s="26" t="s">
        <v>709</v>
      </c>
      <c r="C408" s="27" t="s">
        <v>37</v>
      </c>
      <c r="D408" s="28" t="s">
        <v>755</v>
      </c>
      <c r="E408" s="28" t="s">
        <v>759</v>
      </c>
      <c r="F408" s="28" t="s">
        <v>75</v>
      </c>
      <c r="G408" s="28">
        <v>2.0</v>
      </c>
      <c r="H408" s="28">
        <v>6.0</v>
      </c>
      <c r="I408" s="28">
        <v>1.0</v>
      </c>
      <c r="J408" s="28"/>
      <c r="K408" s="30">
        <f t="shared" si="1"/>
        <v>50.26548246</v>
      </c>
    </row>
    <row r="409" ht="15.75" customHeight="1">
      <c r="A409" s="31" t="s">
        <v>210</v>
      </c>
      <c r="B409" s="26" t="s">
        <v>709</v>
      </c>
      <c r="C409" s="27" t="s">
        <v>37</v>
      </c>
      <c r="D409" s="28" t="s">
        <v>755</v>
      </c>
      <c r="E409" s="28" t="s">
        <v>832</v>
      </c>
      <c r="F409" s="28" t="s">
        <v>832</v>
      </c>
      <c r="G409" s="28">
        <v>1.0</v>
      </c>
      <c r="H409" s="28"/>
      <c r="I409" s="28"/>
      <c r="J409" s="28" t="s">
        <v>762</v>
      </c>
      <c r="K409" s="30">
        <f t="shared" si="1"/>
        <v>0</v>
      </c>
    </row>
    <row r="410" ht="15.75" customHeight="1">
      <c r="A410" s="31" t="s">
        <v>210</v>
      </c>
      <c r="B410" s="26" t="s">
        <v>709</v>
      </c>
      <c r="C410" s="27" t="s">
        <v>37</v>
      </c>
      <c r="D410" s="28" t="s">
        <v>755</v>
      </c>
      <c r="E410" s="28" t="s">
        <v>81</v>
      </c>
      <c r="F410" s="28" t="s">
        <v>81</v>
      </c>
      <c r="G410" s="28">
        <v>1.0</v>
      </c>
      <c r="H410" s="28"/>
      <c r="I410" s="28"/>
      <c r="J410" s="28" t="s">
        <v>762</v>
      </c>
      <c r="K410" s="30">
        <f t="shared" si="1"/>
        <v>0</v>
      </c>
    </row>
    <row r="411" ht="15.75" customHeight="1">
      <c r="A411" s="31" t="s">
        <v>210</v>
      </c>
      <c r="B411" s="26" t="s">
        <v>709</v>
      </c>
      <c r="C411" s="27" t="s">
        <v>37</v>
      </c>
      <c r="D411" s="28" t="s">
        <v>755</v>
      </c>
      <c r="E411" s="28" t="s">
        <v>63</v>
      </c>
      <c r="F411" s="28" t="s">
        <v>63</v>
      </c>
      <c r="G411" s="28">
        <v>1.0</v>
      </c>
      <c r="H411" s="28">
        <v>14.0</v>
      </c>
      <c r="I411" s="28">
        <v>4.0</v>
      </c>
      <c r="J411" s="28"/>
      <c r="K411" s="30">
        <f t="shared" si="1"/>
        <v>938.2890059</v>
      </c>
    </row>
    <row r="412" ht="15.75" customHeight="1">
      <c r="A412" s="31" t="s">
        <v>210</v>
      </c>
      <c r="B412" s="26" t="s">
        <v>709</v>
      </c>
      <c r="C412" s="27" t="s">
        <v>37</v>
      </c>
      <c r="D412" s="28" t="s">
        <v>755</v>
      </c>
      <c r="E412" s="28" t="s">
        <v>91</v>
      </c>
      <c r="F412" s="28" t="s">
        <v>91</v>
      </c>
      <c r="G412" s="28">
        <v>1.0</v>
      </c>
      <c r="H412" s="28">
        <v>6.0</v>
      </c>
      <c r="I412" s="28">
        <v>6.0</v>
      </c>
      <c r="J412" s="28"/>
      <c r="K412" s="30">
        <f t="shared" si="1"/>
        <v>904.7786842</v>
      </c>
    </row>
    <row r="413" ht="15.75" customHeight="1">
      <c r="A413" s="31" t="s">
        <v>210</v>
      </c>
      <c r="B413" s="26" t="s">
        <v>709</v>
      </c>
      <c r="C413" s="27" t="s">
        <v>37</v>
      </c>
      <c r="D413" s="28" t="s">
        <v>755</v>
      </c>
      <c r="E413" s="28" t="s">
        <v>91</v>
      </c>
      <c r="F413" s="28" t="s">
        <v>91</v>
      </c>
      <c r="G413" s="28">
        <v>1.0</v>
      </c>
      <c r="H413" s="28">
        <v>6.0</v>
      </c>
      <c r="I413" s="28">
        <v>5.0</v>
      </c>
      <c r="J413" s="28"/>
      <c r="K413" s="30">
        <f t="shared" si="1"/>
        <v>628.3185307</v>
      </c>
    </row>
    <row r="414" ht="15.75" customHeight="1">
      <c r="A414" s="31" t="s">
        <v>210</v>
      </c>
      <c r="B414" s="26" t="s">
        <v>709</v>
      </c>
      <c r="C414" s="27" t="s">
        <v>37</v>
      </c>
      <c r="D414" s="28" t="s">
        <v>755</v>
      </c>
      <c r="E414" s="28" t="s">
        <v>759</v>
      </c>
      <c r="F414" s="28" t="s">
        <v>75</v>
      </c>
      <c r="G414" s="28">
        <v>1.0</v>
      </c>
      <c r="H414" s="28">
        <v>5.0</v>
      </c>
      <c r="I414" s="28">
        <v>1.0</v>
      </c>
      <c r="J414" s="28"/>
      <c r="K414" s="30">
        <f t="shared" si="1"/>
        <v>20.94395102</v>
      </c>
    </row>
    <row r="415" ht="15.75" customHeight="1">
      <c r="A415" s="31" t="s">
        <v>210</v>
      </c>
      <c r="B415" s="26" t="s">
        <v>709</v>
      </c>
      <c r="C415" s="27" t="s">
        <v>37</v>
      </c>
      <c r="D415" s="28" t="s">
        <v>755</v>
      </c>
      <c r="E415" s="28" t="s">
        <v>63</v>
      </c>
      <c r="F415" s="28" t="s">
        <v>63</v>
      </c>
      <c r="G415" s="28">
        <v>1.0</v>
      </c>
      <c r="H415" s="28">
        <v>13.0</v>
      </c>
      <c r="I415" s="28">
        <v>6.0</v>
      </c>
      <c r="J415" s="28"/>
      <c r="K415" s="30">
        <f t="shared" si="1"/>
        <v>1960.353816</v>
      </c>
    </row>
    <row r="416" ht="15.75" customHeight="1">
      <c r="A416" s="31" t="s">
        <v>210</v>
      </c>
      <c r="B416" s="26" t="s">
        <v>709</v>
      </c>
      <c r="C416" s="27" t="s">
        <v>37</v>
      </c>
      <c r="D416" s="28" t="s">
        <v>755</v>
      </c>
      <c r="E416" s="28" t="s">
        <v>63</v>
      </c>
      <c r="F416" s="28" t="s">
        <v>63</v>
      </c>
      <c r="G416" s="28">
        <v>2.0</v>
      </c>
      <c r="H416" s="28"/>
      <c r="I416" s="28"/>
      <c r="J416" s="28" t="s">
        <v>762</v>
      </c>
      <c r="K416" s="30">
        <f t="shared" si="1"/>
        <v>0</v>
      </c>
    </row>
    <row r="417" ht="15.75" customHeight="1">
      <c r="A417" s="31" t="s">
        <v>210</v>
      </c>
      <c r="B417" s="26" t="s">
        <v>709</v>
      </c>
      <c r="C417" s="27" t="s">
        <v>37</v>
      </c>
      <c r="D417" s="28" t="s">
        <v>755</v>
      </c>
      <c r="E417" s="28" t="s">
        <v>63</v>
      </c>
      <c r="F417" s="28" t="s">
        <v>63</v>
      </c>
      <c r="G417" s="28">
        <v>2.0</v>
      </c>
      <c r="H417" s="28">
        <v>17.0</v>
      </c>
      <c r="I417" s="28">
        <v>8.0</v>
      </c>
      <c r="J417" s="28"/>
      <c r="K417" s="30">
        <f t="shared" si="1"/>
        <v>9114.807486</v>
      </c>
    </row>
    <row r="418" ht="15.75" customHeight="1">
      <c r="A418" s="31" t="s">
        <v>210</v>
      </c>
      <c r="B418" s="26" t="s">
        <v>709</v>
      </c>
      <c r="C418" s="27" t="s">
        <v>37</v>
      </c>
      <c r="D418" s="28" t="s">
        <v>755</v>
      </c>
      <c r="E418" s="28" t="s">
        <v>63</v>
      </c>
      <c r="F418" s="28" t="s">
        <v>63</v>
      </c>
      <c r="G418" s="28">
        <v>1.0</v>
      </c>
      <c r="H418" s="28">
        <v>9.0</v>
      </c>
      <c r="I418" s="28">
        <v>4.0</v>
      </c>
      <c r="J418" s="28"/>
      <c r="K418" s="30">
        <f t="shared" si="1"/>
        <v>603.1857895</v>
      </c>
    </row>
    <row r="419" ht="15.75" customHeight="1">
      <c r="A419" s="31" t="s">
        <v>210</v>
      </c>
      <c r="B419" s="26" t="s">
        <v>709</v>
      </c>
      <c r="C419" s="27" t="s">
        <v>37</v>
      </c>
      <c r="D419" s="28" t="s">
        <v>755</v>
      </c>
      <c r="E419" s="28" t="s">
        <v>63</v>
      </c>
      <c r="F419" s="28" t="s">
        <v>63</v>
      </c>
      <c r="G419" s="28">
        <v>8.0</v>
      </c>
      <c r="H419" s="28">
        <v>11.0</v>
      </c>
      <c r="I419" s="28">
        <v>5.0</v>
      </c>
      <c r="J419" s="28"/>
      <c r="K419" s="30">
        <f t="shared" si="1"/>
        <v>9215.338451</v>
      </c>
    </row>
    <row r="420" ht="15.75" customHeight="1">
      <c r="A420" s="31" t="s">
        <v>210</v>
      </c>
      <c r="B420" s="26" t="s">
        <v>709</v>
      </c>
      <c r="C420" s="27" t="s">
        <v>37</v>
      </c>
      <c r="D420" s="28" t="s">
        <v>755</v>
      </c>
      <c r="E420" s="28" t="s">
        <v>63</v>
      </c>
      <c r="F420" s="28" t="s">
        <v>63</v>
      </c>
      <c r="G420" s="28">
        <v>1.0</v>
      </c>
      <c r="H420" s="28"/>
      <c r="I420" s="28"/>
      <c r="J420" s="28" t="s">
        <v>762</v>
      </c>
      <c r="K420" s="30">
        <f t="shared" si="1"/>
        <v>0</v>
      </c>
    </row>
    <row r="421" ht="15.75" customHeight="1">
      <c r="A421" s="31" t="s">
        <v>210</v>
      </c>
      <c r="B421" s="26" t="s">
        <v>712</v>
      </c>
      <c r="C421" s="27" t="s">
        <v>37</v>
      </c>
      <c r="D421" s="28" t="s">
        <v>755</v>
      </c>
      <c r="E421" s="28" t="s">
        <v>71</v>
      </c>
      <c r="F421" s="28" t="s">
        <v>71</v>
      </c>
      <c r="G421" s="28">
        <v>1.0</v>
      </c>
      <c r="H421" s="28">
        <v>90.0</v>
      </c>
      <c r="I421" s="28">
        <v>5.0</v>
      </c>
      <c r="J421" s="28"/>
      <c r="K421" s="30">
        <f t="shared" si="1"/>
        <v>9424.777961</v>
      </c>
    </row>
    <row r="422" ht="15.75" customHeight="1">
      <c r="A422" s="31" t="s">
        <v>210</v>
      </c>
      <c r="B422" s="26" t="s">
        <v>712</v>
      </c>
      <c r="C422" s="27" t="s">
        <v>37</v>
      </c>
      <c r="D422" s="28" t="s">
        <v>755</v>
      </c>
      <c r="E422" s="28" t="s">
        <v>63</v>
      </c>
      <c r="F422" s="28" t="s">
        <v>63</v>
      </c>
      <c r="G422" s="28">
        <v>11.0</v>
      </c>
      <c r="H422" s="28">
        <v>19.0</v>
      </c>
      <c r="I422" s="28">
        <v>10.0</v>
      </c>
      <c r="J422" s="28"/>
      <c r="K422" s="30">
        <f t="shared" si="1"/>
        <v>87545.71528</v>
      </c>
    </row>
    <row r="423" ht="15.75" customHeight="1">
      <c r="A423" s="31" t="s">
        <v>210</v>
      </c>
      <c r="B423" s="26" t="s">
        <v>712</v>
      </c>
      <c r="C423" s="27" t="s">
        <v>37</v>
      </c>
      <c r="D423" s="28" t="s">
        <v>755</v>
      </c>
      <c r="E423" s="28" t="s">
        <v>63</v>
      </c>
      <c r="F423" s="28" t="s">
        <v>63</v>
      </c>
      <c r="G423" s="28">
        <v>1.0</v>
      </c>
      <c r="H423" s="28">
        <v>10.0</v>
      </c>
      <c r="I423" s="28">
        <v>4.0</v>
      </c>
      <c r="J423" s="28"/>
      <c r="K423" s="30">
        <f t="shared" si="1"/>
        <v>670.2064328</v>
      </c>
    </row>
    <row r="424" ht="15.75" customHeight="1">
      <c r="A424" s="31" t="s">
        <v>210</v>
      </c>
      <c r="B424" s="26" t="s">
        <v>712</v>
      </c>
      <c r="C424" s="27" t="s">
        <v>37</v>
      </c>
      <c r="D424" s="28" t="s">
        <v>755</v>
      </c>
      <c r="E424" s="28" t="s">
        <v>91</v>
      </c>
      <c r="F424" s="28" t="s">
        <v>91</v>
      </c>
      <c r="G424" s="28">
        <v>2.0</v>
      </c>
      <c r="H424" s="28">
        <v>9.0</v>
      </c>
      <c r="I424" s="28">
        <v>10.0</v>
      </c>
      <c r="J424" s="28"/>
      <c r="K424" s="30">
        <f t="shared" si="1"/>
        <v>7539.822369</v>
      </c>
    </row>
    <row r="425" ht="15.75" customHeight="1">
      <c r="A425" s="31" t="s">
        <v>210</v>
      </c>
      <c r="B425" s="26" t="s">
        <v>712</v>
      </c>
      <c r="C425" s="27" t="s">
        <v>37</v>
      </c>
      <c r="D425" s="28" t="s">
        <v>755</v>
      </c>
      <c r="E425" s="28" t="s">
        <v>63</v>
      </c>
      <c r="F425" s="28" t="s">
        <v>65</v>
      </c>
      <c r="G425" s="28">
        <v>1.0</v>
      </c>
      <c r="H425" s="28"/>
      <c r="I425" s="28"/>
      <c r="J425" s="28" t="s">
        <v>762</v>
      </c>
      <c r="K425" s="30">
        <f t="shared" si="1"/>
        <v>0</v>
      </c>
    </row>
    <row r="426" ht="15.75" customHeight="1">
      <c r="A426" s="31" t="s">
        <v>210</v>
      </c>
      <c r="B426" s="26" t="s">
        <v>712</v>
      </c>
      <c r="C426" s="27" t="s">
        <v>37</v>
      </c>
      <c r="D426" s="28" t="s">
        <v>755</v>
      </c>
      <c r="E426" s="28" t="s">
        <v>759</v>
      </c>
      <c r="F426" s="28" t="s">
        <v>75</v>
      </c>
      <c r="G426" s="28">
        <v>5.0</v>
      </c>
      <c r="H426" s="28">
        <v>7.0</v>
      </c>
      <c r="I426" s="28">
        <v>1.0</v>
      </c>
      <c r="J426" s="28"/>
      <c r="K426" s="30">
        <f t="shared" si="1"/>
        <v>146.6076572</v>
      </c>
    </row>
    <row r="427" ht="15.75" customHeight="1">
      <c r="A427" s="31" t="s">
        <v>210</v>
      </c>
      <c r="B427" s="26" t="s">
        <v>712</v>
      </c>
      <c r="C427" s="27" t="s">
        <v>37</v>
      </c>
      <c r="D427" s="28" t="s">
        <v>755</v>
      </c>
      <c r="E427" s="28" t="s">
        <v>63</v>
      </c>
      <c r="F427" s="28" t="s">
        <v>63</v>
      </c>
      <c r="G427" s="28">
        <v>1.0</v>
      </c>
      <c r="H427" s="28">
        <v>4.0</v>
      </c>
      <c r="I427" s="28">
        <v>3.0</v>
      </c>
      <c r="J427" s="28"/>
      <c r="K427" s="30">
        <f t="shared" si="1"/>
        <v>150.7964474</v>
      </c>
    </row>
    <row r="428" ht="15.75" customHeight="1">
      <c r="A428" s="31" t="s">
        <v>210</v>
      </c>
      <c r="B428" s="26" t="s">
        <v>712</v>
      </c>
      <c r="C428" s="27" t="s">
        <v>37</v>
      </c>
      <c r="D428" s="28" t="s">
        <v>755</v>
      </c>
      <c r="E428" s="28" t="s">
        <v>63</v>
      </c>
      <c r="F428" s="28" t="s">
        <v>63</v>
      </c>
      <c r="G428" s="28">
        <v>5.0</v>
      </c>
      <c r="H428" s="28"/>
      <c r="I428" s="28"/>
      <c r="J428" s="28" t="s">
        <v>762</v>
      </c>
      <c r="K428" s="30">
        <f t="shared" si="1"/>
        <v>0</v>
      </c>
    </row>
    <row r="429" ht="15.75" customHeight="1">
      <c r="A429" s="31" t="s">
        <v>714</v>
      </c>
      <c r="B429" s="26" t="s">
        <v>713</v>
      </c>
      <c r="C429" s="27" t="s">
        <v>37</v>
      </c>
      <c r="D429" s="28" t="s">
        <v>755</v>
      </c>
      <c r="E429" s="28" t="s">
        <v>63</v>
      </c>
      <c r="F429" s="28" t="s">
        <v>63</v>
      </c>
      <c r="G429" s="28">
        <v>1.0</v>
      </c>
      <c r="H429" s="28">
        <v>2.0</v>
      </c>
      <c r="I429" s="28">
        <v>1.0</v>
      </c>
      <c r="J429" s="28" t="s">
        <v>833</v>
      </c>
      <c r="K429" s="30">
        <f t="shared" si="1"/>
        <v>8.37758041</v>
      </c>
    </row>
    <row r="430" ht="15.75" customHeight="1">
      <c r="A430" s="31" t="s">
        <v>714</v>
      </c>
      <c r="B430" s="26" t="s">
        <v>713</v>
      </c>
      <c r="C430" s="27" t="s">
        <v>37</v>
      </c>
      <c r="D430" s="28" t="s">
        <v>755</v>
      </c>
      <c r="E430" s="28" t="s">
        <v>77</v>
      </c>
      <c r="F430" s="28" t="s">
        <v>79</v>
      </c>
      <c r="G430" s="28">
        <v>1.0</v>
      </c>
      <c r="H430" s="28">
        <v>2.0</v>
      </c>
      <c r="I430" s="28">
        <v>1.0</v>
      </c>
      <c r="J430" s="28"/>
      <c r="K430" s="30">
        <f t="shared" si="1"/>
        <v>8.37758041</v>
      </c>
    </row>
    <row r="431" ht="15.75" customHeight="1">
      <c r="A431" s="31" t="s">
        <v>714</v>
      </c>
      <c r="B431" s="26" t="s">
        <v>713</v>
      </c>
      <c r="C431" s="27" t="s">
        <v>37</v>
      </c>
      <c r="D431" s="28" t="s">
        <v>755</v>
      </c>
      <c r="E431" s="28" t="s">
        <v>59</v>
      </c>
      <c r="F431" s="28" t="s">
        <v>59</v>
      </c>
      <c r="G431" s="28">
        <v>1.0</v>
      </c>
      <c r="H431" s="28">
        <v>2.0</v>
      </c>
      <c r="I431" s="28">
        <v>2.0</v>
      </c>
      <c r="J431" s="28"/>
      <c r="K431" s="30">
        <f t="shared" si="1"/>
        <v>33.51032164</v>
      </c>
    </row>
    <row r="432" ht="15.75" customHeight="1">
      <c r="A432" s="31" t="s">
        <v>714</v>
      </c>
      <c r="B432" s="26" t="s">
        <v>713</v>
      </c>
      <c r="C432" s="27" t="s">
        <v>37</v>
      </c>
      <c r="D432" s="28" t="s">
        <v>755</v>
      </c>
      <c r="E432" s="28" t="s">
        <v>759</v>
      </c>
      <c r="F432" s="28" t="s">
        <v>101</v>
      </c>
      <c r="G432" s="28">
        <v>1.0</v>
      </c>
      <c r="H432" s="28">
        <v>3.0</v>
      </c>
      <c r="I432" s="28">
        <v>1.0</v>
      </c>
      <c r="J432" s="28"/>
      <c r="K432" s="30">
        <f t="shared" si="1"/>
        <v>12.56637061</v>
      </c>
    </row>
    <row r="433" ht="15.75" customHeight="1">
      <c r="A433" s="31" t="s">
        <v>714</v>
      </c>
      <c r="B433" s="26" t="s">
        <v>713</v>
      </c>
      <c r="C433" s="27" t="s">
        <v>37</v>
      </c>
      <c r="D433" s="28" t="s">
        <v>755</v>
      </c>
      <c r="E433" s="28" t="s">
        <v>63</v>
      </c>
      <c r="F433" s="28" t="s">
        <v>65</v>
      </c>
      <c r="G433" s="28">
        <v>1.0</v>
      </c>
      <c r="H433" s="28">
        <v>5.0</v>
      </c>
      <c r="I433" s="28">
        <v>0.5</v>
      </c>
      <c r="J433" s="28"/>
      <c r="K433" s="30">
        <f t="shared" si="1"/>
        <v>5.235987756</v>
      </c>
    </row>
    <row r="434" ht="15.75" customHeight="1">
      <c r="A434" s="31" t="s">
        <v>150</v>
      </c>
      <c r="B434" s="26" t="s">
        <v>716</v>
      </c>
      <c r="C434" s="27" t="s">
        <v>37</v>
      </c>
      <c r="D434" s="28" t="s">
        <v>755</v>
      </c>
      <c r="E434" s="28" t="s">
        <v>763</v>
      </c>
      <c r="F434" s="28" t="s">
        <v>763</v>
      </c>
      <c r="G434" s="28">
        <v>1.0</v>
      </c>
      <c r="H434" s="28"/>
      <c r="I434" s="28"/>
      <c r="J434" s="37" t="s">
        <v>762</v>
      </c>
      <c r="K434" s="30">
        <f t="shared" si="1"/>
        <v>0</v>
      </c>
    </row>
    <row r="435" ht="15.75" customHeight="1">
      <c r="A435" s="31" t="s">
        <v>214</v>
      </c>
      <c r="B435" s="26" t="s">
        <v>719</v>
      </c>
      <c r="C435" s="27" t="s">
        <v>30</v>
      </c>
      <c r="D435" s="28" t="s">
        <v>754</v>
      </c>
      <c r="E435" s="28" t="s">
        <v>771</v>
      </c>
      <c r="F435" s="28" t="s">
        <v>771</v>
      </c>
      <c r="G435" s="28">
        <v>1.0</v>
      </c>
      <c r="H435" s="28"/>
      <c r="I435" s="28"/>
      <c r="J435" s="37" t="s">
        <v>762</v>
      </c>
      <c r="K435" s="30">
        <f t="shared" si="1"/>
        <v>0</v>
      </c>
    </row>
    <row r="436" ht="15.75" customHeight="1">
      <c r="A436" s="31" t="s">
        <v>214</v>
      </c>
      <c r="B436" s="26" t="s">
        <v>719</v>
      </c>
      <c r="C436" s="27" t="s">
        <v>30</v>
      </c>
      <c r="D436" s="28" t="s">
        <v>754</v>
      </c>
      <c r="E436" s="28" t="s">
        <v>759</v>
      </c>
      <c r="F436" s="28" t="s">
        <v>75</v>
      </c>
      <c r="G436" s="28">
        <v>1.0</v>
      </c>
      <c r="H436" s="28"/>
      <c r="I436" s="28"/>
      <c r="J436" s="37" t="s">
        <v>762</v>
      </c>
      <c r="K436" s="30">
        <f t="shared" si="1"/>
        <v>0</v>
      </c>
    </row>
    <row r="437" ht="15.75" customHeight="1">
      <c r="A437" s="31" t="s">
        <v>214</v>
      </c>
      <c r="B437" s="26" t="s">
        <v>719</v>
      </c>
      <c r="C437" s="27" t="s">
        <v>30</v>
      </c>
      <c r="D437" s="28" t="s">
        <v>754</v>
      </c>
      <c r="E437" s="28" t="s">
        <v>63</v>
      </c>
      <c r="F437" s="28" t="s">
        <v>63</v>
      </c>
      <c r="G437" s="28">
        <v>1.0</v>
      </c>
      <c r="H437" s="28">
        <v>8.0</v>
      </c>
      <c r="I437" s="28">
        <v>3.0</v>
      </c>
      <c r="J437" s="28"/>
      <c r="K437" s="30">
        <f t="shared" si="1"/>
        <v>301.5928947</v>
      </c>
    </row>
    <row r="438" ht="15.75" customHeight="1">
      <c r="A438" s="25" t="s">
        <v>885</v>
      </c>
      <c r="B438" s="26" t="s">
        <v>721</v>
      </c>
      <c r="C438" s="27" t="s">
        <v>40</v>
      </c>
      <c r="D438" s="28" t="s">
        <v>755</v>
      </c>
      <c r="E438" s="28" t="s">
        <v>757</v>
      </c>
      <c r="F438" s="28" t="s">
        <v>757</v>
      </c>
      <c r="G438" s="28">
        <v>0.0</v>
      </c>
      <c r="H438" s="28"/>
      <c r="I438" s="28"/>
      <c r="J438" s="28"/>
      <c r="K438" s="30">
        <f t="shared" si="1"/>
        <v>0</v>
      </c>
    </row>
    <row r="439" ht="15.75" customHeight="1">
      <c r="A439" s="31" t="s">
        <v>886</v>
      </c>
      <c r="B439" s="26" t="s">
        <v>724</v>
      </c>
      <c r="C439" s="27" t="s">
        <v>12</v>
      </c>
      <c r="D439" s="28" t="s">
        <v>755</v>
      </c>
      <c r="E439" s="28" t="s">
        <v>57</v>
      </c>
      <c r="F439" s="28" t="s">
        <v>57</v>
      </c>
      <c r="G439" s="28">
        <v>1.0</v>
      </c>
      <c r="H439" s="28">
        <v>3.0</v>
      </c>
      <c r="I439" s="28">
        <v>1.0</v>
      </c>
      <c r="J439" s="28"/>
      <c r="K439" s="30">
        <f t="shared" si="1"/>
        <v>12.56637061</v>
      </c>
    </row>
    <row r="440" ht="15.75" customHeight="1">
      <c r="A440" s="31" t="s">
        <v>714</v>
      </c>
      <c r="B440" s="26" t="s">
        <v>727</v>
      </c>
      <c r="C440" s="27" t="s">
        <v>12</v>
      </c>
      <c r="D440" s="28" t="s">
        <v>755</v>
      </c>
      <c r="E440" s="28" t="s">
        <v>757</v>
      </c>
      <c r="F440" s="28" t="s">
        <v>757</v>
      </c>
      <c r="G440" s="28">
        <v>0.0</v>
      </c>
      <c r="H440" s="28"/>
      <c r="I440" s="28"/>
      <c r="J440" s="28"/>
      <c r="K440" s="30">
        <f t="shared" si="1"/>
        <v>0</v>
      </c>
    </row>
    <row r="441" ht="15.75" customHeight="1">
      <c r="A441" s="31" t="s">
        <v>714</v>
      </c>
      <c r="B441" s="26" t="s">
        <v>729</v>
      </c>
      <c r="C441" s="27" t="s">
        <v>12</v>
      </c>
      <c r="D441" s="28" t="s">
        <v>755</v>
      </c>
      <c r="E441" s="28" t="s">
        <v>757</v>
      </c>
      <c r="F441" s="28" t="s">
        <v>757</v>
      </c>
      <c r="G441" s="28">
        <v>0.0</v>
      </c>
      <c r="H441" s="28"/>
      <c r="I441" s="28"/>
      <c r="J441" s="28"/>
      <c r="K441" s="30">
        <f t="shared" si="1"/>
        <v>0</v>
      </c>
    </row>
    <row r="442" ht="15.75" customHeight="1">
      <c r="A442" s="31" t="s">
        <v>210</v>
      </c>
      <c r="B442" s="26" t="s">
        <v>731</v>
      </c>
      <c r="C442" s="27" t="s">
        <v>37</v>
      </c>
      <c r="D442" s="28" t="s">
        <v>755</v>
      </c>
      <c r="E442" s="28" t="s">
        <v>63</v>
      </c>
      <c r="F442" s="28" t="s">
        <v>63</v>
      </c>
      <c r="G442" s="28">
        <v>1.0</v>
      </c>
      <c r="H442" s="28">
        <v>17.0</v>
      </c>
      <c r="I442" s="28">
        <v>6.0</v>
      </c>
      <c r="J442" s="28"/>
      <c r="K442" s="30">
        <f t="shared" si="1"/>
        <v>2563.539605</v>
      </c>
    </row>
    <row r="443" ht="15.75" customHeight="1">
      <c r="A443" s="31" t="s">
        <v>210</v>
      </c>
      <c r="B443" s="26" t="s">
        <v>731</v>
      </c>
      <c r="C443" s="27" t="s">
        <v>37</v>
      </c>
      <c r="D443" s="28" t="s">
        <v>755</v>
      </c>
      <c r="E443" s="28" t="s">
        <v>91</v>
      </c>
      <c r="F443" s="28" t="s">
        <v>91</v>
      </c>
      <c r="G443" s="28">
        <v>1.0</v>
      </c>
      <c r="H443" s="28">
        <v>12.0</v>
      </c>
      <c r="I443" s="28">
        <v>11.0</v>
      </c>
      <c r="J443" s="28"/>
      <c r="K443" s="30">
        <f t="shared" si="1"/>
        <v>6082.123377</v>
      </c>
    </row>
    <row r="444" ht="15.75" customHeight="1">
      <c r="A444" s="31" t="s">
        <v>210</v>
      </c>
      <c r="B444" s="26" t="s">
        <v>731</v>
      </c>
      <c r="C444" s="27" t="s">
        <v>37</v>
      </c>
      <c r="D444" s="28" t="s">
        <v>755</v>
      </c>
      <c r="E444" s="28" t="s">
        <v>85</v>
      </c>
      <c r="F444" s="28" t="s">
        <v>85</v>
      </c>
      <c r="G444" s="28">
        <v>1.0</v>
      </c>
      <c r="H444" s="28">
        <v>10.0</v>
      </c>
      <c r="I444" s="28">
        <v>2.0</v>
      </c>
      <c r="J444" s="28" t="s">
        <v>111</v>
      </c>
      <c r="K444" s="30">
        <f t="shared" si="1"/>
        <v>167.5516082</v>
      </c>
    </row>
    <row r="445" ht="15.75" customHeight="1">
      <c r="A445" s="31" t="s">
        <v>210</v>
      </c>
      <c r="B445" s="26" t="s">
        <v>731</v>
      </c>
      <c r="C445" s="27" t="s">
        <v>37</v>
      </c>
      <c r="D445" s="28" t="s">
        <v>755</v>
      </c>
      <c r="E445" s="28" t="s">
        <v>63</v>
      </c>
      <c r="F445" s="28" t="s">
        <v>63</v>
      </c>
      <c r="G445" s="28">
        <v>1.0</v>
      </c>
      <c r="H445" s="28">
        <v>3.0</v>
      </c>
      <c r="I445" s="28">
        <v>3.0</v>
      </c>
      <c r="J445" s="28"/>
      <c r="K445" s="30">
        <f t="shared" si="1"/>
        <v>113.0973355</v>
      </c>
    </row>
    <row r="446" ht="15.75" customHeight="1">
      <c r="A446" s="31" t="s">
        <v>210</v>
      </c>
      <c r="B446" s="26" t="s">
        <v>731</v>
      </c>
      <c r="C446" s="27" t="s">
        <v>37</v>
      </c>
      <c r="D446" s="28" t="s">
        <v>755</v>
      </c>
      <c r="E446" s="28" t="s">
        <v>63</v>
      </c>
      <c r="F446" s="28" t="s">
        <v>63</v>
      </c>
      <c r="G446" s="28">
        <v>1.0</v>
      </c>
      <c r="H446" s="28">
        <v>28.0</v>
      </c>
      <c r="I446" s="28">
        <v>10.0</v>
      </c>
      <c r="J446" s="28"/>
      <c r="K446" s="30">
        <f t="shared" si="1"/>
        <v>11728.61257</v>
      </c>
    </row>
    <row r="447" ht="15.75" customHeight="1">
      <c r="A447" s="31" t="s">
        <v>210</v>
      </c>
      <c r="B447" s="26" t="s">
        <v>731</v>
      </c>
      <c r="C447" s="27" t="s">
        <v>37</v>
      </c>
      <c r="D447" s="28" t="s">
        <v>755</v>
      </c>
      <c r="E447" s="28" t="s">
        <v>759</v>
      </c>
      <c r="F447" s="28" t="s">
        <v>75</v>
      </c>
      <c r="G447" s="28">
        <v>6.0</v>
      </c>
      <c r="H447" s="28">
        <v>10.0</v>
      </c>
      <c r="I447" s="28">
        <v>2.0</v>
      </c>
      <c r="J447" s="28"/>
      <c r="K447" s="30">
        <f t="shared" si="1"/>
        <v>1005.309649</v>
      </c>
    </row>
    <row r="448" ht="15.75" customHeight="1">
      <c r="A448" s="31" t="s">
        <v>210</v>
      </c>
      <c r="B448" s="26" t="s">
        <v>731</v>
      </c>
      <c r="C448" s="27" t="s">
        <v>37</v>
      </c>
      <c r="D448" s="28" t="s">
        <v>755</v>
      </c>
      <c r="E448" s="28" t="s">
        <v>759</v>
      </c>
      <c r="F448" s="28" t="s">
        <v>75</v>
      </c>
      <c r="G448" s="28">
        <v>1.0</v>
      </c>
      <c r="H448" s="28">
        <v>9.0</v>
      </c>
      <c r="I448" s="28">
        <v>1.0</v>
      </c>
      <c r="J448" s="28"/>
      <c r="K448" s="30">
        <f t="shared" si="1"/>
        <v>37.69911184</v>
      </c>
    </row>
    <row r="449" ht="15.75" customHeight="1">
      <c r="A449" s="31" t="s">
        <v>210</v>
      </c>
      <c r="B449" s="26" t="s">
        <v>731</v>
      </c>
      <c r="C449" s="27" t="s">
        <v>37</v>
      </c>
      <c r="D449" s="28" t="s">
        <v>755</v>
      </c>
      <c r="E449" s="28" t="s">
        <v>759</v>
      </c>
      <c r="F449" s="28" t="s">
        <v>75</v>
      </c>
      <c r="G449" s="28">
        <v>6.0</v>
      </c>
      <c r="H449" s="28">
        <v>7.0</v>
      </c>
      <c r="I449" s="28">
        <v>1.0</v>
      </c>
      <c r="J449" s="28"/>
      <c r="K449" s="30">
        <f t="shared" si="1"/>
        <v>175.9291886</v>
      </c>
    </row>
    <row r="450" ht="15.75" customHeight="1">
      <c r="A450" s="31" t="s">
        <v>210</v>
      </c>
      <c r="B450" s="26" t="s">
        <v>731</v>
      </c>
      <c r="C450" s="27" t="s">
        <v>37</v>
      </c>
      <c r="D450" s="28" t="s">
        <v>755</v>
      </c>
      <c r="E450" s="28" t="s">
        <v>77</v>
      </c>
      <c r="F450" s="28" t="s">
        <v>79</v>
      </c>
      <c r="G450" s="28">
        <v>2.0</v>
      </c>
      <c r="H450" s="28">
        <v>9.0</v>
      </c>
      <c r="I450" s="28">
        <v>6.0</v>
      </c>
      <c r="J450" s="28"/>
      <c r="K450" s="30">
        <f t="shared" si="1"/>
        <v>2714.336053</v>
      </c>
    </row>
    <row r="451" ht="15.75" customHeight="1">
      <c r="A451" s="31" t="s">
        <v>210</v>
      </c>
      <c r="B451" s="26" t="s">
        <v>731</v>
      </c>
      <c r="C451" s="27" t="s">
        <v>37</v>
      </c>
      <c r="D451" s="28" t="s">
        <v>755</v>
      </c>
      <c r="E451" s="28" t="s">
        <v>63</v>
      </c>
      <c r="F451" s="28" t="s">
        <v>63</v>
      </c>
      <c r="G451" s="28">
        <v>5.0</v>
      </c>
      <c r="H451" s="28">
        <v>17.0</v>
      </c>
      <c r="I451" s="28">
        <v>7.0</v>
      </c>
      <c r="J451" s="28"/>
      <c r="K451" s="30">
        <f t="shared" si="1"/>
        <v>17446.3112</v>
      </c>
    </row>
    <row r="452" ht="15.75" customHeight="1">
      <c r="A452" s="31" t="s">
        <v>210</v>
      </c>
      <c r="B452" s="26" t="s">
        <v>731</v>
      </c>
      <c r="C452" s="27" t="s">
        <v>37</v>
      </c>
      <c r="D452" s="28" t="s">
        <v>755</v>
      </c>
      <c r="E452" s="28" t="s">
        <v>81</v>
      </c>
      <c r="F452" s="28" t="s">
        <v>81</v>
      </c>
      <c r="G452" s="28">
        <v>1.0</v>
      </c>
      <c r="H452" s="28">
        <v>3.0</v>
      </c>
      <c r="I452" s="28">
        <v>3.0</v>
      </c>
      <c r="J452" s="28"/>
      <c r="K452" s="30">
        <f t="shared" si="1"/>
        <v>113.0973355</v>
      </c>
    </row>
    <row r="453" ht="15.75" customHeight="1">
      <c r="A453" s="31" t="s">
        <v>150</v>
      </c>
      <c r="B453" s="26" t="s">
        <v>734</v>
      </c>
      <c r="C453" s="27" t="s">
        <v>37</v>
      </c>
      <c r="D453" s="28" t="s">
        <v>755</v>
      </c>
      <c r="E453" s="28" t="s">
        <v>757</v>
      </c>
      <c r="F453" s="28" t="s">
        <v>757</v>
      </c>
      <c r="G453" s="28">
        <v>0.0</v>
      </c>
      <c r="H453" s="28"/>
      <c r="I453" s="28"/>
      <c r="J453" s="28"/>
      <c r="K453" s="30">
        <f t="shared" si="1"/>
        <v>0</v>
      </c>
    </row>
    <row r="454" ht="15.75" customHeight="1">
      <c r="A454" s="31" t="s">
        <v>343</v>
      </c>
      <c r="B454" s="26" t="s">
        <v>736</v>
      </c>
      <c r="C454" s="27" t="s">
        <v>37</v>
      </c>
      <c r="D454" s="28" t="s">
        <v>755</v>
      </c>
      <c r="E454" s="28" t="s">
        <v>77</v>
      </c>
      <c r="F454" s="28" t="s">
        <v>79</v>
      </c>
      <c r="G454" s="28">
        <v>1.0</v>
      </c>
      <c r="H454" s="28">
        <v>5.0</v>
      </c>
      <c r="I454" s="28">
        <v>2.0</v>
      </c>
      <c r="J454" s="28" t="s">
        <v>836</v>
      </c>
      <c r="K454" s="30">
        <f t="shared" si="1"/>
        <v>83.7758041</v>
      </c>
    </row>
    <row r="455" ht="15.75" customHeight="1">
      <c r="A455" s="31" t="s">
        <v>343</v>
      </c>
      <c r="B455" s="26" t="s">
        <v>736</v>
      </c>
      <c r="C455" s="27" t="s">
        <v>37</v>
      </c>
      <c r="D455" s="28" t="s">
        <v>755</v>
      </c>
      <c r="E455" s="28" t="s">
        <v>81</v>
      </c>
      <c r="F455" s="28" t="s">
        <v>81</v>
      </c>
      <c r="G455" s="28">
        <v>1.0</v>
      </c>
      <c r="H455" s="28">
        <v>5.0</v>
      </c>
      <c r="I455" s="28">
        <v>3.0</v>
      </c>
      <c r="J455" s="28"/>
      <c r="K455" s="30">
        <f t="shared" si="1"/>
        <v>188.4955592</v>
      </c>
    </row>
    <row r="456" ht="15.75" customHeight="1">
      <c r="A456" s="31" t="s">
        <v>214</v>
      </c>
      <c r="B456" s="26" t="s">
        <v>738</v>
      </c>
      <c r="C456" s="27" t="s">
        <v>37</v>
      </c>
      <c r="D456" s="28" t="s">
        <v>755</v>
      </c>
      <c r="E456" s="28" t="s">
        <v>63</v>
      </c>
      <c r="F456" s="28" t="s">
        <v>63</v>
      </c>
      <c r="G456" s="28">
        <v>1.0</v>
      </c>
      <c r="H456" s="28">
        <v>11.0</v>
      </c>
      <c r="I456" s="28">
        <v>4.0</v>
      </c>
      <c r="J456" s="28"/>
      <c r="K456" s="30">
        <f t="shared" si="1"/>
        <v>737.227076</v>
      </c>
    </row>
    <row r="457" ht="15.75" customHeight="1">
      <c r="A457" s="31" t="s">
        <v>158</v>
      </c>
      <c r="B457" s="26" t="s">
        <v>739</v>
      </c>
      <c r="C457" s="27" t="s">
        <v>36</v>
      </c>
      <c r="D457" s="28" t="s">
        <v>754</v>
      </c>
      <c r="E457" s="28" t="s">
        <v>93</v>
      </c>
      <c r="F457" s="28" t="s">
        <v>93</v>
      </c>
      <c r="G457" s="28">
        <v>1.0</v>
      </c>
      <c r="H457" s="28">
        <v>13.0</v>
      </c>
      <c r="I457" s="28">
        <v>4.0</v>
      </c>
      <c r="J457" s="28"/>
      <c r="K457" s="30">
        <f t="shared" si="1"/>
        <v>871.2683626</v>
      </c>
    </row>
    <row r="458" ht="15.75" customHeight="1">
      <c r="A458" s="31" t="s">
        <v>134</v>
      </c>
      <c r="B458" s="26" t="s">
        <v>741</v>
      </c>
      <c r="C458" s="27" t="s">
        <v>6</v>
      </c>
      <c r="D458" s="28" t="s">
        <v>754</v>
      </c>
      <c r="E458" s="28" t="s">
        <v>63</v>
      </c>
      <c r="F458" s="28" t="s">
        <v>63</v>
      </c>
      <c r="G458" s="28">
        <v>1.0</v>
      </c>
      <c r="H458" s="28">
        <v>2.0</v>
      </c>
      <c r="I458" s="28">
        <v>1.0</v>
      </c>
      <c r="J458" s="28"/>
      <c r="K458" s="30">
        <f t="shared" si="1"/>
        <v>8.37758041</v>
      </c>
    </row>
    <row r="459" ht="15.75" customHeight="1">
      <c r="A459" s="31" t="s">
        <v>134</v>
      </c>
      <c r="B459" s="26" t="s">
        <v>741</v>
      </c>
      <c r="C459" s="27" t="s">
        <v>6</v>
      </c>
      <c r="D459" s="28" t="s">
        <v>754</v>
      </c>
      <c r="E459" s="28" t="s">
        <v>759</v>
      </c>
      <c r="F459" s="28" t="s">
        <v>75</v>
      </c>
      <c r="G459" s="28">
        <v>1.0</v>
      </c>
      <c r="H459" s="28">
        <v>6.0</v>
      </c>
      <c r="I459" s="28">
        <v>1.0</v>
      </c>
      <c r="J459" s="28"/>
      <c r="K459" s="30">
        <f t="shared" si="1"/>
        <v>25.13274123</v>
      </c>
    </row>
    <row r="460" ht="15.75" customHeight="1">
      <c r="A460" s="31" t="s">
        <v>134</v>
      </c>
      <c r="B460" s="26" t="s">
        <v>741</v>
      </c>
      <c r="C460" s="27" t="s">
        <v>6</v>
      </c>
      <c r="D460" s="28" t="s">
        <v>754</v>
      </c>
      <c r="E460" s="28" t="s">
        <v>759</v>
      </c>
      <c r="F460" s="28" t="s">
        <v>75</v>
      </c>
      <c r="G460" s="28">
        <v>1.0</v>
      </c>
      <c r="H460" s="28">
        <v>5.0</v>
      </c>
      <c r="I460" s="28">
        <v>1.0</v>
      </c>
      <c r="J460" s="28"/>
      <c r="K460" s="30">
        <f t="shared" si="1"/>
        <v>20.94395102</v>
      </c>
    </row>
    <row r="461" ht="15.75" customHeight="1">
      <c r="A461" s="31" t="s">
        <v>714</v>
      </c>
      <c r="B461" s="26" t="s">
        <v>743</v>
      </c>
      <c r="C461" s="27" t="s">
        <v>28</v>
      </c>
      <c r="D461" s="28" t="s">
        <v>755</v>
      </c>
      <c r="E461" s="28" t="s">
        <v>63</v>
      </c>
      <c r="F461" s="28" t="s">
        <v>63</v>
      </c>
      <c r="G461" s="28">
        <v>1.0</v>
      </c>
      <c r="H461" s="28">
        <v>8.0</v>
      </c>
      <c r="I461" s="28">
        <v>2.0</v>
      </c>
      <c r="J461" s="28"/>
      <c r="K461" s="30">
        <f t="shared" si="1"/>
        <v>134.0412866</v>
      </c>
    </row>
  </sheetData>
  <autoFilter ref="$A$1:$K$46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75"/>
    <col customWidth="1" min="2" max="2" width="13.25"/>
    <col customWidth="1" min="3" max="3" width="26.75"/>
    <col customWidth="1" min="4" max="4" width="13.25"/>
    <col customWidth="1" min="5" max="5" width="13.38"/>
    <col customWidth="1" min="6" max="6" width="22.13"/>
    <col customWidth="1" min="9" max="9" width="20.5"/>
    <col customWidth="1" min="10" max="10" width="22.13"/>
    <col customWidth="1" min="13" max="13" width="21.13"/>
  </cols>
  <sheetData>
    <row r="1">
      <c r="A1" s="53" t="s">
        <v>887</v>
      </c>
      <c r="E1" s="54" t="s">
        <v>888</v>
      </c>
      <c r="F1" s="55" t="s">
        <v>887</v>
      </c>
      <c r="L1" s="56"/>
    </row>
    <row r="2">
      <c r="A2" s="57" t="s">
        <v>889</v>
      </c>
      <c r="B2" s="58"/>
      <c r="C2" s="57" t="s">
        <v>890</v>
      </c>
      <c r="D2" s="58"/>
      <c r="F2" s="59" t="s">
        <v>891</v>
      </c>
      <c r="I2" s="60" t="s">
        <v>0</v>
      </c>
    </row>
    <row r="3">
      <c r="A3" s="61" t="s">
        <v>892</v>
      </c>
      <c r="B3" s="62">
        <f>IFERROR(__xludf.DUMMYFUNCTION("COUNTUNIQUE(Data_raw!B2:B483)"),261.0)</f>
        <v>261</v>
      </c>
      <c r="C3" s="61" t="s">
        <v>892</v>
      </c>
      <c r="D3" s="62">
        <f>IFERROR(__xludf.DUMMYFUNCTION("COUNTUNIQUE(FILTER(Data_raw!B2:B483,Data_raw!E$2:E$483&lt;&gt;""Vazio"",Data_raw!E$2:E$483&lt;&gt;""Não identificado"",Data_raw!E$2:E$483&lt;&gt;""Semente"",Data_raw!E$2:E$483&lt;&gt;""Semente de capim"",Data_raw!E$2:E$483&lt;&gt;""Apenas substrato""))"),145.0)</f>
        <v>145</v>
      </c>
      <c r="F3" s="63" t="s">
        <v>893</v>
      </c>
      <c r="G3" s="63" t="s">
        <v>894</v>
      </c>
      <c r="H3" s="63" t="s">
        <v>895</v>
      </c>
      <c r="I3" s="64" t="s">
        <v>893</v>
      </c>
      <c r="J3" s="63" t="s">
        <v>894</v>
      </c>
      <c r="K3" s="63" t="s">
        <v>895</v>
      </c>
    </row>
    <row r="4">
      <c r="A4" s="65" t="s">
        <v>896</v>
      </c>
      <c r="B4" s="66">
        <f>IFERROR(__xludf.DUMMYFUNCTION("COUNTUNIQUE(Data_raw!A2:A483)"),28.0)</f>
        <v>28</v>
      </c>
      <c r="C4" s="65" t="s">
        <v>896</v>
      </c>
      <c r="D4" s="67">
        <f>IFERROR(__xludf.DUMMYFUNCTION("COUNTUNIQUE(FILTER(Data_raw!A2:A483,Data_raw!E$2:E$483&lt;&gt;""Vazio"",Data_raw!E$2:E$483&lt;&gt;""Não identificado"",Data_raw!E$2:E$483&lt;&gt;""Semente"",Data_raw!E$2:E$483&lt;&gt;""Semente de capim"",Data_raw!E$2:E$483&lt;&gt;""Apenas substrato""))"),25.0)</f>
        <v>25</v>
      </c>
      <c r="F4" s="28" t="str">
        <f>IFERROR(__xludf.DUMMYFUNCTION("SORT(UNIQUE(FILTER(Data_raw!$A$2:$A$483,Data_raw!$E$2:$E$483&lt;&gt;""Vazio"",Data_raw!$E$2:$E$483&lt;&gt;""Não identificado"",Data_raw!$E$2:$E$483&lt;&gt;""Semente"",Data_raw!$E$2:$E$483&lt;&gt;""Semente de capim"",Data_raw!$E$2:$E$483&lt;&gt;""Apenas substrato"", Data_raw!$D$2:$D$48"&amp;"3 =""mata"")))"),"Aplastodiscus albosignatus")</f>
        <v>Aplastodiscus albosignatus</v>
      </c>
      <c r="G4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substrato"",Data_raw!$A$2:$A$483"&amp;"=F4,Data_raw!$D$2:$D$483=""mata""))"),1.0)</f>
        <v>1</v>
      </c>
      <c r="H4" s="28">
        <f>SUMIFS(Data_raw!$G$2:$G$483,Data_raw!$A$2:$A$483,F4,Data_raw!$E$2:$E$483,"&lt;&gt;Não identificado",Data_raw!$E$2:$E$483,"&lt;&gt;Semente",Data_raw!$E$2:$E$483,"&lt;&gt;Semente de capim",Data_raw!$E$2:$E$483,"&lt;&gt;Apenas substrato", Data_raw!$D$2:$D$483,"=mata")</f>
        <v>1</v>
      </c>
      <c r="I4" s="69" t="str">
        <f>IFERROR(__xludf.DUMMYFUNCTION("SORT(UNIQUE(FILTER(Data_raw!$A$2:$A$483,Data_raw!$E$2:$E$483&lt;&gt;""Vazio"",Data_raw!$E$2:$E$483&lt;&gt;""Não identificado"",Data_raw!$E$2:$E$483&lt;&gt;""Semente"",Data_raw!$E$2:$E$483&lt;&gt;""Semente de capim"",Data_raw!$E$2:$E$483&lt;&gt;""Apenas substrato"", Data_raw!$D$2:$D$48"&amp;"3 =""eucalipto"")))"),"Aplastodiscus albosignatus")</f>
        <v>Aplastodiscus albosignatus</v>
      </c>
      <c r="J4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substrato"",Data_raw!$A$2:$A$483"&amp;"=I4,Data_raw!$D$2:$D$483=""eucalipto""))"),1.0)</f>
        <v>1</v>
      </c>
      <c r="K4" s="28">
        <f>SUMIFS(Data_raw!$G$2:$G$483,Data_raw!$A$2:$A$483,I4,Data_raw!$E$2:$E$483,"&lt;&gt;Não identificado",Data_raw!$E$2:$E$483,"&lt;&gt;Semente",Data_raw!$E$2:$E$483,"&lt;&gt;Semente de capim",Data_raw!$E$2:$E$483,"&lt;&gt;Apenas substrato", Data_raw!$D$2:$D$483,"=eucalipto")</f>
        <v>3</v>
      </c>
      <c r="L4" s="28"/>
    </row>
    <row r="5">
      <c r="A5" s="65" t="s">
        <v>897</v>
      </c>
      <c r="B5" s="66">
        <f>SUM(Data_raw!G2:G483)</f>
        <v>661</v>
      </c>
      <c r="C5" s="65" t="s">
        <v>897</v>
      </c>
      <c r="D5" s="66">
        <f>SUMIFS(Data_raw!$G$2:$G$483,Data_raw!$E$2:$E$483,"&lt;&gt;Não identificado",Data_raw!$E$2:$E$483,"&lt;&gt;Semente",Data_raw!$E$2:$E$483,"&lt;&gt;Semente de capim",Data_raw!$E$2:$E$483,"&lt;&gt;Apenas substrato",Data_raw!$E$2:$E$483,"&lt;&gt;Vazio")</f>
        <v>651</v>
      </c>
      <c r="F5" s="9" t="str">
        <f>IFERROR(__xludf.DUMMYFUNCTION("""COMPUTED_VALUE"""),"Boana faber")</f>
        <v>Boana faber</v>
      </c>
      <c r="G5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substrato"",Data_raw!$A$2:$A$483"&amp;"=F5,Data_raw!$D$2:$D$483=""mata""))"),1.0)</f>
        <v>1</v>
      </c>
      <c r="H5" s="28">
        <f>SUMIFS(Data_raw!$G$2:$G$483,Data_raw!$A$2:$A$483,F5,Data_raw!$E$2:$E$483,"&lt;&gt;Não identificado",Data_raw!$E$2:$E$483,"&lt;&gt;Semente",Data_raw!$E$2:$E$483,"&lt;&gt;Semente de capim",Data_raw!$E$2:$E$483,"&lt;&gt;Apenas substrato",Data_raw!$D$2:$D$483,"&lt;&gt;ocasional", Data_raw!$D$2:$D$483,"=mata")</f>
        <v>3</v>
      </c>
      <c r="I5" s="70" t="str">
        <f>IFERROR(__xludf.DUMMYFUNCTION("""COMPUTED_VALUE"""),"Boana faber")</f>
        <v>Boana faber</v>
      </c>
      <c r="J5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substrato"",Data_raw!$A$2:$A$483"&amp;"=I5,Data_raw!$D$2:$D$483=""eucalipto""))"),1.0)</f>
        <v>1</v>
      </c>
      <c r="K5" s="28">
        <f>SUMIFS(Data_raw!$G$2:$G$483,Data_raw!$A$2:$A$483,I5,Data_raw!$E$2:$E$483,"&lt;&gt;Não identificado",Data_raw!$E$2:$E$483,"&lt;&gt;Semente",Data_raw!$E$2:$E$483,"&lt;&gt;Semente de capim",Data_raw!$E$2:$E$483,"&lt;&gt;Apenas substrato", Data_raw!$D$2:$D$483,"=eucalipto")</f>
        <v>1</v>
      </c>
    </row>
    <row r="6">
      <c r="A6" s="71" t="s">
        <v>898</v>
      </c>
      <c r="B6" s="72">
        <f>IFERROR(__xludf.DUMMYFUNCTION("COUNTUNIQUE(Data_raw!F2:F483)"),35.0)</f>
        <v>35</v>
      </c>
      <c r="C6" s="71" t="s">
        <v>898</v>
      </c>
      <c r="D6" s="72">
        <f>IFERROR(__xludf.DUMMYFUNCTION("COUNTUNIQUE(FILTER(Data_raw!F2:F483,Data_raw!E$2:E$483&lt;&gt;""Vazio"",Data_raw!E$2:E$483&lt;&gt;""Não identificado"",Data_raw!E$2:E$483&lt;&gt;""Semente"",Data_raw!E$2:E$483&lt;&gt;""Semente de capim"",Data_raw!E$2:E$483&lt;&gt;""Apenas substrato""))"),30.0)</f>
        <v>30</v>
      </c>
      <c r="F6" s="9" t="str">
        <f>IFERROR(__xludf.DUMMYFUNCTION("""COMPUTED_VALUE"""),"Boana latistriata")</f>
        <v>Boana latistriata</v>
      </c>
      <c r="G6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substrato"",Data_raw!$A$2:$A$483"&amp;"=F6,Data_raw!$D$2:$D$483=""mata""))"),3.0)</f>
        <v>3</v>
      </c>
      <c r="H6" s="28">
        <f>SUMIFS(Data_raw!$G$2:$G$483,Data_raw!$A$2:$A$483,F6,Data_raw!$E$2:$E$483,"&lt;&gt;Não identificado",Data_raw!$E$2:$E$483,"&lt;&gt;Semente",Data_raw!$E$2:$E$483,"&lt;&gt;Semente de capim",Data_raw!$E$2:$E$483,"&lt;&gt;Apenas substrato",Data_raw!$D$2:$D$483,"&lt;&gt;ocasional", Data_raw!$D$2:$D$483,"=mata")</f>
        <v>5</v>
      </c>
      <c r="I6" s="70" t="str">
        <f>IFERROR(__xludf.DUMMYFUNCTION("""COMPUTED_VALUE"""),"Boana prasina")</f>
        <v>Boana prasina</v>
      </c>
      <c r="J6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substrato"",Data_raw!$A$2:$A$483"&amp;"=I6,Data_raw!$D$2:$D$483=""eucalipto""))"),1.0)</f>
        <v>1</v>
      </c>
      <c r="K6" s="28">
        <f>SUMIFS(Data_raw!$G$2:$G$483,Data_raw!$A$2:$A$483,I6,Data_raw!$E$2:$E$483,"&lt;&gt;Não identificado",Data_raw!$E$2:$E$483,"&lt;&gt;Semente",Data_raw!$E$2:$E$483,"&lt;&gt;Semente de capim",Data_raw!$E$2:$E$483,"&lt;&gt;Apenas substrato", Data_raw!$D$2:$D$483,"=eucalipto")</f>
        <v>1</v>
      </c>
    </row>
    <row r="7">
      <c r="F7" s="9" t="str">
        <f>IFERROR(__xludf.DUMMYFUNCTION("""COMPUTED_VALUE"""),"Bokermannohyla luctuosa")</f>
        <v>Bokermannohyla luctuosa</v>
      </c>
      <c r="G7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substrato"",Data_raw!$A$2:$A$483"&amp;"=F7,Data_raw!$D$2:$D$483=""mata""))"),10.0)</f>
        <v>10</v>
      </c>
      <c r="H7" s="28">
        <f>SUMIFS(Data_raw!$G$2:$G$483,Data_raw!$A$2:$A$483,F7,Data_raw!$E$2:$E$483,"&lt;&gt;Não identificado",Data_raw!$E$2:$E$483,"&lt;&gt;Semente",Data_raw!$E$2:$E$483,"&lt;&gt;Semente de capim",Data_raw!$E$2:$E$483,"&lt;&gt;Apenas substrato",Data_raw!$D$2:$D$483,"&lt;&gt;ocasional", Data_raw!$D$2:$D$483,"=mata")</f>
        <v>14</v>
      </c>
      <c r="I7" s="70" t="str">
        <f>IFERROR(__xludf.DUMMYFUNCTION("""COMPUTED_VALUE"""),"Chiasmocleis mantiqueira")</f>
        <v>Chiasmocleis mantiqueira</v>
      </c>
      <c r="J7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substrato"",Data_raw!$A$2:$A$483"&amp;"=I7,Data_raw!$D$2:$D$483=""eucalipto""))"),12.0)</f>
        <v>12</v>
      </c>
      <c r="K7" s="28">
        <f>SUMIFS(Data_raw!$G$2:$G$483,Data_raw!$A$2:$A$483,I7,Data_raw!$E$2:$E$483,"&lt;&gt;Não identificado",Data_raw!$E$2:$E$483,"&lt;&gt;Semente",Data_raw!$E$2:$E$483,"&lt;&gt;Semente de capim",Data_raw!$E$2:$E$483,"&lt;&gt;Apenas substrato", Data_raw!$D$2:$D$483,"=eucalipto")</f>
        <v>87</v>
      </c>
    </row>
    <row r="8">
      <c r="A8" s="73" t="s">
        <v>899</v>
      </c>
      <c r="E8" s="27" t="s">
        <v>900</v>
      </c>
      <c r="F8" s="9" t="str">
        <f>IFERROR(__xludf.DUMMYFUNCTION("""COMPUTED_VALUE"""),"Chiasmocleis mantiqueira")</f>
        <v>Chiasmocleis mantiqueira</v>
      </c>
      <c r="G8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substrato"",Data_raw!$A$2:$A$483"&amp;"=F8,Data_raw!$D$2:$D$483=""mata""))"),2.0)</f>
        <v>2</v>
      </c>
      <c r="H8" s="28">
        <f>SUMIFS(Data_raw!$G$2:$G$483,Data_raw!$A$2:$A$483,F8,Data_raw!$E$2:$E$483,"&lt;&gt;Não identificado",Data_raw!$E$2:$E$483,"&lt;&gt;Semente",Data_raw!$E$2:$E$483,"&lt;&gt;Semente de capim",Data_raw!$E$2:$E$483,"&lt;&gt;Apenas substrato",Data_raw!$D$2:$D$483,"&lt;&gt;ocasional", Data_raw!$D$2:$D$483,"=mata")</f>
        <v>4</v>
      </c>
      <c r="I8" s="70" t="str">
        <f>IFERROR(__xludf.DUMMYFUNCTION("""COMPUTED_VALUE"""),"Hylodes aff. sazimai")</f>
        <v>Hylodes aff. sazimai</v>
      </c>
      <c r="J8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substrato"",Data_raw!$A$2:$A$483"&amp;"=I8,Data_raw!$D$2:$D$483=""eucalipto""))"),1.0)</f>
        <v>1</v>
      </c>
      <c r="K8" s="28">
        <f>SUMIFS(Data_raw!$G$2:$G$483,Data_raw!$A$2:$A$483,I8,Data_raw!$E$2:$E$483,"&lt;&gt;Não identificado",Data_raw!$E$2:$E$483,"&lt;&gt;Semente",Data_raw!$E$2:$E$483,"&lt;&gt;Semente de capim",Data_raw!$E$2:$E$483,"&lt;&gt;Apenas substrato", Data_raw!$D$2:$D$483,"=eucalipto")</f>
        <v>1</v>
      </c>
    </row>
    <row r="9">
      <c r="A9" s="57" t="s">
        <v>889</v>
      </c>
      <c r="B9" s="58"/>
      <c r="C9" s="57" t="s">
        <v>890</v>
      </c>
      <c r="D9" s="58"/>
      <c r="F9" s="9" t="str">
        <f>IFERROR(__xludf.DUMMYFUNCTION("""COMPUTED_VALUE"""),"Dendropsophus microps")</f>
        <v>Dendropsophus microps</v>
      </c>
      <c r="G9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substrato"",Data_raw!$A$2:$A$483"&amp;"=F9,Data_raw!$D$2:$D$483=""mata""))"),7.0)</f>
        <v>7</v>
      </c>
      <c r="H9" s="28">
        <f>SUMIFS(Data_raw!$G$2:$G$483,Data_raw!$A$2:$A$483,F9,Data_raw!$E$2:$E$483,"&lt;&gt;Não identificado",Data_raw!$E$2:$E$483,"&lt;&gt;Semente",Data_raw!$E$2:$E$483,"&lt;&gt;Semente de capim",Data_raw!$E$2:$E$483,"&lt;&gt;Apenas substrato",Data_raw!$D$2:$D$483,"&lt;&gt;ocasional", Data_raw!$D$2:$D$483,"=mata")</f>
        <v>23</v>
      </c>
      <c r="I9" s="70" t="str">
        <f>IFERROR(__xludf.DUMMYFUNCTION("""COMPUTED_VALUE"""),"Ischnocnema guentheri")</f>
        <v>Ischnocnema guentheri</v>
      </c>
      <c r="J9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substrato"",Data_raw!$A$2:$A$483"&amp;"=I9,Data_raw!$D$2:$D$483=""eucalipto""))"),7.0)</f>
        <v>7</v>
      </c>
      <c r="K9" s="28">
        <f>SUMIFS(Data_raw!$G$2:$G$483,Data_raw!$A$2:$A$483,I9,Data_raw!$E$2:$E$483,"&lt;&gt;Não identificado",Data_raw!$E$2:$E$483,"&lt;&gt;Semente",Data_raw!$E$2:$E$483,"&lt;&gt;Semente de capim",Data_raw!$E$2:$E$483,"&lt;&gt;Apenas substrato", Data_raw!$D$2:$D$483,"=eucalipto")</f>
        <v>16</v>
      </c>
    </row>
    <row r="10">
      <c r="A10" s="61" t="s">
        <v>892</v>
      </c>
      <c r="B10" s="62">
        <f>IFERROR(__xludf.DUMMYFUNCTION("COUNTUNIQUE(Data_filtered!B2:B461)"),247.0)</f>
        <v>247</v>
      </c>
      <c r="C10" s="61" t="s">
        <v>892</v>
      </c>
      <c r="D10" s="62">
        <f>IFERROR(__xludf.DUMMYFUNCTION("COUNTUNIQUE(FILTER(Data_filtered!B$2:B$461,Data_filtered!E$2:E$461&lt;&gt;""Vazio"",Data_filtered!E$2:E$461&lt;&gt;""Não identificado"",Data_filtered!E$2:E$461&lt;&gt;""Semente"",Data_filtered!E$2:E$461&lt;&gt;""Semente de capim"",Data_filtered!E$2:E$461&lt;&gt;""Apenas substrato""))"),138.0)</f>
        <v>138</v>
      </c>
      <c r="F10" s="9" t="str">
        <f>IFERROR(__xludf.DUMMYFUNCTION("""COMPUTED_VALUE"""),"Hylodes aff. sazimai")</f>
        <v>Hylodes aff. sazimai</v>
      </c>
      <c r="G10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substrato"",Data_raw!$A$2:$A$483"&amp;"=F10,Data_raw!$D$2:$D$483=""mata""))"),4.0)</f>
        <v>4</v>
      </c>
      <c r="H10" s="28">
        <f>SUMIFS(Data_raw!$G$2:$G$483,Data_raw!$A$2:$A$483,F10,Data_raw!$E$2:$E$483,"&lt;&gt;Não identificado",Data_raw!$E$2:$E$483,"&lt;&gt;Semente",Data_raw!$E$2:$E$483,"&lt;&gt;Semente de capim",Data_raw!$E$2:$E$483,"&lt;&gt;Apenas substrato",Data_raw!$D$2:$D$483,"&lt;&gt;ocasional", Data_raw!$D$2:$D$483,"=mata")</f>
        <v>8</v>
      </c>
      <c r="I10" s="70" t="str">
        <f>IFERROR(__xludf.DUMMYFUNCTION("""COMPUTED_VALUE"""),"Ischnocnema juipoca")</f>
        <v>Ischnocnema juipoca</v>
      </c>
      <c r="J10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substrato"",Data_raw!$A$2:$A$483"&amp;"=I10,Data_raw!$D$2:$D$483=""eucalipto""))"),10.0)</f>
        <v>10</v>
      </c>
      <c r="K10" s="28">
        <f>SUMIFS(Data_raw!$G$2:$G$483,Data_raw!$A$2:$A$483,I10,Data_raw!$E$2:$E$483,"&lt;&gt;Não identificado",Data_raw!$E$2:$E$483,"&lt;&gt;Semente",Data_raw!$E$2:$E$483,"&lt;&gt;Semente de capim",Data_raw!$E$2:$E$483,"&lt;&gt;Apenas substrato", Data_raw!$D$2:$D$483,"=eucalipto")</f>
        <v>27</v>
      </c>
    </row>
    <row r="11">
      <c r="A11" s="65" t="s">
        <v>896</v>
      </c>
      <c r="B11" s="66">
        <f>IFERROR(__xludf.DUMMYFUNCTION("COUNTUNIQUE(Data_filtered!A2:A461)"),25.0)</f>
        <v>25</v>
      </c>
      <c r="C11" s="65" t="s">
        <v>896</v>
      </c>
      <c r="D11" s="67">
        <f>IFERROR(__xludf.DUMMYFUNCTION("COUNTUNIQUE(FILTER(Data_filtered!A$2:A$461,Data_filtered!E$2:E$461&lt;&gt;""Vazio"",Data_filtered!E$2:E$461&lt;&gt;""Não identificado"",Data_filtered!E$2:E$461&lt;&gt;""Semente"",Data_filtered!E$2:E$461&lt;&gt;""Semente de capim"",Data_filtered!E$2:E$461&lt;&gt;""Apenas substrato""))"),23.0)</f>
        <v>23</v>
      </c>
      <c r="F11" s="9" t="str">
        <f>IFERROR(__xludf.DUMMYFUNCTION("""COMPUTED_VALUE"""),"Ischnocnema guentheri")</f>
        <v>Ischnocnema guentheri</v>
      </c>
      <c r="G11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substrato"",Data_raw!$A$2:$A$483"&amp;"=F11,Data_raw!$D$2:$D$483=""mata""))"),4.0)</f>
        <v>4</v>
      </c>
      <c r="H11" s="28">
        <f>SUMIFS(Data_raw!$G$2:$G$483,Data_raw!$A$2:$A$483,F11,Data_raw!$E$2:$E$483,"&lt;&gt;Não identificado",Data_raw!$E$2:$E$483,"&lt;&gt;Semente",Data_raw!$E$2:$E$483,"&lt;&gt;Semente de capim",Data_raw!$E$2:$E$483,"&lt;&gt;Apenas substrato",Data_raw!$D$2:$D$483,"&lt;&gt;ocasional", Data_raw!$D$2:$D$483,"=mata")</f>
        <v>11</v>
      </c>
      <c r="I11" s="70" t="str">
        <f>IFERROR(__xludf.DUMMYFUNCTION("""COMPUTED_VALUE"""),"Ololygon obtriangulata")</f>
        <v>Ololygon obtriangulata</v>
      </c>
      <c r="J11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substrato"",Data_raw!$A$2:$A$483"&amp;"=I11,Data_raw!$D$2:$D$483=""eucalipto""))"),2.0)</f>
        <v>2</v>
      </c>
      <c r="K11" s="28">
        <f>SUMIFS(Data_raw!$G$2:$G$483,Data_raw!$A$2:$A$483,I11,Data_raw!$E$2:$E$483,"&lt;&gt;Não identificado",Data_raw!$E$2:$E$483,"&lt;&gt;Semente",Data_raw!$E$2:$E$483,"&lt;&gt;Semente de capim",Data_raw!$E$2:$E$483,"&lt;&gt;Apenas substrato", Data_raw!$D$2:$D$483,"=eucalipto")</f>
        <v>3</v>
      </c>
    </row>
    <row r="12">
      <c r="A12" s="65" t="s">
        <v>897</v>
      </c>
      <c r="B12" s="66">
        <f>SUM(Data_filtered!G2:G461)</f>
        <v>645</v>
      </c>
      <c r="C12" s="65" t="s">
        <v>897</v>
      </c>
      <c r="D12" s="66">
        <f>SUMIFS(Data_filtered!$G$2:$G$461,Data_filtered!$E$2:$E$461,"&lt;&gt;Não identificado",Data_filtered!$E$2:$E$461,"&lt;&gt;Semente",Data_filtered!$E$2:$E$461,"&lt;&gt;Semente de capim",Data_filtered!$E$2:$E$461,"&lt;&gt;Apenas substrato",Data_filtered!$E$2:$E$461,"&lt;&gt;Vazio")</f>
        <v>635</v>
      </c>
      <c r="F12" s="9" t="str">
        <f>IFERROR(__xludf.DUMMYFUNCTION("""COMPUTED_VALUE"""),"Ischnocnema holti")</f>
        <v>Ischnocnema holti</v>
      </c>
      <c r="G12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substrato"",Data_raw!$A$2:$A$483"&amp;"=F12,Data_raw!$D$2:$D$483=""mata""))"),2.0)</f>
        <v>2</v>
      </c>
      <c r="H12" s="28">
        <f>SUMIFS(Data_raw!$G$2:$G$483,Data_raw!$A$2:$A$483,F12,Data_raw!$E$2:$E$483,"&lt;&gt;Não identificado",Data_raw!$E$2:$E$483,"&lt;&gt;Semente",Data_raw!$E$2:$E$483,"&lt;&gt;Semente de capim",Data_raw!$E$2:$E$483,"&lt;&gt;Apenas substrato",Data_raw!$D$2:$D$483,"&lt;&gt;ocasional", Data_raw!$D$2:$D$483,"=mata")</f>
        <v>6</v>
      </c>
      <c r="I12" s="70" t="str">
        <f>IFERROR(__xludf.DUMMYFUNCTION("""COMPUTED_VALUE"""),"Physalaemus olfersii")</f>
        <v>Physalaemus olfersii</v>
      </c>
      <c r="J12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substrato"",Data_raw!$A$2:$A$483"&amp;"=I12,Data_raw!$D$2:$D$483=""eucalipto""))"),3.0)</f>
        <v>3</v>
      </c>
      <c r="K12" s="28">
        <f>SUMIFS(Data_raw!$G$2:$G$483,Data_raw!$A$2:$A$483,I12,Data_raw!$E$2:$E$483,"&lt;&gt;Não identificado",Data_raw!$E$2:$E$483,"&lt;&gt;Semente",Data_raw!$E$2:$E$483,"&lt;&gt;Semente de capim",Data_raw!$E$2:$E$483,"&lt;&gt;Apenas substrato", Data_raw!$D$2:$D$483,"=eucalipto")</f>
        <v>17</v>
      </c>
    </row>
    <row r="13">
      <c r="A13" s="71" t="s">
        <v>898</v>
      </c>
      <c r="B13" s="72">
        <f>IFERROR(__xludf.DUMMYFUNCTION("COUNTUNIQUE(Data_filtered!F2:F461)"),34.0)</f>
        <v>34</v>
      </c>
      <c r="C13" s="71" t="s">
        <v>898</v>
      </c>
      <c r="D13" s="72">
        <f>IFERROR(__xludf.DUMMYFUNCTION("COUNTUNIQUE(FILTER(Data_filtered!F$2:F$461,Data_filtered!E$2:E$461&lt;&gt;""Vazio"",Data_filtered!E$2:E$461&lt;&gt;""Não identificado"",Data_filtered!E$2:E$461&lt;&gt;""Semente"",Data_filtered!E$2:E$461&lt;&gt;""Semente de capim"",Data_filtered!E$2:E$461&lt;&gt;""Apenas substrato""))"),29.0)</f>
        <v>29</v>
      </c>
      <c r="F13" s="9" t="str">
        <f>IFERROR(__xludf.DUMMYFUNCTION("""COMPUTED_VALUE"""),"Ischnocnema juipoca")</f>
        <v>Ischnocnema juipoca</v>
      </c>
      <c r="G13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substrato"",Data_raw!$A$2:$A$483"&amp;"=F13,Data_raw!$D$2:$D$483=""mata""))"),1.0)</f>
        <v>1</v>
      </c>
      <c r="H13" s="28">
        <f>SUMIFS(Data_raw!$G$2:$G$483,Data_raw!$A$2:$A$483,F13,Data_raw!$E$2:$E$483,"&lt;&gt;Não identificado",Data_raw!$E$2:$E$483,"&lt;&gt;Semente",Data_raw!$E$2:$E$483,"&lt;&gt;Semente de capim",Data_raw!$E$2:$E$483,"&lt;&gt;Apenas substrato",Data_raw!$D$2:$D$483,"&lt;&gt;ocasional", Data_raw!$D$2:$D$483,"=mata")</f>
        <v>1</v>
      </c>
      <c r="I13" s="70" t="str">
        <f>IFERROR(__xludf.DUMMYFUNCTION("""COMPUTED_VALUE"""),"Proceratophrys boiei")</f>
        <v>Proceratophrys boiei</v>
      </c>
      <c r="J13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substrato"",Data_raw!$A$2:$A$483"&amp;"=I13,Data_raw!$D$2:$D$483=""eucalipto""))"),1.0)</f>
        <v>1</v>
      </c>
      <c r="K13" s="28">
        <f>SUMIFS(Data_raw!$G$2:$G$483,Data_raw!$A$2:$A$483,I13,Data_raw!$E$2:$E$483,"&lt;&gt;Não identificado",Data_raw!$E$2:$E$483,"&lt;&gt;Semente",Data_raw!$E$2:$E$483,"&lt;&gt;Semente de capim",Data_raw!$E$2:$E$483,"&lt;&gt;Apenas substrato", Data_raw!$D$2:$D$483,"=eucalipto")</f>
        <v>1</v>
      </c>
    </row>
    <row r="14">
      <c r="F14" s="9" t="str">
        <f>IFERROR(__xludf.DUMMYFUNCTION("""COMPUTED_VALUE"""),"Ischnocnema vizottoi")</f>
        <v>Ischnocnema vizottoi</v>
      </c>
      <c r="G14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substrato"",Data_raw!$A$2:$A$483"&amp;"=F14,Data_raw!$D$2:$D$483=""mata""))"),2.0)</f>
        <v>2</v>
      </c>
      <c r="H14" s="28">
        <f>SUMIFS(Data_raw!$G$2:$G$483,Data_raw!$A$2:$A$483,F14,Data_raw!$E$2:$E$483,"&lt;&gt;Não identificado",Data_raw!$E$2:$E$483,"&lt;&gt;Semente",Data_raw!$E$2:$E$483,"&lt;&gt;Semente de capim",Data_raw!$E$2:$E$483,"&lt;&gt;Apenas substrato",Data_raw!$D$2:$D$483,"&lt;&gt;ocasional", Data_raw!$D$2:$D$483,"=mata")</f>
        <v>4</v>
      </c>
      <c r="I14" s="70" t="str">
        <f>IFERROR(__xludf.DUMMYFUNCTION("""COMPUTED_VALUE"""),"Rhinella icterica")</f>
        <v>Rhinella icterica</v>
      </c>
      <c r="J14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substrato"",Data_raw!$A$2:$A$483"&amp;"=I14,Data_raw!$D$2:$D$483=""eucalipto""))"),2.0)</f>
        <v>2</v>
      </c>
      <c r="K14" s="28">
        <f>SUMIFS(Data_raw!$G$2:$G$483,Data_raw!$A$2:$A$483,I14,Data_raw!$E$2:$E$483,"&lt;&gt;Não identificado",Data_raw!$E$2:$E$483,"&lt;&gt;Semente",Data_raw!$E$2:$E$483,"&lt;&gt;Semente de capim",Data_raw!$E$2:$E$483,"&lt;&gt;Apenas substrato", Data_raw!$D$2:$D$483,"=eucalipto")</f>
        <v>20</v>
      </c>
    </row>
    <row r="15">
      <c r="B15" s="9" t="str">
        <f>IFERROR(__xludf.DUMMYFUNCTION("SORT(UNIQUE(Data_filtered!F2:F461))"),"Acari")</f>
        <v>Acari</v>
      </c>
      <c r="D15" s="74" t="str">
        <f>IFERROR(__xludf.DUMMYFUNCTION("SORT(UNIQUE(FILTER(Data_filtered!F2:F461,Data_filtered!E$2:E$461&lt;&gt;""Não identificado"",Data_filtered!E$2:E$461&lt;&gt;""Semente"",Data_filtered!E$2:E$461&lt;&gt;""Semente de capim"",Data_filtered!E$2:E$461&lt;&gt;""Apenas substrato"",Data_filtered!E$2:E$461&lt;&gt;""Vazio"")))"),"Acari")</f>
        <v>Acari</v>
      </c>
      <c r="F15" s="9" t="str">
        <f>IFERROR(__xludf.DUMMYFUNCTION("""COMPUTED_VALUE"""),"Ololygon obtriangulata")</f>
        <v>Ololygon obtriangulata</v>
      </c>
      <c r="G15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substrato"",Data_raw!$A$2:$A$483"&amp;"=F15,Data_raw!$D$2:$D$483=""mata""))"),15.0)</f>
        <v>15</v>
      </c>
      <c r="H15" s="75">
        <f>SUMIFS(Data_raw!$G$2:$G$483,Data_raw!$A$2:$A$483,F15,Data_raw!$E$2:$E$483,"&lt;&gt;Não identificado",Data_raw!$E$2:$E$483,"&lt;&gt;Semente",Data_raw!$E$2:$E$483,"&lt;&gt;Semente de capim",Data_raw!$E$2:$E$483,"&lt;&gt;Apenas substrato",Data_raw!$D$2:$D$483,"&lt;&gt;ocasional", Data_raw!$D$2:$D$483,"=mata")</f>
        <v>17</v>
      </c>
      <c r="I15" s="9" t="str">
        <f>IFERROR(__xludf.DUMMYFUNCTION("""COMPUTED_VALUE"""),"Scinax aff. dolloi")</f>
        <v>Scinax aff. dolloi</v>
      </c>
      <c r="J15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substrato"",Data_raw!$A$2:$A$483"&amp;"=I15,Data_raw!$D$2:$D$483=""eucalipto""))"),3.0)</f>
        <v>3</v>
      </c>
      <c r="K15" s="28">
        <f>SUMIFS(Data_raw!$G$2:$G$483,Data_raw!$A$2:$A$483,I15,Data_raw!$E$2:$E$483,"&lt;&gt;Não identificado",Data_raw!$E$2:$E$483,"&lt;&gt;Semente",Data_raw!$E$2:$E$483,"&lt;&gt;Semente de capim",Data_raw!$E$2:$E$483,"&lt;&gt;Apenas substrato", Data_raw!$D$2:$D$483,"=eucalipto")</f>
        <v>3</v>
      </c>
    </row>
    <row r="16">
      <c r="B16" s="9" t="str">
        <f>IFERROR(__xludf.DUMMYFUNCTION("""COMPUTED_VALUE"""),"Apenas substrato")</f>
        <v>Apenas substrato</v>
      </c>
      <c r="D16" s="9" t="str">
        <f>IFERROR(__xludf.DUMMYFUNCTION("""COMPUTED_VALUE"""),"Arachnida")</f>
        <v>Arachnida</v>
      </c>
      <c r="F16" s="9" t="str">
        <f>IFERROR(__xludf.DUMMYFUNCTION("""COMPUTED_VALUE"""),"Paratelmatobius mantiqueira")</f>
        <v>Paratelmatobius mantiqueira</v>
      </c>
      <c r="G16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substrato"",Data_raw!$A$2:$A$483"&amp;"=F16,Data_raw!$D$2:$D$483=""mata""))"),1.0)</f>
        <v>1</v>
      </c>
      <c r="H16" s="28">
        <f>SUMIFS(Data_raw!$G$2:$G$483,Data_raw!$A$2:$A$483,F16,Data_raw!$E$2:$E$483,"&lt;&gt;Não identificado",Data_raw!$E$2:$E$483,"&lt;&gt;Semente",Data_raw!$E$2:$E$483,"&lt;&gt;Semente de capim",Data_raw!$E$2:$E$483,"&lt;&gt;Apenas substrato",Data_raw!$D$2:$D$483,"&lt;&gt;ocasional", Data_raw!$D$2:$D$483,"=mata")</f>
        <v>3</v>
      </c>
      <c r="I16" s="76">
        <f>COUNTA(I4:I15)</f>
        <v>12</v>
      </c>
      <c r="J16" s="77">
        <f t="shared" ref="J16:K16" si="1">SUM(J4:J15)</f>
        <v>44</v>
      </c>
      <c r="K16" s="77">
        <f t="shared" si="1"/>
        <v>180</v>
      </c>
    </row>
    <row r="17">
      <c r="B17" s="9" t="str">
        <f>IFERROR(__xludf.DUMMYFUNCTION("""COMPUTED_VALUE"""),"Arachnida")</f>
        <v>Arachnida</v>
      </c>
      <c r="D17" s="9" t="str">
        <f>IFERROR(__xludf.DUMMYFUNCTION("""COMPUTED_VALUE"""),"Araneae")</f>
        <v>Araneae</v>
      </c>
      <c r="F17" s="9" t="str">
        <f>IFERROR(__xludf.DUMMYFUNCTION("""COMPUTED_VALUE"""),"Physalaemus olfersii")</f>
        <v>Physalaemus olfersii</v>
      </c>
      <c r="G17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substrato"",Data_raw!$A$2:$A$483"&amp;"=F17,Data_raw!$D$2:$D$483=""mata""))"),7.0)</f>
        <v>7</v>
      </c>
      <c r="H17" s="28">
        <f>SUMIFS(Data_raw!$G$2:$G$483,Data_raw!$A$2:$A$483,F17,Data_raw!$E$2:$E$483,"&lt;&gt;Não identificado",Data_raw!$E$2:$E$483,"&lt;&gt;Semente",Data_raw!$E$2:$E$483,"&lt;&gt;Semente de capim",Data_raw!$E$2:$E$483,"&lt;&gt;Apenas substrato",Data_raw!$D$2:$D$483,"&lt;&gt;ocasional", Data_raw!$D$2:$D$483,"=mata")</f>
        <v>29</v>
      </c>
      <c r="I17" s="70"/>
    </row>
    <row r="18">
      <c r="B18" s="9" t="str">
        <f>IFERROR(__xludf.DUMMYFUNCTION("""COMPUTED_VALUE"""),"Araneae")</f>
        <v>Araneae</v>
      </c>
      <c r="D18" s="9" t="str">
        <f>IFERROR(__xludf.DUMMYFUNCTION("""COMPUTED_VALUE"""),"Arthropoda")</f>
        <v>Arthropoda</v>
      </c>
      <c r="F18" s="9" t="str">
        <f>IFERROR(__xludf.DUMMYFUNCTION("""COMPUTED_VALUE"""),"Proceratophrys boiei")</f>
        <v>Proceratophrys boiei</v>
      </c>
      <c r="G18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substrato"",Data_raw!$A$2:$A$483"&amp;"=F18,Data_raw!$D$2:$D$483=""mata""))"),7.0)</f>
        <v>7</v>
      </c>
      <c r="H18" s="28">
        <f>SUMIFS(Data_raw!$G$2:$G$483,Data_raw!$A$2:$A$483,F18,Data_raw!$E$2:$E$483,"&lt;&gt;Não identificado",Data_raw!$E$2:$E$483,"&lt;&gt;Semente",Data_raw!$E$2:$E$483,"&lt;&gt;Semente de capim",Data_raw!$E$2:$E$483,"&lt;&gt;Apenas substrato",Data_raw!$D$2:$D$483,"&lt;&gt;ocasional", Data_raw!$D$2:$D$483,"=mata")</f>
        <v>15</v>
      </c>
      <c r="I18" s="70"/>
    </row>
    <row r="19">
      <c r="B19" s="9" t="str">
        <f>IFERROR(__xludf.DUMMYFUNCTION("""COMPUTED_VALUE"""),"Arthropoda")</f>
        <v>Arthropoda</v>
      </c>
      <c r="D19" s="9" t="str">
        <f>IFERROR(__xludf.DUMMYFUNCTION("""COMPUTED_VALUE"""),"Blattodea")</f>
        <v>Blattodea</v>
      </c>
      <c r="F19" s="9" t="str">
        <f>IFERROR(__xludf.DUMMYFUNCTION("""COMPUTED_VALUE"""),"Proceratophrys itamari")</f>
        <v>Proceratophrys itamari</v>
      </c>
      <c r="G19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substrato"",Data_raw!$A$2:$A$483"&amp;"=F19,Data_raw!$D$2:$D$483=""mata""))"),2.0)</f>
        <v>2</v>
      </c>
      <c r="H19" s="28">
        <f>SUMIFS(Data_raw!$G$2:$G$483,Data_raw!$A$2:$A$483,F19,Data_raw!$E$2:$E$483,"&lt;&gt;Não identificado",Data_raw!$E$2:$E$483,"&lt;&gt;Semente",Data_raw!$E$2:$E$483,"&lt;&gt;Semente de capim",Data_raw!$E$2:$E$483,"&lt;&gt;Apenas substrato",Data_raw!$D$2:$D$483,"&lt;&gt;ocasional", Data_raw!$D$2:$D$483,"=mata")</f>
        <v>4</v>
      </c>
      <c r="I19" s="70"/>
    </row>
    <row r="20">
      <c r="B20" s="9" t="str">
        <f>IFERROR(__xludf.DUMMYFUNCTION("""COMPUTED_VALUE"""),"Blattodea")</f>
        <v>Blattodea</v>
      </c>
      <c r="D20" s="9" t="str">
        <f>IFERROR(__xludf.DUMMYFUNCTION("""COMPUTED_VALUE"""),"Chilopoda")</f>
        <v>Chilopoda</v>
      </c>
      <c r="F20" s="9" t="str">
        <f>IFERROR(__xludf.DUMMYFUNCTION("""COMPUTED_VALUE"""),"Rhinella icterica")</f>
        <v>Rhinella icterica</v>
      </c>
      <c r="G20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substrato"",Data_raw!$A$2:$A$483"&amp;"=F20,Data_raw!$D$2:$D$483=""mata""))"),10.0)</f>
        <v>10</v>
      </c>
      <c r="H20" s="28">
        <f>SUMIFS(Data_raw!$G$2:$G$483,Data_raw!$A$2:$A$483,F20,Data_raw!$E$2:$E$483,"&lt;&gt;Não identificado",Data_raw!$E$2:$E$483,"&lt;&gt;Semente",Data_raw!$E$2:$E$483,"&lt;&gt;Semente de capim",Data_raw!$E$2:$E$483,"&lt;&gt;Apenas substrato",Data_raw!$D$2:$D$483,"&lt;&gt;ocasional", Data_raw!$D$2:$D$483,"=mata")</f>
        <v>212</v>
      </c>
      <c r="I20" s="70"/>
    </row>
    <row r="21">
      <c r="B21" s="9" t="str">
        <f>IFERROR(__xludf.DUMMYFUNCTION("""COMPUTED_VALUE"""),"Chilopoda")</f>
        <v>Chilopoda</v>
      </c>
      <c r="D21" s="9" t="str">
        <f>IFERROR(__xludf.DUMMYFUNCTION("""COMPUTED_VALUE"""),"Coleoptera")</f>
        <v>Coleoptera</v>
      </c>
      <c r="F21" s="9" t="str">
        <f>IFERROR(__xludf.DUMMYFUNCTION("""COMPUTED_VALUE"""),"Rhinella ornata")</f>
        <v>Rhinella ornata</v>
      </c>
      <c r="G21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substrato"",Data_raw!$A$2:$A$483"&amp;"=F21,Data_raw!$D$2:$D$483=""mata""))"),2.0)</f>
        <v>2</v>
      </c>
      <c r="H21" s="28">
        <f>SUMIFS(Data_raw!$G$2:$G$483,Data_raw!$A$2:$A$483,F21,Data_raw!$E$2:$E$483,"&lt;&gt;Não identificado",Data_raw!$E$2:$E$483,"&lt;&gt;Semente",Data_raw!$E$2:$E$483,"&lt;&gt;Semente de capim",Data_raw!$E$2:$E$483,"&lt;&gt;Apenas substrato",Data_raw!$D$2:$D$483,"&lt;&gt;ocasional", Data_raw!$D$2:$D$483,"=mata")</f>
        <v>69</v>
      </c>
      <c r="I21" s="70"/>
    </row>
    <row r="22">
      <c r="B22" s="9" t="str">
        <f>IFERROR(__xludf.DUMMYFUNCTION("""COMPUTED_VALUE"""),"Coleoptera")</f>
        <v>Coleoptera</v>
      </c>
      <c r="D22" s="9" t="str">
        <f>IFERROR(__xludf.DUMMYFUNCTION("""COMPUTED_VALUE"""),"Coleoptera Larva")</f>
        <v>Coleoptera Larva</v>
      </c>
      <c r="F22" s="9" t="str">
        <f>IFERROR(__xludf.DUMMYFUNCTION("""COMPUTED_VALUE"""),"Scinax aff. dolloi")</f>
        <v>Scinax aff. dolloi</v>
      </c>
      <c r="G22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substrato"",Data_raw!$A$2:$A$483"&amp;"=F22,Data_raw!$D$2:$D$483=""mata""))"),6.0)</f>
        <v>6</v>
      </c>
      <c r="H22" s="28">
        <f>SUMIFS(Data_raw!$G$2:$G$483,Data_raw!$A$2:$A$483,F22,Data_raw!$E$2:$E$483,"&lt;&gt;Não identificado",Data_raw!$E$2:$E$483,"&lt;&gt;Semente",Data_raw!$E$2:$E$483,"&lt;&gt;Semente de capim",Data_raw!$E$2:$E$483,"&lt;&gt;Apenas substrato",Data_raw!$D$2:$D$483,"&lt;&gt;ocasional", Data_raw!$D$2:$D$483,"=mata")</f>
        <v>11</v>
      </c>
      <c r="I22" s="70"/>
    </row>
    <row r="23">
      <c r="B23" s="9" t="str">
        <f>IFERROR(__xludf.DUMMYFUNCTION("""COMPUTED_VALUE"""),"Coleoptera Larva")</f>
        <v>Coleoptera Larva</v>
      </c>
      <c r="D23" s="9" t="str">
        <f>IFERROR(__xludf.DUMMYFUNCTION("""COMPUTED_VALUE"""),"Collembola")</f>
        <v>Collembola</v>
      </c>
      <c r="F23" s="9" t="str">
        <f>IFERROR(__xludf.DUMMYFUNCTION("""COMPUTED_VALUE"""),"Trachycephalus imitatrix")</f>
        <v>Trachycephalus imitatrix</v>
      </c>
      <c r="G23" s="68">
        <f>IFERROR(__xludf.DUMMYFUNCTION("COUNTUNIQUE(FILTER(Data_raw!$B$2:$B$483,Data_raw!$E$2:$E$483&lt;&gt;""Vazio"",Data_raw!$E$2:$E$483&lt;&gt;""Não identificado"",Data_raw!$E$2:$E$483&lt;&gt;""Semente"",Data_raw!$E$2:$E$483&lt;&gt;""Semente de capim"",Data_raw!$E$2:$E$483&lt;&gt;""Apenas substrato"",Data_raw!$A$2:$A$483"&amp;"=F23,Data_raw!$D$2:$D$483=""mata""))"),2.0)</f>
        <v>2</v>
      </c>
      <c r="H23" s="28">
        <f>SUMIFS(Data_raw!$G$2:$G$483,Data_raw!$A$2:$A$483,F23,Data_raw!$E$2:$E$483,"&lt;&gt;Não identificado",Data_raw!$E$2:$E$483,"&lt;&gt;Semente",Data_raw!$E$2:$E$483,"&lt;&gt;Semente de capim",Data_raw!$E$2:$E$483,"&lt;&gt;Apenas substrato",Data_raw!$D$2:$D$483,"&lt;&gt;ocasional", Data_raw!$D$2:$D$483,"=mata")</f>
        <v>6</v>
      </c>
      <c r="I23" s="70"/>
    </row>
    <row r="24">
      <c r="B24" s="9" t="str">
        <f>IFERROR(__xludf.DUMMYFUNCTION("""COMPUTED_VALUE"""),"Collembola")</f>
        <v>Collembola</v>
      </c>
      <c r="D24" s="9" t="str">
        <f>IFERROR(__xludf.DUMMYFUNCTION("""COMPUTED_VALUE"""),"Dermaptera")</f>
        <v>Dermaptera</v>
      </c>
      <c r="F24" s="78">
        <f>COUNTA(F4:F23)</f>
        <v>20</v>
      </c>
      <c r="G24" s="78">
        <f t="shared" ref="G24:H24" si="2">SUM(G3:G23)</f>
        <v>89</v>
      </c>
      <c r="H24" s="78">
        <f t="shared" si="2"/>
        <v>446</v>
      </c>
      <c r="I24" s="70"/>
    </row>
    <row r="25">
      <c r="B25" s="9" t="str">
        <f>IFERROR(__xludf.DUMMYFUNCTION("""COMPUTED_VALUE"""),"Dermaptera")</f>
        <v>Dermaptera</v>
      </c>
      <c r="D25" s="9" t="str">
        <f>IFERROR(__xludf.DUMMYFUNCTION("""COMPUTED_VALUE"""),"Diplopoda")</f>
        <v>Diplopoda</v>
      </c>
    </row>
    <row r="26">
      <c r="B26" s="9" t="str">
        <f>IFERROR(__xludf.DUMMYFUNCTION("""COMPUTED_VALUE"""),"Diplopoda")</f>
        <v>Diplopoda</v>
      </c>
      <c r="D26" s="9" t="str">
        <f>IFERROR(__xludf.DUMMYFUNCTION("""COMPUTED_VALUE"""),"Ensifera")</f>
        <v>Ensifera</v>
      </c>
      <c r="F26" s="79" t="s">
        <v>899</v>
      </c>
    </row>
    <row r="27">
      <c r="B27" s="9" t="str">
        <f>IFERROR(__xludf.DUMMYFUNCTION("""COMPUTED_VALUE"""),"Ensifera")</f>
        <v>Ensifera</v>
      </c>
      <c r="D27" s="9" t="str">
        <f>IFERROR(__xludf.DUMMYFUNCTION("""COMPUTED_VALUE"""),"Formicidae")</f>
        <v>Formicidae</v>
      </c>
      <c r="F27" s="59" t="s">
        <v>891</v>
      </c>
      <c r="I27" s="60" t="s">
        <v>0</v>
      </c>
    </row>
    <row r="28">
      <c r="B28" s="9" t="str">
        <f>IFERROR(__xludf.DUMMYFUNCTION("""COMPUTED_VALUE"""),"Formicidae")</f>
        <v>Formicidae</v>
      </c>
      <c r="D28" s="9" t="str">
        <f>IFERROR(__xludf.DUMMYFUNCTION("""COMPUTED_VALUE"""),"Hemiptera")</f>
        <v>Hemiptera</v>
      </c>
      <c r="F28" s="63" t="s">
        <v>893</v>
      </c>
      <c r="G28" s="63" t="s">
        <v>894</v>
      </c>
      <c r="H28" s="63" t="s">
        <v>895</v>
      </c>
      <c r="I28" s="64" t="s">
        <v>893</v>
      </c>
      <c r="J28" s="63" t="s">
        <v>894</v>
      </c>
      <c r="K28" s="63" t="s">
        <v>895</v>
      </c>
    </row>
    <row r="29">
      <c r="B29" s="9" t="str">
        <f>IFERROR(__xludf.DUMMYFUNCTION("""COMPUTED_VALUE"""),"Hemiptera")</f>
        <v>Hemiptera</v>
      </c>
      <c r="D29" s="9" t="str">
        <f>IFERROR(__xludf.DUMMYFUNCTION("""COMPUTED_VALUE"""),"Heteroptera")</f>
        <v>Heteroptera</v>
      </c>
      <c r="F29" s="28" t="str">
        <f>IFERROR(__xludf.DUMMYFUNCTION("SORT(UNIQUE(FILTER(Data_filtered!$A$2:$A$461,Data_filtered!$E$2:$E$461&lt;&gt;""Vazio"",Data_filtered!$E$2:$E$461&lt;&gt;""Não identificado"",Data_filtered!$E$2:$E$461&lt;&gt;""Semente"",Data_filtered!$E$2:$E$461&lt;&gt;""Semente de capim"",Data_filtered!$E$2:$E$461&lt;&gt;""Apenas su"&amp;"bstrato"", Data_filtered!$D$2:$D$461 =""mata"")))"),"Aplastodiscus albosignatus")</f>
        <v>Aplastodiscus albosignatus</v>
      </c>
      <c r="G29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su"&amp;"bstrato"",Data_filtered!$A$2:$A$461=F29,Data_filtered!$D$2:$D$461=""mata""))"),1.0)</f>
        <v>1</v>
      </c>
      <c r="H29" s="28">
        <f>SUMIFS(Data_filtered!$G$2:$G$461,Data_filtered!$A$2:$A$461,F29,Data_filtered!$E$2:$E$461,"&lt;&gt;Não identificado",Data_filtered!$E$2:$E$461,"&lt;&gt;Semente",Data_filtered!$E$2:$E$461,"&lt;&gt;Semente de capim",Data_filtered!$E$2:$E$461,"&lt;&gt;Apenas substrato", Data_filtered!$D$2:$D$461,"=mata")</f>
        <v>1</v>
      </c>
      <c r="I29" s="69" t="str">
        <f>IFERROR(__xludf.DUMMYFUNCTION("SORT(UNIQUE(FILTER(Data_filtered!$A$2:$A$461,Data_filtered!$E$2:$E$461&lt;&gt;""Vazio"",Data_filtered!$E$2:$E$461&lt;&gt;""Não identificado"",Data_filtered!$E$2:$E$461&lt;&gt;""Semente"",Data_filtered!$E$2:$E$461&lt;&gt;""Semente de capim"",Data_filtered!$E$2:$E$461&lt;&gt;""Apenas su"&amp;"bstrato"", Data_filtered!$D$2:$D$461 =""eucalipto"")))"),"Aplastodiscus albosignatus")</f>
        <v>Aplastodiscus albosignatus</v>
      </c>
      <c r="J29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su"&amp;"bstrato"",Data_filtered!$A$2:$A$461=I29,Data_filtered!$D$2:$D$461=""eucalipto""))"),1.0)</f>
        <v>1</v>
      </c>
      <c r="K29" s="28">
        <f>SUMIFS(Data_filtered!$G$2:$G$461,Data_filtered!$A$2:$A$461,I29,Data_filtered!$E$2:$E$461,"&lt;&gt;Não identificado",Data_filtered!$E$2:$E$461,"&lt;&gt;Semente",Data_filtered!$E$2:$E$461,"&lt;&gt;Semente de capim",Data_filtered!$E$2:$E$461,"&lt;&gt;Apenas substrato", Data_filtered!$D$2:$D$461,"=eucalipto")</f>
        <v>3</v>
      </c>
    </row>
    <row r="30">
      <c r="B30" s="9" t="str">
        <f>IFERROR(__xludf.DUMMYFUNCTION("""COMPUTED_VALUE"""),"Heteroptera")</f>
        <v>Heteroptera</v>
      </c>
      <c r="D30" s="9" t="str">
        <f>IFERROR(__xludf.DUMMYFUNCTION("""COMPUTED_VALUE"""),"Insecta")</f>
        <v>Insecta</v>
      </c>
      <c r="F30" s="9" t="str">
        <f>IFERROR(__xludf.DUMMYFUNCTION("""COMPUTED_VALUE"""),"Boana faber")</f>
        <v>Boana faber</v>
      </c>
      <c r="G30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su"&amp;"bstrato"",Data_filtered!$A$2:$A$461=F30,Data_filtered!$D$2:$D$461=""mata""))"),1.0)</f>
        <v>1</v>
      </c>
      <c r="H30" s="28">
        <f>SUMIFS(Data_filtered!$G$2:$G$461,Data_filtered!$A$2:$A$461,F30,Data_filtered!$E$2:$E$461,"&lt;&gt;Não identificado",Data_filtered!$E$2:$E$461,"&lt;&gt;Semente",Data_filtered!$E$2:$E$461,"&lt;&gt;Semente de capim",Data_filtered!$E$2:$E$461,"&lt;&gt;Apenas substrato", Data_filtered!$D$2:$D$461,"=mata")</f>
        <v>3</v>
      </c>
      <c r="I30" s="70" t="str">
        <f>IFERROR(__xludf.DUMMYFUNCTION("""COMPUTED_VALUE"""),"Boana faber")</f>
        <v>Boana faber</v>
      </c>
      <c r="J30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su"&amp;"bstrato"",Data_filtered!$A$2:$A$461=I30,Data_filtered!$D$2:$D$461=""eucalipto""))"),1.0)</f>
        <v>1</v>
      </c>
      <c r="K30" s="28">
        <f>SUMIFS(Data_filtered!$G$2:$G$461,Data_filtered!$A$2:$A$461,I30,Data_filtered!$E$2:$E$461,"&lt;&gt;Não identificado",Data_filtered!$E$2:$E$461,"&lt;&gt;Semente",Data_filtered!$E$2:$E$461,"&lt;&gt;Semente de capim",Data_filtered!$E$2:$E$461,"&lt;&gt;Apenas substrato", Data_filtered!$D$2:$D$461,"=eucalipto")</f>
        <v>1</v>
      </c>
    </row>
    <row r="31">
      <c r="B31" s="9" t="str">
        <f>IFERROR(__xludf.DUMMYFUNCTION("""COMPUTED_VALUE"""),"Insecta")</f>
        <v>Insecta</v>
      </c>
      <c r="D31" s="9" t="str">
        <f>IFERROR(__xludf.DUMMYFUNCTION("""COMPUTED_VALUE"""),"Isópode")</f>
        <v>Isópode</v>
      </c>
      <c r="F31" s="9" t="str">
        <f>IFERROR(__xludf.DUMMYFUNCTION("""COMPUTED_VALUE"""),"Boana latistriata")</f>
        <v>Boana latistriata</v>
      </c>
      <c r="G31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su"&amp;"bstrato"",Data_filtered!$A$2:$A$461=F31,Data_filtered!$D$2:$D$461=""mata""))"),4.0)</f>
        <v>4</v>
      </c>
      <c r="H31" s="28">
        <f>SUMIFS(Data_filtered!$G$2:$G$461,Data_filtered!$A$2:$A$461,F31,Data_filtered!$E$2:$E$461,"&lt;&gt;Não identificado",Data_filtered!$E$2:$E$461,"&lt;&gt;Semente",Data_filtered!$E$2:$E$461,"&lt;&gt;Semente de capim",Data_filtered!$E$2:$E$461,"&lt;&gt;Apenas substrato", Data_filtered!$D$2:$D$461,"=mata")</f>
        <v>6</v>
      </c>
      <c r="I31" s="70" t="str">
        <f>IFERROR(__xludf.DUMMYFUNCTION("""COMPUTED_VALUE"""),"Boana prasina")</f>
        <v>Boana prasina</v>
      </c>
      <c r="J31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su"&amp;"bstrato"",Data_filtered!$A$2:$A$461=I31,Data_filtered!$D$2:$D$461=""eucalipto""))"),1.0)</f>
        <v>1</v>
      </c>
      <c r="K31" s="28">
        <f>SUMIFS(Data_filtered!$G$2:$G$461,Data_filtered!$A$2:$A$461,I31,Data_filtered!$E$2:$E$461,"&lt;&gt;Não identificado",Data_filtered!$E$2:$E$461,"&lt;&gt;Semente",Data_filtered!$E$2:$E$461,"&lt;&gt;Semente de capim",Data_filtered!$E$2:$E$461,"&lt;&gt;Apenas substrato", Data_filtered!$D$2:$D$461,"=eucalipto")</f>
        <v>1</v>
      </c>
    </row>
    <row r="32">
      <c r="B32" s="9" t="str">
        <f>IFERROR(__xludf.DUMMYFUNCTION("""COMPUTED_VALUE"""),"Isópode")</f>
        <v>Isópode</v>
      </c>
      <c r="D32" s="9" t="str">
        <f>IFERROR(__xludf.DUMMYFUNCTION("""COMPUTED_VALUE"""),"Isoptera")</f>
        <v>Isoptera</v>
      </c>
      <c r="F32" s="9" t="str">
        <f>IFERROR(__xludf.DUMMYFUNCTION("""COMPUTED_VALUE"""),"Bokermannohyla luctuosa")</f>
        <v>Bokermannohyla luctuosa</v>
      </c>
      <c r="G32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su"&amp;"bstrato"",Data_filtered!$A$2:$A$461=F32,Data_filtered!$D$2:$D$461=""mata""))"),10.0)</f>
        <v>10</v>
      </c>
      <c r="H32" s="28">
        <f>SUMIFS(Data_filtered!$G$2:$G$461,Data_filtered!$A$2:$A$461,F32,Data_filtered!$E$2:$E$461,"&lt;&gt;Não identificado",Data_filtered!$E$2:$E$461,"&lt;&gt;Semente",Data_filtered!$E$2:$E$461,"&lt;&gt;Semente de capim",Data_filtered!$E$2:$E$461,"&lt;&gt;Apenas substrato", Data_filtered!$D$2:$D$461,"=mata")</f>
        <v>14</v>
      </c>
      <c r="I32" s="70" t="str">
        <f>IFERROR(__xludf.DUMMYFUNCTION("""COMPUTED_VALUE"""),"Chiasmocleis mantiqueira")</f>
        <v>Chiasmocleis mantiqueira</v>
      </c>
      <c r="J32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su"&amp;"bstrato"",Data_filtered!$A$2:$A$461=I32,Data_filtered!$D$2:$D$461=""eucalipto""))"),12.0)</f>
        <v>12</v>
      </c>
      <c r="K32" s="28">
        <f>SUMIFS(Data_filtered!$G$2:$G$461,Data_filtered!$A$2:$A$461,I32,Data_filtered!$E$2:$E$461,"&lt;&gt;Não identificado",Data_filtered!$E$2:$E$461,"&lt;&gt;Semente",Data_filtered!$E$2:$E$461,"&lt;&gt;Semente de capim",Data_filtered!$E$2:$E$461,"&lt;&gt;Apenas substrato", Data_filtered!$D$2:$D$461,"=eucalipto")</f>
        <v>87</v>
      </c>
    </row>
    <row r="33">
      <c r="B33" s="9" t="str">
        <f>IFERROR(__xludf.DUMMYFUNCTION("""COMPUTED_VALUE"""),"Isoptera")</f>
        <v>Isoptera</v>
      </c>
      <c r="D33" s="9" t="str">
        <f>IFERROR(__xludf.DUMMYFUNCTION("""COMPUTED_VALUE"""),"Larva")</f>
        <v>Larva</v>
      </c>
      <c r="F33" s="9" t="str">
        <f>IFERROR(__xludf.DUMMYFUNCTION("""COMPUTED_VALUE"""),"Chiasmocleis mantiqueira")</f>
        <v>Chiasmocleis mantiqueira</v>
      </c>
      <c r="G33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su"&amp;"bstrato"",Data_filtered!$A$2:$A$461=F33,Data_filtered!$D$2:$D$461=""mata""))"),2.0)</f>
        <v>2</v>
      </c>
      <c r="H33" s="28">
        <f>SUMIFS(Data_filtered!$G$2:$G$461,Data_filtered!$A$2:$A$461,F33,Data_filtered!$E$2:$E$461,"&lt;&gt;Não identificado",Data_filtered!$E$2:$E$461,"&lt;&gt;Semente",Data_filtered!$E$2:$E$461,"&lt;&gt;Semente de capim",Data_filtered!$E$2:$E$461,"&lt;&gt;Apenas substrato", Data_filtered!$D$2:$D$461,"=mata")</f>
        <v>4</v>
      </c>
      <c r="I33" s="70" t="str">
        <f>IFERROR(__xludf.DUMMYFUNCTION("""COMPUTED_VALUE"""),"Hylodes aff. sazimai")</f>
        <v>Hylodes aff. sazimai</v>
      </c>
      <c r="J33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su"&amp;"bstrato"",Data_filtered!$A$2:$A$461=I33,Data_filtered!$D$2:$D$461=""eucalipto""))"),1.0)</f>
        <v>1</v>
      </c>
      <c r="K33" s="28">
        <f>SUMIFS(Data_filtered!$G$2:$G$461,Data_filtered!$A$2:$A$461,I33,Data_filtered!$E$2:$E$461,"&lt;&gt;Não identificado",Data_filtered!$E$2:$E$461,"&lt;&gt;Semente",Data_filtered!$E$2:$E$461,"&lt;&gt;Semente de capim",Data_filtered!$E$2:$E$461,"&lt;&gt;Apenas substrato", Data_filtered!$D$2:$D$461,"=eucalipto")</f>
        <v>1</v>
      </c>
    </row>
    <row r="34">
      <c r="B34" s="9" t="str">
        <f>IFERROR(__xludf.DUMMYFUNCTION("""COMPUTED_VALUE"""),"Larva")</f>
        <v>Larva</v>
      </c>
      <c r="D34" s="9" t="str">
        <f>IFERROR(__xludf.DUMMYFUNCTION("""COMPUTED_VALUE"""),"Lepidoptera Larva")</f>
        <v>Lepidoptera Larva</v>
      </c>
      <c r="F34" s="9" t="str">
        <f>IFERROR(__xludf.DUMMYFUNCTION("""COMPUTED_VALUE"""),"Dendropsophus microps")</f>
        <v>Dendropsophus microps</v>
      </c>
      <c r="G34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su"&amp;"bstrato"",Data_filtered!$A$2:$A$461=F34,Data_filtered!$D$2:$D$461=""mata""))"),7.0)</f>
        <v>7</v>
      </c>
      <c r="H34" s="28">
        <f>SUMIFS(Data_filtered!$G$2:$G$461,Data_filtered!$A$2:$A$461,F34,Data_filtered!$E$2:$E$461,"&lt;&gt;Não identificado",Data_filtered!$E$2:$E$461,"&lt;&gt;Semente",Data_filtered!$E$2:$E$461,"&lt;&gt;Semente de capim",Data_filtered!$E$2:$E$461,"&lt;&gt;Apenas substrato", Data_filtered!$D$2:$D$461,"=mata")</f>
        <v>23</v>
      </c>
      <c r="I34" s="70" t="str">
        <f>IFERROR(__xludf.DUMMYFUNCTION("""COMPUTED_VALUE"""),"Ischnocnema guentheri")</f>
        <v>Ischnocnema guentheri</v>
      </c>
      <c r="J34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su"&amp;"bstrato"",Data_filtered!$A$2:$A$461=I34,Data_filtered!$D$2:$D$461=""eucalipto""))"),7.0)</f>
        <v>7</v>
      </c>
      <c r="K34" s="28">
        <f>SUMIFS(Data_filtered!$G$2:$G$461,Data_filtered!$A$2:$A$461,I34,Data_filtered!$E$2:$E$461,"&lt;&gt;Não identificado",Data_filtered!$E$2:$E$461,"&lt;&gt;Semente",Data_filtered!$E$2:$E$461,"&lt;&gt;Semente de capim",Data_filtered!$E$2:$E$461,"&lt;&gt;Apenas substrato", Data_filtered!$D$2:$D$461,"=eucalipto")</f>
        <v>16</v>
      </c>
    </row>
    <row r="35">
      <c r="B35" s="9" t="str">
        <f>IFERROR(__xludf.DUMMYFUNCTION("""COMPUTED_VALUE"""),"Lepidoptera Larva")</f>
        <v>Lepidoptera Larva</v>
      </c>
      <c r="D35" s="9" t="str">
        <f>IFERROR(__xludf.DUMMYFUNCTION("""COMPUTED_VALUE"""),"Mantodea")</f>
        <v>Mantodea</v>
      </c>
      <c r="F35" s="9" t="str">
        <f>IFERROR(__xludf.DUMMYFUNCTION("""COMPUTED_VALUE"""),"Dendropsophus minutus")</f>
        <v>Dendropsophus minutus</v>
      </c>
      <c r="G35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su"&amp;"bstrato"",Data_filtered!$A$2:$A$461=F35,Data_filtered!$D$2:$D$461=""mata""))"),1.0)</f>
        <v>1</v>
      </c>
      <c r="H35" s="28">
        <f>SUMIFS(Data_filtered!$G$2:$G$461,Data_filtered!$A$2:$A$461,F35,Data_filtered!$E$2:$E$461,"&lt;&gt;Não identificado",Data_filtered!$E$2:$E$461,"&lt;&gt;Semente",Data_filtered!$E$2:$E$461,"&lt;&gt;Semente de capim",Data_filtered!$E$2:$E$461,"&lt;&gt;Apenas substrato", Data_filtered!$D$2:$D$461,"=mata")</f>
        <v>1</v>
      </c>
      <c r="I35" s="70" t="str">
        <f>IFERROR(__xludf.DUMMYFUNCTION("""COMPUTED_VALUE"""),"Ischnocnema juipoca")</f>
        <v>Ischnocnema juipoca</v>
      </c>
      <c r="J35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su"&amp;"bstrato"",Data_filtered!$A$2:$A$461=I35,Data_filtered!$D$2:$D$461=""eucalipto""))"),10.0)</f>
        <v>10</v>
      </c>
      <c r="K35" s="28">
        <f>SUMIFS(Data_filtered!$G$2:$G$461,Data_filtered!$A$2:$A$461,I35,Data_filtered!$E$2:$E$461,"&lt;&gt;Não identificado",Data_filtered!$E$2:$E$461,"&lt;&gt;Semente",Data_filtered!$E$2:$E$461,"&lt;&gt;Semente de capim",Data_filtered!$E$2:$E$461,"&lt;&gt;Apenas substrato", Data_filtered!$D$2:$D$461,"=eucalipto")</f>
        <v>27</v>
      </c>
    </row>
    <row r="36">
      <c r="B36" s="9" t="str">
        <f>IFERROR(__xludf.DUMMYFUNCTION("""COMPUTED_VALUE"""),"Mantodea")</f>
        <v>Mantodea</v>
      </c>
      <c r="D36" s="9" t="str">
        <f>IFERROR(__xludf.DUMMYFUNCTION("""COMPUTED_VALUE"""),"Mosca")</f>
        <v>Mosca</v>
      </c>
      <c r="F36" s="9" t="str">
        <f>IFERROR(__xludf.DUMMYFUNCTION("""COMPUTED_VALUE"""),"Hylodes aff. sazimai")</f>
        <v>Hylodes aff. sazimai</v>
      </c>
      <c r="G36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su"&amp;"bstrato"",Data_filtered!$A$2:$A$461=F36,Data_filtered!$D$2:$D$461=""mata""))"),4.0)</f>
        <v>4</v>
      </c>
      <c r="H36" s="28">
        <f>SUMIFS(Data_filtered!$G$2:$G$461,Data_filtered!$A$2:$A$461,F36,Data_filtered!$E$2:$E$461,"&lt;&gt;Não identificado",Data_filtered!$E$2:$E$461,"&lt;&gt;Semente",Data_filtered!$E$2:$E$461,"&lt;&gt;Semente de capim",Data_filtered!$E$2:$E$461,"&lt;&gt;Apenas substrato", Data_filtered!$D$2:$D$461,"=mata")</f>
        <v>8</v>
      </c>
      <c r="I36" s="70" t="str">
        <f>IFERROR(__xludf.DUMMYFUNCTION("""COMPUTED_VALUE"""),"Ololygon obtriangulata")</f>
        <v>Ololygon obtriangulata</v>
      </c>
      <c r="J36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su"&amp;"bstrato"",Data_filtered!$A$2:$A$461=I36,Data_filtered!$D$2:$D$461=""eucalipto""))"),2.0)</f>
        <v>2</v>
      </c>
      <c r="K36" s="28">
        <f>SUMIFS(Data_filtered!$G$2:$G$461,Data_filtered!$A$2:$A$461,I36,Data_filtered!$E$2:$E$461,"&lt;&gt;Não identificado",Data_filtered!$E$2:$E$461,"&lt;&gt;Semente",Data_filtered!$E$2:$E$461,"&lt;&gt;Semente de capim",Data_filtered!$E$2:$E$461,"&lt;&gt;Apenas substrato", Data_filtered!$D$2:$D$461,"=eucalipto")</f>
        <v>3</v>
      </c>
    </row>
    <row r="37">
      <c r="B37" s="9" t="str">
        <f>IFERROR(__xludf.DUMMYFUNCTION("""COMPUTED_VALUE"""),"Mosca")</f>
        <v>Mosca</v>
      </c>
      <c r="D37" s="9" t="str">
        <f>IFERROR(__xludf.DUMMYFUNCTION("""COMPUTED_VALUE"""),"Opiliones")</f>
        <v>Opiliones</v>
      </c>
      <c r="F37" s="9" t="str">
        <f>IFERROR(__xludf.DUMMYFUNCTION("""COMPUTED_VALUE"""),"Ischnocnema guentheri")</f>
        <v>Ischnocnema guentheri</v>
      </c>
      <c r="G37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su"&amp;"bstrato"",Data_filtered!$A$2:$A$461=F37,Data_filtered!$D$2:$D$461=""mata""))"),4.0)</f>
        <v>4</v>
      </c>
      <c r="H37" s="28">
        <f>SUMIFS(Data_filtered!$G$2:$G$461,Data_filtered!$A$2:$A$461,F37,Data_filtered!$E$2:$E$461,"&lt;&gt;Não identificado",Data_filtered!$E$2:$E$461,"&lt;&gt;Semente",Data_filtered!$E$2:$E$461,"&lt;&gt;Semente de capim",Data_filtered!$E$2:$E$461,"&lt;&gt;Apenas substrato", Data_filtered!$D$2:$D$461,"=mata")</f>
        <v>11</v>
      </c>
      <c r="I37" s="70" t="str">
        <f>IFERROR(__xludf.DUMMYFUNCTION("""COMPUTED_VALUE"""),"Physalaemus olfersii")</f>
        <v>Physalaemus olfersii</v>
      </c>
      <c r="J37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su"&amp;"bstrato"",Data_filtered!$A$2:$A$461=I37,Data_filtered!$D$2:$D$461=""eucalipto""))"),3.0)</f>
        <v>3</v>
      </c>
      <c r="K37" s="28">
        <f>SUMIFS(Data_filtered!$G$2:$G$461,Data_filtered!$A$2:$A$461,I37,Data_filtered!$E$2:$E$461,"&lt;&gt;Não identificado",Data_filtered!$E$2:$E$461,"&lt;&gt;Semente",Data_filtered!$E$2:$E$461,"&lt;&gt;Semente de capim",Data_filtered!$E$2:$E$461,"&lt;&gt;Apenas substrato", Data_filtered!$D$2:$D$461,"=eucalipto")</f>
        <v>17</v>
      </c>
    </row>
    <row r="38">
      <c r="B38" s="9" t="str">
        <f>IFERROR(__xludf.DUMMYFUNCTION("""COMPUTED_VALUE"""),"Não Identificado")</f>
        <v>Não Identificado</v>
      </c>
      <c r="D38" s="9" t="str">
        <f>IFERROR(__xludf.DUMMYFUNCTION("""COMPUTED_VALUE"""),"Orthoptera")</f>
        <v>Orthoptera</v>
      </c>
      <c r="F38" s="9" t="str">
        <f>IFERROR(__xludf.DUMMYFUNCTION("""COMPUTED_VALUE"""),"Ischnocnema holti")</f>
        <v>Ischnocnema holti</v>
      </c>
      <c r="G38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su"&amp;"bstrato"",Data_filtered!$A$2:$A$461=F38,Data_filtered!$D$2:$D$461=""mata""))"),2.0)</f>
        <v>2</v>
      </c>
      <c r="H38" s="28">
        <f>SUMIFS(Data_filtered!$G$2:$G$461,Data_filtered!$A$2:$A$461,F38,Data_filtered!$E$2:$E$461,"&lt;&gt;Não identificado",Data_filtered!$E$2:$E$461,"&lt;&gt;Semente",Data_filtered!$E$2:$E$461,"&lt;&gt;Semente de capim",Data_filtered!$E$2:$E$461,"&lt;&gt;Apenas substrato", Data_filtered!$D$2:$D$461,"=mata")</f>
        <v>6</v>
      </c>
      <c r="I38" s="70" t="str">
        <f>IFERROR(__xludf.DUMMYFUNCTION("""COMPUTED_VALUE"""),"Proceratophrys boiei")</f>
        <v>Proceratophrys boiei</v>
      </c>
      <c r="J38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su"&amp;"bstrato"",Data_filtered!$A$2:$A$461=I38,Data_filtered!$D$2:$D$461=""eucalipto""))"),1.0)</f>
        <v>1</v>
      </c>
      <c r="K38" s="28">
        <f>SUMIFS(Data_filtered!$G$2:$G$461,Data_filtered!$A$2:$A$461,I38,Data_filtered!$E$2:$E$461,"&lt;&gt;Não identificado",Data_filtered!$E$2:$E$461,"&lt;&gt;Semente",Data_filtered!$E$2:$E$461,"&lt;&gt;Semente de capim",Data_filtered!$E$2:$E$461,"&lt;&gt;Apenas substrato", Data_filtered!$D$2:$D$461,"=eucalipto")</f>
        <v>1</v>
      </c>
    </row>
    <row r="39">
      <c r="B39" s="9" t="str">
        <f>IFERROR(__xludf.DUMMYFUNCTION("""COMPUTED_VALUE"""),"Opiliones")</f>
        <v>Opiliones</v>
      </c>
      <c r="D39" s="9" t="str">
        <f>IFERROR(__xludf.DUMMYFUNCTION("""COMPUTED_VALUE"""),"Pscoptera")</f>
        <v>Pscoptera</v>
      </c>
      <c r="F39" s="9" t="str">
        <f>IFERROR(__xludf.DUMMYFUNCTION("""COMPUTED_VALUE"""),"Ischnocnema juipoca")</f>
        <v>Ischnocnema juipoca</v>
      </c>
      <c r="G39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su"&amp;"bstrato"",Data_filtered!$A$2:$A$461=F39,Data_filtered!$D$2:$D$461=""mata""))"),1.0)</f>
        <v>1</v>
      </c>
      <c r="H39" s="28">
        <f>SUMIFS(Data_filtered!$G$2:$G$461,Data_filtered!$A$2:$A$461,F39,Data_filtered!$E$2:$E$461,"&lt;&gt;Não identificado",Data_filtered!$E$2:$E$461,"&lt;&gt;Semente",Data_filtered!$E$2:$E$461,"&lt;&gt;Semente de capim",Data_filtered!$E$2:$E$461,"&lt;&gt;Apenas substrato", Data_filtered!$D$2:$D$461,"=mata")</f>
        <v>1</v>
      </c>
      <c r="I39" s="70" t="str">
        <f>IFERROR(__xludf.DUMMYFUNCTION("""COMPUTED_VALUE"""),"Rhinella icterica")</f>
        <v>Rhinella icterica</v>
      </c>
      <c r="J39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su"&amp;"bstrato"",Data_filtered!$A$2:$A$461=I39,Data_filtered!$D$2:$D$461=""eucalipto""))"),2.0)</f>
        <v>2</v>
      </c>
      <c r="K39" s="28">
        <f>SUMIFS(Data_filtered!$G$2:$G$461,Data_filtered!$A$2:$A$461,I39,Data_filtered!$E$2:$E$461,"&lt;&gt;Não identificado",Data_filtered!$E$2:$E$461,"&lt;&gt;Semente",Data_filtered!$E$2:$E$461,"&lt;&gt;Semente de capim",Data_filtered!$E$2:$E$461,"&lt;&gt;Apenas substrato", Data_filtered!$D$2:$D$461,"=eucalipto")</f>
        <v>20</v>
      </c>
    </row>
    <row r="40">
      <c r="B40" s="9" t="str">
        <f>IFERROR(__xludf.DUMMYFUNCTION("""COMPUTED_VALUE"""),"Orthoptera")</f>
        <v>Orthoptera</v>
      </c>
      <c r="D40" s="9" t="str">
        <f>IFERROR(__xludf.DUMMYFUNCTION("""COMPUTED_VALUE"""),"Pterygota")</f>
        <v>Pterygota</v>
      </c>
      <c r="F40" s="9" t="str">
        <f>IFERROR(__xludf.DUMMYFUNCTION("""COMPUTED_VALUE"""),"Ischnocnema vizottoi")</f>
        <v>Ischnocnema vizottoi</v>
      </c>
      <c r="G40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su"&amp;"bstrato"",Data_filtered!$A$2:$A$461=F40,Data_filtered!$D$2:$D$461=""mata""))"),2.0)</f>
        <v>2</v>
      </c>
      <c r="H40" s="28">
        <f>SUMIFS(Data_filtered!$G$2:$G$461,Data_filtered!$A$2:$A$461,F40,Data_filtered!$E$2:$E$461,"&lt;&gt;Não identificado",Data_filtered!$E$2:$E$461,"&lt;&gt;Semente",Data_filtered!$E$2:$E$461,"&lt;&gt;Semente de capim",Data_filtered!$E$2:$E$461,"&lt;&gt;Apenas substrato", Data_filtered!$D$2:$D$461,"=mata")</f>
        <v>4</v>
      </c>
      <c r="I40" s="9" t="str">
        <f>IFERROR(__xludf.DUMMYFUNCTION("""COMPUTED_VALUE"""),"Scinax aff. dolloi")</f>
        <v>Scinax aff. dolloi</v>
      </c>
      <c r="J40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su"&amp;"bstrato"",Data_filtered!$A$2:$A$461=I40,Data_filtered!$D$2:$D$461=""eucalipto""))"),3.0)</f>
        <v>3</v>
      </c>
      <c r="K40" s="28">
        <f>SUMIFS(Data_filtered!$G$2:$G$461,Data_filtered!$A$2:$A$461,I40,Data_filtered!$E$2:$E$461,"&lt;&gt;Não identificado",Data_filtered!$E$2:$E$461,"&lt;&gt;Semente",Data_filtered!$E$2:$E$461,"&lt;&gt;Semente de capim",Data_filtered!$E$2:$E$461,"&lt;&gt;Apenas substrato", Data_filtered!$D$2:$D$461,"=eucalipto")</f>
        <v>3</v>
      </c>
      <c r="L40" s="6"/>
      <c r="M40" s="6"/>
      <c r="N40" s="6"/>
    </row>
    <row r="41">
      <c r="B41" s="9" t="str">
        <f>IFERROR(__xludf.DUMMYFUNCTION("""COMPUTED_VALUE"""),"Pscoptera")</f>
        <v>Pscoptera</v>
      </c>
      <c r="D41" s="9" t="str">
        <f>IFERROR(__xludf.DUMMYFUNCTION("""COMPUTED_VALUE"""),"Staphylinidae")</f>
        <v>Staphylinidae</v>
      </c>
      <c r="F41" s="9" t="str">
        <f>IFERROR(__xludf.DUMMYFUNCTION("""COMPUTED_VALUE"""),"Ololygon obtriangulata")</f>
        <v>Ololygon obtriangulata</v>
      </c>
      <c r="G41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su"&amp;"bstrato"",Data_filtered!$A$2:$A$461=F41,Data_filtered!$D$2:$D$461=""mata""))"),15.0)</f>
        <v>15</v>
      </c>
      <c r="H41" s="28">
        <f>SUMIFS(Data_filtered!$G$2:$G$461,Data_filtered!$A$2:$A$461,F41,Data_filtered!$E$2:$E$461,"&lt;&gt;Não identificado",Data_filtered!$E$2:$E$461,"&lt;&gt;Semente",Data_filtered!$E$2:$E$461,"&lt;&gt;Semente de capim",Data_filtered!$E$2:$E$461,"&lt;&gt;Apenas substrato", Data_filtered!$D$2:$D$461,"=mata")</f>
        <v>17</v>
      </c>
      <c r="I41" s="81">
        <f>COUNTA(I29:I39)</f>
        <v>11</v>
      </c>
      <c r="J41" s="78">
        <f t="shared" ref="J41:K41" si="3">SUM(J29:J39)</f>
        <v>41</v>
      </c>
      <c r="K41" s="78">
        <f t="shared" si="3"/>
        <v>177</v>
      </c>
      <c r="L41" s="6"/>
      <c r="M41" s="6"/>
      <c r="N41" s="6"/>
    </row>
    <row r="42">
      <c r="B42" s="9" t="str">
        <f>IFERROR(__xludf.DUMMYFUNCTION("""COMPUTED_VALUE"""),"Pterygota")</f>
        <v>Pterygota</v>
      </c>
      <c r="D42" s="9" t="str">
        <f>IFERROR(__xludf.DUMMYFUNCTION("""COMPUTED_VALUE"""),"Thysanoptera")</f>
        <v>Thysanoptera</v>
      </c>
      <c r="F42" s="9" t="str">
        <f>IFERROR(__xludf.DUMMYFUNCTION("""COMPUTED_VALUE"""),"Paratelmatobius mantiqueira")</f>
        <v>Paratelmatobius mantiqueira</v>
      </c>
      <c r="G42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su"&amp;"bstrato"",Data_filtered!$A$2:$A$461=F42,Data_filtered!$D$2:$D$461=""mata""))"),1.0)</f>
        <v>1</v>
      </c>
      <c r="H42" s="28">
        <f>SUMIFS(Data_filtered!$G$2:$G$461,Data_filtered!$A$2:$A$461,F42,Data_filtered!$E$2:$E$461,"&lt;&gt;Não identificado",Data_filtered!$E$2:$E$461,"&lt;&gt;Semente",Data_filtered!$E$2:$E$461,"&lt;&gt;Semente de capim",Data_filtered!$E$2:$E$461,"&lt;&gt;Apenas substrato", Data_filtered!$D$2:$D$461,"=mata")</f>
        <v>3</v>
      </c>
      <c r="I42" s="70"/>
    </row>
    <row r="43">
      <c r="B43" s="9" t="str">
        <f>IFERROR(__xludf.DUMMYFUNCTION("""COMPUTED_VALUE"""),"Semente")</f>
        <v>Semente</v>
      </c>
      <c r="D43" s="9" t="str">
        <f>IFERROR(__xludf.DUMMYFUNCTION("""COMPUTED_VALUE"""),"Vespa")</f>
        <v>Vespa</v>
      </c>
      <c r="F43" s="9" t="str">
        <f>IFERROR(__xludf.DUMMYFUNCTION("""COMPUTED_VALUE"""),"Physalaemus cuvieri")</f>
        <v>Physalaemus cuvieri</v>
      </c>
      <c r="G43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su"&amp;"bstrato"",Data_filtered!$A$2:$A$461=F43,Data_filtered!$D$2:$D$461=""mata""))"),1.0)</f>
        <v>1</v>
      </c>
      <c r="H43" s="28">
        <f>SUMIFS(Data_filtered!$G$2:$G$461,Data_filtered!$A$2:$A$461,F43,Data_filtered!$E$2:$E$461,"&lt;&gt;Não identificado",Data_filtered!$E$2:$E$461,"&lt;&gt;Semente",Data_filtered!$E$2:$E$461,"&lt;&gt;Semente de capim",Data_filtered!$E$2:$E$461,"&lt;&gt;Apenas substrato", Data_filtered!$D$2:$D$461,"=mata")</f>
        <v>2</v>
      </c>
      <c r="I43" s="70"/>
    </row>
    <row r="44">
      <c r="B44" s="9" t="str">
        <f>IFERROR(__xludf.DUMMYFUNCTION("""COMPUTED_VALUE"""),"Semente de capim")</f>
        <v>Semente de capim</v>
      </c>
      <c r="F44" s="9" t="str">
        <f>IFERROR(__xludf.DUMMYFUNCTION("""COMPUTED_VALUE"""),"Physalaemus olfersii")</f>
        <v>Physalaemus olfersii</v>
      </c>
      <c r="G44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su"&amp;"bstrato"",Data_filtered!$A$2:$A$461=F44,Data_filtered!$D$2:$D$461=""mata""))"),7.0)</f>
        <v>7</v>
      </c>
      <c r="H44" s="28">
        <f>SUMIFS(Data_filtered!$G$2:$G$461,Data_filtered!$A$2:$A$461,F44,Data_filtered!$E$2:$E$461,"&lt;&gt;Não identificado",Data_filtered!$E$2:$E$461,"&lt;&gt;Semente",Data_filtered!$E$2:$E$461,"&lt;&gt;Semente de capim",Data_filtered!$E$2:$E$461,"&lt;&gt;Apenas substrato", Data_filtered!$D$2:$D$461,"=mata")</f>
        <v>29</v>
      </c>
      <c r="I44" s="70"/>
    </row>
    <row r="45">
      <c r="B45" s="9" t="str">
        <f>IFERROR(__xludf.DUMMYFUNCTION("""COMPUTED_VALUE"""),"Staphylinidae")</f>
        <v>Staphylinidae</v>
      </c>
      <c r="F45" s="9" t="str">
        <f>IFERROR(__xludf.DUMMYFUNCTION("""COMPUTED_VALUE"""),"Proceratophrys boiei")</f>
        <v>Proceratophrys boiei</v>
      </c>
      <c r="G45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su"&amp;"bstrato"",Data_filtered!$A$2:$A$461=F45,Data_filtered!$D$2:$D$461=""mata""))"),9.0)</f>
        <v>9</v>
      </c>
      <c r="H45" s="28">
        <f>SUMIFS(Data_filtered!$G$2:$G$461,Data_filtered!$A$2:$A$461,F45,Data_filtered!$E$2:$E$461,"&lt;&gt;Não identificado",Data_filtered!$E$2:$E$461,"&lt;&gt;Semente",Data_filtered!$E$2:$E$461,"&lt;&gt;Semente de capim",Data_filtered!$E$2:$E$461,"&lt;&gt;Apenas substrato", Data_filtered!$D$2:$D$461,"=mata")</f>
        <v>20</v>
      </c>
      <c r="I45" s="70"/>
    </row>
    <row r="46">
      <c r="B46" s="9" t="str">
        <f>IFERROR(__xludf.DUMMYFUNCTION("""COMPUTED_VALUE"""),"Thysanoptera")</f>
        <v>Thysanoptera</v>
      </c>
      <c r="F46" s="9" t="str">
        <f>IFERROR(__xludf.DUMMYFUNCTION("""COMPUTED_VALUE"""),"Proceratophrys itamari")</f>
        <v>Proceratophrys itamari</v>
      </c>
      <c r="G46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su"&amp;"bstrato"",Data_filtered!$A$2:$A$461=F46,Data_filtered!$D$2:$D$461=""mata""))"),3.0)</f>
        <v>3</v>
      </c>
      <c r="H46" s="28">
        <f>SUMIFS(Data_filtered!$G$2:$G$461,Data_filtered!$A$2:$A$461,F46,Data_filtered!$E$2:$E$461,"&lt;&gt;Não identificado",Data_filtered!$E$2:$E$461,"&lt;&gt;Semente",Data_filtered!$E$2:$E$461,"&lt;&gt;Semente de capim",Data_filtered!$E$2:$E$461,"&lt;&gt;Apenas substrato", Data_filtered!$D$2:$D$461,"=mata")</f>
        <v>6</v>
      </c>
      <c r="I46" s="70"/>
    </row>
    <row r="47">
      <c r="B47" s="9" t="str">
        <f>IFERROR(__xludf.DUMMYFUNCTION("""COMPUTED_VALUE"""),"Vazio")</f>
        <v>Vazio</v>
      </c>
      <c r="F47" s="9" t="str">
        <f>IFERROR(__xludf.DUMMYFUNCTION("""COMPUTED_VALUE"""),"Rhinella icterica")</f>
        <v>Rhinella icterica</v>
      </c>
      <c r="G47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su"&amp;"bstrato"",Data_filtered!$A$2:$A$461=F47,Data_filtered!$D$2:$D$461=""mata""))"),10.0)</f>
        <v>10</v>
      </c>
      <c r="H47" s="28">
        <f>SUMIFS(Data_filtered!$G$2:$G$461,Data_filtered!$A$2:$A$461,F47,Data_filtered!$E$2:$E$461,"&lt;&gt;Não identificado",Data_filtered!$E$2:$E$461,"&lt;&gt;Semente",Data_filtered!$E$2:$E$461,"&lt;&gt;Semente de capim",Data_filtered!$E$2:$E$461,"&lt;&gt;Apenas substrato", Data_filtered!$D$2:$D$461,"=mata")</f>
        <v>212</v>
      </c>
      <c r="I47" s="70"/>
    </row>
    <row r="48">
      <c r="B48" s="9" t="str">
        <f>IFERROR(__xludf.DUMMYFUNCTION("""COMPUTED_VALUE"""),"Vespa")</f>
        <v>Vespa</v>
      </c>
      <c r="F48" s="9" t="str">
        <f>IFERROR(__xludf.DUMMYFUNCTION("""COMPUTED_VALUE"""),"Rhinella ornata")</f>
        <v>Rhinella ornata</v>
      </c>
      <c r="G48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su"&amp;"bstrato"",Data_filtered!$A$2:$A$461=F48,Data_filtered!$D$2:$D$461=""mata""))"),2.0)</f>
        <v>2</v>
      </c>
      <c r="H48" s="28">
        <f>SUMIFS(Data_filtered!$G$2:$G$461,Data_filtered!$A$2:$A$461,F48,Data_filtered!$E$2:$E$461,"&lt;&gt;Não identificado",Data_filtered!$E$2:$E$461,"&lt;&gt;Semente",Data_filtered!$E$2:$E$461,"&lt;&gt;Semente de capim",Data_filtered!$E$2:$E$461,"&lt;&gt;Apenas substrato", Data_filtered!$D$2:$D$461,"=mata")</f>
        <v>69</v>
      </c>
      <c r="I48" s="70"/>
    </row>
    <row r="49">
      <c r="F49" s="9" t="str">
        <f>IFERROR(__xludf.DUMMYFUNCTION("""COMPUTED_VALUE"""),"Scinax aff. dolloi")</f>
        <v>Scinax aff. dolloi</v>
      </c>
      <c r="G49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su"&amp;"bstrato"",Data_filtered!$A$2:$A$461=F49,Data_filtered!$D$2:$D$461=""mata""))"),6.0)</f>
        <v>6</v>
      </c>
      <c r="H49" s="28">
        <f>SUMIFS(Data_filtered!$G$2:$G$461,Data_filtered!$A$2:$A$461,F49,Data_filtered!$E$2:$E$461,"&lt;&gt;Não identificado",Data_filtered!$E$2:$E$461,"&lt;&gt;Semente",Data_filtered!$E$2:$E$461,"&lt;&gt;Semente de capim",Data_filtered!$E$2:$E$461,"&lt;&gt;Apenas substrato", Data_filtered!$D$2:$D$461,"=mata")</f>
        <v>11</v>
      </c>
      <c r="I49" s="70"/>
    </row>
    <row r="50">
      <c r="F50" s="9" t="str">
        <f>IFERROR(__xludf.DUMMYFUNCTION("""COMPUTED_VALUE"""),"Trachycephalus imitatrix")</f>
        <v>Trachycephalus imitatrix</v>
      </c>
      <c r="G50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su"&amp;"bstrato"",Data_filtered!$A$2:$A$461=F50,Data_filtered!$D$2:$D$461=""mata""))"),1.0)</f>
        <v>1</v>
      </c>
      <c r="H50" s="28">
        <f>SUMIFS(Data_filtered!$G$2:$G$461,Data_filtered!$A$2:$A$461,F50,Data_filtered!$E$2:$E$461,"&lt;&gt;Não identificado",Data_filtered!$E$2:$E$461,"&lt;&gt;Semente",Data_filtered!$E$2:$E$461,"&lt;&gt;Semente de capim",Data_filtered!$E$2:$E$461,"&lt;&gt;Apenas substrato", Data_filtered!$D$2:$D$461,"=mata")</f>
        <v>4</v>
      </c>
    </row>
    <row r="51">
      <c r="F51" s="78">
        <f>COUNTA(F29:F50)</f>
        <v>22</v>
      </c>
      <c r="G51" s="78">
        <f t="shared" ref="G51:H51" si="4">SUM(G29:G50)</f>
        <v>94</v>
      </c>
      <c r="H51" s="78">
        <f t="shared" si="4"/>
        <v>455</v>
      </c>
    </row>
    <row r="53">
      <c r="F53" s="79" t="s">
        <v>901</v>
      </c>
      <c r="M53" s="82" t="str">
        <f t="array" ref="M53:Q66">resumo_f</f>
        <v>species</v>
      </c>
      <c r="N53" s="83" t="s">
        <v>902</v>
      </c>
      <c r="O53" s="83" t="s">
        <v>903</v>
      </c>
      <c r="P53" s="84" t="s">
        <v>904</v>
      </c>
      <c r="Q53" s="84" t="s">
        <v>905</v>
      </c>
    </row>
    <row r="54">
      <c r="F54" s="59" t="s">
        <v>891</v>
      </c>
      <c r="I54" s="60" t="s">
        <v>0</v>
      </c>
      <c r="M54" s="9" t="s">
        <v>150</v>
      </c>
      <c r="N54" s="9">
        <v>0.0</v>
      </c>
      <c r="O54" s="9">
        <v>0.0</v>
      </c>
      <c r="P54" s="9">
        <v>7.0</v>
      </c>
      <c r="Q54" s="9">
        <v>10.0</v>
      </c>
    </row>
    <row r="55">
      <c r="F55" s="63" t="s">
        <v>893</v>
      </c>
      <c r="G55" s="63" t="s">
        <v>894</v>
      </c>
      <c r="H55" s="63" t="s">
        <v>895</v>
      </c>
      <c r="I55" s="64" t="s">
        <v>893</v>
      </c>
      <c r="J55" s="63" t="s">
        <v>894</v>
      </c>
      <c r="K55" s="63" t="s">
        <v>895</v>
      </c>
      <c r="M55" s="9" t="s">
        <v>137</v>
      </c>
      <c r="N55" s="9">
        <v>11.0</v>
      </c>
      <c r="O55" s="9">
        <v>82.0</v>
      </c>
      <c r="P55" s="9">
        <v>2.0</v>
      </c>
      <c r="Q55" s="9">
        <v>4.0</v>
      </c>
    </row>
    <row r="56">
      <c r="F56" s="28" t="str">
        <f>IFERROR(__xludf.DUMMYFUNCTION("SORT(UNIQUE(FILTER(Data_filtered!$A$2:$A$461,Data_filtered!$E$2:$E$461&lt;&gt;""Vazio"",Data_filtered!$E$2:$E$461&lt;&gt;""Não identificado"",Data_filtered!$E$2:$E$461&lt;&gt;""Semente"",Data_filtered!$E$2:$E$461&lt;&gt;""Semente de capim"",Data_filtered!$E$2:$E$461&lt;&gt;""Apenas su"&amp;"bstrato"", Data_filtered!$J$2:$J$461&lt;&gt;""Incompleto"", Data_filtered!$D$2:$D$461 =""mata"")))"),"Aplastodiscus albosignatus")</f>
        <v>Aplastodiscus albosignatus</v>
      </c>
      <c r="G56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su"&amp;"bstrato"",Data_filtered!$A$2:$A$461=F56, Data_filtered!$J$2:$J$461&lt;&gt;""Incompleto"", Data_filtered!$D$2:$D$461=""mata""))"),1.0)</f>
        <v>1</v>
      </c>
      <c r="H56" s="28">
        <f>SUMIFS(Data_filtered!$G$2:$G$461,Data_filtered!$A$2:$A$461,F56,Data_filtered!$E$2:$E$461,"&lt;&gt;Não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1</v>
      </c>
      <c r="I56" s="69" t="str">
        <f>IFERROR(__xludf.DUMMYFUNCTION("SORT(UNIQUE(FILTER(Data_filtered!$A$2:$A$461,Data_filtered!$E$2:$E$461&lt;&gt;""Vazio"",Data_filtered!$E$2:$E$461&lt;&gt;""Não identificado"",Data_filtered!$E$2:$E$461&lt;&gt;""Semente"",Data_filtered!$E$2:$E$461&lt;&gt;""Semente de capim"",Data_filtered!$E$2:$E$461&lt;&gt;""Apenas su"&amp;"bstrato"", Data_filtered!$J$2:$J$461&lt;&gt;""Incompleto"", Data_filtered!$D$2:$D$461 =""eucalipto"")))"),"Aplastodiscus albosignatus")</f>
        <v>Aplastodiscus albosignatus</v>
      </c>
      <c r="J56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 Data_filtered!$J$2:$J$461&lt;&gt;""Incompleto"", Data_filtered!$A$2:$A$461=I56,Data_filtered!$D$2:$D$461=""eucalipto""))"),1.0)</f>
        <v>1</v>
      </c>
      <c r="K56" s="28">
        <f>SUMIFS(Data_filtered!$G$2:$G$461,Data_filtered!$A$2:$A$461,I56,Data_filtered!$E$2:$E$461,"&lt;&gt;Não identificado",Data_filtered!$E$2:$E$461,"&lt;&gt;Semente",Data_filtered!$E$2:$E$461,"&lt;&gt;Semente de capim",Data_filtered!$E$2:$E$461,"&lt;&gt;Apenas substrato", Data_filtered!$J$2:$J$461,"&lt;&gt;Incompleto",Data_filtered!$D$2:$D$461,"=eucalipto")</f>
        <v>1</v>
      </c>
      <c r="M56" s="9" t="s">
        <v>170</v>
      </c>
      <c r="N56" s="9">
        <v>0.0</v>
      </c>
      <c r="O56" s="9">
        <v>0.0</v>
      </c>
      <c r="P56" s="9">
        <v>7.0</v>
      </c>
      <c r="Q56" s="9">
        <v>21.0</v>
      </c>
    </row>
    <row r="57">
      <c r="F57" s="9" t="str">
        <f>IFERROR(__xludf.DUMMYFUNCTION("""COMPUTED_VALUE"""),"Boana faber")</f>
        <v>Boana faber</v>
      </c>
      <c r="G57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su"&amp;"bstrato"",Data_filtered!$A$2:$A$461=F57, Data_filtered!$J$2:$J$461&lt;&gt;""Incompleto"", Data_filtered!$D$2:$D$461=""mata""))"),1.0)</f>
        <v>1</v>
      </c>
      <c r="H57" s="28">
        <f>SUMIFS(Data_filtered!$G$2:$G$461,Data_filtered!$A$2:$A$461,F57,Data_filtered!$E$2:$E$461,"&lt;&gt;Não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3</v>
      </c>
      <c r="I57" s="70" t="str">
        <f>IFERROR(__xludf.DUMMYFUNCTION("""COMPUTED_VALUE"""),"Boana faber")</f>
        <v>Boana faber</v>
      </c>
      <c r="J57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 Data_filtered!$J$2:$J$461&lt;&gt;""Incompleto"", Data_filtered!$A$2:$A$461=I57,Data_filtered!$D$2:$D$461=""eucalipto""))"),1.0)</f>
        <v>1</v>
      </c>
      <c r="K57" s="28">
        <f>SUMIFS(Data_filtered!$G$2:$G$461,Data_filtered!$A$2:$A$461,I57,Data_filtered!$E$2:$E$461,"&lt;&gt;Não identificado",Data_filtered!$E$2:$E$461,"&lt;&gt;Semente",Data_filtered!$E$2:$E$461,"&lt;&gt;Semente de capim",Data_filtered!$E$2:$E$461,"&lt;&gt;Apenas substrato", Data_filtered!$J$2:$J$461,"&lt;&gt;Incompleto",Data_filtered!$D$2:$D$461,"=eucalipto")</f>
        <v>1</v>
      </c>
      <c r="M57" s="9" t="s">
        <v>145</v>
      </c>
      <c r="N57" s="9">
        <v>6.0</v>
      </c>
      <c r="O57" s="9">
        <v>15.0</v>
      </c>
      <c r="P57" s="9">
        <v>3.0</v>
      </c>
      <c r="Q57" s="9">
        <v>7.0</v>
      </c>
    </row>
    <row r="58">
      <c r="F58" s="9" t="str">
        <f>IFERROR(__xludf.DUMMYFUNCTION("""COMPUTED_VALUE"""),"Boana latistriata")</f>
        <v>Boana latistriata</v>
      </c>
      <c r="G58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su"&amp;"bstrato"",Data_filtered!$A$2:$A$461=F58, Data_filtered!$J$2:$J$461&lt;&gt;""Incompleto"", Data_filtered!$D$2:$D$461=""mata""))"),1.0)</f>
        <v>1</v>
      </c>
      <c r="H58" s="28">
        <f>SUMIFS(Data_filtered!$G$2:$G$461,Data_filtered!$A$2:$A$461,F58,Data_filtered!$E$2:$E$461,"&lt;&gt;Não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3</v>
      </c>
      <c r="I58" s="70" t="str">
        <f>IFERROR(__xludf.DUMMYFUNCTION("""COMPUTED_VALUE"""),"Boana prasina")</f>
        <v>Boana prasina</v>
      </c>
      <c r="J58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 Data_filtered!$J$2:$J$461&lt;&gt;""Incompleto"", Data_filtered!$A$2:$A$461=I58,Data_filtered!$D$2:$D$461=""eucalipto""))"),1.0)</f>
        <v>1</v>
      </c>
      <c r="K58" s="28">
        <f>SUMIFS(Data_filtered!$G$2:$G$461,Data_filtered!$A$2:$A$461,I58,Data_filtered!$E$2:$E$461,"&lt;&gt;Não identificado",Data_filtered!$E$2:$E$461,"&lt;&gt;Semente",Data_filtered!$E$2:$E$461,"&lt;&gt;Semente de capim",Data_filtered!$E$2:$E$461,"&lt;&gt;Apenas substrato", Data_filtered!$J$2:$J$461,"&lt;&gt;Incompleto",Data_filtered!$D$2:$D$461,"=eucalipto")</f>
        <v>1</v>
      </c>
      <c r="M58" s="9" t="s">
        <v>714</v>
      </c>
      <c r="N58" s="9">
        <v>0.0</v>
      </c>
      <c r="O58" s="9">
        <v>0.0</v>
      </c>
      <c r="P58" s="9">
        <v>2.0</v>
      </c>
      <c r="Q58" s="9">
        <v>6.0</v>
      </c>
    </row>
    <row r="59">
      <c r="F59" s="9" t="str">
        <f>IFERROR(__xludf.DUMMYFUNCTION("""COMPUTED_VALUE"""),"Bokermannohyla luctuosa")</f>
        <v>Bokermannohyla luctuosa</v>
      </c>
      <c r="G59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su"&amp;"bstrato"",Data_filtered!$A$2:$A$461=F59, Data_filtered!$J$2:$J$461&lt;&gt;""Incompleto"", Data_filtered!$D$2:$D$461=""mata""))"),7.0)</f>
        <v>7</v>
      </c>
      <c r="H59" s="28">
        <f>SUMIFS(Data_filtered!$G$2:$G$461,Data_filtered!$A$2:$A$461,F59,Data_filtered!$E$2:$E$461,"&lt;&gt;Não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10</v>
      </c>
      <c r="I59" s="70" t="str">
        <f>IFERROR(__xludf.DUMMYFUNCTION("""COMPUTED_VALUE"""),"Chiasmocleis mantiqueira")</f>
        <v>Chiasmocleis mantiqueira</v>
      </c>
      <c r="J59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 Data_filtered!$J$2:$J$461&lt;&gt;""Incompleto"", Data_filtered!$A$2:$A$461=I59,Data_filtered!$D$2:$D$461=""eucalipto""))"),11.0)</f>
        <v>11</v>
      </c>
      <c r="K59" s="28">
        <f>SUMIFS(Data_filtered!$G$2:$G$461,Data_filtered!$A$2:$A$461,I59,Data_filtered!$E$2:$E$461,"&lt;&gt;Não identificado",Data_filtered!$E$2:$E$461,"&lt;&gt;Semente",Data_filtered!$E$2:$E$461,"&lt;&gt;Semente de capim",Data_filtered!$E$2:$E$461,"&lt;&gt;Apenas substrato", Data_filtered!$J$2:$J$461,"&lt;&gt;Incompleto",Data_filtered!$D$2:$D$461,"=eucalipto")</f>
        <v>82</v>
      </c>
      <c r="M59" s="9" t="s">
        <v>119</v>
      </c>
      <c r="N59" s="9">
        <v>8.0</v>
      </c>
      <c r="O59" s="9">
        <v>22.0</v>
      </c>
      <c r="P59" s="9">
        <v>1.0</v>
      </c>
      <c r="Q59" s="9">
        <v>1.0</v>
      </c>
    </row>
    <row r="60">
      <c r="F60" s="9" t="str">
        <f>IFERROR(__xludf.DUMMYFUNCTION("""COMPUTED_VALUE"""),"Chiasmocleis mantiqueira")</f>
        <v>Chiasmocleis mantiqueira</v>
      </c>
      <c r="G60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su"&amp;"bstrato"",Data_filtered!$A$2:$A$461=F60, Data_filtered!$J$2:$J$461&lt;&gt;""Incompleto"", Data_filtered!$D$2:$D$461=""mata""))"),2.0)</f>
        <v>2</v>
      </c>
      <c r="H60" s="28">
        <f>SUMIFS(Data_filtered!$G$2:$G$461,Data_filtered!$A$2:$A$461,F60,Data_filtered!$E$2:$E$461,"&lt;&gt;Não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4</v>
      </c>
      <c r="I60" s="70" t="str">
        <f>IFERROR(__xludf.DUMMYFUNCTION("""COMPUTED_VALUE"""),"Hylodes aff. sazimai")</f>
        <v>Hylodes aff. sazimai</v>
      </c>
      <c r="J60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 Data_filtered!$J$2:$J$461&lt;&gt;""Incompleto"", Data_filtered!$A$2:$A$461=I60,Data_filtered!$D$2:$D$461=""eucalipto""))"),1.0)</f>
        <v>1</v>
      </c>
      <c r="K60" s="28">
        <f>SUMIFS(Data_filtered!$G$2:$G$461,Data_filtered!$A$2:$A$461,I60,Data_filtered!$E$2:$E$461,"&lt;&gt;Não identificado",Data_filtered!$E$2:$E$461,"&lt;&gt;Semente",Data_filtered!$E$2:$E$461,"&lt;&gt;Semente de capim",Data_filtered!$E$2:$E$461,"&lt;&gt;Apenas substrato", Data_filtered!$J$2:$J$461,"&lt;&gt;Incompleto",Data_filtered!$D$2:$D$461,"=eucalipto")</f>
        <v>1</v>
      </c>
      <c r="M60" s="9" t="s">
        <v>129</v>
      </c>
      <c r="N60" s="9">
        <v>1.0</v>
      </c>
      <c r="O60" s="9">
        <v>1.0</v>
      </c>
      <c r="P60" s="9">
        <v>6.0</v>
      </c>
      <c r="Q60" s="9">
        <v>7.0</v>
      </c>
    </row>
    <row r="61">
      <c r="F61" s="9" t="str">
        <f>IFERROR(__xludf.DUMMYFUNCTION("""COMPUTED_VALUE"""),"Dendropsophus microps")</f>
        <v>Dendropsophus microps</v>
      </c>
      <c r="G61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su"&amp;"bstrato"",Data_filtered!$A$2:$A$461=F61, Data_filtered!$J$2:$J$461&lt;&gt;""Incompleto"", Data_filtered!$D$2:$D$461=""mata""))"),7.0)</f>
        <v>7</v>
      </c>
      <c r="H61" s="28">
        <f>SUMIFS(Data_filtered!$G$2:$G$461,Data_filtered!$A$2:$A$461,F61,Data_filtered!$E$2:$E$461,"&lt;&gt;Não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21</v>
      </c>
      <c r="I61" s="70" t="str">
        <f>IFERROR(__xludf.DUMMYFUNCTION("""COMPUTED_VALUE"""),"Ischnocnema guentheri")</f>
        <v>Ischnocnema guentheri</v>
      </c>
      <c r="J61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 Data_filtered!$J$2:$J$461&lt;&gt;""Incompleto"", Data_filtered!$A$2:$A$461=I61,Data_filtered!$D$2:$D$461=""eucalipto""))"),6.0)</f>
        <v>6</v>
      </c>
      <c r="K61" s="28">
        <f>SUMIFS(Data_filtered!$G$2:$G$461,Data_filtered!$A$2:$A$461,I61,Data_filtered!$E$2:$E$461,"&lt;&gt;Não identificado",Data_filtered!$E$2:$E$461,"&lt;&gt;Semente",Data_filtered!$E$2:$E$461,"&lt;&gt;Semente de capim",Data_filtered!$E$2:$E$461,"&lt;&gt;Apenas substrato", Data_filtered!$J$2:$J$461,"&lt;&gt;Incompleto",Data_filtered!$D$2:$D$461,"=eucalipto")</f>
        <v>15</v>
      </c>
      <c r="M61" s="9" t="s">
        <v>134</v>
      </c>
      <c r="N61" s="9">
        <v>3.0</v>
      </c>
      <c r="O61" s="9">
        <v>16.0</v>
      </c>
      <c r="P61" s="9">
        <v>6.0</v>
      </c>
      <c r="Q61" s="9">
        <v>28.0</v>
      </c>
    </row>
    <row r="62">
      <c r="F62" s="9" t="str">
        <f>IFERROR(__xludf.DUMMYFUNCTION("""COMPUTED_VALUE"""),"Dendropsophus minutus")</f>
        <v>Dendropsophus minutus</v>
      </c>
      <c r="G62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su"&amp;"bstrato"",Data_filtered!$A$2:$A$461=F62, Data_filtered!$J$2:$J$461&lt;&gt;""Incompleto"", Data_filtered!$D$2:$D$461=""mata""))"),1.0)</f>
        <v>1</v>
      </c>
      <c r="H62" s="28">
        <f>SUMIFS(Data_filtered!$G$2:$G$461,Data_filtered!$A$2:$A$461,F62,Data_filtered!$E$2:$E$461,"&lt;&gt;Não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1</v>
      </c>
      <c r="I62" s="70" t="str">
        <f>IFERROR(__xludf.DUMMYFUNCTION("""COMPUTED_VALUE"""),"Ischnocnema juipoca")</f>
        <v>Ischnocnema juipoca</v>
      </c>
      <c r="J62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 Data_filtered!$J$2:$J$461&lt;&gt;""Incompleto"", Data_filtered!$A$2:$A$461=I62,Data_filtered!$D$2:$D$461=""eucalipto""))"),8.0)</f>
        <v>8</v>
      </c>
      <c r="K62" s="28">
        <f>SUMIFS(Data_filtered!$G$2:$G$461,Data_filtered!$A$2:$A$461,I62,Data_filtered!$E$2:$E$461,"&lt;&gt;Não identificado",Data_filtered!$E$2:$E$461,"&lt;&gt;Semente",Data_filtered!$E$2:$E$461,"&lt;&gt;Semente de capim",Data_filtered!$E$2:$E$461,"&lt;&gt;Apenas substrato", Data_filtered!$J$2:$J$461,"&lt;&gt;Incompleto",Data_filtered!$D$2:$D$461,"=eucalipto")</f>
        <v>22</v>
      </c>
      <c r="M62" s="9" t="s">
        <v>207</v>
      </c>
      <c r="N62" s="9">
        <v>1.0</v>
      </c>
      <c r="O62" s="9">
        <v>1.0</v>
      </c>
      <c r="P62" s="9">
        <v>7.0</v>
      </c>
      <c r="Q62" s="9">
        <v>17.0</v>
      </c>
    </row>
    <row r="63">
      <c r="F63" s="9" t="str">
        <f>IFERROR(__xludf.DUMMYFUNCTION("""COMPUTED_VALUE"""),"Hylodes aff. sazimai")</f>
        <v>Hylodes aff. sazimai</v>
      </c>
      <c r="G63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su"&amp;"bstrato"",Data_filtered!$A$2:$A$461=F63, Data_filtered!$J$2:$J$461&lt;&gt;""Incompleto"", Data_filtered!$D$2:$D$461=""mata""))"),4.0)</f>
        <v>4</v>
      </c>
      <c r="H63" s="28">
        <f>SUMIFS(Data_filtered!$G$2:$G$461,Data_filtered!$A$2:$A$461,F63,Data_filtered!$E$2:$E$461,"&lt;&gt;Não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5</v>
      </c>
      <c r="I63" s="70" t="str">
        <f>IFERROR(__xludf.DUMMYFUNCTION("""COMPUTED_VALUE"""),"Ololygon obtriangulata")</f>
        <v>Ololygon obtriangulata</v>
      </c>
      <c r="J63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 Data_filtered!$J$2:$J$461&lt;&gt;""Incompleto"", Data_filtered!$A$2:$A$461=I63,Data_filtered!$D$2:$D$461=""eucalipto""))"),1.0)</f>
        <v>1</v>
      </c>
      <c r="K63" s="28">
        <f>SUMIFS(Data_filtered!$G$2:$G$461,Data_filtered!$A$2:$A$461,I63,Data_filtered!$E$2:$E$461,"&lt;&gt;Não identificado",Data_filtered!$E$2:$E$461,"&lt;&gt;Semente",Data_filtered!$E$2:$E$461,"&lt;&gt;Semente de capim",Data_filtered!$E$2:$E$461,"&lt;&gt;Apenas substrato", Data_filtered!$J$2:$J$461,"&lt;&gt;Incompleto",Data_filtered!$D$2:$D$461,"=eucalipto")</f>
        <v>1</v>
      </c>
      <c r="M63" s="9" t="s">
        <v>343</v>
      </c>
      <c r="N63" s="9">
        <v>0.0</v>
      </c>
      <c r="O63" s="9">
        <v>0.0</v>
      </c>
      <c r="P63" s="9">
        <v>3.0</v>
      </c>
      <c r="Q63" s="9">
        <v>6.0</v>
      </c>
    </row>
    <row r="64">
      <c r="F64" s="9" t="str">
        <f>IFERROR(__xludf.DUMMYFUNCTION("""COMPUTED_VALUE"""),"Ischnocnema guentheri")</f>
        <v>Ischnocnema guentheri</v>
      </c>
      <c r="G64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su"&amp;"bstrato"",Data_filtered!$A$2:$A$461=F64, Data_filtered!$J$2:$J$461&lt;&gt;""Incompleto"", Data_filtered!$D$2:$D$461=""mata""))"),3.0)</f>
        <v>3</v>
      </c>
      <c r="H64" s="28">
        <f>SUMIFS(Data_filtered!$G$2:$G$461,Data_filtered!$A$2:$A$461,F64,Data_filtered!$E$2:$E$461,"&lt;&gt;Não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7</v>
      </c>
      <c r="I64" s="70" t="str">
        <f>IFERROR(__xludf.DUMMYFUNCTION("""COMPUTED_VALUE"""),"Physalaemus olfersii")</f>
        <v>Physalaemus olfersii</v>
      </c>
      <c r="J64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 Data_filtered!$J$2:$J$461&lt;&gt;""Incompleto"", Data_filtered!$A$2:$A$461=I64,Data_filtered!$D$2:$D$461=""eucalipto""))"),3.0)</f>
        <v>3</v>
      </c>
      <c r="K64" s="28">
        <f>SUMIFS(Data_filtered!$G$2:$G$461,Data_filtered!$A$2:$A$461,I64,Data_filtered!$E$2:$E$461,"&lt;&gt;Não identificado",Data_filtered!$E$2:$E$461,"&lt;&gt;Semente",Data_filtered!$E$2:$E$461,"&lt;&gt;Semente de capim",Data_filtered!$E$2:$E$461,"&lt;&gt;Apenas substrato", Data_filtered!$J$2:$J$461,"&lt;&gt;Incompleto",Data_filtered!$D$2:$D$461,"=eucalipto")</f>
        <v>16</v>
      </c>
      <c r="M64" s="9" t="s">
        <v>210</v>
      </c>
      <c r="N64" s="9">
        <v>2.0</v>
      </c>
      <c r="O64" s="9">
        <v>13.0</v>
      </c>
      <c r="P64" s="9">
        <v>10.0</v>
      </c>
      <c r="Q64" s="9">
        <v>193.0</v>
      </c>
    </row>
    <row r="65">
      <c r="F65" s="9" t="str">
        <f>IFERROR(__xludf.DUMMYFUNCTION("""COMPUTED_VALUE"""),"Ischnocnema holti")</f>
        <v>Ischnocnema holti</v>
      </c>
      <c r="G65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su"&amp;"bstrato"",Data_filtered!$A$2:$A$461=F65, Data_filtered!$J$2:$J$461&lt;&gt;""Incompleto"", Data_filtered!$D$2:$D$461=""mata""))"),2.0)</f>
        <v>2</v>
      </c>
      <c r="H65" s="28">
        <f>SUMIFS(Data_filtered!$G$2:$G$461,Data_filtered!$A$2:$A$461,F65,Data_filtered!$E$2:$E$461,"&lt;&gt;Não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6</v>
      </c>
      <c r="I65" s="70" t="str">
        <f>IFERROR(__xludf.DUMMYFUNCTION("""COMPUTED_VALUE"""),"Proceratophrys boiei")</f>
        <v>Proceratophrys boiei</v>
      </c>
      <c r="J65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 Data_filtered!$J$2:$J$461&lt;&gt;""Incompleto"", Data_filtered!$A$2:$A$461=I65,Data_filtered!$D$2:$D$461=""eucalipto""))"),1.0)</f>
        <v>1</v>
      </c>
      <c r="K65" s="28">
        <f>SUMIFS(Data_filtered!$G$2:$G$461,Data_filtered!$A$2:$A$461,I65,Data_filtered!$E$2:$E$461,"&lt;&gt;Não identificado",Data_filtered!$E$2:$E$461,"&lt;&gt;Semente",Data_filtered!$E$2:$E$461,"&lt;&gt;Semente de capim",Data_filtered!$E$2:$E$461,"&lt;&gt;Apenas substrato", Data_filtered!$J$2:$J$461,"&lt;&gt;Incompleto",Data_filtered!$D$2:$D$461,"=eucalipto")</f>
        <v>1</v>
      </c>
      <c r="M65" s="9" t="s">
        <v>441</v>
      </c>
      <c r="N65" s="9">
        <v>0.0</v>
      </c>
      <c r="O65" s="9">
        <v>0.0</v>
      </c>
      <c r="P65" s="9">
        <v>2.0</v>
      </c>
      <c r="Q65" s="9">
        <v>69.0</v>
      </c>
    </row>
    <row r="66">
      <c r="F66" s="9" t="str">
        <f>IFERROR(__xludf.DUMMYFUNCTION("""COMPUTED_VALUE"""),"Ischnocnema juipoca")</f>
        <v>Ischnocnema juipoca</v>
      </c>
      <c r="G66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su"&amp;"bstrato"",Data_filtered!$A$2:$A$461=F66, Data_filtered!$J$2:$J$461&lt;&gt;""Incompleto"", Data_filtered!$D$2:$D$461=""mata""))"),1.0)</f>
        <v>1</v>
      </c>
      <c r="H66" s="28">
        <f>SUMIFS(Data_filtered!$G$2:$G$461,Data_filtered!$A$2:$A$461,F66,Data_filtered!$E$2:$E$461,"&lt;&gt;Não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1</v>
      </c>
      <c r="I66" s="70" t="str">
        <f>IFERROR(__xludf.DUMMYFUNCTION("""COMPUTED_VALUE"""),"Rhinella icterica")</f>
        <v>Rhinella icterica</v>
      </c>
      <c r="J66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 Data_filtered!$J$2:$J$461&lt;&gt;""Incompleto"", Data_filtered!$A$2:$A$461=I66,Data_filtered!$D$2:$D$461=""eucalipto""))"),2.0)</f>
        <v>2</v>
      </c>
      <c r="K66" s="28">
        <f>SUMIFS(Data_filtered!$G$2:$G$461,Data_filtered!$A$2:$A$461,I66,Data_filtered!$E$2:$E$461,"&lt;&gt;Não identificado",Data_filtered!$E$2:$E$461,"&lt;&gt;Semente",Data_filtered!$E$2:$E$461,"&lt;&gt;Semente de capim",Data_filtered!$E$2:$E$461,"&lt;&gt;Apenas substrato", Data_filtered!$J$2:$J$461,"&lt;&gt;Incompleto",Data_filtered!$D$2:$D$461,"=eucalipto")</f>
        <v>13</v>
      </c>
      <c r="M66" s="9" t="s">
        <v>175</v>
      </c>
      <c r="N66" s="9">
        <v>0.0</v>
      </c>
      <c r="O66" s="9">
        <v>0.0</v>
      </c>
      <c r="P66" s="9">
        <v>4.0</v>
      </c>
      <c r="Q66" s="9">
        <v>7.0</v>
      </c>
    </row>
    <row r="67">
      <c r="F67" s="9" t="str">
        <f>IFERROR(__xludf.DUMMYFUNCTION("""COMPUTED_VALUE"""),"Ischnocnema vizottoi")</f>
        <v>Ischnocnema vizottoi</v>
      </c>
      <c r="G67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su"&amp;"bstrato"",Data_filtered!$A$2:$A$461=F67, Data_filtered!$J$2:$J$461&lt;&gt;""Incompleto"", Data_filtered!$D$2:$D$461=""mata""))"),1.0)</f>
        <v>1</v>
      </c>
      <c r="H67" s="28">
        <f>SUMIFS(Data_filtered!$G$2:$G$461,Data_filtered!$A$2:$A$461,F67,Data_filtered!$E$2:$E$461,"&lt;&gt;Não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2</v>
      </c>
      <c r="I67" s="81">
        <f>COUNTA(I56:I66)</f>
        <v>11</v>
      </c>
      <c r="J67" s="78">
        <f t="shared" ref="J67:K67" si="5">SUM(J56:J66)</f>
        <v>36</v>
      </c>
      <c r="K67" s="78">
        <f t="shared" si="5"/>
        <v>154</v>
      </c>
    </row>
    <row r="68">
      <c r="F68" s="9" t="str">
        <f>IFERROR(__xludf.DUMMYFUNCTION("""COMPUTED_VALUE"""),"Ololygon obtriangulata")</f>
        <v>Ololygon obtriangulata</v>
      </c>
      <c r="G68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su"&amp;"bstrato"",Data_filtered!$A$2:$A$461=F68, Data_filtered!$J$2:$J$461&lt;&gt;""Incompleto"", Data_filtered!$D$2:$D$461=""mata""))"),6.0)</f>
        <v>6</v>
      </c>
      <c r="H68" s="28">
        <f>SUMIFS(Data_filtered!$G$2:$G$461,Data_filtered!$A$2:$A$461,F68,Data_filtered!$E$2:$E$461,"&lt;&gt;Não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7</v>
      </c>
      <c r="I68" s="85"/>
      <c r="J68" s="6"/>
      <c r="K68" s="6"/>
    </row>
    <row r="69">
      <c r="F69" s="9" t="str">
        <f>IFERROR(__xludf.DUMMYFUNCTION("""COMPUTED_VALUE"""),"Paratelmatobius mantiqueira")</f>
        <v>Paratelmatobius mantiqueira</v>
      </c>
      <c r="G69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su"&amp;"bstrato"",Data_filtered!$A$2:$A$461=F69, Data_filtered!$J$2:$J$461&lt;&gt;""Incompleto"", Data_filtered!$D$2:$D$461=""mata""))"),1.0)</f>
        <v>1</v>
      </c>
      <c r="H69" s="28">
        <f>SUMIFS(Data_filtered!$G$2:$G$461,Data_filtered!$A$2:$A$461,F69,Data_filtered!$E$2:$E$461,"&lt;&gt;Não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3</v>
      </c>
      <c r="I69" s="70"/>
    </row>
    <row r="70">
      <c r="F70" s="9" t="str">
        <f>IFERROR(__xludf.DUMMYFUNCTION("""COMPUTED_VALUE"""),"Physalaemus cuvieri")</f>
        <v>Physalaemus cuvieri</v>
      </c>
      <c r="G70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su"&amp;"bstrato"",Data_filtered!$A$2:$A$461=F70, Data_filtered!$J$2:$J$461&lt;&gt;""Incompleto"", Data_filtered!$D$2:$D$461=""mata""))"),1.0)</f>
        <v>1</v>
      </c>
      <c r="H70" s="28">
        <f>SUMIFS(Data_filtered!$G$2:$G$461,Data_filtered!$A$2:$A$461,F70,Data_filtered!$E$2:$E$461,"&lt;&gt;Não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2</v>
      </c>
      <c r="I70" s="70"/>
    </row>
    <row r="71">
      <c r="F71" s="9" t="str">
        <f>IFERROR(__xludf.DUMMYFUNCTION("""COMPUTED_VALUE"""),"Physalaemus olfersii")</f>
        <v>Physalaemus olfersii</v>
      </c>
      <c r="G71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su"&amp;"bstrato"",Data_filtered!$A$2:$A$461=F71, Data_filtered!$J$2:$J$461&lt;&gt;""Incompleto"", Data_filtered!$D$2:$D$461=""mata""))"),6.0)</f>
        <v>6</v>
      </c>
      <c r="H71" s="28">
        <f>SUMIFS(Data_filtered!$G$2:$G$461,Data_filtered!$A$2:$A$461,F71,Data_filtered!$E$2:$E$461,"&lt;&gt;Não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28</v>
      </c>
      <c r="I71" s="70"/>
    </row>
    <row r="72">
      <c r="F72" s="9" t="str">
        <f>IFERROR(__xludf.DUMMYFUNCTION("""COMPUTED_VALUE"""),"Proceratophrys boiei")</f>
        <v>Proceratophrys boiei</v>
      </c>
      <c r="G72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su"&amp;"bstrato"",Data_filtered!$A$2:$A$461=F72, Data_filtered!$J$2:$J$461&lt;&gt;""Incompleto"", Data_filtered!$D$2:$D$461=""mata""))"),7.0)</f>
        <v>7</v>
      </c>
      <c r="H72" s="28">
        <f>SUMIFS(Data_filtered!$G$2:$G$461,Data_filtered!$A$2:$A$461,F72,Data_filtered!$E$2:$E$461,"&lt;&gt;Não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17</v>
      </c>
      <c r="I72" s="70"/>
    </row>
    <row r="73">
      <c r="F73" s="9" t="str">
        <f>IFERROR(__xludf.DUMMYFUNCTION("""COMPUTED_VALUE"""),"Proceratophrys itamari")</f>
        <v>Proceratophrys itamari</v>
      </c>
      <c r="G73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su"&amp;"bstrato"",Data_filtered!$A$2:$A$461=F73, Data_filtered!$J$2:$J$461&lt;&gt;""Incompleto"", Data_filtered!$D$2:$D$461=""mata""))"),3.0)</f>
        <v>3</v>
      </c>
      <c r="H73" s="28">
        <f>SUMIFS(Data_filtered!$G$2:$G$461,Data_filtered!$A$2:$A$461,F73,Data_filtered!$E$2:$E$461,"&lt;&gt;Não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6</v>
      </c>
      <c r="I73" s="70"/>
    </row>
    <row r="74">
      <c r="F74" s="9" t="str">
        <f>IFERROR(__xludf.DUMMYFUNCTION("""COMPUTED_VALUE"""),"Rhinella icterica")</f>
        <v>Rhinella icterica</v>
      </c>
      <c r="G74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su"&amp;"bstrato"",Data_filtered!$A$2:$A$461=F74, Data_filtered!$J$2:$J$461&lt;&gt;""Incompleto"", Data_filtered!$D$2:$D$461=""mata""))"),10.0)</f>
        <v>10</v>
      </c>
      <c r="H74" s="28">
        <f>SUMIFS(Data_filtered!$G$2:$G$461,Data_filtered!$A$2:$A$461,F74,Data_filtered!$E$2:$E$461,"&lt;&gt;Não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193</v>
      </c>
      <c r="I74" s="70"/>
    </row>
    <row r="75">
      <c r="F75" s="9" t="str">
        <f>IFERROR(__xludf.DUMMYFUNCTION("""COMPUTED_VALUE"""),"Rhinella ornata")</f>
        <v>Rhinella ornata</v>
      </c>
      <c r="G75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su"&amp;"bstrato"",Data_filtered!$A$2:$A$461=F75, Data_filtered!$J$2:$J$461&lt;&gt;""Incompleto"", Data_filtered!$D$2:$D$461=""mata""))"),2.0)</f>
        <v>2</v>
      </c>
      <c r="H75" s="28">
        <f>SUMIFS(Data_filtered!$G$2:$G$461,Data_filtered!$A$2:$A$461,F75,Data_filtered!$E$2:$E$461,"&lt;&gt;Não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69</v>
      </c>
      <c r="I75" s="70"/>
    </row>
    <row r="76">
      <c r="F76" s="9" t="str">
        <f>IFERROR(__xludf.DUMMYFUNCTION("""COMPUTED_VALUE"""),"Scinax aff. dolloi")</f>
        <v>Scinax aff. dolloi</v>
      </c>
      <c r="G76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su"&amp;"bstrato"",Data_filtered!$A$2:$A$461=F76, Data_filtered!$J$2:$J$461&lt;&gt;""Incompleto"", Data_filtered!$D$2:$D$461=""mata""))"),4.0)</f>
        <v>4</v>
      </c>
      <c r="H76" s="28">
        <f>SUMIFS(Data_filtered!$G$2:$G$461,Data_filtered!$A$2:$A$461,F76,Data_filtered!$E$2:$E$461,"&lt;&gt;Não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7</v>
      </c>
      <c r="I76" s="70"/>
    </row>
    <row r="77">
      <c r="F77" s="9" t="str">
        <f>IFERROR(__xludf.DUMMYFUNCTION("""COMPUTED_VALUE"""),"Trachycephalus imitatrix")</f>
        <v>Trachycephalus imitatrix</v>
      </c>
      <c r="G77" s="80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su"&amp;"bstrato"",Data_filtered!$A$2:$A$461=F77, Data_filtered!$J$2:$J$461&lt;&gt;""Incompleto"", Data_filtered!$D$2:$D$461=""mata""))"),1.0)</f>
        <v>1</v>
      </c>
      <c r="H77" s="28">
        <f>SUMIFS(Data_filtered!$G$2:$G$461,Data_filtered!$A$2:$A$461,F77,Data_filtered!$E$2:$E$461,"&lt;&gt;Não identificado",Data_filtered!$E$2:$E$461,"&lt;&gt;Semente",Data_filtered!$E$2:$E$461,"&lt;&gt;Semente de capim",Data_filtered!$E$2:$E$461,"&lt;&gt;Apenas substrato", Data_filtered!$J$2:$J$461,"&lt;&gt;Incompleto", Data_filtered!$D$2:$D$461,"=mata")</f>
        <v>1</v>
      </c>
    </row>
    <row r="78">
      <c r="F78" s="78">
        <f>COUNTA(F56:F77)</f>
        <v>22</v>
      </c>
      <c r="G78" s="78">
        <f t="shared" ref="G78:H78" si="6">SUM(G56:G77)</f>
        <v>72</v>
      </c>
      <c r="H78" s="78">
        <f t="shared" si="6"/>
        <v>397</v>
      </c>
    </row>
  </sheetData>
  <mergeCells count="15">
    <mergeCell ref="A9:B9"/>
    <mergeCell ref="C9:D9"/>
    <mergeCell ref="F26:K26"/>
    <mergeCell ref="F27:H27"/>
    <mergeCell ref="I27:K27"/>
    <mergeCell ref="F53:K53"/>
    <mergeCell ref="F54:H54"/>
    <mergeCell ref="I54:K54"/>
    <mergeCell ref="A1:D1"/>
    <mergeCell ref="F1:K1"/>
    <mergeCell ref="A2:B2"/>
    <mergeCell ref="C2:D2"/>
    <mergeCell ref="F2:H2"/>
    <mergeCell ref="I2:K2"/>
    <mergeCell ref="A8:D8"/>
  </mergeCells>
  <conditionalFormatting sqref="H28:H50 H55:H77">
    <cfRule type="cellIs" dxfId="0" priority="1" operator="greaterThanOrEqual">
      <formula>5</formula>
    </cfRule>
  </conditionalFormatting>
  <conditionalFormatting sqref="H28:H50 H55:H77">
    <cfRule type="cellIs" dxfId="0" priority="2" operator="greaterThanOrEqual">
      <formula>5</formula>
    </cfRule>
  </conditionalFormatting>
  <conditionalFormatting sqref="K29:K40 K56:K66">
    <cfRule type="cellIs" dxfId="0" priority="3" operator="greaterThanOrEqual">
      <formula>5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10" max="10" width="21.88"/>
  </cols>
  <sheetData>
    <row r="1">
      <c r="A1" s="86" t="s">
        <v>906</v>
      </c>
      <c r="G1" s="86" t="s">
        <v>907</v>
      </c>
      <c r="J1" s="87" t="s">
        <v>908</v>
      </c>
      <c r="K1" s="88" t="s">
        <v>902</v>
      </c>
      <c r="L1" s="88" t="s">
        <v>903</v>
      </c>
      <c r="M1" s="89" t="s">
        <v>904</v>
      </c>
      <c r="N1" s="89" t="s">
        <v>905</v>
      </c>
    </row>
    <row r="2">
      <c r="A2" s="27" t="s">
        <v>908</v>
      </c>
      <c r="B2" s="27" t="s">
        <v>909</v>
      </c>
      <c r="C2" s="27" t="s">
        <v>910</v>
      </c>
      <c r="D2" s="27" t="s">
        <v>911</v>
      </c>
      <c r="E2" s="27" t="s">
        <v>912</v>
      </c>
      <c r="G2" s="27" t="s">
        <v>913</v>
      </c>
      <c r="H2" s="27" t="s">
        <v>914</v>
      </c>
      <c r="I2" s="90"/>
      <c r="J2" s="77" t="str">
        <f>IFERROR(__xludf.DUMMYFUNCTION("FILTER(CHOOSECOLS(lista_check,1),CHOOSECOLS(lista_check,2)=""yes"")"),"Bokermannohyla luctuosa")</f>
        <v>Bokermannohyla luctuosa</v>
      </c>
      <c r="K2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sub"&amp;"strato"",Data_filtered!$A$2:$A$461=$J2,Data_filtered!$D$2:$D$461=""eucalipto"",Data_filtered!$J$2:$J$461&lt;&gt;""Incompleto""),0)=0,0, COUNTUNIQUE(FILTER(Data_filtered!$B$2:$B$461,Data_filtered!$E$2:$E$461&lt;&gt;""Vazio"",Data_filtered!$E$2:$E$461&lt;&gt;""Não identifica"&amp;"do"",Data_filtered!$E$2:$E$461&lt;&gt;""Semente"",Data_filtered!$E$2:$E$461&lt;&gt;""Semente de capim"",Data_filtered!$E$2:$E$461&lt;&gt;""Apenas substrato"",Data_filtered!$A$2:$A$461=$J2,Data_filtered!$D$2:$D$461=""eucalipto"",Data_filtered!$J$2:$J$461&lt;&gt;""Incompleto"")))"),0.0)</f>
        <v>0</v>
      </c>
      <c r="L2" s="9">
        <f>SUMIFS(Data_filtered!$G$2:$G$461,Data_filtered!$A$2:$A$461,$J2,Data_filtered!$E$2:$E$461,"&lt;&gt;Não identificado",Data_filtered!$E$2:$E$461,"&lt;&gt;Semente",Data_filtered!$E$2:$E$461,"&lt;&gt;Semente de capim",Data_filtered!$E$2:$E$461,"&lt;&gt;Apenas substrato",Data_filtered!$D$2:$D$461,"=eucalipto",Data_filtered!$J$2:$J$461,"&lt;&gt;Incompleto")</f>
        <v>0</v>
      </c>
      <c r="M2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sub"&amp;"strato"",Data_filtered!$A$2:$A$461=$J2,Data_filtered!$D$2:$D$461=""mata"",Data_filtered!$J$2:$J$461&lt;&gt;""Incompleto""),0)=0,0, COUNTUNIQUE(FILTER(Data_filtered!$B$2:$B$461,Data_filtered!$E$2:$E$461&lt;&gt;""Vazio"",Data_filtered!$E$2:$E$461&lt;&gt;""Não identificado"","&amp;"Data_filtered!$E$2:$E$461&lt;&gt;""Semente"",Data_filtered!$E$2:$E$461&lt;&gt;""Semente de capim"",Data_filtered!$E$2:$E$461&lt;&gt;""Apenas substrato"",Data_filtered!$A$2:$A$461=$J2,Data_filtered!$D$2:$D$461=""mata"",Data_filtered!$J$2:$J$461&lt;&gt;""Incompleto"")))"),7.0)</f>
        <v>7</v>
      </c>
      <c r="N2" s="9">
        <f>SUMIFS(Data_filtered!$G$2:$G$461,Data_filtered!$A$2:$A$461,$J2,Data_filtered!$E$2:$E$461,"&lt;&gt;Não identificado",Data_filtered!$E$2:$E$461,"&lt;&gt;Semente",Data_filtered!$E$2:$E$461,"&lt;&gt;Semente de capim",Data_filtered!$E$2:$E$461,"&lt;&gt;Apenas substrato",Data_filtered!$D$2:$D$461,"=mata",Data_filtered!$J$2:$J$461,"&lt;&gt;Incompleto")</f>
        <v>10</v>
      </c>
    </row>
    <row r="3">
      <c r="A3" s="9" t="str">
        <f>IFERROR(__xludf.DUMMYFUNCTION("SORT(UNIQUE(CHOOSECOLS(Data_filtered!A2:K461,1,4)),1,1)"),"Aplastodiscus albosignatus")</f>
        <v>Aplastodiscus albosignatus</v>
      </c>
      <c r="B3" s="9" t="str">
        <f>IFERROR(__xludf.DUMMYFUNCTION("""COMPUTED_VALUE"""),"mata")</f>
        <v>mata</v>
      </c>
      <c r="C3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sub"&amp;"strato"",Data_filtered!$A$2:$A$461=$A3,Data_filtered!$D$2:$D$461=$B3,Data_filtered!$J$2:$J$461&lt;&gt;""Incompleto""),0)=0,0, COUNTUNIQUE(FILTER(Data_filtered!$B$2:$B$461,Data_filtered!$E$2:$E$461&lt;&gt;""Vazio"",Data_filtered!$E$2:$E$461&lt;&gt;""Não identificado"",Data_"&amp;"filtered!$E$2:$E$461&lt;&gt;""Semente"",Data_filtered!$E$2:$E$461&lt;&gt;""Semente de capim"",Data_filtered!$E$2:$E$461&lt;&gt;""Apenas substrato"",Data_filtered!$A$2:$A$461=$A3,Data_filtered!$D$2:$D$461=$B3,Data_filtered!$J$2:$J$461&lt;&gt;""Incompleto"")))"),1.0)</f>
        <v>1</v>
      </c>
      <c r="D3" s="27">
        <f>SUMIFS(Data_filtered!$G$2:$G$461,Data_filtered!$A$2:$A$461,$A3,Data_filtered!$E$2:$E$461,"&lt;&gt;Não identificado",Data_filtered!$E$2:$E$461,"&lt;&gt;Semente",Data_filtered!$E$2:$E$461,"&lt;&gt;Semente de capim",Data_filtered!$E$2:$E$461,"&lt;&gt;Apenas substrato",Data_filtered!$D$2:$D$461,$B3,Data_filtered!$J$2:$J$461,"&lt;&gt;Incompleto")</f>
        <v>1</v>
      </c>
      <c r="E3" s="9" t="str">
        <f t="shared" ref="E3:E40" si="1">IF(D3&gt;5,"yes","no")</f>
        <v>no</v>
      </c>
      <c r="G3" s="9" t="str">
        <f>IFERROR(__xludf.DUMMYFUNCTION("sort(UNIQUE(CHOOSECOLS(data_filt,1)))"),"Aplastodiscus albosignatus")</f>
        <v>Aplastodiscus albosignatus</v>
      </c>
      <c r="H3" s="9" t="str">
        <f>IFERROR(__xludf.DUMMYFUNCTION("IF(ISERROR(MATCH(""yes"",CHOOSECOLS(FILTER(lista_soma,CHOOSECOLS(lista_soma,1)=G3),5),0)),""no"",""yes"")"),"no")</f>
        <v>no</v>
      </c>
      <c r="I3" s="90"/>
      <c r="J3" s="77" t="str">
        <f>IFERROR(__xludf.DUMMYFUNCTION("""COMPUTED_VALUE"""),"Chiasmocleis mantiqueira")</f>
        <v>Chiasmocleis mantiqueira</v>
      </c>
      <c r="K3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sub"&amp;"strato"",Data_filtered!$A$2:$A$461=$J3,Data_filtered!$D$2:$D$461=""eucalipto"",Data_filtered!$J$2:$J$461&lt;&gt;""Incompleto""),0)=0,0, COUNTUNIQUE(FILTER(Data_filtered!$B$2:$B$461,Data_filtered!$E$2:$E$461&lt;&gt;""Vazio"",Data_filtered!$E$2:$E$461&lt;&gt;""Não identifica"&amp;"do"",Data_filtered!$E$2:$E$461&lt;&gt;""Semente"",Data_filtered!$E$2:$E$461&lt;&gt;""Semente de capim"",Data_filtered!$E$2:$E$461&lt;&gt;""Apenas substrato"",Data_filtered!$A$2:$A$461=$J3,Data_filtered!$D$2:$D$461=""eucalipto"",Data_filtered!$J$2:$J$461&lt;&gt;""Incompleto"")))"),11.0)</f>
        <v>11</v>
      </c>
      <c r="L3" s="9">
        <f>SUMIFS(Data_filtered!$G$2:$G$461,Data_filtered!$A$2:$A$461,$J3,Data_filtered!$E$2:$E$461,"&lt;&gt;Não identificado",Data_filtered!$E$2:$E$461,"&lt;&gt;Semente",Data_filtered!$E$2:$E$461,"&lt;&gt;Semente de capim",Data_filtered!$E$2:$E$461,"&lt;&gt;Apenas substrato",Data_filtered!$D$2:$D$461,"=eucalipto",Data_filtered!$J$2:$J$461,"&lt;&gt;Incompleto")</f>
        <v>82</v>
      </c>
      <c r="M3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sub"&amp;"strato"",Data_filtered!$A$2:$A$461=$J3,Data_filtered!$D$2:$D$461=""mata"",Data_filtered!$J$2:$J$461&lt;&gt;""Incompleto""),0)=0,0, COUNTUNIQUE(FILTER(Data_filtered!$B$2:$B$461,Data_filtered!$E$2:$E$461&lt;&gt;""Vazio"",Data_filtered!$E$2:$E$461&lt;&gt;""Não identificado"","&amp;"Data_filtered!$E$2:$E$461&lt;&gt;""Semente"",Data_filtered!$E$2:$E$461&lt;&gt;""Semente de capim"",Data_filtered!$E$2:$E$461&lt;&gt;""Apenas substrato"",Data_filtered!$A$2:$A$461=$J3,Data_filtered!$D$2:$D$461=""mata"",Data_filtered!$J$2:$J$461&lt;&gt;""Incompleto"")))"),2.0)</f>
        <v>2</v>
      </c>
      <c r="N3" s="9">
        <f>SUMIFS(Data_filtered!$G$2:$G$461,Data_filtered!$A$2:$A$461,$J3,Data_filtered!$E$2:$E$461,"&lt;&gt;Não identificado",Data_filtered!$E$2:$E$461,"&lt;&gt;Semente",Data_filtered!$E$2:$E$461,"&lt;&gt;Semente de capim",Data_filtered!$E$2:$E$461,"&lt;&gt;Apenas substrato",Data_filtered!$D$2:$D$461,"=mata",Data_filtered!$J$2:$J$461,"&lt;&gt;Incompleto")</f>
        <v>4</v>
      </c>
    </row>
    <row r="4">
      <c r="A4" s="9" t="str">
        <f>IFERROR(__xludf.DUMMYFUNCTION("""COMPUTED_VALUE"""),"Aplastodiscus albosignatus")</f>
        <v>Aplastodiscus albosignatus</v>
      </c>
      <c r="B4" s="9" t="str">
        <f>IFERROR(__xludf.DUMMYFUNCTION("""COMPUTED_VALUE"""),"eucalipto")</f>
        <v>eucalipto</v>
      </c>
      <c r="C4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sub"&amp;"strato"",Data_filtered!$A$2:$A$461=$A4,Data_filtered!$D$2:$D$461=$B4,Data_filtered!$J$2:$J$461&lt;&gt;""Incompleto""),0)=0,0, COUNTUNIQUE(FILTER(Data_filtered!$B$2:$B$461,Data_filtered!$E$2:$E$461&lt;&gt;""Vazio"",Data_filtered!$E$2:$E$461&lt;&gt;""Não identificado"",Data_"&amp;"filtered!$E$2:$E$461&lt;&gt;""Semente"",Data_filtered!$E$2:$E$461&lt;&gt;""Semente de capim"",Data_filtered!$E$2:$E$461&lt;&gt;""Apenas substrato"",Data_filtered!$A$2:$A$461=$A4,Data_filtered!$D$2:$D$461=$B4,Data_filtered!$J$2:$J$461&lt;&gt;""Incompleto"")))"),1.0)</f>
        <v>1</v>
      </c>
      <c r="D4" s="27">
        <f>SUMIFS(Data_filtered!$G$2:$G$461,Data_filtered!$A$2:$A$461,$A4,Data_filtered!$E$2:$E$461,"&lt;&gt;Não identificado",Data_filtered!$E$2:$E$461,"&lt;&gt;Semente",Data_filtered!$E$2:$E$461,"&lt;&gt;Semente de capim",Data_filtered!$E$2:$E$461,"&lt;&gt;Apenas substrato",Data_filtered!$D$2:$D$461,$B4,Data_filtered!$J$2:$J$461,"&lt;&gt;Incompleto")</f>
        <v>1</v>
      </c>
      <c r="E4" s="9" t="str">
        <f t="shared" si="1"/>
        <v>no</v>
      </c>
      <c r="G4" s="9" t="str">
        <f>IFERROR(__xludf.DUMMYFUNCTION("""COMPUTED_VALUE"""),"Boana faber")</f>
        <v>Boana faber</v>
      </c>
      <c r="H4" s="9" t="str">
        <f>IFERROR(__xludf.DUMMYFUNCTION("IF(ISERROR(MATCH(""yes"",CHOOSECOLS(FILTER(lista_soma,CHOOSECOLS(lista_soma,1)=G4),5),0)),""no"",""yes"")"),"no")</f>
        <v>no</v>
      </c>
      <c r="I4" s="90"/>
      <c r="J4" s="77" t="str">
        <f>IFERROR(__xludf.DUMMYFUNCTION("""COMPUTED_VALUE"""),"Dendropsophus microps")</f>
        <v>Dendropsophus microps</v>
      </c>
      <c r="K4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sub"&amp;"strato"",Data_filtered!$A$2:$A$461=$J4,Data_filtered!$D$2:$D$461=""eucalipto"",Data_filtered!$J$2:$J$461&lt;&gt;""Incompleto""),0)=0,0, COUNTUNIQUE(FILTER(Data_filtered!$B$2:$B$461,Data_filtered!$E$2:$E$461&lt;&gt;""Vazio"",Data_filtered!$E$2:$E$461&lt;&gt;""Não identifica"&amp;"do"",Data_filtered!$E$2:$E$461&lt;&gt;""Semente"",Data_filtered!$E$2:$E$461&lt;&gt;""Semente de capim"",Data_filtered!$E$2:$E$461&lt;&gt;""Apenas substrato"",Data_filtered!$A$2:$A$461=$J4,Data_filtered!$D$2:$D$461=""eucalipto"",Data_filtered!$J$2:$J$461&lt;&gt;""Incompleto"")))"),0.0)</f>
        <v>0</v>
      </c>
      <c r="L4" s="9">
        <f>SUMIFS(Data_filtered!$G$2:$G$461,Data_filtered!$A$2:$A$461,$J4,Data_filtered!$E$2:$E$461,"&lt;&gt;Não identificado",Data_filtered!$E$2:$E$461,"&lt;&gt;Semente",Data_filtered!$E$2:$E$461,"&lt;&gt;Semente de capim",Data_filtered!$E$2:$E$461,"&lt;&gt;Apenas substrato",Data_filtered!$D$2:$D$461,"=eucalipto",Data_filtered!$J$2:$J$461,"&lt;&gt;Incompleto")</f>
        <v>0</v>
      </c>
      <c r="M4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sub"&amp;"strato"",Data_filtered!$A$2:$A$461=$J4,Data_filtered!$D$2:$D$461=""mata"",Data_filtered!$J$2:$J$461&lt;&gt;""Incompleto""),0)=0,0, COUNTUNIQUE(FILTER(Data_filtered!$B$2:$B$461,Data_filtered!$E$2:$E$461&lt;&gt;""Vazio"",Data_filtered!$E$2:$E$461&lt;&gt;""Não identificado"","&amp;"Data_filtered!$E$2:$E$461&lt;&gt;""Semente"",Data_filtered!$E$2:$E$461&lt;&gt;""Semente de capim"",Data_filtered!$E$2:$E$461&lt;&gt;""Apenas substrato"",Data_filtered!$A$2:$A$461=$J4,Data_filtered!$D$2:$D$461=""mata"",Data_filtered!$J$2:$J$461&lt;&gt;""Incompleto"")))"),7.0)</f>
        <v>7</v>
      </c>
      <c r="N4" s="9">
        <f>SUMIFS(Data_filtered!$G$2:$G$461,Data_filtered!$A$2:$A$461,$J4,Data_filtered!$E$2:$E$461,"&lt;&gt;Não identificado",Data_filtered!$E$2:$E$461,"&lt;&gt;Semente",Data_filtered!$E$2:$E$461,"&lt;&gt;Semente de capim",Data_filtered!$E$2:$E$461,"&lt;&gt;Apenas substrato",Data_filtered!$D$2:$D$461,"=mata",Data_filtered!$J$2:$J$461,"&lt;&gt;Incompleto")</f>
        <v>21</v>
      </c>
    </row>
    <row r="5">
      <c r="A5" s="9" t="str">
        <f>IFERROR(__xludf.DUMMYFUNCTION("""COMPUTED_VALUE"""),"Boana faber")</f>
        <v>Boana faber</v>
      </c>
      <c r="B5" s="9" t="str">
        <f>IFERROR(__xludf.DUMMYFUNCTION("""COMPUTED_VALUE"""),"eucalipto")</f>
        <v>eucalipto</v>
      </c>
      <c r="C5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sub"&amp;"strato"",Data_filtered!$A$2:$A$461=$A5,Data_filtered!$D$2:$D$461=$B5,Data_filtered!$J$2:$J$461&lt;&gt;""Incompleto""),0)=0,0, COUNTUNIQUE(FILTER(Data_filtered!$B$2:$B$461,Data_filtered!$E$2:$E$461&lt;&gt;""Vazio"",Data_filtered!$E$2:$E$461&lt;&gt;""Não identificado"",Data_"&amp;"filtered!$E$2:$E$461&lt;&gt;""Semente"",Data_filtered!$E$2:$E$461&lt;&gt;""Semente de capim"",Data_filtered!$E$2:$E$461&lt;&gt;""Apenas substrato"",Data_filtered!$A$2:$A$461=$A5,Data_filtered!$D$2:$D$461=$B5,Data_filtered!$J$2:$J$461&lt;&gt;""Incompleto"")))"),1.0)</f>
        <v>1</v>
      </c>
      <c r="D5" s="27">
        <f>SUMIFS(Data_filtered!$G$2:$G$461,Data_filtered!$A$2:$A$461,$A5,Data_filtered!$E$2:$E$461,"&lt;&gt;Não identificado",Data_filtered!$E$2:$E$461,"&lt;&gt;Semente",Data_filtered!$E$2:$E$461,"&lt;&gt;Semente de capim",Data_filtered!$E$2:$E$461,"&lt;&gt;Apenas substrato",Data_filtered!$D$2:$D$461,$B5,Data_filtered!$J$2:$J$461,"&lt;&gt;Incompleto")</f>
        <v>1</v>
      </c>
      <c r="E5" s="9" t="str">
        <f t="shared" si="1"/>
        <v>no</v>
      </c>
      <c r="G5" s="9" t="str">
        <f>IFERROR(__xludf.DUMMYFUNCTION("""COMPUTED_VALUE"""),"Boana latistriata")</f>
        <v>Boana latistriata</v>
      </c>
      <c r="H5" s="9" t="str">
        <f>IFERROR(__xludf.DUMMYFUNCTION("IF(ISERROR(MATCH(""yes"",CHOOSECOLS(FILTER(lista_soma,CHOOSECOLS(lista_soma,1)=G5),5),0)),""no"",""yes"")"),"no")</f>
        <v>no</v>
      </c>
      <c r="I5" s="90"/>
      <c r="J5" s="77" t="str">
        <f>IFERROR(__xludf.DUMMYFUNCTION("""COMPUTED_VALUE"""),"Ischnocnema guentheri")</f>
        <v>Ischnocnema guentheri</v>
      </c>
      <c r="K5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sub"&amp;"strato"",Data_filtered!$A$2:$A$461=$J5,Data_filtered!$D$2:$D$461=""eucalipto"",Data_filtered!$J$2:$J$461&lt;&gt;""Incompleto""),0)=0,0, COUNTUNIQUE(FILTER(Data_filtered!$B$2:$B$461,Data_filtered!$E$2:$E$461&lt;&gt;""Vazio"",Data_filtered!$E$2:$E$461&lt;&gt;""Não identifica"&amp;"do"",Data_filtered!$E$2:$E$461&lt;&gt;""Semente"",Data_filtered!$E$2:$E$461&lt;&gt;""Semente de capim"",Data_filtered!$E$2:$E$461&lt;&gt;""Apenas substrato"",Data_filtered!$A$2:$A$461=$J5,Data_filtered!$D$2:$D$461=""eucalipto"",Data_filtered!$J$2:$J$461&lt;&gt;""Incompleto"")))"),6.0)</f>
        <v>6</v>
      </c>
      <c r="L5" s="9">
        <f>SUMIFS(Data_filtered!$G$2:$G$461,Data_filtered!$A$2:$A$461,$J5,Data_filtered!$E$2:$E$461,"&lt;&gt;Não identificado",Data_filtered!$E$2:$E$461,"&lt;&gt;Semente",Data_filtered!$E$2:$E$461,"&lt;&gt;Semente de capim",Data_filtered!$E$2:$E$461,"&lt;&gt;Apenas substrato",Data_filtered!$D$2:$D$461,"=eucalipto",Data_filtered!$J$2:$J$461,"&lt;&gt;Incompleto")</f>
        <v>15</v>
      </c>
      <c r="M5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sub"&amp;"strato"",Data_filtered!$A$2:$A$461=$J5,Data_filtered!$D$2:$D$461=""mata"",Data_filtered!$J$2:$J$461&lt;&gt;""Incompleto""),0)=0,0, COUNTUNIQUE(FILTER(Data_filtered!$B$2:$B$461,Data_filtered!$E$2:$E$461&lt;&gt;""Vazio"",Data_filtered!$E$2:$E$461&lt;&gt;""Não identificado"","&amp;"Data_filtered!$E$2:$E$461&lt;&gt;""Semente"",Data_filtered!$E$2:$E$461&lt;&gt;""Semente de capim"",Data_filtered!$E$2:$E$461&lt;&gt;""Apenas substrato"",Data_filtered!$A$2:$A$461=$J5,Data_filtered!$D$2:$D$461=""mata"",Data_filtered!$J$2:$J$461&lt;&gt;""Incompleto"")))"),3.0)</f>
        <v>3</v>
      </c>
      <c r="N5" s="9">
        <f>SUMIFS(Data_filtered!$G$2:$G$461,Data_filtered!$A$2:$A$461,$J5,Data_filtered!$E$2:$E$461,"&lt;&gt;Não identificado",Data_filtered!$E$2:$E$461,"&lt;&gt;Semente",Data_filtered!$E$2:$E$461,"&lt;&gt;Semente de capim",Data_filtered!$E$2:$E$461,"&lt;&gt;Apenas substrato",Data_filtered!$D$2:$D$461,"=mata",Data_filtered!$J$2:$J$461,"&lt;&gt;Incompleto")</f>
        <v>7</v>
      </c>
    </row>
    <row r="6">
      <c r="A6" s="9" t="str">
        <f>IFERROR(__xludf.DUMMYFUNCTION("""COMPUTED_VALUE"""),"Boana faber")</f>
        <v>Boana faber</v>
      </c>
      <c r="B6" s="9" t="str">
        <f>IFERROR(__xludf.DUMMYFUNCTION("""COMPUTED_VALUE"""),"mata")</f>
        <v>mata</v>
      </c>
      <c r="C6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sub"&amp;"strato"",Data_filtered!$A$2:$A$461=$A6,Data_filtered!$D$2:$D$461=$B6,Data_filtered!$J$2:$J$461&lt;&gt;""Incompleto""),0)=0,0, COUNTUNIQUE(FILTER(Data_filtered!$B$2:$B$461,Data_filtered!$E$2:$E$461&lt;&gt;""Vazio"",Data_filtered!$E$2:$E$461&lt;&gt;""Não identificado"",Data_"&amp;"filtered!$E$2:$E$461&lt;&gt;""Semente"",Data_filtered!$E$2:$E$461&lt;&gt;""Semente de capim"",Data_filtered!$E$2:$E$461&lt;&gt;""Apenas substrato"",Data_filtered!$A$2:$A$461=$A6,Data_filtered!$D$2:$D$461=$B6,Data_filtered!$J$2:$J$461&lt;&gt;""Incompleto"")))"),1.0)</f>
        <v>1</v>
      </c>
      <c r="D6" s="27">
        <f>SUMIFS(Data_filtered!$G$2:$G$461,Data_filtered!$A$2:$A$461,$A6,Data_filtered!$E$2:$E$461,"&lt;&gt;Não identificado",Data_filtered!$E$2:$E$461,"&lt;&gt;Semente",Data_filtered!$E$2:$E$461,"&lt;&gt;Semente de capim",Data_filtered!$E$2:$E$461,"&lt;&gt;Apenas substrato",Data_filtered!$D$2:$D$461,$B6,Data_filtered!$J$2:$J$461,"&lt;&gt;Incompleto")</f>
        <v>3</v>
      </c>
      <c r="E6" s="9" t="str">
        <f t="shared" si="1"/>
        <v>no</v>
      </c>
      <c r="G6" s="9" t="str">
        <f>IFERROR(__xludf.DUMMYFUNCTION("""COMPUTED_VALUE"""),"Boana prasina")</f>
        <v>Boana prasina</v>
      </c>
      <c r="H6" s="9" t="str">
        <f>IFERROR(__xludf.DUMMYFUNCTION("IF(ISERROR(MATCH(""yes"",CHOOSECOLS(FILTER(lista_soma,CHOOSECOLS(lista_soma,1)=G6),5),0)),""no"",""yes"")"),"no")</f>
        <v>no</v>
      </c>
      <c r="I6" s="90"/>
      <c r="J6" s="77" t="str">
        <f>IFERROR(__xludf.DUMMYFUNCTION("""COMPUTED_VALUE"""),"Ischnocnema holti")</f>
        <v>Ischnocnema holti</v>
      </c>
      <c r="K6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sub"&amp;"strato"",Data_filtered!$A$2:$A$461=$J6,Data_filtered!$D$2:$D$461=""eucalipto"",Data_filtered!$J$2:$J$461&lt;&gt;""Incompleto""),0)=0,0, COUNTUNIQUE(FILTER(Data_filtered!$B$2:$B$461,Data_filtered!$E$2:$E$461&lt;&gt;""Vazio"",Data_filtered!$E$2:$E$461&lt;&gt;""Não identifica"&amp;"do"",Data_filtered!$E$2:$E$461&lt;&gt;""Semente"",Data_filtered!$E$2:$E$461&lt;&gt;""Semente de capim"",Data_filtered!$E$2:$E$461&lt;&gt;""Apenas substrato"",Data_filtered!$A$2:$A$461=$J6,Data_filtered!$D$2:$D$461=""eucalipto"",Data_filtered!$J$2:$J$461&lt;&gt;""Incompleto"")))"),0.0)</f>
        <v>0</v>
      </c>
      <c r="L6" s="9">
        <f>SUMIFS(Data_filtered!$G$2:$G$461,Data_filtered!$A$2:$A$461,$J6,Data_filtered!$E$2:$E$461,"&lt;&gt;Não identificado",Data_filtered!$E$2:$E$461,"&lt;&gt;Semente",Data_filtered!$E$2:$E$461,"&lt;&gt;Semente de capim",Data_filtered!$E$2:$E$461,"&lt;&gt;Apenas substrato",Data_filtered!$D$2:$D$461,"=eucalipto",Data_filtered!$J$2:$J$461,"&lt;&gt;Incompleto")</f>
        <v>0</v>
      </c>
      <c r="M6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sub"&amp;"strato"",Data_filtered!$A$2:$A$461=$J6,Data_filtered!$D$2:$D$461=""mata"",Data_filtered!$J$2:$J$461&lt;&gt;""Incompleto""),0)=0,0, COUNTUNIQUE(FILTER(Data_filtered!$B$2:$B$461,Data_filtered!$E$2:$E$461&lt;&gt;""Vazio"",Data_filtered!$E$2:$E$461&lt;&gt;""Não identificado"","&amp;"Data_filtered!$E$2:$E$461&lt;&gt;""Semente"",Data_filtered!$E$2:$E$461&lt;&gt;""Semente de capim"",Data_filtered!$E$2:$E$461&lt;&gt;""Apenas substrato"",Data_filtered!$A$2:$A$461=$J6,Data_filtered!$D$2:$D$461=""mata"",Data_filtered!$J$2:$J$461&lt;&gt;""Incompleto"")))"),2.0)</f>
        <v>2</v>
      </c>
      <c r="N6" s="9">
        <f>SUMIFS(Data_filtered!$G$2:$G$461,Data_filtered!$A$2:$A$461,$J6,Data_filtered!$E$2:$E$461,"&lt;&gt;Não identificado",Data_filtered!$E$2:$E$461,"&lt;&gt;Semente",Data_filtered!$E$2:$E$461,"&lt;&gt;Semente de capim",Data_filtered!$E$2:$E$461,"&lt;&gt;Apenas substrato",Data_filtered!$D$2:$D$461,"=mata",Data_filtered!$J$2:$J$461,"&lt;&gt;Incompleto")</f>
        <v>6</v>
      </c>
    </row>
    <row r="7">
      <c r="A7" s="9" t="str">
        <f>IFERROR(__xludf.DUMMYFUNCTION("""COMPUTED_VALUE"""),"Boana latistriata")</f>
        <v>Boana latistriata</v>
      </c>
      <c r="B7" s="9" t="str">
        <f>IFERROR(__xludf.DUMMYFUNCTION("""COMPUTED_VALUE"""),"mata")</f>
        <v>mata</v>
      </c>
      <c r="C7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sub"&amp;"strato"",Data_filtered!$A$2:$A$461=$A7,Data_filtered!$D$2:$D$461=$B7,Data_filtered!$J$2:$J$461&lt;&gt;""Incompleto""),0)=0,0, COUNTUNIQUE(FILTER(Data_filtered!$B$2:$B$461,Data_filtered!$E$2:$E$461&lt;&gt;""Vazio"",Data_filtered!$E$2:$E$461&lt;&gt;""Não identificado"",Data_"&amp;"filtered!$E$2:$E$461&lt;&gt;""Semente"",Data_filtered!$E$2:$E$461&lt;&gt;""Semente de capim"",Data_filtered!$E$2:$E$461&lt;&gt;""Apenas substrato"",Data_filtered!$A$2:$A$461=$A7,Data_filtered!$D$2:$D$461=$B7,Data_filtered!$J$2:$J$461&lt;&gt;""Incompleto"")))"),1.0)</f>
        <v>1</v>
      </c>
      <c r="D7" s="27">
        <f>SUMIFS(Data_filtered!$G$2:$G$461,Data_filtered!$A$2:$A$461,$A7,Data_filtered!$E$2:$E$461,"&lt;&gt;Não identificado",Data_filtered!$E$2:$E$461,"&lt;&gt;Semente",Data_filtered!$E$2:$E$461,"&lt;&gt;Semente de capim",Data_filtered!$E$2:$E$461,"&lt;&gt;Apenas substrato",Data_filtered!$D$2:$D$461,$B7,Data_filtered!$J$2:$J$461,"&lt;&gt;Incompleto")</f>
        <v>3</v>
      </c>
      <c r="E7" s="9" t="str">
        <f t="shared" si="1"/>
        <v>no</v>
      </c>
      <c r="G7" s="9" t="str">
        <f>IFERROR(__xludf.DUMMYFUNCTION("""COMPUTED_VALUE"""),"Bokermannohyla luctuosa")</f>
        <v>Bokermannohyla luctuosa</v>
      </c>
      <c r="H7" s="9" t="str">
        <f>IFERROR(__xludf.DUMMYFUNCTION("IF(ISERROR(MATCH(""yes"",CHOOSECOLS(FILTER(lista_soma,CHOOSECOLS(lista_soma,1)=G7),5),0)),""no"",""yes"")"),"yes")</f>
        <v>yes</v>
      </c>
      <c r="I7" s="90"/>
      <c r="J7" s="77" t="str">
        <f>IFERROR(__xludf.DUMMYFUNCTION("""COMPUTED_VALUE"""),"Ischnocnema juipoca")</f>
        <v>Ischnocnema juipoca</v>
      </c>
      <c r="K7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sub"&amp;"strato"",Data_filtered!$A$2:$A$461=$J7,Data_filtered!$D$2:$D$461=""eucalipto"",Data_filtered!$J$2:$J$461&lt;&gt;""Incompleto""),0)=0,0, COUNTUNIQUE(FILTER(Data_filtered!$B$2:$B$461,Data_filtered!$E$2:$E$461&lt;&gt;""Vazio"",Data_filtered!$E$2:$E$461&lt;&gt;""Não identifica"&amp;"do"",Data_filtered!$E$2:$E$461&lt;&gt;""Semente"",Data_filtered!$E$2:$E$461&lt;&gt;""Semente de capim"",Data_filtered!$E$2:$E$461&lt;&gt;""Apenas substrato"",Data_filtered!$A$2:$A$461=$J7,Data_filtered!$D$2:$D$461=""eucalipto"",Data_filtered!$J$2:$J$461&lt;&gt;""Incompleto"")))"),8.0)</f>
        <v>8</v>
      </c>
      <c r="L7" s="9">
        <f>SUMIFS(Data_filtered!$G$2:$G$461,Data_filtered!$A$2:$A$461,$J7,Data_filtered!$E$2:$E$461,"&lt;&gt;Não identificado",Data_filtered!$E$2:$E$461,"&lt;&gt;Semente",Data_filtered!$E$2:$E$461,"&lt;&gt;Semente de capim",Data_filtered!$E$2:$E$461,"&lt;&gt;Apenas substrato",Data_filtered!$D$2:$D$461,"=eucalipto",Data_filtered!$J$2:$J$461,"&lt;&gt;Incompleto")</f>
        <v>22</v>
      </c>
      <c r="M7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sub"&amp;"strato"",Data_filtered!$A$2:$A$461=$J7,Data_filtered!$D$2:$D$461=""mata"",Data_filtered!$J$2:$J$461&lt;&gt;""Incompleto""),0)=0,0, COUNTUNIQUE(FILTER(Data_filtered!$B$2:$B$461,Data_filtered!$E$2:$E$461&lt;&gt;""Vazio"",Data_filtered!$E$2:$E$461&lt;&gt;""Não identificado"","&amp;"Data_filtered!$E$2:$E$461&lt;&gt;""Semente"",Data_filtered!$E$2:$E$461&lt;&gt;""Semente de capim"",Data_filtered!$E$2:$E$461&lt;&gt;""Apenas substrato"",Data_filtered!$A$2:$A$461=$J7,Data_filtered!$D$2:$D$461=""mata"",Data_filtered!$J$2:$J$461&lt;&gt;""Incompleto"")))"),1.0)</f>
        <v>1</v>
      </c>
      <c r="N7" s="9">
        <f>SUMIFS(Data_filtered!$G$2:$G$461,Data_filtered!$A$2:$A$461,$J7,Data_filtered!$E$2:$E$461,"&lt;&gt;Não identificado",Data_filtered!$E$2:$E$461,"&lt;&gt;Semente",Data_filtered!$E$2:$E$461,"&lt;&gt;Semente de capim",Data_filtered!$E$2:$E$461,"&lt;&gt;Apenas substrato",Data_filtered!$D$2:$D$461,"=mata",Data_filtered!$J$2:$J$461,"&lt;&gt;Incompleto")</f>
        <v>1</v>
      </c>
    </row>
    <row r="8">
      <c r="A8" s="9" t="str">
        <f>IFERROR(__xludf.DUMMYFUNCTION("""COMPUTED_VALUE"""),"Boana prasina")</f>
        <v>Boana prasina</v>
      </c>
      <c r="B8" s="9" t="str">
        <f>IFERROR(__xludf.DUMMYFUNCTION("""COMPUTED_VALUE"""),"mata")</f>
        <v>mata</v>
      </c>
      <c r="C8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sub"&amp;"strato"",Data_filtered!$A$2:$A$461=$A8,Data_filtered!$D$2:$D$461=$B8,Data_filtered!$J$2:$J$461&lt;&gt;""Incompleto""),0)=0,0, COUNTUNIQUE(FILTER(Data_filtered!$B$2:$B$461,Data_filtered!$E$2:$E$461&lt;&gt;""Vazio"",Data_filtered!$E$2:$E$461&lt;&gt;""Não identificado"",Data_"&amp;"filtered!$E$2:$E$461&lt;&gt;""Semente"",Data_filtered!$E$2:$E$461&lt;&gt;""Semente de capim"",Data_filtered!$E$2:$E$461&lt;&gt;""Apenas substrato"",Data_filtered!$A$2:$A$461=$A8,Data_filtered!$D$2:$D$461=$B8,Data_filtered!$J$2:$J$461&lt;&gt;""Incompleto"")))"),0.0)</f>
        <v>0</v>
      </c>
      <c r="D8" s="27">
        <f>SUMIFS(Data_filtered!$G$2:$G$461,Data_filtered!$A$2:$A$461,$A8,Data_filtered!$E$2:$E$461,"&lt;&gt;Não identificado",Data_filtered!$E$2:$E$461,"&lt;&gt;Semente",Data_filtered!$E$2:$E$461,"&lt;&gt;Semente de capim",Data_filtered!$E$2:$E$461,"&lt;&gt;Apenas substrato",Data_filtered!$D$2:$D$461,$B8,Data_filtered!$J$2:$J$461,"&lt;&gt;Incompleto")</f>
        <v>0</v>
      </c>
      <c r="E8" s="9" t="str">
        <f t="shared" si="1"/>
        <v>no</v>
      </c>
      <c r="G8" s="9" t="str">
        <f>IFERROR(__xludf.DUMMYFUNCTION("""COMPUTED_VALUE"""),"Chiasmocleis mantiqueira")</f>
        <v>Chiasmocleis mantiqueira</v>
      </c>
      <c r="H8" s="9" t="str">
        <f>IFERROR(__xludf.DUMMYFUNCTION("IF(ISERROR(MATCH(""yes"",CHOOSECOLS(FILTER(lista_soma,CHOOSECOLS(lista_soma,1)=G8),5),0)),""no"",""yes"")"),"yes")</f>
        <v>yes</v>
      </c>
      <c r="I8" s="90"/>
      <c r="J8" s="77" t="str">
        <f>IFERROR(__xludf.DUMMYFUNCTION("""COMPUTED_VALUE"""),"Ololygon obtriangulata")</f>
        <v>Ololygon obtriangulata</v>
      </c>
      <c r="K8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sub"&amp;"strato"",Data_filtered!$A$2:$A$461=$J8,Data_filtered!$D$2:$D$461=""eucalipto"",Data_filtered!$J$2:$J$461&lt;&gt;""Incompleto""),0)=0,0, COUNTUNIQUE(FILTER(Data_filtered!$B$2:$B$461,Data_filtered!$E$2:$E$461&lt;&gt;""Vazio"",Data_filtered!$E$2:$E$461&lt;&gt;""Não identifica"&amp;"do"",Data_filtered!$E$2:$E$461&lt;&gt;""Semente"",Data_filtered!$E$2:$E$461&lt;&gt;""Semente de capim"",Data_filtered!$E$2:$E$461&lt;&gt;""Apenas substrato"",Data_filtered!$A$2:$A$461=$J8,Data_filtered!$D$2:$D$461=""eucalipto"",Data_filtered!$J$2:$J$461&lt;&gt;""Incompleto"")))"),1.0)</f>
        <v>1</v>
      </c>
      <c r="L8" s="9">
        <f>SUMIFS(Data_filtered!$G$2:$G$461,Data_filtered!$A$2:$A$461,$J8,Data_filtered!$E$2:$E$461,"&lt;&gt;Não identificado",Data_filtered!$E$2:$E$461,"&lt;&gt;Semente",Data_filtered!$E$2:$E$461,"&lt;&gt;Semente de capim",Data_filtered!$E$2:$E$461,"&lt;&gt;Apenas substrato",Data_filtered!$D$2:$D$461,"=eucalipto",Data_filtered!$J$2:$J$461,"&lt;&gt;Incompleto")</f>
        <v>1</v>
      </c>
      <c r="M8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sub"&amp;"strato"",Data_filtered!$A$2:$A$461=$J8,Data_filtered!$D$2:$D$461=""mata"",Data_filtered!$J$2:$J$461&lt;&gt;""Incompleto""),0)=0,0, COUNTUNIQUE(FILTER(Data_filtered!$B$2:$B$461,Data_filtered!$E$2:$E$461&lt;&gt;""Vazio"",Data_filtered!$E$2:$E$461&lt;&gt;""Não identificado"","&amp;"Data_filtered!$E$2:$E$461&lt;&gt;""Semente"",Data_filtered!$E$2:$E$461&lt;&gt;""Semente de capim"",Data_filtered!$E$2:$E$461&lt;&gt;""Apenas substrato"",Data_filtered!$A$2:$A$461=$J8,Data_filtered!$D$2:$D$461=""mata"",Data_filtered!$J$2:$J$461&lt;&gt;""Incompleto"")))"),6.0)</f>
        <v>6</v>
      </c>
      <c r="N8" s="9">
        <f>SUMIFS(Data_filtered!$G$2:$G$461,Data_filtered!$A$2:$A$461,$J8,Data_filtered!$E$2:$E$461,"&lt;&gt;Não identificado",Data_filtered!$E$2:$E$461,"&lt;&gt;Semente",Data_filtered!$E$2:$E$461,"&lt;&gt;Semente de capim",Data_filtered!$E$2:$E$461,"&lt;&gt;Apenas substrato",Data_filtered!$D$2:$D$461,"=mata",Data_filtered!$J$2:$J$461,"&lt;&gt;Incompleto")</f>
        <v>7</v>
      </c>
    </row>
    <row r="9">
      <c r="A9" s="9" t="str">
        <f>IFERROR(__xludf.DUMMYFUNCTION("""COMPUTED_VALUE"""),"Boana prasina")</f>
        <v>Boana prasina</v>
      </c>
      <c r="B9" s="9" t="str">
        <f>IFERROR(__xludf.DUMMYFUNCTION("""COMPUTED_VALUE"""),"eucalipto")</f>
        <v>eucalipto</v>
      </c>
      <c r="C9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sub"&amp;"strato"",Data_filtered!$A$2:$A$461=$A9,Data_filtered!$D$2:$D$461=$B9,Data_filtered!$J$2:$J$461&lt;&gt;""Incompleto""),0)=0,0, COUNTUNIQUE(FILTER(Data_filtered!$B$2:$B$461,Data_filtered!$E$2:$E$461&lt;&gt;""Vazio"",Data_filtered!$E$2:$E$461&lt;&gt;""Não identificado"",Data_"&amp;"filtered!$E$2:$E$461&lt;&gt;""Semente"",Data_filtered!$E$2:$E$461&lt;&gt;""Semente de capim"",Data_filtered!$E$2:$E$461&lt;&gt;""Apenas substrato"",Data_filtered!$A$2:$A$461=$A9,Data_filtered!$D$2:$D$461=$B9,Data_filtered!$J$2:$J$461&lt;&gt;""Incompleto"")))"),1.0)</f>
        <v>1</v>
      </c>
      <c r="D9" s="27">
        <f>SUMIFS(Data_filtered!$G$2:$G$461,Data_filtered!$A$2:$A$461,$A9,Data_filtered!$E$2:$E$461,"&lt;&gt;Não identificado",Data_filtered!$E$2:$E$461,"&lt;&gt;Semente",Data_filtered!$E$2:$E$461,"&lt;&gt;Semente de capim",Data_filtered!$E$2:$E$461,"&lt;&gt;Apenas substrato",Data_filtered!$D$2:$D$461,$B9,Data_filtered!$J$2:$J$461,"&lt;&gt;Incompleto")</f>
        <v>1</v>
      </c>
      <c r="E9" s="9" t="str">
        <f t="shared" si="1"/>
        <v>no</v>
      </c>
      <c r="G9" s="9" t="str">
        <f>IFERROR(__xludf.DUMMYFUNCTION("""COMPUTED_VALUE"""),"Dendropsophus microps")</f>
        <v>Dendropsophus microps</v>
      </c>
      <c r="H9" s="9" t="str">
        <f>IFERROR(__xludf.DUMMYFUNCTION("IF(ISERROR(MATCH(""yes"",CHOOSECOLS(FILTER(lista_soma,CHOOSECOLS(lista_soma,1)=G9),5),0)),""no"",""yes"")"),"yes")</f>
        <v>yes</v>
      </c>
      <c r="I9" s="90"/>
      <c r="J9" s="77" t="str">
        <f>IFERROR(__xludf.DUMMYFUNCTION("""COMPUTED_VALUE"""),"Physalaemus olfersii")</f>
        <v>Physalaemus olfersii</v>
      </c>
      <c r="K9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sub"&amp;"strato"",Data_filtered!$A$2:$A$461=$J9,Data_filtered!$D$2:$D$461=""eucalipto"",Data_filtered!$J$2:$J$461&lt;&gt;""Incompleto""),0)=0,0, COUNTUNIQUE(FILTER(Data_filtered!$B$2:$B$461,Data_filtered!$E$2:$E$461&lt;&gt;""Vazio"",Data_filtered!$E$2:$E$461&lt;&gt;""Não identifica"&amp;"do"",Data_filtered!$E$2:$E$461&lt;&gt;""Semente"",Data_filtered!$E$2:$E$461&lt;&gt;""Semente de capim"",Data_filtered!$E$2:$E$461&lt;&gt;""Apenas substrato"",Data_filtered!$A$2:$A$461=$J9,Data_filtered!$D$2:$D$461=""eucalipto"",Data_filtered!$J$2:$J$461&lt;&gt;""Incompleto"")))"),3.0)</f>
        <v>3</v>
      </c>
      <c r="L9" s="9">
        <f>SUMIFS(Data_filtered!$G$2:$G$461,Data_filtered!$A$2:$A$461,$J9,Data_filtered!$E$2:$E$461,"&lt;&gt;Não identificado",Data_filtered!$E$2:$E$461,"&lt;&gt;Semente",Data_filtered!$E$2:$E$461,"&lt;&gt;Semente de capim",Data_filtered!$E$2:$E$461,"&lt;&gt;Apenas substrato",Data_filtered!$D$2:$D$461,"=eucalipto",Data_filtered!$J$2:$J$461,"&lt;&gt;Incompleto")</f>
        <v>16</v>
      </c>
      <c r="M9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sub"&amp;"strato"",Data_filtered!$A$2:$A$461=$J9,Data_filtered!$D$2:$D$461=""mata"",Data_filtered!$J$2:$J$461&lt;&gt;""Incompleto""),0)=0,0, COUNTUNIQUE(FILTER(Data_filtered!$B$2:$B$461,Data_filtered!$E$2:$E$461&lt;&gt;""Vazio"",Data_filtered!$E$2:$E$461&lt;&gt;""Não identificado"","&amp;"Data_filtered!$E$2:$E$461&lt;&gt;""Semente"",Data_filtered!$E$2:$E$461&lt;&gt;""Semente de capim"",Data_filtered!$E$2:$E$461&lt;&gt;""Apenas substrato"",Data_filtered!$A$2:$A$461=$J9,Data_filtered!$D$2:$D$461=""mata"",Data_filtered!$J$2:$J$461&lt;&gt;""Incompleto"")))"),6.0)</f>
        <v>6</v>
      </c>
      <c r="N9" s="9">
        <f>SUMIFS(Data_filtered!$G$2:$G$461,Data_filtered!$A$2:$A$461,$J9,Data_filtered!$E$2:$E$461,"&lt;&gt;Não identificado",Data_filtered!$E$2:$E$461,"&lt;&gt;Semente",Data_filtered!$E$2:$E$461,"&lt;&gt;Semente de capim",Data_filtered!$E$2:$E$461,"&lt;&gt;Apenas substrato",Data_filtered!$D$2:$D$461,"=mata",Data_filtered!$J$2:$J$461,"&lt;&gt;Incompleto")</f>
        <v>28</v>
      </c>
    </row>
    <row r="10">
      <c r="A10" s="9" t="str">
        <f>IFERROR(__xludf.DUMMYFUNCTION("""COMPUTED_VALUE"""),"Bokermannohyla luctuosa")</f>
        <v>Bokermannohyla luctuosa</v>
      </c>
      <c r="B10" s="9" t="str">
        <f>IFERROR(__xludf.DUMMYFUNCTION("""COMPUTED_VALUE"""),"mata")</f>
        <v>mata</v>
      </c>
      <c r="C10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sub"&amp;"strato"",Data_filtered!$A$2:$A$461=$A10,Data_filtered!$D$2:$D$461=$B10,Data_filtered!$J$2:$J$461&lt;&gt;""Incompleto""),0)=0,0,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substrato"",Data_filtered!$A$2:$A$461=$A10,Data_filtered!$D$2:$D$461=$B10,Data_filtered!$J$2:$J$461&lt;&gt;""Incompleto"")))"),7.0)</f>
        <v>7</v>
      </c>
      <c r="D10" s="27">
        <f>SUMIFS(Data_filtered!$G$2:$G$461,Data_filtered!$A$2:$A$461,$A10,Data_filtered!$E$2:$E$461,"&lt;&gt;Não identificado",Data_filtered!$E$2:$E$461,"&lt;&gt;Semente",Data_filtered!$E$2:$E$461,"&lt;&gt;Semente de capim",Data_filtered!$E$2:$E$461,"&lt;&gt;Apenas substrato",Data_filtered!$D$2:$D$461,$B10,Data_filtered!$J$2:$J$461,"&lt;&gt;Incompleto")</f>
        <v>10</v>
      </c>
      <c r="E10" s="9" t="str">
        <f t="shared" si="1"/>
        <v>yes</v>
      </c>
      <c r="G10" s="9" t="str">
        <f>IFERROR(__xludf.DUMMYFUNCTION("""COMPUTED_VALUE"""),"Dendropsophus minutus")</f>
        <v>Dendropsophus minutus</v>
      </c>
      <c r="H10" s="9" t="str">
        <f>IFERROR(__xludf.DUMMYFUNCTION("IF(ISERROR(MATCH(""yes"",CHOOSECOLS(FILTER(lista_soma,CHOOSECOLS(lista_soma,1)=G10),5),0)),""no"",""yes"")"),"no")</f>
        <v>no</v>
      </c>
      <c r="I10" s="90"/>
      <c r="J10" s="77" t="str">
        <f>IFERROR(__xludf.DUMMYFUNCTION("""COMPUTED_VALUE"""),"Proceratophrys boiei")</f>
        <v>Proceratophrys boiei</v>
      </c>
      <c r="K10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sub"&amp;"strato"",Data_filtered!$A$2:$A$461=$J10,Data_filtered!$D$2:$D$461=""eucalipto"",Data_filtered!$J$2:$J$461&lt;&gt;""Incompleto""),0)=0,0, COUNTUNIQUE(FILTER(Data_filtered!$B$2:$B$461,Data_filtered!$E$2:$E$461&lt;&gt;""Vazio"",Data_filtered!$E$2:$E$461&lt;&gt;""Não identific"&amp;"ado"",Data_filtered!$E$2:$E$461&lt;&gt;""Semente"",Data_filtered!$E$2:$E$461&lt;&gt;""Semente de capim"",Data_filtered!$E$2:$E$461&lt;&gt;""Apenas substrato"",Data_filtered!$A$2:$A$461=$J10,Data_filtered!$D$2:$D$461=""eucalipto"",Data_filtered!$J$2:$J$461&lt;&gt;""Incompleto""))"&amp;")"),1.0)</f>
        <v>1</v>
      </c>
      <c r="L10" s="9">
        <f>SUMIFS(Data_filtered!$G$2:$G$461,Data_filtered!$A$2:$A$461,$J10,Data_filtered!$E$2:$E$461,"&lt;&gt;Não identificado",Data_filtered!$E$2:$E$461,"&lt;&gt;Semente",Data_filtered!$E$2:$E$461,"&lt;&gt;Semente de capim",Data_filtered!$E$2:$E$461,"&lt;&gt;Apenas substrato",Data_filtered!$D$2:$D$461,"=eucalipto",Data_filtered!$J$2:$J$461,"&lt;&gt;Incompleto")</f>
        <v>1</v>
      </c>
      <c r="M10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sub"&amp;"strato"",Data_filtered!$A$2:$A$461=$J10,Data_filtered!$D$2:$D$461=""mata"",Data_filtered!$J$2:$J$461&lt;&gt;""Incompleto""),0)=0,0, COUNTUNIQUE(FILTER(Data_filtered!$B$2:$B$461,Data_filtered!$E$2:$E$461&lt;&gt;""Vazio"",Data_filtered!$E$2:$E$461&lt;&gt;""Não identificado"""&amp;",Data_filtered!$E$2:$E$461&lt;&gt;""Semente"",Data_filtered!$E$2:$E$461&lt;&gt;""Semente de capim"",Data_filtered!$E$2:$E$461&lt;&gt;""Apenas substrato"",Data_filtered!$A$2:$A$461=$J10,Data_filtered!$D$2:$D$461=""mata"",Data_filtered!$J$2:$J$461&lt;&gt;""Incompleto"")))"),7.0)</f>
        <v>7</v>
      </c>
      <c r="N10" s="9">
        <f>SUMIFS(Data_filtered!$G$2:$G$461,Data_filtered!$A$2:$A$461,$J10,Data_filtered!$E$2:$E$461,"&lt;&gt;Não identificado",Data_filtered!$E$2:$E$461,"&lt;&gt;Semente",Data_filtered!$E$2:$E$461,"&lt;&gt;Semente de capim",Data_filtered!$E$2:$E$461,"&lt;&gt;Apenas substrato",Data_filtered!$D$2:$D$461,"=mata",Data_filtered!$J$2:$J$461,"&lt;&gt;Incompleto")</f>
        <v>17</v>
      </c>
    </row>
    <row r="11">
      <c r="A11" s="9" t="str">
        <f>IFERROR(__xludf.DUMMYFUNCTION("""COMPUTED_VALUE"""),"Bokermannohyla luctuosa")</f>
        <v>Bokermannohyla luctuosa</v>
      </c>
      <c r="B11" s="9" t="str">
        <f>IFERROR(__xludf.DUMMYFUNCTION("""COMPUTED_VALUE"""),"eucalipto")</f>
        <v>eucalipto</v>
      </c>
      <c r="C11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sub"&amp;"strato"",Data_filtered!$A$2:$A$461=$A11,Data_filtered!$D$2:$D$461=$B11,Data_filtered!$J$2:$J$461&lt;&gt;""Incompleto""),0)=0,0,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substrato"",Data_filtered!$A$2:$A$461=$A11,Data_filtered!$D$2:$D$461=$B11,Data_filtered!$J$2:$J$461&lt;&gt;""Incompleto"")))"),0.0)</f>
        <v>0</v>
      </c>
      <c r="D11" s="27">
        <f>SUMIFS(Data_filtered!$G$2:$G$461,Data_filtered!$A$2:$A$461,$A11,Data_filtered!$E$2:$E$461,"&lt;&gt;Não identificado",Data_filtered!$E$2:$E$461,"&lt;&gt;Semente",Data_filtered!$E$2:$E$461,"&lt;&gt;Semente de capim",Data_filtered!$E$2:$E$461,"&lt;&gt;Apenas substrato",Data_filtered!$D$2:$D$461,$B11,Data_filtered!$J$2:$J$461,"&lt;&gt;Incompleto")</f>
        <v>0</v>
      </c>
      <c r="E11" s="9" t="str">
        <f t="shared" si="1"/>
        <v>no</v>
      </c>
      <c r="G11" s="9" t="str">
        <f>IFERROR(__xludf.DUMMYFUNCTION("""COMPUTED_VALUE"""),"Hylodes aff. sazimai")</f>
        <v>Hylodes aff. sazimai</v>
      </c>
      <c r="H11" s="9" t="str">
        <f>IFERROR(__xludf.DUMMYFUNCTION("IF(ISERROR(MATCH(""yes"",CHOOSECOLS(FILTER(lista_soma,CHOOSECOLS(lista_soma,1)=G11),5),0)),""no"",""yes"")"),"no")</f>
        <v>no</v>
      </c>
      <c r="I11" s="90"/>
      <c r="J11" s="77" t="str">
        <f>IFERROR(__xludf.DUMMYFUNCTION("""COMPUTED_VALUE"""),"Proceratophrys itamari")</f>
        <v>Proceratophrys itamari</v>
      </c>
      <c r="K11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sub"&amp;"strato"",Data_filtered!$A$2:$A$461=$J11,Data_filtered!$D$2:$D$461=""eucalipto"",Data_filtered!$J$2:$J$461&lt;&gt;""Incompleto""),0)=0,0, COUNTUNIQUE(FILTER(Data_filtered!$B$2:$B$461,Data_filtered!$E$2:$E$461&lt;&gt;""Vazio"",Data_filtered!$E$2:$E$461&lt;&gt;""Não identific"&amp;"ado"",Data_filtered!$E$2:$E$461&lt;&gt;""Semente"",Data_filtered!$E$2:$E$461&lt;&gt;""Semente de capim"",Data_filtered!$E$2:$E$461&lt;&gt;""Apenas substrato"",Data_filtered!$A$2:$A$461=$J11,Data_filtered!$D$2:$D$461=""eucalipto"",Data_filtered!$J$2:$J$461&lt;&gt;""Incompleto""))"&amp;")"),0.0)</f>
        <v>0</v>
      </c>
      <c r="L11" s="9">
        <f>SUMIFS(Data_filtered!$G$2:$G$461,Data_filtered!$A$2:$A$461,$J11,Data_filtered!$E$2:$E$461,"&lt;&gt;Não identificado",Data_filtered!$E$2:$E$461,"&lt;&gt;Semente",Data_filtered!$E$2:$E$461,"&lt;&gt;Semente de capim",Data_filtered!$E$2:$E$461,"&lt;&gt;Apenas substrato",Data_filtered!$D$2:$D$461,"=eucalipto",Data_filtered!$J$2:$J$461,"&lt;&gt;Incompleto")</f>
        <v>0</v>
      </c>
      <c r="M11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sub"&amp;"strato"",Data_filtered!$A$2:$A$461=$J11,Data_filtered!$D$2:$D$461=""mata"",Data_filtered!$J$2:$J$461&lt;&gt;""Incompleto""),0)=0,0, COUNTUNIQUE(FILTER(Data_filtered!$B$2:$B$461,Data_filtered!$E$2:$E$461&lt;&gt;""Vazio"",Data_filtered!$E$2:$E$461&lt;&gt;""Não identificado"""&amp;",Data_filtered!$E$2:$E$461&lt;&gt;""Semente"",Data_filtered!$E$2:$E$461&lt;&gt;""Semente de capim"",Data_filtered!$E$2:$E$461&lt;&gt;""Apenas substrato"",Data_filtered!$A$2:$A$461=$J11,Data_filtered!$D$2:$D$461=""mata"",Data_filtered!$J$2:$J$461&lt;&gt;""Incompleto"")))"),3.0)</f>
        <v>3</v>
      </c>
      <c r="N11" s="9">
        <f>SUMIFS(Data_filtered!$G$2:$G$461,Data_filtered!$A$2:$A$461,$J11,Data_filtered!$E$2:$E$461,"&lt;&gt;Não identificado",Data_filtered!$E$2:$E$461,"&lt;&gt;Semente",Data_filtered!$E$2:$E$461,"&lt;&gt;Semente de capim",Data_filtered!$E$2:$E$461,"&lt;&gt;Apenas substrato",Data_filtered!$D$2:$D$461,"=mata",Data_filtered!$J$2:$J$461,"&lt;&gt;Incompleto")</f>
        <v>6</v>
      </c>
    </row>
    <row r="12">
      <c r="A12" s="9" t="str">
        <f>IFERROR(__xludf.DUMMYFUNCTION("""COMPUTED_VALUE"""),"Chiasmocleis mantiqueira")</f>
        <v>Chiasmocleis mantiqueira</v>
      </c>
      <c r="B12" s="9" t="str">
        <f>IFERROR(__xludf.DUMMYFUNCTION("""COMPUTED_VALUE"""),"eucalipto")</f>
        <v>eucalipto</v>
      </c>
      <c r="C12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sub"&amp;"strato"",Data_filtered!$A$2:$A$461=$A12,Data_filtered!$D$2:$D$461=$B12,Data_filtered!$J$2:$J$461&lt;&gt;""Incompleto""),0)=0,0,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substrato"",Data_filtered!$A$2:$A$461=$A12,Data_filtered!$D$2:$D$461=$B12,Data_filtered!$J$2:$J$461&lt;&gt;""Incompleto"")))"),11.0)</f>
        <v>11</v>
      </c>
      <c r="D12" s="27">
        <f>SUMIFS(Data_filtered!$G$2:$G$461,Data_filtered!$A$2:$A$461,$A12,Data_filtered!$E$2:$E$461,"&lt;&gt;Não identificado",Data_filtered!$E$2:$E$461,"&lt;&gt;Semente",Data_filtered!$E$2:$E$461,"&lt;&gt;Semente de capim",Data_filtered!$E$2:$E$461,"&lt;&gt;Apenas substrato",Data_filtered!$D$2:$D$461,$B12,Data_filtered!$J$2:$J$461,"&lt;&gt;Incompleto")</f>
        <v>82</v>
      </c>
      <c r="E12" s="9" t="str">
        <f t="shared" si="1"/>
        <v>yes</v>
      </c>
      <c r="G12" s="9" t="str">
        <f>IFERROR(__xludf.DUMMYFUNCTION("""COMPUTED_VALUE"""),"Ischnocnema guentheri")</f>
        <v>Ischnocnema guentheri</v>
      </c>
      <c r="H12" s="9" t="str">
        <f>IFERROR(__xludf.DUMMYFUNCTION("IF(ISERROR(MATCH(""yes"",CHOOSECOLS(FILTER(lista_soma,CHOOSECOLS(lista_soma,1)=G12),5),0)),""no"",""yes"")"),"yes")</f>
        <v>yes</v>
      </c>
      <c r="I12" s="90"/>
      <c r="J12" s="77" t="str">
        <f>IFERROR(__xludf.DUMMYFUNCTION("""COMPUTED_VALUE"""),"Rhinella icterica")</f>
        <v>Rhinella icterica</v>
      </c>
      <c r="K12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sub"&amp;"strato"",Data_filtered!$A$2:$A$461=$J12,Data_filtered!$D$2:$D$461=""eucalipto"",Data_filtered!$J$2:$J$461&lt;&gt;""Incompleto""),0)=0,0, COUNTUNIQUE(FILTER(Data_filtered!$B$2:$B$461,Data_filtered!$E$2:$E$461&lt;&gt;""Vazio"",Data_filtered!$E$2:$E$461&lt;&gt;""Não identific"&amp;"ado"",Data_filtered!$E$2:$E$461&lt;&gt;""Semente"",Data_filtered!$E$2:$E$461&lt;&gt;""Semente de capim"",Data_filtered!$E$2:$E$461&lt;&gt;""Apenas substrato"",Data_filtered!$A$2:$A$461=$J12,Data_filtered!$D$2:$D$461=""eucalipto"",Data_filtered!$J$2:$J$461&lt;&gt;""Incompleto""))"&amp;")"),2.0)</f>
        <v>2</v>
      </c>
      <c r="L12" s="9">
        <f>SUMIFS(Data_filtered!$G$2:$G$461,Data_filtered!$A$2:$A$461,$J12,Data_filtered!$E$2:$E$461,"&lt;&gt;Não identificado",Data_filtered!$E$2:$E$461,"&lt;&gt;Semente",Data_filtered!$E$2:$E$461,"&lt;&gt;Semente de capim",Data_filtered!$E$2:$E$461,"&lt;&gt;Apenas substrato",Data_filtered!$D$2:$D$461,"=eucalipto",Data_filtered!$J$2:$J$461,"&lt;&gt;Incompleto")</f>
        <v>13</v>
      </c>
      <c r="M12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sub"&amp;"strato"",Data_filtered!$A$2:$A$461=$J12,Data_filtered!$D$2:$D$461=""mata"",Data_filtered!$J$2:$J$461&lt;&gt;""Incompleto""),0)=0,0, COUNTUNIQUE(FILTER(Data_filtered!$B$2:$B$461,Data_filtered!$E$2:$E$461&lt;&gt;""Vazio"",Data_filtered!$E$2:$E$461&lt;&gt;""Não identificado"""&amp;",Data_filtered!$E$2:$E$461&lt;&gt;""Semente"",Data_filtered!$E$2:$E$461&lt;&gt;""Semente de capim"",Data_filtered!$E$2:$E$461&lt;&gt;""Apenas substrato"",Data_filtered!$A$2:$A$461=$J12,Data_filtered!$D$2:$D$461=""mata"",Data_filtered!$J$2:$J$461&lt;&gt;""Incompleto"")))"),10.0)</f>
        <v>10</v>
      </c>
      <c r="N12" s="9">
        <f>SUMIFS(Data_filtered!$G$2:$G$461,Data_filtered!$A$2:$A$461,$J12,Data_filtered!$E$2:$E$461,"&lt;&gt;Não identificado",Data_filtered!$E$2:$E$461,"&lt;&gt;Semente",Data_filtered!$E$2:$E$461,"&lt;&gt;Semente de capim",Data_filtered!$E$2:$E$461,"&lt;&gt;Apenas substrato",Data_filtered!$D$2:$D$461,"=mata",Data_filtered!$J$2:$J$461,"&lt;&gt;Incompleto")</f>
        <v>193</v>
      </c>
    </row>
    <row r="13">
      <c r="A13" s="9" t="str">
        <f>IFERROR(__xludf.DUMMYFUNCTION("""COMPUTED_VALUE"""),"Chiasmocleis mantiqueira")</f>
        <v>Chiasmocleis mantiqueira</v>
      </c>
      <c r="B13" s="9" t="str">
        <f>IFERROR(__xludf.DUMMYFUNCTION("""COMPUTED_VALUE"""),"mata")</f>
        <v>mata</v>
      </c>
      <c r="C13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sub"&amp;"strato"",Data_filtered!$A$2:$A$461=$A13,Data_filtered!$D$2:$D$461=$B13,Data_filtered!$J$2:$J$461&lt;&gt;""Incompleto""),0)=0,0,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substrato"",Data_filtered!$A$2:$A$461=$A13,Data_filtered!$D$2:$D$461=$B13,Data_filtered!$J$2:$J$461&lt;&gt;""Incompleto"")))"),2.0)</f>
        <v>2</v>
      </c>
      <c r="D13" s="27">
        <f>SUMIFS(Data_filtered!$G$2:$G$461,Data_filtered!$A$2:$A$461,$A13,Data_filtered!$E$2:$E$461,"&lt;&gt;Não identificado",Data_filtered!$E$2:$E$461,"&lt;&gt;Semente",Data_filtered!$E$2:$E$461,"&lt;&gt;Semente de capim",Data_filtered!$E$2:$E$461,"&lt;&gt;Apenas substrato",Data_filtered!$D$2:$D$461,$B13,Data_filtered!$J$2:$J$461,"&lt;&gt;Incompleto")</f>
        <v>4</v>
      </c>
      <c r="E13" s="9" t="str">
        <f t="shared" si="1"/>
        <v>no</v>
      </c>
      <c r="G13" s="9" t="str">
        <f>IFERROR(__xludf.DUMMYFUNCTION("""COMPUTED_VALUE"""),"Ischnocnema holti")</f>
        <v>Ischnocnema holti</v>
      </c>
      <c r="H13" s="9" t="str">
        <f>IFERROR(__xludf.DUMMYFUNCTION("IF(ISERROR(MATCH(""yes"",CHOOSECOLS(FILTER(lista_soma,CHOOSECOLS(lista_soma,1)=G13),5),0)),""no"",""yes"")"),"yes")</f>
        <v>yes</v>
      </c>
      <c r="I13" s="90"/>
      <c r="J13" s="77" t="str">
        <f>IFERROR(__xludf.DUMMYFUNCTION("""COMPUTED_VALUE"""),"Rhinella ornata")</f>
        <v>Rhinella ornata</v>
      </c>
      <c r="K13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sub"&amp;"strato"",Data_filtered!$A$2:$A$461=$J13,Data_filtered!$D$2:$D$461=""eucalipto"",Data_filtered!$J$2:$J$461&lt;&gt;""Incompleto""),0)=0,0, COUNTUNIQUE(FILTER(Data_filtered!$B$2:$B$461,Data_filtered!$E$2:$E$461&lt;&gt;""Vazio"",Data_filtered!$E$2:$E$461&lt;&gt;""Não identific"&amp;"ado"",Data_filtered!$E$2:$E$461&lt;&gt;""Semente"",Data_filtered!$E$2:$E$461&lt;&gt;""Semente de capim"",Data_filtered!$E$2:$E$461&lt;&gt;""Apenas substrato"",Data_filtered!$A$2:$A$461=$J13,Data_filtered!$D$2:$D$461=""eucalipto"",Data_filtered!$J$2:$J$461&lt;&gt;""Incompleto""))"&amp;")"),0.0)</f>
        <v>0</v>
      </c>
      <c r="L13" s="9">
        <f>SUMIFS(Data_filtered!$G$2:$G$461,Data_filtered!$A$2:$A$461,$J13,Data_filtered!$E$2:$E$461,"&lt;&gt;Não identificado",Data_filtered!$E$2:$E$461,"&lt;&gt;Semente",Data_filtered!$E$2:$E$461,"&lt;&gt;Semente de capim",Data_filtered!$E$2:$E$461,"&lt;&gt;Apenas substrato",Data_filtered!$D$2:$D$461,"=eucalipto",Data_filtered!$J$2:$J$461,"&lt;&gt;Incompleto")</f>
        <v>0</v>
      </c>
      <c r="M13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sub"&amp;"strato"",Data_filtered!$A$2:$A$461=$J13,Data_filtered!$D$2:$D$461=""mata"",Data_filtered!$J$2:$J$461&lt;&gt;""Incompleto""),0)=0,0, COUNTUNIQUE(FILTER(Data_filtered!$B$2:$B$461,Data_filtered!$E$2:$E$461&lt;&gt;""Vazio"",Data_filtered!$E$2:$E$461&lt;&gt;""Não identificado"""&amp;",Data_filtered!$E$2:$E$461&lt;&gt;""Semente"",Data_filtered!$E$2:$E$461&lt;&gt;""Semente de capim"",Data_filtered!$E$2:$E$461&lt;&gt;""Apenas substrato"",Data_filtered!$A$2:$A$461=$J13,Data_filtered!$D$2:$D$461=""mata"",Data_filtered!$J$2:$J$461&lt;&gt;""Incompleto"")))"),2.0)</f>
        <v>2</v>
      </c>
      <c r="N13" s="9">
        <f>SUMIFS(Data_filtered!$G$2:$G$461,Data_filtered!$A$2:$A$461,$J13,Data_filtered!$E$2:$E$461,"&lt;&gt;Não identificado",Data_filtered!$E$2:$E$461,"&lt;&gt;Semente",Data_filtered!$E$2:$E$461,"&lt;&gt;Semente de capim",Data_filtered!$E$2:$E$461,"&lt;&gt;Apenas substrato",Data_filtered!$D$2:$D$461,"=mata",Data_filtered!$J$2:$J$461,"&lt;&gt;Incompleto")</f>
        <v>69</v>
      </c>
    </row>
    <row r="14">
      <c r="A14" s="9" t="str">
        <f>IFERROR(__xludf.DUMMYFUNCTION("""COMPUTED_VALUE"""),"Dendropsophus microps")</f>
        <v>Dendropsophus microps</v>
      </c>
      <c r="B14" s="9" t="str">
        <f>IFERROR(__xludf.DUMMYFUNCTION("""COMPUTED_VALUE"""),"mata")</f>
        <v>mata</v>
      </c>
      <c r="C14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sub"&amp;"strato"",Data_filtered!$A$2:$A$461=$A14,Data_filtered!$D$2:$D$461=$B14,Data_filtered!$J$2:$J$461&lt;&gt;""Incompleto""),0)=0,0,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substrato"",Data_filtered!$A$2:$A$461=$A14,Data_filtered!$D$2:$D$461=$B14,Data_filtered!$J$2:$J$461&lt;&gt;""Incompleto"")))"),7.0)</f>
        <v>7</v>
      </c>
      <c r="D14" s="27">
        <f>SUMIFS(Data_filtered!$G$2:$G$461,Data_filtered!$A$2:$A$461,$A14,Data_filtered!$E$2:$E$461,"&lt;&gt;Não identificado",Data_filtered!$E$2:$E$461,"&lt;&gt;Semente",Data_filtered!$E$2:$E$461,"&lt;&gt;Semente de capim",Data_filtered!$E$2:$E$461,"&lt;&gt;Apenas substrato",Data_filtered!$D$2:$D$461,$B14,Data_filtered!$J$2:$J$461,"&lt;&gt;Incompleto")</f>
        <v>21</v>
      </c>
      <c r="E14" s="9" t="str">
        <f t="shared" si="1"/>
        <v>yes</v>
      </c>
      <c r="G14" s="9" t="str">
        <f>IFERROR(__xludf.DUMMYFUNCTION("""COMPUTED_VALUE"""),"Ischnocnema juipoca")</f>
        <v>Ischnocnema juipoca</v>
      </c>
      <c r="H14" s="9" t="str">
        <f>IFERROR(__xludf.DUMMYFUNCTION("IF(ISERROR(MATCH(""yes"",CHOOSECOLS(FILTER(lista_soma,CHOOSECOLS(lista_soma,1)=G14),5),0)),""no"",""yes"")"),"yes")</f>
        <v>yes</v>
      </c>
      <c r="J14" s="77" t="str">
        <f>IFERROR(__xludf.DUMMYFUNCTION("""COMPUTED_VALUE"""),"Scinax aff. dolloi")</f>
        <v>Scinax aff. dolloi</v>
      </c>
      <c r="K14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sub"&amp;"strato"",Data_filtered!$A$2:$A$461=$J14,Data_filtered!$D$2:$D$461=""eucalipto"",Data_filtered!$J$2:$J$461&lt;&gt;""Incompleto""),0)=0,0, COUNTUNIQUE(FILTER(Data_filtered!$B$2:$B$461,Data_filtered!$E$2:$E$461&lt;&gt;""Vazio"",Data_filtered!$E$2:$E$461&lt;&gt;""Não identific"&amp;"ado"",Data_filtered!$E$2:$E$461&lt;&gt;""Semente"",Data_filtered!$E$2:$E$461&lt;&gt;""Semente de capim"",Data_filtered!$E$2:$E$461&lt;&gt;""Apenas substrato"",Data_filtered!$A$2:$A$461=$J14,Data_filtered!$D$2:$D$461=""eucalipto"",Data_filtered!$J$2:$J$461&lt;&gt;""Incompleto""))"&amp;")"),0.0)</f>
        <v>0</v>
      </c>
      <c r="L14" s="9">
        <f>SUMIFS(Data_filtered!$G$2:$G$461,Data_filtered!$A$2:$A$461,$J14,Data_filtered!$E$2:$E$461,"&lt;&gt;Não identificado",Data_filtered!$E$2:$E$461,"&lt;&gt;Semente",Data_filtered!$E$2:$E$461,"&lt;&gt;Semente de capim",Data_filtered!$E$2:$E$461,"&lt;&gt;Apenas substrato",Data_filtered!$D$2:$D$461,"=eucalipto",Data_filtered!$J$2:$J$461,"&lt;&gt;Incompleto")</f>
        <v>0</v>
      </c>
      <c r="M14" s="9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sub"&amp;"strato"",Data_filtered!$A$2:$A$461=$J14,Data_filtered!$D$2:$D$461=""mata"",Data_filtered!$J$2:$J$461&lt;&gt;""Incompleto""),0)=0,0, COUNTUNIQUE(FILTER(Data_filtered!$B$2:$B$461,Data_filtered!$E$2:$E$461&lt;&gt;""Vazio"",Data_filtered!$E$2:$E$461&lt;&gt;""Não identificado"""&amp;",Data_filtered!$E$2:$E$461&lt;&gt;""Semente"",Data_filtered!$E$2:$E$461&lt;&gt;""Semente de capim"",Data_filtered!$E$2:$E$461&lt;&gt;""Apenas substrato"",Data_filtered!$A$2:$A$461=$J14,Data_filtered!$D$2:$D$461=""mata"",Data_filtered!$J$2:$J$461&lt;&gt;""Incompleto"")))"),4.0)</f>
        <v>4</v>
      </c>
      <c r="N14" s="9">
        <f>SUMIFS(Data_filtered!$G$2:$G$461,Data_filtered!$A$2:$A$461,$J14,Data_filtered!$E$2:$E$461,"&lt;&gt;Não identificado",Data_filtered!$E$2:$E$461,"&lt;&gt;Semente",Data_filtered!$E$2:$E$461,"&lt;&gt;Semente de capim",Data_filtered!$E$2:$E$461,"&lt;&gt;Apenas substrato",Data_filtered!$D$2:$D$461,"=mata",Data_filtered!$J$2:$J$461,"&lt;&gt;Incompleto")</f>
        <v>7</v>
      </c>
    </row>
    <row r="15">
      <c r="A15" s="9" t="str">
        <f>IFERROR(__xludf.DUMMYFUNCTION("""COMPUTED_VALUE"""),"Dendropsophus minutus")</f>
        <v>Dendropsophus minutus</v>
      </c>
      <c r="B15" s="9" t="str">
        <f>IFERROR(__xludf.DUMMYFUNCTION("""COMPUTED_VALUE"""),"mata")</f>
        <v>mata</v>
      </c>
      <c r="C15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sub"&amp;"strato"",Data_filtered!$A$2:$A$461=$A15,Data_filtered!$D$2:$D$461=$B15,Data_filtered!$J$2:$J$461&lt;&gt;""Incompleto""),0)=0,0,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substrato"",Data_filtered!$A$2:$A$461=$A15,Data_filtered!$D$2:$D$461=$B15,Data_filtered!$J$2:$J$461&lt;&gt;""Incompleto"")))"),1.0)</f>
        <v>1</v>
      </c>
      <c r="D15" s="27">
        <f>SUMIFS(Data_filtered!$G$2:$G$461,Data_filtered!$A$2:$A$461,$A15,Data_filtered!$E$2:$E$461,"&lt;&gt;Não identificado",Data_filtered!$E$2:$E$461,"&lt;&gt;Semente",Data_filtered!$E$2:$E$461,"&lt;&gt;Semente de capim",Data_filtered!$E$2:$E$461,"&lt;&gt;Apenas substrato",Data_filtered!$D$2:$D$461,$B15,Data_filtered!$J$2:$J$461,"&lt;&gt;Incompleto")</f>
        <v>1</v>
      </c>
      <c r="E15" s="9" t="str">
        <f t="shared" si="1"/>
        <v>no</v>
      </c>
      <c r="G15" s="9" t="str">
        <f>IFERROR(__xludf.DUMMYFUNCTION("""COMPUTED_VALUE"""),"Ischnocnema vizottoi")</f>
        <v>Ischnocnema vizottoi</v>
      </c>
      <c r="H15" s="9" t="str">
        <f>IFERROR(__xludf.DUMMYFUNCTION("IF(ISERROR(MATCH(""yes"",CHOOSECOLS(FILTER(lista_soma,CHOOSECOLS(lista_soma,1)=G15),5),0)),""no"",""yes"")"),"no")</f>
        <v>no</v>
      </c>
    </row>
    <row r="16">
      <c r="A16" s="9" t="str">
        <f>IFERROR(__xludf.DUMMYFUNCTION("""COMPUTED_VALUE"""),"Hylodes aff. sazimai")</f>
        <v>Hylodes aff. sazimai</v>
      </c>
      <c r="B16" s="9" t="str">
        <f>IFERROR(__xludf.DUMMYFUNCTION("""COMPUTED_VALUE"""),"mata")</f>
        <v>mata</v>
      </c>
      <c r="C16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sub"&amp;"strato"",Data_filtered!$A$2:$A$461=$A16,Data_filtered!$D$2:$D$461=$B16,Data_filtered!$J$2:$J$461&lt;&gt;""Incompleto""),0)=0,0,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substrato"",Data_filtered!$A$2:$A$461=$A16,Data_filtered!$D$2:$D$461=$B16,Data_filtered!$J$2:$J$461&lt;&gt;""Incompleto"")))"),4.0)</f>
        <v>4</v>
      </c>
      <c r="D16" s="27">
        <f>SUMIFS(Data_filtered!$G$2:$G$461,Data_filtered!$A$2:$A$461,$A16,Data_filtered!$E$2:$E$461,"&lt;&gt;Não identificado",Data_filtered!$E$2:$E$461,"&lt;&gt;Semente",Data_filtered!$E$2:$E$461,"&lt;&gt;Semente de capim",Data_filtered!$E$2:$E$461,"&lt;&gt;Apenas substrato",Data_filtered!$D$2:$D$461,$B16,Data_filtered!$J$2:$J$461,"&lt;&gt;Incompleto")</f>
        <v>5</v>
      </c>
      <c r="E16" s="9" t="str">
        <f t="shared" si="1"/>
        <v>no</v>
      </c>
      <c r="G16" s="9" t="str">
        <f>IFERROR(__xludf.DUMMYFUNCTION("""COMPUTED_VALUE"""),"Odontophrynus americanus")</f>
        <v>Odontophrynus americanus</v>
      </c>
      <c r="H16" s="9" t="str">
        <f>IFERROR(__xludf.DUMMYFUNCTION("IF(ISERROR(MATCH(""yes"",CHOOSECOLS(FILTER(lista_soma,CHOOSECOLS(lista_soma,1)=G16),5),0)),""no"",""yes"")"),"no")</f>
        <v>no</v>
      </c>
    </row>
    <row r="17">
      <c r="A17" s="9" t="str">
        <f>IFERROR(__xludf.DUMMYFUNCTION("""COMPUTED_VALUE"""),"Hylodes aff. sazimai")</f>
        <v>Hylodes aff. sazimai</v>
      </c>
      <c r="B17" s="9" t="str">
        <f>IFERROR(__xludf.DUMMYFUNCTION("""COMPUTED_VALUE"""),"eucalipto")</f>
        <v>eucalipto</v>
      </c>
      <c r="C17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sub"&amp;"strato"",Data_filtered!$A$2:$A$461=$A17,Data_filtered!$D$2:$D$461=$B17,Data_filtered!$J$2:$J$461&lt;&gt;""Incompleto""),0)=0,0,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substrato"",Data_filtered!$A$2:$A$461=$A17,Data_filtered!$D$2:$D$461=$B17,Data_filtered!$J$2:$J$461&lt;&gt;""Incompleto"")))"),1.0)</f>
        <v>1</v>
      </c>
      <c r="D17" s="27">
        <f>SUMIFS(Data_filtered!$G$2:$G$461,Data_filtered!$A$2:$A$461,$A17,Data_filtered!$E$2:$E$461,"&lt;&gt;Não identificado",Data_filtered!$E$2:$E$461,"&lt;&gt;Semente",Data_filtered!$E$2:$E$461,"&lt;&gt;Semente de capim",Data_filtered!$E$2:$E$461,"&lt;&gt;Apenas substrato",Data_filtered!$D$2:$D$461,$B17,Data_filtered!$J$2:$J$461,"&lt;&gt;Incompleto")</f>
        <v>1</v>
      </c>
      <c r="E17" s="9" t="str">
        <f t="shared" si="1"/>
        <v>no</v>
      </c>
      <c r="G17" s="9" t="str">
        <f>IFERROR(__xludf.DUMMYFUNCTION("""COMPUTED_VALUE"""),"Ololygon obtriangulata")</f>
        <v>Ololygon obtriangulata</v>
      </c>
      <c r="H17" s="9" t="str">
        <f>IFERROR(__xludf.DUMMYFUNCTION("IF(ISERROR(MATCH(""yes"",CHOOSECOLS(FILTER(lista_soma,CHOOSECOLS(lista_soma,1)=G17),5),0)),""no"",""yes"")"),"yes")</f>
        <v>yes</v>
      </c>
    </row>
    <row r="18">
      <c r="A18" s="9" t="str">
        <f>IFERROR(__xludf.DUMMYFUNCTION("""COMPUTED_VALUE"""),"Ischnocnema guentheri")</f>
        <v>Ischnocnema guentheri</v>
      </c>
      <c r="B18" s="9" t="str">
        <f>IFERROR(__xludf.DUMMYFUNCTION("""COMPUTED_VALUE"""),"eucalipto")</f>
        <v>eucalipto</v>
      </c>
      <c r="C18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sub"&amp;"strato"",Data_filtered!$A$2:$A$461=$A18,Data_filtered!$D$2:$D$461=$B18,Data_filtered!$J$2:$J$461&lt;&gt;""Incompleto""),0)=0,0,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substrato"",Data_filtered!$A$2:$A$461=$A18,Data_filtered!$D$2:$D$461=$B18,Data_filtered!$J$2:$J$461&lt;&gt;""Incompleto"")))"),6.0)</f>
        <v>6</v>
      </c>
      <c r="D18" s="27">
        <f>SUMIFS(Data_filtered!$G$2:$G$461,Data_filtered!$A$2:$A$461,$A18,Data_filtered!$E$2:$E$461,"&lt;&gt;Não identificado",Data_filtered!$E$2:$E$461,"&lt;&gt;Semente",Data_filtered!$E$2:$E$461,"&lt;&gt;Semente de capim",Data_filtered!$E$2:$E$461,"&lt;&gt;Apenas substrato",Data_filtered!$D$2:$D$461,$B18,Data_filtered!$J$2:$J$461,"&lt;&gt;Incompleto")</f>
        <v>15</v>
      </c>
      <c r="E18" s="9" t="str">
        <f t="shared" si="1"/>
        <v>yes</v>
      </c>
      <c r="G18" s="9" t="str">
        <f>IFERROR(__xludf.DUMMYFUNCTION("""COMPUTED_VALUE"""),"Paratelmatobius mantiqueira")</f>
        <v>Paratelmatobius mantiqueira</v>
      </c>
      <c r="H18" s="9" t="str">
        <f>IFERROR(__xludf.DUMMYFUNCTION("IF(ISERROR(MATCH(""yes"",CHOOSECOLS(FILTER(lista_soma,CHOOSECOLS(lista_soma,1)=G18),5),0)),""no"",""yes"")"),"no")</f>
        <v>no</v>
      </c>
    </row>
    <row r="19">
      <c r="A19" s="9" t="str">
        <f>IFERROR(__xludf.DUMMYFUNCTION("""COMPUTED_VALUE"""),"Ischnocnema guentheri")</f>
        <v>Ischnocnema guentheri</v>
      </c>
      <c r="B19" s="9" t="str">
        <f>IFERROR(__xludf.DUMMYFUNCTION("""COMPUTED_VALUE"""),"mata")</f>
        <v>mata</v>
      </c>
      <c r="C19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sub"&amp;"strato"",Data_filtered!$A$2:$A$461=$A19,Data_filtered!$D$2:$D$461=$B19,Data_filtered!$J$2:$J$461&lt;&gt;""Incompleto""),0)=0,0,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substrato"",Data_filtered!$A$2:$A$461=$A19,Data_filtered!$D$2:$D$461=$B19,Data_filtered!$J$2:$J$461&lt;&gt;""Incompleto"")))"),3.0)</f>
        <v>3</v>
      </c>
      <c r="D19" s="27">
        <f>SUMIFS(Data_filtered!$G$2:$G$461,Data_filtered!$A$2:$A$461,$A19,Data_filtered!$E$2:$E$461,"&lt;&gt;Não identificado",Data_filtered!$E$2:$E$461,"&lt;&gt;Semente",Data_filtered!$E$2:$E$461,"&lt;&gt;Semente de capim",Data_filtered!$E$2:$E$461,"&lt;&gt;Apenas substrato",Data_filtered!$D$2:$D$461,$B19,Data_filtered!$J$2:$J$461,"&lt;&gt;Incompleto")</f>
        <v>7</v>
      </c>
      <c r="E19" s="9" t="str">
        <f t="shared" si="1"/>
        <v>yes</v>
      </c>
      <c r="G19" s="9" t="str">
        <f>IFERROR(__xludf.DUMMYFUNCTION("""COMPUTED_VALUE"""),"Physalaemus cuvieri")</f>
        <v>Physalaemus cuvieri</v>
      </c>
      <c r="H19" s="9" t="str">
        <f>IFERROR(__xludf.DUMMYFUNCTION("IF(ISERROR(MATCH(""yes"",CHOOSECOLS(FILTER(lista_soma,CHOOSECOLS(lista_soma,1)=G19),5),0)),""no"",""yes"")"),"no")</f>
        <v>no</v>
      </c>
    </row>
    <row r="20">
      <c r="A20" s="9" t="str">
        <f>IFERROR(__xludf.DUMMYFUNCTION("""COMPUTED_VALUE"""),"Ischnocnema holti")</f>
        <v>Ischnocnema holti</v>
      </c>
      <c r="B20" s="9" t="str">
        <f>IFERROR(__xludf.DUMMYFUNCTION("""COMPUTED_VALUE"""),"mata")</f>
        <v>mata</v>
      </c>
      <c r="C20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sub"&amp;"strato"",Data_filtered!$A$2:$A$461=$A20,Data_filtered!$D$2:$D$461=$B20,Data_filtered!$J$2:$J$461&lt;&gt;""Incompleto""),0)=0,0,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substrato"",Data_filtered!$A$2:$A$461=$A20,Data_filtered!$D$2:$D$461=$B20,Data_filtered!$J$2:$J$461&lt;&gt;""Incompleto"")))"),2.0)</f>
        <v>2</v>
      </c>
      <c r="D20" s="27">
        <f>SUMIFS(Data_filtered!$G$2:$G$461,Data_filtered!$A$2:$A$461,$A20,Data_filtered!$E$2:$E$461,"&lt;&gt;Não identificado",Data_filtered!$E$2:$E$461,"&lt;&gt;Semente",Data_filtered!$E$2:$E$461,"&lt;&gt;Semente de capim",Data_filtered!$E$2:$E$461,"&lt;&gt;Apenas substrato",Data_filtered!$D$2:$D$461,$B20,Data_filtered!$J$2:$J$461,"&lt;&gt;Incompleto")</f>
        <v>6</v>
      </c>
      <c r="E20" s="9" t="str">
        <f t="shared" si="1"/>
        <v>yes</v>
      </c>
      <c r="G20" s="9" t="str">
        <f>IFERROR(__xludf.DUMMYFUNCTION("""COMPUTED_VALUE"""),"Physalaemus olfersii")</f>
        <v>Physalaemus olfersii</v>
      </c>
      <c r="H20" s="9" t="str">
        <f>IFERROR(__xludf.DUMMYFUNCTION("IF(ISERROR(MATCH(""yes"",CHOOSECOLS(FILTER(lista_soma,CHOOSECOLS(lista_soma,1)=G20),5),0)),""no"",""yes"")"),"yes")</f>
        <v>yes</v>
      </c>
    </row>
    <row r="21">
      <c r="A21" s="9" t="str">
        <f>IFERROR(__xludf.DUMMYFUNCTION("""COMPUTED_VALUE"""),"Ischnocnema juipoca")</f>
        <v>Ischnocnema juipoca</v>
      </c>
      <c r="B21" s="9" t="str">
        <f>IFERROR(__xludf.DUMMYFUNCTION("""COMPUTED_VALUE"""),"eucalipto")</f>
        <v>eucalipto</v>
      </c>
      <c r="C21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sub"&amp;"strato"",Data_filtered!$A$2:$A$461=$A21,Data_filtered!$D$2:$D$461=$B21,Data_filtered!$J$2:$J$461&lt;&gt;""Incompleto""),0)=0,0,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substrato"",Data_filtered!$A$2:$A$461=$A21,Data_filtered!$D$2:$D$461=$B21,Data_filtered!$J$2:$J$461&lt;&gt;""Incompleto"")))"),8.0)</f>
        <v>8</v>
      </c>
      <c r="D21" s="27">
        <f>SUMIFS(Data_filtered!$G$2:$G$461,Data_filtered!$A$2:$A$461,$A21,Data_filtered!$E$2:$E$461,"&lt;&gt;Não identificado",Data_filtered!$E$2:$E$461,"&lt;&gt;Semente",Data_filtered!$E$2:$E$461,"&lt;&gt;Semente de capim",Data_filtered!$E$2:$E$461,"&lt;&gt;Apenas substrato",Data_filtered!$D$2:$D$461,$B21,Data_filtered!$J$2:$J$461,"&lt;&gt;Incompleto")</f>
        <v>22</v>
      </c>
      <c r="E21" s="9" t="str">
        <f t="shared" si="1"/>
        <v>yes</v>
      </c>
      <c r="G21" s="9" t="str">
        <f>IFERROR(__xludf.DUMMYFUNCTION("""COMPUTED_VALUE"""),"Proceratophrys boiei")</f>
        <v>Proceratophrys boiei</v>
      </c>
      <c r="H21" s="9" t="str">
        <f>IFERROR(__xludf.DUMMYFUNCTION("IF(ISERROR(MATCH(""yes"",CHOOSECOLS(FILTER(lista_soma,CHOOSECOLS(lista_soma,1)=G21),5),0)),""no"",""yes"")"),"yes")</f>
        <v>yes</v>
      </c>
    </row>
    <row r="22">
      <c r="A22" s="9" t="str">
        <f>IFERROR(__xludf.DUMMYFUNCTION("""COMPUTED_VALUE"""),"Ischnocnema juipoca")</f>
        <v>Ischnocnema juipoca</v>
      </c>
      <c r="B22" s="9" t="str">
        <f>IFERROR(__xludf.DUMMYFUNCTION("""COMPUTED_VALUE"""),"mata")</f>
        <v>mata</v>
      </c>
      <c r="C22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sub"&amp;"strato"",Data_filtered!$A$2:$A$461=$A22,Data_filtered!$D$2:$D$461=$B22,Data_filtered!$J$2:$J$461&lt;&gt;""Incompleto""),0)=0,0,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substrato"",Data_filtered!$A$2:$A$461=$A22,Data_filtered!$D$2:$D$461=$B22,Data_filtered!$J$2:$J$461&lt;&gt;""Incompleto"")))"),1.0)</f>
        <v>1</v>
      </c>
      <c r="D22" s="27">
        <f>SUMIFS(Data_filtered!$G$2:$G$461,Data_filtered!$A$2:$A$461,$A22,Data_filtered!$E$2:$E$461,"&lt;&gt;Não identificado",Data_filtered!$E$2:$E$461,"&lt;&gt;Semente",Data_filtered!$E$2:$E$461,"&lt;&gt;Semente de capim",Data_filtered!$E$2:$E$461,"&lt;&gt;Apenas substrato",Data_filtered!$D$2:$D$461,$B22,Data_filtered!$J$2:$J$461,"&lt;&gt;Incompleto")</f>
        <v>1</v>
      </c>
      <c r="E22" s="9" t="str">
        <f t="shared" si="1"/>
        <v>no</v>
      </c>
      <c r="G22" s="9" t="str">
        <f>IFERROR(__xludf.DUMMYFUNCTION("""COMPUTED_VALUE"""),"Proceratophrys itamari")</f>
        <v>Proceratophrys itamari</v>
      </c>
      <c r="H22" s="9" t="str">
        <f>IFERROR(__xludf.DUMMYFUNCTION("IF(ISERROR(MATCH(""yes"",CHOOSECOLS(FILTER(lista_soma,CHOOSECOLS(lista_soma,1)=G22),5),0)),""no"",""yes"")"),"yes")</f>
        <v>yes</v>
      </c>
    </row>
    <row r="23">
      <c r="A23" s="9" t="str">
        <f>IFERROR(__xludf.DUMMYFUNCTION("""COMPUTED_VALUE"""),"Ischnocnema vizottoi")</f>
        <v>Ischnocnema vizottoi</v>
      </c>
      <c r="B23" s="9" t="str">
        <f>IFERROR(__xludf.DUMMYFUNCTION("""COMPUTED_VALUE"""),"mata")</f>
        <v>mata</v>
      </c>
      <c r="C23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sub"&amp;"strato"",Data_filtered!$A$2:$A$461=$A23,Data_filtered!$D$2:$D$461=$B23,Data_filtered!$J$2:$J$461&lt;&gt;""Incompleto""),0)=0,0,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substrato"",Data_filtered!$A$2:$A$461=$A23,Data_filtered!$D$2:$D$461=$B23,Data_filtered!$J$2:$J$461&lt;&gt;""Incompleto"")))"),1.0)</f>
        <v>1</v>
      </c>
      <c r="D23" s="27">
        <f>SUMIFS(Data_filtered!$G$2:$G$461,Data_filtered!$A$2:$A$461,$A23,Data_filtered!$E$2:$E$461,"&lt;&gt;Não identificado",Data_filtered!$E$2:$E$461,"&lt;&gt;Semente",Data_filtered!$E$2:$E$461,"&lt;&gt;Semente de capim",Data_filtered!$E$2:$E$461,"&lt;&gt;Apenas substrato",Data_filtered!$D$2:$D$461,$B23,Data_filtered!$J$2:$J$461,"&lt;&gt;Incompleto")</f>
        <v>2</v>
      </c>
      <c r="E23" s="9" t="str">
        <f t="shared" si="1"/>
        <v>no</v>
      </c>
      <c r="G23" s="9" t="str">
        <f>IFERROR(__xludf.DUMMYFUNCTION("""COMPUTED_VALUE"""),"Rhinella icterica")</f>
        <v>Rhinella icterica</v>
      </c>
      <c r="H23" s="9" t="str">
        <f>IFERROR(__xludf.DUMMYFUNCTION("IF(ISERROR(MATCH(""yes"",CHOOSECOLS(FILTER(lista_soma,CHOOSECOLS(lista_soma,1)=G23),5),0)),""no"",""yes"")"),"yes")</f>
        <v>yes</v>
      </c>
    </row>
    <row r="24">
      <c r="A24" s="9" t="str">
        <f>IFERROR(__xludf.DUMMYFUNCTION("""COMPUTED_VALUE"""),"Odontophrynus americanus")</f>
        <v>Odontophrynus americanus</v>
      </c>
      <c r="B24" s="9" t="str">
        <f>IFERROR(__xludf.DUMMYFUNCTION("""COMPUTED_VALUE"""),"mata")</f>
        <v>mata</v>
      </c>
      <c r="C24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sub"&amp;"strato"",Data_filtered!$A$2:$A$461=$A24,Data_filtered!$D$2:$D$461=$B24,Data_filtered!$J$2:$J$461&lt;&gt;""Incompleto""),0)=0,0,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substrato"",Data_filtered!$A$2:$A$461=$A24,Data_filtered!$D$2:$D$461=$B24,Data_filtered!$J$2:$J$461&lt;&gt;""Incompleto"")))"),0.0)</f>
        <v>0</v>
      </c>
      <c r="D24" s="27">
        <f>SUMIFS(Data_filtered!$G$2:$G$461,Data_filtered!$A$2:$A$461,$A24,Data_filtered!$E$2:$E$461,"&lt;&gt;Não identificado",Data_filtered!$E$2:$E$461,"&lt;&gt;Semente",Data_filtered!$E$2:$E$461,"&lt;&gt;Semente de capim",Data_filtered!$E$2:$E$461,"&lt;&gt;Apenas substrato",Data_filtered!$D$2:$D$461,$B24,Data_filtered!$J$2:$J$461,"&lt;&gt;Incompleto")</f>
        <v>0</v>
      </c>
      <c r="E24" s="9" t="str">
        <f t="shared" si="1"/>
        <v>no</v>
      </c>
      <c r="G24" s="9" t="str">
        <f>IFERROR(__xludf.DUMMYFUNCTION("""COMPUTED_VALUE"""),"Rhinella ornata")</f>
        <v>Rhinella ornata</v>
      </c>
      <c r="H24" s="9" t="str">
        <f>IFERROR(__xludf.DUMMYFUNCTION("IF(ISERROR(MATCH(""yes"",CHOOSECOLS(FILTER(lista_soma,CHOOSECOLS(lista_soma,1)=G24),5),0)),""no"",""yes"")"),"yes")</f>
        <v>yes</v>
      </c>
    </row>
    <row r="25">
      <c r="A25" s="9" t="str">
        <f>IFERROR(__xludf.DUMMYFUNCTION("""COMPUTED_VALUE"""),"Ololygon obtriangulata")</f>
        <v>Ololygon obtriangulata</v>
      </c>
      <c r="B25" s="9" t="str">
        <f>IFERROR(__xludf.DUMMYFUNCTION("""COMPUTED_VALUE"""),"mata")</f>
        <v>mata</v>
      </c>
      <c r="C25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sub"&amp;"strato"",Data_filtered!$A$2:$A$461=$A25,Data_filtered!$D$2:$D$461=$B25,Data_filtered!$J$2:$J$461&lt;&gt;""Incompleto""),0)=0,0,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substrato"",Data_filtered!$A$2:$A$461=$A25,Data_filtered!$D$2:$D$461=$B25,Data_filtered!$J$2:$J$461&lt;&gt;""Incompleto"")))"),6.0)</f>
        <v>6</v>
      </c>
      <c r="D25" s="27">
        <f>SUMIFS(Data_filtered!$G$2:$G$461,Data_filtered!$A$2:$A$461,$A25,Data_filtered!$E$2:$E$461,"&lt;&gt;Não identificado",Data_filtered!$E$2:$E$461,"&lt;&gt;Semente",Data_filtered!$E$2:$E$461,"&lt;&gt;Semente de capim",Data_filtered!$E$2:$E$461,"&lt;&gt;Apenas substrato",Data_filtered!$D$2:$D$461,$B25,Data_filtered!$J$2:$J$461,"&lt;&gt;Incompleto")</f>
        <v>7</v>
      </c>
      <c r="E25" s="9" t="str">
        <f t="shared" si="1"/>
        <v>yes</v>
      </c>
      <c r="G25" s="9" t="str">
        <f>IFERROR(__xludf.DUMMYFUNCTION("""COMPUTED_VALUE"""),"Scinax aff. dolloi")</f>
        <v>Scinax aff. dolloi</v>
      </c>
      <c r="H25" s="9" t="str">
        <f>IFERROR(__xludf.DUMMYFUNCTION("IF(ISERROR(MATCH(""yes"",CHOOSECOLS(FILTER(lista_soma,CHOOSECOLS(lista_soma,1)=G25),5),0)),""no"",""yes"")"),"yes")</f>
        <v>yes</v>
      </c>
    </row>
    <row r="26">
      <c r="A26" s="9" t="str">
        <f>IFERROR(__xludf.DUMMYFUNCTION("""COMPUTED_VALUE"""),"Ololygon obtriangulata")</f>
        <v>Ololygon obtriangulata</v>
      </c>
      <c r="B26" s="9" t="str">
        <f>IFERROR(__xludf.DUMMYFUNCTION("""COMPUTED_VALUE"""),"eucalipto")</f>
        <v>eucalipto</v>
      </c>
      <c r="C26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sub"&amp;"strato"",Data_filtered!$A$2:$A$461=$A26,Data_filtered!$D$2:$D$461=$B26,Data_filtered!$J$2:$J$461&lt;&gt;""Incompleto""),0)=0,0,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substrato"",Data_filtered!$A$2:$A$461=$A26,Data_filtered!$D$2:$D$461=$B26,Data_filtered!$J$2:$J$461&lt;&gt;""Incompleto"")))"),1.0)</f>
        <v>1</v>
      </c>
      <c r="D26" s="27">
        <f>SUMIFS(Data_filtered!$G$2:$G$461,Data_filtered!$A$2:$A$461,$A26,Data_filtered!$E$2:$E$461,"&lt;&gt;Não identificado",Data_filtered!$E$2:$E$461,"&lt;&gt;Semente",Data_filtered!$E$2:$E$461,"&lt;&gt;Semente de capim",Data_filtered!$E$2:$E$461,"&lt;&gt;Apenas substrato",Data_filtered!$D$2:$D$461,$B26,Data_filtered!$J$2:$J$461,"&lt;&gt;Incompleto")</f>
        <v>1</v>
      </c>
      <c r="E26" s="9" t="str">
        <f t="shared" si="1"/>
        <v>no</v>
      </c>
      <c r="G26" s="9" t="str">
        <f>IFERROR(__xludf.DUMMYFUNCTION("""COMPUTED_VALUE"""),"Scinax aff. duartei")</f>
        <v>Scinax aff. duartei</v>
      </c>
      <c r="H26" s="9" t="str">
        <f>IFERROR(__xludf.DUMMYFUNCTION("IF(ISERROR(MATCH(""yes"",CHOOSECOLS(FILTER(lista_soma,CHOOSECOLS(lista_soma,1)=G26),5),0)),""no"",""yes"")"),"no")</f>
        <v>no</v>
      </c>
    </row>
    <row r="27">
      <c r="A27" s="9" t="str">
        <f>IFERROR(__xludf.DUMMYFUNCTION("""COMPUTED_VALUE"""),"Paratelmatobius mantiqueira")</f>
        <v>Paratelmatobius mantiqueira</v>
      </c>
      <c r="B27" s="9" t="str">
        <f>IFERROR(__xludf.DUMMYFUNCTION("""COMPUTED_VALUE"""),"mata")</f>
        <v>mata</v>
      </c>
      <c r="C27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sub"&amp;"strato"",Data_filtered!$A$2:$A$461=$A27,Data_filtered!$D$2:$D$461=$B27,Data_filtered!$J$2:$J$461&lt;&gt;""Incompleto""),0)=0,0,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substrato"",Data_filtered!$A$2:$A$461=$A27,Data_filtered!$D$2:$D$461=$B27,Data_filtered!$J$2:$J$461&lt;&gt;""Incompleto"")))"),1.0)</f>
        <v>1</v>
      </c>
      <c r="D27" s="27">
        <f>SUMIFS(Data_filtered!$G$2:$G$461,Data_filtered!$A$2:$A$461,$A27,Data_filtered!$E$2:$E$461,"&lt;&gt;Não identificado",Data_filtered!$E$2:$E$461,"&lt;&gt;Semente",Data_filtered!$E$2:$E$461,"&lt;&gt;Semente de capim",Data_filtered!$E$2:$E$461,"&lt;&gt;Apenas substrato",Data_filtered!$D$2:$D$461,$B27,Data_filtered!$J$2:$J$461,"&lt;&gt;Incompleto")</f>
        <v>3</v>
      </c>
      <c r="E27" s="9" t="str">
        <f t="shared" si="1"/>
        <v>no</v>
      </c>
      <c r="G27" s="9" t="str">
        <f>IFERROR(__xludf.DUMMYFUNCTION("""COMPUTED_VALUE"""),"Trachycephalus imitatrix")</f>
        <v>Trachycephalus imitatrix</v>
      </c>
      <c r="H27" s="9" t="str">
        <f>IFERROR(__xludf.DUMMYFUNCTION("IF(ISERROR(MATCH(""yes"",CHOOSECOLS(FILTER(lista_soma,CHOOSECOLS(lista_soma,1)=G27),5),0)),""no"",""yes"")"),"no")</f>
        <v>no</v>
      </c>
    </row>
    <row r="28">
      <c r="A28" s="9" t="str">
        <f>IFERROR(__xludf.DUMMYFUNCTION("""COMPUTED_VALUE"""),"Physalaemus cuvieri")</f>
        <v>Physalaemus cuvieri</v>
      </c>
      <c r="B28" s="9" t="str">
        <f>IFERROR(__xludf.DUMMYFUNCTION("""COMPUTED_VALUE"""),"mata")</f>
        <v>mata</v>
      </c>
      <c r="C28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sub"&amp;"strato"",Data_filtered!$A$2:$A$461=$A28,Data_filtered!$D$2:$D$461=$B28,Data_filtered!$J$2:$J$461&lt;&gt;""Incompleto""),0)=0,0,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substrato"",Data_filtered!$A$2:$A$461=$A28,Data_filtered!$D$2:$D$461=$B28,Data_filtered!$J$2:$J$461&lt;&gt;""Incompleto"")))"),1.0)</f>
        <v>1</v>
      </c>
      <c r="D28" s="27">
        <f>SUMIFS(Data_filtered!$G$2:$G$461,Data_filtered!$A$2:$A$461,$A28,Data_filtered!$E$2:$E$461,"&lt;&gt;Não identificado",Data_filtered!$E$2:$E$461,"&lt;&gt;Semente",Data_filtered!$E$2:$E$461,"&lt;&gt;Semente de capim",Data_filtered!$E$2:$E$461,"&lt;&gt;Apenas substrato",Data_filtered!$D$2:$D$461,$B28,Data_filtered!$J$2:$J$461,"&lt;&gt;Incompleto")</f>
        <v>2</v>
      </c>
      <c r="E28" s="9" t="str">
        <f t="shared" si="1"/>
        <v>no</v>
      </c>
    </row>
    <row r="29">
      <c r="A29" s="9" t="str">
        <f>IFERROR(__xludf.DUMMYFUNCTION("""COMPUTED_VALUE"""),"Physalaemus olfersii")</f>
        <v>Physalaemus olfersii</v>
      </c>
      <c r="B29" s="9" t="str">
        <f>IFERROR(__xludf.DUMMYFUNCTION("""COMPUTED_VALUE"""),"mata")</f>
        <v>mata</v>
      </c>
      <c r="C29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sub"&amp;"strato"",Data_filtered!$A$2:$A$461=$A29,Data_filtered!$D$2:$D$461=$B29,Data_filtered!$J$2:$J$461&lt;&gt;""Incompleto""),0)=0,0,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substrato"",Data_filtered!$A$2:$A$461=$A29,Data_filtered!$D$2:$D$461=$B29,Data_filtered!$J$2:$J$461&lt;&gt;""Incompleto"")))"),6.0)</f>
        <v>6</v>
      </c>
      <c r="D29" s="27">
        <f>SUMIFS(Data_filtered!$G$2:$G$461,Data_filtered!$A$2:$A$461,$A29,Data_filtered!$E$2:$E$461,"&lt;&gt;Não identificado",Data_filtered!$E$2:$E$461,"&lt;&gt;Semente",Data_filtered!$E$2:$E$461,"&lt;&gt;Semente de capim",Data_filtered!$E$2:$E$461,"&lt;&gt;Apenas substrato",Data_filtered!$D$2:$D$461,$B29,Data_filtered!$J$2:$J$461,"&lt;&gt;Incompleto")</f>
        <v>28</v>
      </c>
      <c r="E29" s="9" t="str">
        <f t="shared" si="1"/>
        <v>yes</v>
      </c>
    </row>
    <row r="30">
      <c r="A30" s="9" t="str">
        <f>IFERROR(__xludf.DUMMYFUNCTION("""COMPUTED_VALUE"""),"Physalaemus olfersii")</f>
        <v>Physalaemus olfersii</v>
      </c>
      <c r="B30" s="9" t="str">
        <f>IFERROR(__xludf.DUMMYFUNCTION("""COMPUTED_VALUE"""),"eucalipto")</f>
        <v>eucalipto</v>
      </c>
      <c r="C30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sub"&amp;"strato"",Data_filtered!$A$2:$A$461=$A30,Data_filtered!$D$2:$D$461=$B30,Data_filtered!$J$2:$J$461&lt;&gt;""Incompleto""),0)=0,0,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substrato"",Data_filtered!$A$2:$A$461=$A30,Data_filtered!$D$2:$D$461=$B30,Data_filtered!$J$2:$J$461&lt;&gt;""Incompleto"")))"),3.0)</f>
        <v>3</v>
      </c>
      <c r="D30" s="27">
        <f>SUMIFS(Data_filtered!$G$2:$G$461,Data_filtered!$A$2:$A$461,$A30,Data_filtered!$E$2:$E$461,"&lt;&gt;Não identificado",Data_filtered!$E$2:$E$461,"&lt;&gt;Semente",Data_filtered!$E$2:$E$461,"&lt;&gt;Semente de capim",Data_filtered!$E$2:$E$461,"&lt;&gt;Apenas substrato",Data_filtered!$D$2:$D$461,$B30,Data_filtered!$J$2:$J$461,"&lt;&gt;Incompleto")</f>
        <v>16</v>
      </c>
      <c r="E30" s="9" t="str">
        <f t="shared" si="1"/>
        <v>yes</v>
      </c>
    </row>
    <row r="31">
      <c r="A31" s="9" t="str">
        <f>IFERROR(__xludf.DUMMYFUNCTION("""COMPUTED_VALUE"""),"Proceratophrys boiei")</f>
        <v>Proceratophrys boiei</v>
      </c>
      <c r="B31" s="9" t="str">
        <f>IFERROR(__xludf.DUMMYFUNCTION("""COMPUTED_VALUE"""),"mata")</f>
        <v>mata</v>
      </c>
      <c r="C31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sub"&amp;"strato"",Data_filtered!$A$2:$A$461=$A31,Data_filtered!$D$2:$D$461=$B31,Data_filtered!$J$2:$J$461&lt;&gt;""Incompleto""),0)=0,0,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substrato"",Data_filtered!$A$2:$A$461=$A31,Data_filtered!$D$2:$D$461=$B31,Data_filtered!$J$2:$J$461&lt;&gt;""Incompleto"")))"),7.0)</f>
        <v>7</v>
      </c>
      <c r="D31" s="27">
        <f>SUMIFS(Data_filtered!$G$2:$G$461,Data_filtered!$A$2:$A$461,$A31,Data_filtered!$E$2:$E$461,"&lt;&gt;Não identificado",Data_filtered!$E$2:$E$461,"&lt;&gt;Semente",Data_filtered!$E$2:$E$461,"&lt;&gt;Semente de capim",Data_filtered!$E$2:$E$461,"&lt;&gt;Apenas substrato",Data_filtered!$D$2:$D$461,$B31,Data_filtered!$J$2:$J$461,"&lt;&gt;Incompleto")</f>
        <v>17</v>
      </c>
      <c r="E31" s="9" t="str">
        <f t="shared" si="1"/>
        <v>yes</v>
      </c>
      <c r="H31" s="92" t="str">
        <f>IFERROR(__xludf.DUMMYFUNCTION("FILTER(Data_filtered!$B$2:$B$461,Data_filtered!$E$2:$E$461&lt;&gt;""Vazio"",Data_filtered!$E$2:$E$461&lt;&gt;""Não identificado"",Data_filtered!$E$2:$E$461&lt;&gt;""Semente"",Data_filtered!$E$2:$E$461&lt;&gt;""Semente de capim"",Data_filtered!$E$2:$E$461&lt;&gt;""Apenas substrato"",Da"&amp;"ta_filtered!$A$2:$A$461=$A4,Data_filtered!$D$2:$D$461=$B4,Data_filtered!$J$2:$J$461&lt;&gt;""Incompleto"")"),"MRCM2238")</f>
        <v>MRCM2238</v>
      </c>
      <c r="I31" s="9">
        <f>IFERROR(__xludf.DUMMYFUNCTION("CHOOSECOLS(FILTER(lista_soma,CHOOSECOLS(lista_soma,1)=""Bokermannohyla luctuosa"", CHOOSECOLS(lista_soma,2)=""eucalipto""),4)"),0.0)</f>
        <v>0</v>
      </c>
    </row>
    <row r="32">
      <c r="A32" s="9" t="str">
        <f>IFERROR(__xludf.DUMMYFUNCTION("""COMPUTED_VALUE"""),"Proceratophrys boiei")</f>
        <v>Proceratophrys boiei</v>
      </c>
      <c r="B32" s="9" t="str">
        <f>IFERROR(__xludf.DUMMYFUNCTION("""COMPUTED_VALUE"""),"eucalipto")</f>
        <v>eucalipto</v>
      </c>
      <c r="C32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sub"&amp;"strato"",Data_filtered!$A$2:$A$461=$A32,Data_filtered!$D$2:$D$461=$B32,Data_filtered!$J$2:$J$461&lt;&gt;""Incompleto""),0)=0,0,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substrato"",Data_filtered!$A$2:$A$461=$A32,Data_filtered!$D$2:$D$461=$B32,Data_filtered!$J$2:$J$461&lt;&gt;""Incompleto"")))"),1.0)</f>
        <v>1</v>
      </c>
      <c r="D32" s="27">
        <f>SUMIFS(Data_filtered!$G$2:$G$461,Data_filtered!$A$2:$A$461,$A32,Data_filtered!$E$2:$E$461,"&lt;&gt;Não identificado",Data_filtered!$E$2:$E$461,"&lt;&gt;Semente",Data_filtered!$E$2:$E$461,"&lt;&gt;Semente de capim",Data_filtered!$E$2:$E$461,"&lt;&gt;Apenas substrato",Data_filtered!$D$2:$D$461,$B32,Data_filtered!$J$2:$J$461,"&lt;&gt;Incompleto")</f>
        <v>1</v>
      </c>
      <c r="E32" s="9" t="str">
        <f t="shared" si="1"/>
        <v>no</v>
      </c>
    </row>
    <row r="33">
      <c r="A33" s="9" t="str">
        <f>IFERROR(__xludf.DUMMYFUNCTION("""COMPUTED_VALUE"""),"Proceratophrys itamari")</f>
        <v>Proceratophrys itamari</v>
      </c>
      <c r="B33" s="9" t="str">
        <f>IFERROR(__xludf.DUMMYFUNCTION("""COMPUTED_VALUE"""),"mata")</f>
        <v>mata</v>
      </c>
      <c r="C33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sub"&amp;"strato"",Data_filtered!$A$2:$A$461=$A33,Data_filtered!$D$2:$D$461=$B33,Data_filtered!$J$2:$J$461&lt;&gt;""Incompleto""),0)=0,0,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substrato"",Data_filtered!$A$2:$A$461=$A33,Data_filtered!$D$2:$D$461=$B33,Data_filtered!$J$2:$J$461&lt;&gt;""Incompleto"")))"),3.0)</f>
        <v>3</v>
      </c>
      <c r="D33" s="27">
        <f>SUMIFS(Data_filtered!$G$2:$G$461,Data_filtered!$A$2:$A$461,$A33,Data_filtered!$E$2:$E$461,"&lt;&gt;Não identificado",Data_filtered!$E$2:$E$461,"&lt;&gt;Semente",Data_filtered!$E$2:$E$461,"&lt;&gt;Semente de capim",Data_filtered!$E$2:$E$461,"&lt;&gt;Apenas substrato",Data_filtered!$D$2:$D$461,$B33,Data_filtered!$J$2:$J$461,"&lt;&gt;Incompleto")</f>
        <v>6</v>
      </c>
      <c r="E33" s="9" t="str">
        <f t="shared" si="1"/>
        <v>yes</v>
      </c>
    </row>
    <row r="34">
      <c r="A34" s="9" t="str">
        <f>IFERROR(__xludf.DUMMYFUNCTION("""COMPUTED_VALUE"""),"Rhinella icterica")</f>
        <v>Rhinella icterica</v>
      </c>
      <c r="B34" s="9" t="str">
        <f>IFERROR(__xludf.DUMMYFUNCTION("""COMPUTED_VALUE"""),"mata")</f>
        <v>mata</v>
      </c>
      <c r="C34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sub"&amp;"strato"",Data_filtered!$A$2:$A$461=$A34,Data_filtered!$D$2:$D$461=$B34,Data_filtered!$J$2:$J$461&lt;&gt;""Incompleto""),0)=0,0,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substrato"",Data_filtered!$A$2:$A$461=$A34,Data_filtered!$D$2:$D$461=$B34,Data_filtered!$J$2:$J$461&lt;&gt;""Incompleto"")))"),10.0)</f>
        <v>10</v>
      </c>
      <c r="D34" s="27">
        <f>SUMIFS(Data_filtered!$G$2:$G$461,Data_filtered!$A$2:$A$461,$A34,Data_filtered!$E$2:$E$461,"&lt;&gt;Não identificado",Data_filtered!$E$2:$E$461,"&lt;&gt;Semente",Data_filtered!$E$2:$E$461,"&lt;&gt;Semente de capim",Data_filtered!$E$2:$E$461,"&lt;&gt;Apenas substrato",Data_filtered!$D$2:$D$461,$B34,Data_filtered!$J$2:$J$461,"&lt;&gt;Incompleto")</f>
        <v>193</v>
      </c>
      <c r="E34" s="9" t="str">
        <f t="shared" si="1"/>
        <v>yes</v>
      </c>
    </row>
    <row r="35">
      <c r="A35" s="9" t="str">
        <f>IFERROR(__xludf.DUMMYFUNCTION("""COMPUTED_VALUE"""),"Rhinella icterica")</f>
        <v>Rhinella icterica</v>
      </c>
      <c r="B35" s="9" t="str">
        <f>IFERROR(__xludf.DUMMYFUNCTION("""COMPUTED_VALUE"""),"eucalipto")</f>
        <v>eucalipto</v>
      </c>
      <c r="C35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sub"&amp;"strato"",Data_filtered!$A$2:$A$461=$A35,Data_filtered!$D$2:$D$461=$B35,Data_filtered!$J$2:$J$461&lt;&gt;""Incompleto""),0)=0,0,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substrato"",Data_filtered!$A$2:$A$461=$A35,Data_filtered!$D$2:$D$461=$B35,Data_filtered!$J$2:$J$461&lt;&gt;""Incompleto"")))"),2.0)</f>
        <v>2</v>
      </c>
      <c r="D35" s="27">
        <f>SUMIFS(Data_filtered!$G$2:$G$461,Data_filtered!$A$2:$A$461,$A35,Data_filtered!$E$2:$E$461,"&lt;&gt;Não identificado",Data_filtered!$E$2:$E$461,"&lt;&gt;Semente",Data_filtered!$E$2:$E$461,"&lt;&gt;Semente de capim",Data_filtered!$E$2:$E$461,"&lt;&gt;Apenas substrato",Data_filtered!$D$2:$D$461,$B35,Data_filtered!$J$2:$J$461,"&lt;&gt;Incompleto")</f>
        <v>13</v>
      </c>
      <c r="E35" s="9" t="str">
        <f t="shared" si="1"/>
        <v>yes</v>
      </c>
      <c r="G35" s="93"/>
    </row>
    <row r="36">
      <c r="A36" s="9" t="str">
        <f>IFERROR(__xludf.DUMMYFUNCTION("""COMPUTED_VALUE"""),"Rhinella ornata")</f>
        <v>Rhinella ornata</v>
      </c>
      <c r="B36" s="9" t="str">
        <f>IFERROR(__xludf.DUMMYFUNCTION("""COMPUTED_VALUE"""),"mata")</f>
        <v>mata</v>
      </c>
      <c r="C36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sub"&amp;"strato"",Data_filtered!$A$2:$A$461=$A36,Data_filtered!$D$2:$D$461=$B36,Data_filtered!$J$2:$J$461&lt;&gt;""Incompleto""),0)=0,0,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substrato"",Data_filtered!$A$2:$A$461=$A36,Data_filtered!$D$2:$D$461=$B36,Data_filtered!$J$2:$J$461&lt;&gt;""Incompleto"")))"),2.0)</f>
        <v>2</v>
      </c>
      <c r="D36" s="27">
        <f>SUMIFS(Data_filtered!$G$2:$G$461,Data_filtered!$A$2:$A$461,$A36,Data_filtered!$E$2:$E$461,"&lt;&gt;Não identificado",Data_filtered!$E$2:$E$461,"&lt;&gt;Semente",Data_filtered!$E$2:$E$461,"&lt;&gt;Semente de capim",Data_filtered!$E$2:$E$461,"&lt;&gt;Apenas substrato",Data_filtered!$D$2:$D$461,$B36,Data_filtered!$J$2:$J$461,"&lt;&gt;Incompleto")</f>
        <v>69</v>
      </c>
      <c r="E36" s="9" t="str">
        <f t="shared" si="1"/>
        <v>yes</v>
      </c>
    </row>
    <row r="37">
      <c r="A37" s="9" t="str">
        <f>IFERROR(__xludf.DUMMYFUNCTION("""COMPUTED_VALUE"""),"Scinax aff. dolloi")</f>
        <v>Scinax aff. dolloi</v>
      </c>
      <c r="B37" s="9" t="str">
        <f>IFERROR(__xludf.DUMMYFUNCTION("""COMPUTED_VALUE"""),"eucalipto")</f>
        <v>eucalipto</v>
      </c>
      <c r="C37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sub"&amp;"strato"",Data_filtered!$A$2:$A$461=$A37,Data_filtered!$D$2:$D$461=$B37,Data_filtered!$J$2:$J$461&lt;&gt;""Incompleto""),0)=0,0,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substrato"",Data_filtered!$A$2:$A$461=$A37,Data_filtered!$D$2:$D$461=$B37,Data_filtered!$J$2:$J$461&lt;&gt;""Incompleto"")))"),0.0)</f>
        <v>0</v>
      </c>
      <c r="D37" s="27">
        <f>SUMIFS(Data_filtered!$G$2:$G$461,Data_filtered!$A$2:$A$461,$A37,Data_filtered!$E$2:$E$461,"&lt;&gt;Não identificado",Data_filtered!$E$2:$E$461,"&lt;&gt;Semente",Data_filtered!$E$2:$E$461,"&lt;&gt;Semente de capim",Data_filtered!$E$2:$E$461,"&lt;&gt;Apenas substrato",Data_filtered!$D$2:$D$461,$B37,Data_filtered!$J$2:$J$461,"&lt;&gt;Incompleto")</f>
        <v>0</v>
      </c>
      <c r="E37" s="9" t="str">
        <f t="shared" si="1"/>
        <v>no</v>
      </c>
    </row>
    <row r="38">
      <c r="A38" s="9" t="str">
        <f>IFERROR(__xludf.DUMMYFUNCTION("""COMPUTED_VALUE"""),"Scinax aff. dolloi")</f>
        <v>Scinax aff. dolloi</v>
      </c>
      <c r="B38" s="9" t="str">
        <f>IFERROR(__xludf.DUMMYFUNCTION("""COMPUTED_VALUE"""),"mata")</f>
        <v>mata</v>
      </c>
      <c r="C38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sub"&amp;"strato"",Data_filtered!$A$2:$A$461=$A38,Data_filtered!$D$2:$D$461=$B38,Data_filtered!$J$2:$J$461&lt;&gt;""Incompleto""),0)=0,0,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substrato"",Data_filtered!$A$2:$A$461=$A38,Data_filtered!$D$2:$D$461=$B38,Data_filtered!$J$2:$J$461&lt;&gt;""Incompleto"")))"),4.0)</f>
        <v>4</v>
      </c>
      <c r="D38" s="27">
        <f>SUMIFS(Data_filtered!$G$2:$G$461,Data_filtered!$A$2:$A$461,$A38,Data_filtered!$E$2:$E$461,"&lt;&gt;Não identificado",Data_filtered!$E$2:$E$461,"&lt;&gt;Semente",Data_filtered!$E$2:$E$461,"&lt;&gt;Semente de capim",Data_filtered!$E$2:$E$461,"&lt;&gt;Apenas substrato",Data_filtered!$D$2:$D$461,$B38,Data_filtered!$J$2:$J$461,"&lt;&gt;Incompleto")</f>
        <v>7</v>
      </c>
      <c r="E38" s="9" t="str">
        <f t="shared" si="1"/>
        <v>yes</v>
      </c>
    </row>
    <row r="39">
      <c r="A39" s="9" t="str">
        <f>IFERROR(__xludf.DUMMYFUNCTION("""COMPUTED_VALUE"""),"Scinax aff. duartei")</f>
        <v>Scinax aff. duartei</v>
      </c>
      <c r="B39" s="9" t="str">
        <f>IFERROR(__xludf.DUMMYFUNCTION("""COMPUTED_VALUE"""),"mata")</f>
        <v>mata</v>
      </c>
      <c r="C39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sub"&amp;"strato"",Data_filtered!$A$2:$A$461=$A39,Data_filtered!$D$2:$D$461=$B39,Data_filtered!$J$2:$J$461&lt;&gt;""Incompleto""),0)=0,0,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substrato"",Data_filtered!$A$2:$A$461=$A39,Data_filtered!$D$2:$D$461=$B39,Data_filtered!$J$2:$J$461&lt;&gt;""Incompleto"")))"),0.0)</f>
        <v>0</v>
      </c>
      <c r="D39" s="27">
        <f>SUMIFS(Data_filtered!$G$2:$G$461,Data_filtered!$A$2:$A$461,$A39,Data_filtered!$E$2:$E$461,"&lt;&gt;Não identificado",Data_filtered!$E$2:$E$461,"&lt;&gt;Semente",Data_filtered!$E$2:$E$461,"&lt;&gt;Semente de capim",Data_filtered!$E$2:$E$461,"&lt;&gt;Apenas substrato",Data_filtered!$D$2:$D$461,$B39,Data_filtered!$J$2:$J$461,"&lt;&gt;Incompleto")</f>
        <v>0</v>
      </c>
      <c r="E39" s="9" t="str">
        <f t="shared" si="1"/>
        <v>no</v>
      </c>
    </row>
    <row r="40">
      <c r="A40" s="9" t="str">
        <f>IFERROR(__xludf.DUMMYFUNCTION("""COMPUTED_VALUE"""),"Trachycephalus imitatrix")</f>
        <v>Trachycephalus imitatrix</v>
      </c>
      <c r="B40" s="9" t="str">
        <f>IFERROR(__xludf.DUMMYFUNCTION("""COMPUTED_VALUE"""),"mata")</f>
        <v>mata</v>
      </c>
      <c r="C40" s="91">
        <f>IFERROR(__xludf.DUMMYFUNCTION("IF(IFERROR(FILTER(Data_filtered!$B$2:$B$461,Data_filtered!$E$2:$E$461&lt;&gt;""Vazio"",Data_filtered!$E$2:$E$461&lt;&gt;""Não identificado"",Data_filtered!$E$2:$E$461&lt;&gt;""Semente"",Data_filtered!$E$2:$E$461&lt;&gt;""Semente de capim"",Data_filtered!$E$2:$E$461&lt;&gt;""Apenas sub"&amp;"strato"",Data_filtered!$A$2:$A$461=$A40,Data_filtered!$D$2:$D$461=$B40,Data_filtered!$J$2:$J$461&lt;&gt;""Incompleto""),0)=0,0, COUNTUNIQUE(FILTER(Data_filtered!$B$2:$B$461,Data_filtered!$E$2:$E$461&lt;&gt;""Vazio"",Data_filtered!$E$2:$E$461&lt;&gt;""Não identificado"",Dat"&amp;"a_filtered!$E$2:$E$461&lt;&gt;""Semente"",Data_filtered!$E$2:$E$461&lt;&gt;""Semente de capim"",Data_filtered!$E$2:$E$461&lt;&gt;""Apenas substrato"",Data_filtered!$A$2:$A$461=$A40,Data_filtered!$D$2:$D$461=$B40,Data_filtered!$J$2:$J$461&lt;&gt;""Incompleto"")))"),1.0)</f>
        <v>1</v>
      </c>
      <c r="D40" s="27">
        <f>SUMIFS(Data_filtered!$G$2:$G$461,Data_filtered!$A$2:$A$461,$A40,Data_filtered!$E$2:$E$461,"&lt;&gt;Não identificado",Data_filtered!$E$2:$E$461,"&lt;&gt;Semente",Data_filtered!$E$2:$E$461,"&lt;&gt;Semente de capim",Data_filtered!$E$2:$E$461,"&lt;&gt;Apenas substrato",Data_filtered!$D$2:$D$461,$B40,Data_filtered!$J$2:$J$461,"&lt;&gt;Incompleto")</f>
        <v>1</v>
      </c>
      <c r="E40" s="9" t="str">
        <f t="shared" si="1"/>
        <v>no</v>
      </c>
    </row>
    <row r="44">
      <c r="A44" s="94"/>
    </row>
  </sheetData>
  <mergeCells count="2">
    <mergeCell ref="A1:E1"/>
    <mergeCell ref="G1: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</cols>
  <sheetData>
    <row r="1">
      <c r="B1" s="95" t="s">
        <v>915</v>
      </c>
      <c r="D1" s="23" t="s">
        <v>916</v>
      </c>
    </row>
    <row r="2">
      <c r="A2" s="27" t="s">
        <v>917</v>
      </c>
      <c r="B2" s="27" t="s">
        <v>918</v>
      </c>
      <c r="C2" s="27" t="s">
        <v>919</v>
      </c>
      <c r="D2" s="9" t="str">
        <f>IFERROR(__xludf.DUMMYFUNCTION("TRANSPOSE(SORT(UNIQUE(FILTER(Data_filtered!F2:F461,Data_filtered!E$2:E$461&lt;&gt;""Não identificado"",Data_filtered!E$2:E$461&lt;&gt;""Semente"",Data_filtered!E$2:E$461&lt;&gt;""Semente de capim"",Data_filtered!E$2:E$461&lt;&gt;""Apenas substrato"",Data_filtered!E$2:E$461&lt;&gt;""Va"&amp;"zio""))))"),"Acari")</f>
        <v>Acari</v>
      </c>
      <c r="E2" s="9" t="str">
        <f>IFERROR(__xludf.DUMMYFUNCTION("""COMPUTED_VALUE"""),"Arachnida")</f>
        <v>Arachnida</v>
      </c>
      <c r="F2" s="9" t="str">
        <f>IFERROR(__xludf.DUMMYFUNCTION("""COMPUTED_VALUE"""),"Araneae")</f>
        <v>Araneae</v>
      </c>
      <c r="G2" s="9" t="str">
        <f>IFERROR(__xludf.DUMMYFUNCTION("""COMPUTED_VALUE"""),"Arthropoda")</f>
        <v>Arthropoda</v>
      </c>
      <c r="H2" s="9" t="str">
        <f>IFERROR(__xludf.DUMMYFUNCTION("""COMPUTED_VALUE"""),"Blattodea")</f>
        <v>Blattodea</v>
      </c>
      <c r="I2" s="9" t="str">
        <f>IFERROR(__xludf.DUMMYFUNCTION("""COMPUTED_VALUE"""),"Chilopoda")</f>
        <v>Chilopoda</v>
      </c>
      <c r="J2" s="9" t="str">
        <f>IFERROR(__xludf.DUMMYFUNCTION("""COMPUTED_VALUE"""),"Coleoptera")</f>
        <v>Coleoptera</v>
      </c>
      <c r="K2" s="9" t="str">
        <f>IFERROR(__xludf.DUMMYFUNCTION("""COMPUTED_VALUE"""),"Coleoptera Larva")</f>
        <v>Coleoptera Larva</v>
      </c>
      <c r="L2" s="9" t="str">
        <f>IFERROR(__xludf.DUMMYFUNCTION("""COMPUTED_VALUE"""),"Collembola")</f>
        <v>Collembola</v>
      </c>
      <c r="M2" s="9" t="str">
        <f>IFERROR(__xludf.DUMMYFUNCTION("""COMPUTED_VALUE"""),"Dermaptera")</f>
        <v>Dermaptera</v>
      </c>
      <c r="N2" s="9" t="str">
        <f>IFERROR(__xludf.DUMMYFUNCTION("""COMPUTED_VALUE"""),"Diplopoda")</f>
        <v>Diplopoda</v>
      </c>
      <c r="O2" s="9" t="str">
        <f>IFERROR(__xludf.DUMMYFUNCTION("""COMPUTED_VALUE"""),"Ensifera")</f>
        <v>Ensifera</v>
      </c>
      <c r="P2" s="9" t="str">
        <f>IFERROR(__xludf.DUMMYFUNCTION("""COMPUTED_VALUE"""),"Formicidae")</f>
        <v>Formicidae</v>
      </c>
      <c r="Q2" s="9" t="str">
        <f>IFERROR(__xludf.DUMMYFUNCTION("""COMPUTED_VALUE"""),"Hemiptera")</f>
        <v>Hemiptera</v>
      </c>
      <c r="R2" s="9" t="str">
        <f>IFERROR(__xludf.DUMMYFUNCTION("""COMPUTED_VALUE"""),"Heteroptera")</f>
        <v>Heteroptera</v>
      </c>
      <c r="S2" s="9" t="str">
        <f>IFERROR(__xludf.DUMMYFUNCTION("""COMPUTED_VALUE"""),"Insecta")</f>
        <v>Insecta</v>
      </c>
      <c r="T2" s="9" t="str">
        <f>IFERROR(__xludf.DUMMYFUNCTION("""COMPUTED_VALUE"""),"Isópode")</f>
        <v>Isópode</v>
      </c>
      <c r="U2" s="9" t="str">
        <f>IFERROR(__xludf.DUMMYFUNCTION("""COMPUTED_VALUE"""),"Isoptera")</f>
        <v>Isoptera</v>
      </c>
      <c r="V2" s="9" t="str">
        <f>IFERROR(__xludf.DUMMYFUNCTION("""COMPUTED_VALUE"""),"Larva")</f>
        <v>Larva</v>
      </c>
      <c r="W2" s="9" t="str">
        <f>IFERROR(__xludf.DUMMYFUNCTION("""COMPUTED_VALUE"""),"Lepidoptera Larva")</f>
        <v>Lepidoptera Larva</v>
      </c>
      <c r="X2" s="9" t="str">
        <f>IFERROR(__xludf.DUMMYFUNCTION("""COMPUTED_VALUE"""),"Mantodea")</f>
        <v>Mantodea</v>
      </c>
      <c r="Y2" s="9" t="str">
        <f>IFERROR(__xludf.DUMMYFUNCTION("""COMPUTED_VALUE"""),"Mosca")</f>
        <v>Mosca</v>
      </c>
      <c r="Z2" s="9" t="str">
        <f>IFERROR(__xludf.DUMMYFUNCTION("""COMPUTED_VALUE"""),"Opiliones")</f>
        <v>Opiliones</v>
      </c>
      <c r="AA2" s="9" t="str">
        <f>IFERROR(__xludf.DUMMYFUNCTION("""COMPUTED_VALUE"""),"Orthoptera")</f>
        <v>Orthoptera</v>
      </c>
      <c r="AB2" s="9" t="str">
        <f>IFERROR(__xludf.DUMMYFUNCTION("""COMPUTED_VALUE"""),"Pscoptera")</f>
        <v>Pscoptera</v>
      </c>
      <c r="AC2" s="9" t="str">
        <f>IFERROR(__xludf.DUMMYFUNCTION("""COMPUTED_VALUE"""),"Pterygota")</f>
        <v>Pterygota</v>
      </c>
      <c r="AD2" s="9" t="str">
        <f>IFERROR(__xludf.DUMMYFUNCTION("""COMPUTED_VALUE"""),"Staphylinidae")</f>
        <v>Staphylinidae</v>
      </c>
      <c r="AE2" s="9" t="str">
        <f>IFERROR(__xludf.DUMMYFUNCTION("""COMPUTED_VALUE"""),"Thysanoptera")</f>
        <v>Thysanoptera</v>
      </c>
      <c r="AF2" s="9" t="str">
        <f>IFERROR(__xludf.DUMMYFUNCTION("""COMPUTED_VALUE"""),"Vespa")</f>
        <v>Vespa</v>
      </c>
    </row>
    <row r="3">
      <c r="A3" s="28" t="str">
        <f>IFERROR(__xludf.DUMMYFUNCTION("SORT(UNIQUE(FILTER(Data_filtered!$A$2:$A$461,Data_filtered!$E$2:$E$461&lt;&gt;""Vazio"",Data_filtered!$E$2:$E$461&lt;&gt;""Não identificado"",Data_filtered!$E$2:$E$461&lt;&gt;""Semente"",Data_filtered!$E$2:$E$461&lt;&gt;""Semente de capim"",Data_filtered!$E$2:$E$461&lt;&gt;""Apenas su"&amp;"bstrato"")))"),"Aplastodiscus albosignatus")</f>
        <v>Aplastodiscus albosignatus</v>
      </c>
      <c r="B3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su"&amp;"bstrato"",Data_filtered!$A$2:$A$461=A3))"),2.0)</f>
        <v>2</v>
      </c>
      <c r="C3" s="28">
        <f>SUMIFS(Data_filtered!$G$2:$G$461,Data_filtered!$A$2:$A$461,A3,Data_filtered!$E$2:$E$461,"&lt;&gt;Não identificado",Data_filtered!$E$2:$E$461,"&lt;&gt;Semente",Data_filtered!$E$2:$E$461,"&lt;&gt;Semente de capim",Data_filtered!$E$2:$E$461,"&lt;&gt;Apenas substrato")</f>
        <v>4</v>
      </c>
      <c r="D3" s="96">
        <f>SUMIFS(Data_filtered!$G$2:$G$461,Data_filtered!$A$2:$A$461,$A3,Data_filtered!$F$2:$F$461,D$2)/$C3</f>
        <v>0</v>
      </c>
      <c r="E3" s="96">
        <f>SUMIFS(Data_filtered!$G$2:$G$461,Data_filtered!$A$2:$A$461,$A3,Data_filtered!$F$2:$F$461,E$2)/$C3</f>
        <v>0</v>
      </c>
      <c r="F3" s="96">
        <f>SUMIFS(Data_filtered!$G$2:$G$461,Data_filtered!$A$2:$A$461,$A3,Data_filtered!$F$2:$F$461,F$2)/$C3</f>
        <v>0</v>
      </c>
      <c r="G3" s="96">
        <f>SUMIFS(Data_filtered!$G$2:$G$461,Data_filtered!$A$2:$A$461,$A3,Data_filtered!$F$2:$F$461,G$2)/$C3</f>
        <v>0</v>
      </c>
      <c r="H3" s="96">
        <f>SUMIFS(Data_filtered!$G$2:$G$461,Data_filtered!$A$2:$A$461,$A3,Data_filtered!$F$2:$F$461,H$2)/$C3</f>
        <v>0</v>
      </c>
      <c r="I3" s="96">
        <f>SUMIFS(Data_filtered!$G$2:$G$461,Data_filtered!$A$2:$A$461,$A3,Data_filtered!$F$2:$F$461,I$2)/$C3</f>
        <v>0</v>
      </c>
      <c r="J3" s="96">
        <f>SUMIFS(Data_filtered!$G$2:$G$461,Data_filtered!$A$2:$A$461,$A3,Data_filtered!$F$2:$F$461,J$2)/$C3</f>
        <v>0.5</v>
      </c>
      <c r="K3" s="96">
        <f>SUMIFS(Data_filtered!$G$2:$G$461,Data_filtered!$A$2:$A$461,$A3,Data_filtered!$F$2:$F$461,K$2)/$C3</f>
        <v>0</v>
      </c>
      <c r="L3" s="96">
        <f>SUMIFS(Data_filtered!$G$2:$G$461,Data_filtered!$A$2:$A$461,$A3,Data_filtered!$F$2:$F$461,L$2)/$C3</f>
        <v>0</v>
      </c>
      <c r="M3" s="96">
        <f>SUMIFS(Data_filtered!$G$2:$G$461,Data_filtered!$A$2:$A$461,$A3,Data_filtered!$F$2:$F$461,M$2)/$C3</f>
        <v>0</v>
      </c>
      <c r="N3" s="96">
        <f>SUMIFS(Data_filtered!$G$2:$G$461,Data_filtered!$A$2:$A$461,$A3,Data_filtered!$F$2:$F$461,N$2)/$C3</f>
        <v>0</v>
      </c>
      <c r="O3" s="96">
        <f>SUMIFS(Data_filtered!$G$2:$G$461,Data_filtered!$A$2:$A$461,$A3,Data_filtered!$F$2:$F$461,O$2)/$C3</f>
        <v>0</v>
      </c>
      <c r="P3" s="96">
        <f>SUMIFS(Data_filtered!$G$2:$G$461,Data_filtered!$A$2:$A$461,$A3,Data_filtered!$F$2:$F$461,P$2)/$C3</f>
        <v>0.25</v>
      </c>
      <c r="Q3" s="96">
        <f>SUMIFS(Data_filtered!$G$2:$G$461,Data_filtered!$A$2:$A$461,$A3,Data_filtered!$F$2:$F$461,Q$2)/$C3</f>
        <v>0</v>
      </c>
      <c r="R3" s="96">
        <f>SUMIFS(Data_filtered!$G$2:$G$461,Data_filtered!$A$2:$A$461,$A3,Data_filtered!$F$2:$F$461,R$2)/$C3</f>
        <v>0</v>
      </c>
      <c r="S3" s="96">
        <f>SUMIFS(Data_filtered!$G$2:$G$461,Data_filtered!$A$2:$A$461,$A3,Data_filtered!$F$2:$F$461,S$2)/$C3</f>
        <v>0.25</v>
      </c>
      <c r="T3" s="96">
        <f>SUMIFS(Data_filtered!$G$2:$G$461,Data_filtered!$A$2:$A$461,$A3,Data_filtered!$F$2:$F$461,T$2)/$C3</f>
        <v>0</v>
      </c>
      <c r="U3" s="96">
        <f>SUMIFS(Data_filtered!$G$2:$G$461,Data_filtered!$A$2:$A$461,$A3,Data_filtered!$F$2:$F$461,U$2)/$C3</f>
        <v>0</v>
      </c>
      <c r="V3" s="96">
        <f>SUMIFS(Data_filtered!$G$2:$G$461,Data_filtered!$A$2:$A$461,$A3,Data_filtered!$F$2:$F$461,V$2)/$C3</f>
        <v>0</v>
      </c>
      <c r="W3" s="96">
        <f>SUMIFS(Data_filtered!$G$2:$G$461,Data_filtered!$A$2:$A$461,$A3,Data_filtered!$F$2:$F$461,W$2)/$C3</f>
        <v>0</v>
      </c>
      <c r="X3" s="96">
        <f>SUMIFS(Data_filtered!$G$2:$G$461,Data_filtered!$A$2:$A$461,$A3,Data_filtered!$F$2:$F$461,X$2)/$C3</f>
        <v>0</v>
      </c>
      <c r="Y3" s="96">
        <f>SUMIFS(Data_filtered!$G$2:$G$461,Data_filtered!$A$2:$A$461,$A3,Data_filtered!$F$2:$F$461,Y$2)/$C3</f>
        <v>0</v>
      </c>
      <c r="Z3" s="96">
        <f>SUMIFS(Data_filtered!$G$2:$G$461,Data_filtered!$A$2:$A$461,$A3,Data_filtered!$F$2:$F$461,Z$2)/$C3</f>
        <v>0</v>
      </c>
      <c r="AA3" s="96">
        <f>SUMIFS(Data_filtered!$G$2:$G$461,Data_filtered!$A$2:$A$461,$A3,Data_filtered!$F$2:$F$461,AA$2)/$C3</f>
        <v>0</v>
      </c>
      <c r="AB3" s="96">
        <f>SUMIFS(Data_filtered!$G$2:$G$461,Data_filtered!$A$2:$A$461,$A3,Data_filtered!$F$2:$F$461,AB$2)/$C3</f>
        <v>0</v>
      </c>
      <c r="AC3" s="96">
        <f>SUMIFS(Data_filtered!$G$2:$G$461,Data_filtered!$A$2:$A$461,$A3,Data_filtered!$F$2:$F$461,AC$2)/$C3</f>
        <v>0</v>
      </c>
      <c r="AD3" s="96">
        <f>SUMIFS(Data_filtered!$G$2:$G$461,Data_filtered!$A$2:$A$461,$A3,Data_filtered!$F$2:$F$461,AD$2)/$C3</f>
        <v>0</v>
      </c>
      <c r="AE3" s="96">
        <f>SUMIFS(Data_filtered!$G$2:$G$461,Data_filtered!$A$2:$A$461,$A3,Data_filtered!$F$2:$F$461,AE$2)/$C3</f>
        <v>0</v>
      </c>
      <c r="AF3" s="96">
        <f>SUMIFS(Data_filtered!$G$2:$G$461,Data_filtered!$A$2:$A$461,$A3,Data_filtered!$F$2:$F$461,AF$2)/$C3</f>
        <v>0</v>
      </c>
    </row>
    <row r="4">
      <c r="A4" s="9" t="str">
        <f>IFERROR(__xludf.DUMMYFUNCTION("""COMPUTED_VALUE"""),"Boana faber")</f>
        <v>Boana faber</v>
      </c>
      <c r="B4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su"&amp;"bstrato"",Data_filtered!$A$2:$A$461=A4))"),2.0)</f>
        <v>2</v>
      </c>
      <c r="C4" s="28">
        <f>SUMIFS(Data_filtered!$G$2:$G$461,Data_filtered!$A$2:$A$461,A4,Data_filtered!$E$2:$E$461,"&lt;&gt;Não identificado",Data_filtered!$E$2:$E$461,"&lt;&gt;Semente",Data_filtered!$E$2:$E$461,"&lt;&gt;Semente de capim",Data_filtered!$E$2:$E$461,"&lt;&gt;Apenas substrato")</f>
        <v>4</v>
      </c>
      <c r="D4" s="96">
        <f>SUMIFS(Data_filtered!$G$2:$G$461,Data_filtered!$A$2:$A$461,$A4,Data_filtered!$F$2:$F$461,D$2)/$C4</f>
        <v>0</v>
      </c>
      <c r="E4" s="96">
        <f>SUMIFS(Data_filtered!$G$2:$G$461,Data_filtered!$A$2:$A$461,$A4,Data_filtered!$F$2:$F$461,E$2)/$C4</f>
        <v>0</v>
      </c>
      <c r="F4" s="96">
        <f>SUMIFS(Data_filtered!$G$2:$G$461,Data_filtered!$A$2:$A$461,$A4,Data_filtered!$F$2:$F$461,F$2)/$C4</f>
        <v>0.25</v>
      </c>
      <c r="G4" s="96">
        <f>SUMIFS(Data_filtered!$G$2:$G$461,Data_filtered!$A$2:$A$461,$A4,Data_filtered!$F$2:$F$461,G$2)/$C4</f>
        <v>0</v>
      </c>
      <c r="H4" s="96">
        <f>SUMIFS(Data_filtered!$G$2:$G$461,Data_filtered!$A$2:$A$461,$A4,Data_filtered!$F$2:$F$461,H$2)/$C4</f>
        <v>0.25</v>
      </c>
      <c r="I4" s="96">
        <f>SUMIFS(Data_filtered!$G$2:$G$461,Data_filtered!$A$2:$A$461,$A4,Data_filtered!$F$2:$F$461,I$2)/$C4</f>
        <v>0</v>
      </c>
      <c r="J4" s="96">
        <f>SUMIFS(Data_filtered!$G$2:$G$461,Data_filtered!$A$2:$A$461,$A4,Data_filtered!$F$2:$F$461,J$2)/$C4</f>
        <v>0</v>
      </c>
      <c r="K4" s="96">
        <f>SUMIFS(Data_filtered!$G$2:$G$461,Data_filtered!$A$2:$A$461,$A4,Data_filtered!$F$2:$F$461,K$2)/$C4</f>
        <v>0</v>
      </c>
      <c r="L4" s="96">
        <f>SUMIFS(Data_filtered!$G$2:$G$461,Data_filtered!$A$2:$A$461,$A4,Data_filtered!$F$2:$F$461,L$2)/$C4</f>
        <v>0</v>
      </c>
      <c r="M4" s="96">
        <f>SUMIFS(Data_filtered!$G$2:$G$461,Data_filtered!$A$2:$A$461,$A4,Data_filtered!$F$2:$F$461,M$2)/$C4</f>
        <v>0</v>
      </c>
      <c r="N4" s="96">
        <f>SUMIFS(Data_filtered!$G$2:$G$461,Data_filtered!$A$2:$A$461,$A4,Data_filtered!$F$2:$F$461,N$2)/$C4</f>
        <v>0.25</v>
      </c>
      <c r="O4" s="96">
        <f>SUMIFS(Data_filtered!$G$2:$G$461,Data_filtered!$A$2:$A$461,$A4,Data_filtered!$F$2:$F$461,O$2)/$C4</f>
        <v>0.25</v>
      </c>
      <c r="P4" s="96">
        <f>SUMIFS(Data_filtered!$G$2:$G$461,Data_filtered!$A$2:$A$461,$A4,Data_filtered!$F$2:$F$461,P$2)/$C4</f>
        <v>0</v>
      </c>
      <c r="Q4" s="96">
        <f>SUMIFS(Data_filtered!$G$2:$G$461,Data_filtered!$A$2:$A$461,$A4,Data_filtered!$F$2:$F$461,Q$2)/$C4</f>
        <v>0</v>
      </c>
      <c r="R4" s="96">
        <f>SUMIFS(Data_filtered!$G$2:$G$461,Data_filtered!$A$2:$A$461,$A4,Data_filtered!$F$2:$F$461,R$2)/$C4</f>
        <v>0</v>
      </c>
      <c r="S4" s="96">
        <f>SUMIFS(Data_filtered!$G$2:$G$461,Data_filtered!$A$2:$A$461,$A4,Data_filtered!$F$2:$F$461,S$2)/$C4</f>
        <v>0</v>
      </c>
      <c r="T4" s="96">
        <f>SUMIFS(Data_filtered!$G$2:$G$461,Data_filtered!$A$2:$A$461,$A4,Data_filtered!$F$2:$F$461,T$2)/$C4</f>
        <v>0</v>
      </c>
      <c r="U4" s="96">
        <f>SUMIFS(Data_filtered!$G$2:$G$461,Data_filtered!$A$2:$A$461,$A4,Data_filtered!$F$2:$F$461,U$2)/$C4</f>
        <v>0</v>
      </c>
      <c r="V4" s="96">
        <f>SUMIFS(Data_filtered!$G$2:$G$461,Data_filtered!$A$2:$A$461,$A4,Data_filtered!$F$2:$F$461,V$2)/$C4</f>
        <v>0</v>
      </c>
      <c r="W4" s="96">
        <f>SUMIFS(Data_filtered!$G$2:$G$461,Data_filtered!$A$2:$A$461,$A4,Data_filtered!$F$2:$F$461,W$2)/$C4</f>
        <v>0</v>
      </c>
      <c r="X4" s="96">
        <f>SUMIFS(Data_filtered!$G$2:$G$461,Data_filtered!$A$2:$A$461,$A4,Data_filtered!$F$2:$F$461,X$2)/$C4</f>
        <v>0</v>
      </c>
      <c r="Y4" s="96">
        <f>SUMIFS(Data_filtered!$G$2:$G$461,Data_filtered!$A$2:$A$461,$A4,Data_filtered!$F$2:$F$461,Y$2)/$C4</f>
        <v>0</v>
      </c>
      <c r="Z4" s="96">
        <f>SUMIFS(Data_filtered!$G$2:$G$461,Data_filtered!$A$2:$A$461,$A4,Data_filtered!$F$2:$F$461,Z$2)/$C4</f>
        <v>0</v>
      </c>
      <c r="AA4" s="96">
        <f>SUMIFS(Data_filtered!$G$2:$G$461,Data_filtered!$A$2:$A$461,$A4,Data_filtered!$F$2:$F$461,AA$2)/$C4</f>
        <v>0</v>
      </c>
      <c r="AB4" s="96">
        <f>SUMIFS(Data_filtered!$G$2:$G$461,Data_filtered!$A$2:$A$461,$A4,Data_filtered!$F$2:$F$461,AB$2)/$C4</f>
        <v>0</v>
      </c>
      <c r="AC4" s="96">
        <f>SUMIFS(Data_filtered!$G$2:$G$461,Data_filtered!$A$2:$A$461,$A4,Data_filtered!$F$2:$F$461,AC$2)/$C4</f>
        <v>0</v>
      </c>
      <c r="AD4" s="96">
        <f>SUMIFS(Data_filtered!$G$2:$G$461,Data_filtered!$A$2:$A$461,$A4,Data_filtered!$F$2:$F$461,AD$2)/$C4</f>
        <v>0</v>
      </c>
      <c r="AE4" s="96">
        <f>SUMIFS(Data_filtered!$G$2:$G$461,Data_filtered!$A$2:$A$461,$A4,Data_filtered!$F$2:$F$461,AE$2)/$C4</f>
        <v>0</v>
      </c>
      <c r="AF4" s="96">
        <f>SUMIFS(Data_filtered!$G$2:$G$461,Data_filtered!$A$2:$A$461,$A4,Data_filtered!$F$2:$F$461,AF$2)/$C4</f>
        <v>0</v>
      </c>
    </row>
    <row r="5">
      <c r="A5" s="9" t="str">
        <f>IFERROR(__xludf.DUMMYFUNCTION("""COMPUTED_VALUE"""),"Boana latistriata")</f>
        <v>Boana latistriata</v>
      </c>
      <c r="B5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su"&amp;"bstrato"",Data_filtered!$A$2:$A$461=A5))"),4.0)</f>
        <v>4</v>
      </c>
      <c r="C5" s="28">
        <f>SUMIFS(Data_filtered!$G$2:$G$461,Data_filtered!$A$2:$A$461,A5,Data_filtered!$E$2:$E$461,"&lt;&gt;Não identificado",Data_filtered!$E$2:$E$461,"&lt;&gt;Semente",Data_filtered!$E$2:$E$461,"&lt;&gt;Semente de capim",Data_filtered!$E$2:$E$461,"&lt;&gt;Apenas substrato")</f>
        <v>6</v>
      </c>
      <c r="D5" s="96">
        <f>SUMIFS(Data_filtered!$G$2:$G$461,Data_filtered!$A$2:$A$461,$A5,Data_filtered!$F$2:$F$461,D$2)/$C5</f>
        <v>0</v>
      </c>
      <c r="E5" s="96">
        <f>SUMIFS(Data_filtered!$G$2:$G$461,Data_filtered!$A$2:$A$461,$A5,Data_filtered!$F$2:$F$461,E$2)/$C5</f>
        <v>0</v>
      </c>
      <c r="F5" s="96">
        <f>SUMIFS(Data_filtered!$G$2:$G$461,Data_filtered!$A$2:$A$461,$A5,Data_filtered!$F$2:$F$461,F$2)/$C5</f>
        <v>0.1666666667</v>
      </c>
      <c r="G5" s="96">
        <f>SUMIFS(Data_filtered!$G$2:$G$461,Data_filtered!$A$2:$A$461,$A5,Data_filtered!$F$2:$F$461,G$2)/$C5</f>
        <v>0.1666666667</v>
      </c>
      <c r="H5" s="96">
        <f>SUMIFS(Data_filtered!$G$2:$G$461,Data_filtered!$A$2:$A$461,$A5,Data_filtered!$F$2:$F$461,H$2)/$C5</f>
        <v>0.1666666667</v>
      </c>
      <c r="I5" s="96">
        <f>SUMIFS(Data_filtered!$G$2:$G$461,Data_filtered!$A$2:$A$461,$A5,Data_filtered!$F$2:$F$461,I$2)/$C5</f>
        <v>0</v>
      </c>
      <c r="J5" s="96">
        <f>SUMIFS(Data_filtered!$G$2:$G$461,Data_filtered!$A$2:$A$461,$A5,Data_filtered!$F$2:$F$461,J$2)/$C5</f>
        <v>0.1666666667</v>
      </c>
      <c r="K5" s="96">
        <f>SUMIFS(Data_filtered!$G$2:$G$461,Data_filtered!$A$2:$A$461,$A5,Data_filtered!$F$2:$F$461,K$2)/$C5</f>
        <v>0.1666666667</v>
      </c>
      <c r="L5" s="96">
        <f>SUMIFS(Data_filtered!$G$2:$G$461,Data_filtered!$A$2:$A$461,$A5,Data_filtered!$F$2:$F$461,L$2)/$C5</f>
        <v>0</v>
      </c>
      <c r="M5" s="96">
        <f>SUMIFS(Data_filtered!$G$2:$G$461,Data_filtered!$A$2:$A$461,$A5,Data_filtered!$F$2:$F$461,M$2)/$C5</f>
        <v>0</v>
      </c>
      <c r="N5" s="96">
        <f>SUMIFS(Data_filtered!$G$2:$G$461,Data_filtered!$A$2:$A$461,$A5,Data_filtered!$F$2:$F$461,N$2)/$C5</f>
        <v>0</v>
      </c>
      <c r="O5" s="96">
        <f>SUMIFS(Data_filtered!$G$2:$G$461,Data_filtered!$A$2:$A$461,$A5,Data_filtered!$F$2:$F$461,O$2)/$C5</f>
        <v>0</v>
      </c>
      <c r="P5" s="96">
        <f>SUMIFS(Data_filtered!$G$2:$G$461,Data_filtered!$A$2:$A$461,$A5,Data_filtered!$F$2:$F$461,P$2)/$C5</f>
        <v>0</v>
      </c>
      <c r="Q5" s="96">
        <f>SUMIFS(Data_filtered!$G$2:$G$461,Data_filtered!$A$2:$A$461,$A5,Data_filtered!$F$2:$F$461,Q$2)/$C5</f>
        <v>0</v>
      </c>
      <c r="R5" s="96">
        <f>SUMIFS(Data_filtered!$G$2:$G$461,Data_filtered!$A$2:$A$461,$A5,Data_filtered!$F$2:$F$461,R$2)/$C5</f>
        <v>0</v>
      </c>
      <c r="S5" s="96">
        <f>SUMIFS(Data_filtered!$G$2:$G$461,Data_filtered!$A$2:$A$461,$A5,Data_filtered!$F$2:$F$461,S$2)/$C5</f>
        <v>0</v>
      </c>
      <c r="T5" s="96">
        <f>SUMIFS(Data_filtered!$G$2:$G$461,Data_filtered!$A$2:$A$461,$A5,Data_filtered!$F$2:$F$461,T$2)/$C5</f>
        <v>0</v>
      </c>
      <c r="U5" s="96">
        <f>SUMIFS(Data_filtered!$G$2:$G$461,Data_filtered!$A$2:$A$461,$A5,Data_filtered!$F$2:$F$461,U$2)/$C5</f>
        <v>0</v>
      </c>
      <c r="V5" s="96">
        <f>SUMIFS(Data_filtered!$G$2:$G$461,Data_filtered!$A$2:$A$461,$A5,Data_filtered!$F$2:$F$461,V$2)/$C5</f>
        <v>0</v>
      </c>
      <c r="W5" s="96">
        <f>SUMIFS(Data_filtered!$G$2:$G$461,Data_filtered!$A$2:$A$461,$A5,Data_filtered!$F$2:$F$461,W$2)/$C5</f>
        <v>0</v>
      </c>
      <c r="X5" s="96">
        <f>SUMIFS(Data_filtered!$G$2:$G$461,Data_filtered!$A$2:$A$461,$A5,Data_filtered!$F$2:$F$461,X$2)/$C5</f>
        <v>0</v>
      </c>
      <c r="Y5" s="96">
        <f>SUMIFS(Data_filtered!$G$2:$G$461,Data_filtered!$A$2:$A$461,$A5,Data_filtered!$F$2:$F$461,Y$2)/$C5</f>
        <v>0</v>
      </c>
      <c r="Z5" s="96">
        <f>SUMIFS(Data_filtered!$G$2:$G$461,Data_filtered!$A$2:$A$461,$A5,Data_filtered!$F$2:$F$461,Z$2)/$C5</f>
        <v>0</v>
      </c>
      <c r="AA5" s="96">
        <f>SUMIFS(Data_filtered!$G$2:$G$461,Data_filtered!$A$2:$A$461,$A5,Data_filtered!$F$2:$F$461,AA$2)/$C5</f>
        <v>0.1666666667</v>
      </c>
      <c r="AB5" s="96">
        <f>SUMIFS(Data_filtered!$G$2:$G$461,Data_filtered!$A$2:$A$461,$A5,Data_filtered!$F$2:$F$461,AB$2)/$C5</f>
        <v>0</v>
      </c>
      <c r="AC5" s="96">
        <f>SUMIFS(Data_filtered!$G$2:$G$461,Data_filtered!$A$2:$A$461,$A5,Data_filtered!$F$2:$F$461,AC$2)/$C5</f>
        <v>0</v>
      </c>
      <c r="AD5" s="96">
        <f>SUMIFS(Data_filtered!$G$2:$G$461,Data_filtered!$A$2:$A$461,$A5,Data_filtered!$F$2:$F$461,AD$2)/$C5</f>
        <v>0</v>
      </c>
      <c r="AE5" s="96">
        <f>SUMIFS(Data_filtered!$G$2:$G$461,Data_filtered!$A$2:$A$461,$A5,Data_filtered!$F$2:$F$461,AE$2)/$C5</f>
        <v>0</v>
      </c>
      <c r="AF5" s="96">
        <f>SUMIFS(Data_filtered!$G$2:$G$461,Data_filtered!$A$2:$A$461,$A5,Data_filtered!$F$2:$F$461,AF$2)/$C5</f>
        <v>0</v>
      </c>
    </row>
    <row r="6">
      <c r="A6" s="9" t="str">
        <f>IFERROR(__xludf.DUMMYFUNCTION("""COMPUTED_VALUE"""),"Boana prasina")</f>
        <v>Boana prasina</v>
      </c>
      <c r="B6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su"&amp;"bstrato"",Data_filtered!$A$2:$A$461=A6))"),1.0)</f>
        <v>1</v>
      </c>
      <c r="C6" s="28">
        <f>SUMIFS(Data_filtered!$G$2:$G$461,Data_filtered!$A$2:$A$461,A6,Data_filtered!$E$2:$E$461,"&lt;&gt;Não identificado",Data_filtered!$E$2:$E$461,"&lt;&gt;Semente",Data_filtered!$E$2:$E$461,"&lt;&gt;Semente de capim",Data_filtered!$E$2:$E$461,"&lt;&gt;Apenas substrato")</f>
        <v>1</v>
      </c>
      <c r="D6" s="96">
        <f>SUMIFS(Data_filtered!$G$2:$G$461,Data_filtered!$A$2:$A$461,$A6,Data_filtered!$F$2:$F$461,D$2)/$C6</f>
        <v>0</v>
      </c>
      <c r="E6" s="96">
        <f>SUMIFS(Data_filtered!$G$2:$G$461,Data_filtered!$A$2:$A$461,$A6,Data_filtered!$F$2:$F$461,E$2)/$C6</f>
        <v>0</v>
      </c>
      <c r="F6" s="96">
        <f>SUMIFS(Data_filtered!$G$2:$G$461,Data_filtered!$A$2:$A$461,$A6,Data_filtered!$F$2:$F$461,F$2)/$C6</f>
        <v>0</v>
      </c>
      <c r="G6" s="96">
        <f>SUMIFS(Data_filtered!$G$2:$G$461,Data_filtered!$A$2:$A$461,$A6,Data_filtered!$F$2:$F$461,G$2)/$C6</f>
        <v>0</v>
      </c>
      <c r="H6" s="96">
        <f>SUMIFS(Data_filtered!$G$2:$G$461,Data_filtered!$A$2:$A$461,$A6,Data_filtered!$F$2:$F$461,H$2)/$C6</f>
        <v>0</v>
      </c>
      <c r="I6" s="96">
        <f>SUMIFS(Data_filtered!$G$2:$G$461,Data_filtered!$A$2:$A$461,$A6,Data_filtered!$F$2:$F$461,I$2)/$C6</f>
        <v>0</v>
      </c>
      <c r="J6" s="96">
        <f>SUMIFS(Data_filtered!$G$2:$G$461,Data_filtered!$A$2:$A$461,$A6,Data_filtered!$F$2:$F$461,J$2)/$C6</f>
        <v>0</v>
      </c>
      <c r="K6" s="96">
        <f>SUMIFS(Data_filtered!$G$2:$G$461,Data_filtered!$A$2:$A$461,$A6,Data_filtered!$F$2:$F$461,K$2)/$C6</f>
        <v>0</v>
      </c>
      <c r="L6" s="96">
        <f>SUMIFS(Data_filtered!$G$2:$G$461,Data_filtered!$A$2:$A$461,$A6,Data_filtered!$F$2:$F$461,L$2)/$C6</f>
        <v>0</v>
      </c>
      <c r="M6" s="96">
        <f>SUMIFS(Data_filtered!$G$2:$G$461,Data_filtered!$A$2:$A$461,$A6,Data_filtered!$F$2:$F$461,M$2)/$C6</f>
        <v>0</v>
      </c>
      <c r="N6" s="96">
        <f>SUMIFS(Data_filtered!$G$2:$G$461,Data_filtered!$A$2:$A$461,$A6,Data_filtered!$F$2:$F$461,N$2)/$C6</f>
        <v>0</v>
      </c>
      <c r="O6" s="96">
        <f>SUMIFS(Data_filtered!$G$2:$G$461,Data_filtered!$A$2:$A$461,$A6,Data_filtered!$F$2:$F$461,O$2)/$C6</f>
        <v>0</v>
      </c>
      <c r="P6" s="96">
        <f>SUMIFS(Data_filtered!$G$2:$G$461,Data_filtered!$A$2:$A$461,$A6,Data_filtered!$F$2:$F$461,P$2)/$C6</f>
        <v>0</v>
      </c>
      <c r="Q6" s="96">
        <f>SUMIFS(Data_filtered!$G$2:$G$461,Data_filtered!$A$2:$A$461,$A6,Data_filtered!$F$2:$F$461,Q$2)/$C6</f>
        <v>0</v>
      </c>
      <c r="R6" s="96">
        <f>SUMIFS(Data_filtered!$G$2:$G$461,Data_filtered!$A$2:$A$461,$A6,Data_filtered!$F$2:$F$461,R$2)/$C6</f>
        <v>0</v>
      </c>
      <c r="S6" s="96">
        <f>SUMIFS(Data_filtered!$G$2:$G$461,Data_filtered!$A$2:$A$461,$A6,Data_filtered!$F$2:$F$461,S$2)/$C6</f>
        <v>0</v>
      </c>
      <c r="T6" s="96">
        <f>SUMIFS(Data_filtered!$G$2:$G$461,Data_filtered!$A$2:$A$461,$A6,Data_filtered!$F$2:$F$461,T$2)/$C6</f>
        <v>0</v>
      </c>
      <c r="U6" s="96">
        <f>SUMIFS(Data_filtered!$G$2:$G$461,Data_filtered!$A$2:$A$461,$A6,Data_filtered!$F$2:$F$461,U$2)/$C6</f>
        <v>0</v>
      </c>
      <c r="V6" s="96">
        <f>SUMIFS(Data_filtered!$G$2:$G$461,Data_filtered!$A$2:$A$461,$A6,Data_filtered!$F$2:$F$461,V$2)/$C6</f>
        <v>0</v>
      </c>
      <c r="W6" s="96">
        <f>SUMIFS(Data_filtered!$G$2:$G$461,Data_filtered!$A$2:$A$461,$A6,Data_filtered!$F$2:$F$461,W$2)/$C6</f>
        <v>0</v>
      </c>
      <c r="X6" s="96">
        <f>SUMIFS(Data_filtered!$G$2:$G$461,Data_filtered!$A$2:$A$461,$A6,Data_filtered!$F$2:$F$461,X$2)/$C6</f>
        <v>0</v>
      </c>
      <c r="Y6" s="96">
        <f>SUMIFS(Data_filtered!$G$2:$G$461,Data_filtered!$A$2:$A$461,$A6,Data_filtered!$F$2:$F$461,Y$2)/$C6</f>
        <v>0</v>
      </c>
      <c r="Z6" s="96">
        <f>SUMIFS(Data_filtered!$G$2:$G$461,Data_filtered!$A$2:$A$461,$A6,Data_filtered!$F$2:$F$461,Z$2)/$C6</f>
        <v>0</v>
      </c>
      <c r="AA6" s="96">
        <f>SUMIFS(Data_filtered!$G$2:$G$461,Data_filtered!$A$2:$A$461,$A6,Data_filtered!$F$2:$F$461,AA$2)/$C6</f>
        <v>1</v>
      </c>
      <c r="AB6" s="96">
        <f>SUMIFS(Data_filtered!$G$2:$G$461,Data_filtered!$A$2:$A$461,$A6,Data_filtered!$F$2:$F$461,AB$2)/$C6</f>
        <v>0</v>
      </c>
      <c r="AC6" s="96">
        <f>SUMIFS(Data_filtered!$G$2:$G$461,Data_filtered!$A$2:$A$461,$A6,Data_filtered!$F$2:$F$461,AC$2)/$C6</f>
        <v>0</v>
      </c>
      <c r="AD6" s="96">
        <f>SUMIFS(Data_filtered!$G$2:$G$461,Data_filtered!$A$2:$A$461,$A6,Data_filtered!$F$2:$F$461,AD$2)/$C6</f>
        <v>0</v>
      </c>
      <c r="AE6" s="96">
        <f>SUMIFS(Data_filtered!$G$2:$G$461,Data_filtered!$A$2:$A$461,$A6,Data_filtered!$F$2:$F$461,AE$2)/$C6</f>
        <v>0</v>
      </c>
      <c r="AF6" s="96">
        <f>SUMIFS(Data_filtered!$G$2:$G$461,Data_filtered!$A$2:$A$461,$A6,Data_filtered!$F$2:$F$461,AF$2)/$C6</f>
        <v>0</v>
      </c>
    </row>
    <row r="7">
      <c r="A7" s="9" t="str">
        <f>IFERROR(__xludf.DUMMYFUNCTION("""COMPUTED_VALUE"""),"Bokermannohyla luctuosa")</f>
        <v>Bokermannohyla luctuosa</v>
      </c>
      <c r="B7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su"&amp;"bstrato"",Data_filtered!$A$2:$A$461=A7))"),10.0)</f>
        <v>10</v>
      </c>
      <c r="C7" s="28">
        <f>SUMIFS(Data_filtered!$G$2:$G$461,Data_filtered!$A$2:$A$461,A7,Data_filtered!$E$2:$E$461,"&lt;&gt;Não identificado",Data_filtered!$E$2:$E$461,"&lt;&gt;Semente",Data_filtered!$E$2:$E$461,"&lt;&gt;Semente de capim",Data_filtered!$E$2:$E$461,"&lt;&gt;Apenas substrato")</f>
        <v>14</v>
      </c>
      <c r="D7" s="96">
        <f>SUMIFS(Data_filtered!$G$2:$G$461,Data_filtered!$A$2:$A$461,$A7,Data_filtered!$F$2:$F$461,D$2)/$C7</f>
        <v>0.07142857143</v>
      </c>
      <c r="E7" s="96">
        <f>SUMIFS(Data_filtered!$G$2:$G$461,Data_filtered!$A$2:$A$461,$A7,Data_filtered!$F$2:$F$461,E$2)/$C7</f>
        <v>0</v>
      </c>
      <c r="F7" s="96">
        <f>SUMIFS(Data_filtered!$G$2:$G$461,Data_filtered!$A$2:$A$461,$A7,Data_filtered!$F$2:$F$461,F$2)/$C7</f>
        <v>0.1428571429</v>
      </c>
      <c r="G7" s="96">
        <f>SUMIFS(Data_filtered!$G$2:$G$461,Data_filtered!$A$2:$A$461,$A7,Data_filtered!$F$2:$F$461,G$2)/$C7</f>
        <v>0.07142857143</v>
      </c>
      <c r="H7" s="96">
        <f>SUMIFS(Data_filtered!$G$2:$G$461,Data_filtered!$A$2:$A$461,$A7,Data_filtered!$F$2:$F$461,H$2)/$C7</f>
        <v>0.07142857143</v>
      </c>
      <c r="I7" s="96">
        <f>SUMIFS(Data_filtered!$G$2:$G$461,Data_filtered!$A$2:$A$461,$A7,Data_filtered!$F$2:$F$461,I$2)/$C7</f>
        <v>0</v>
      </c>
      <c r="J7" s="96">
        <f>SUMIFS(Data_filtered!$G$2:$G$461,Data_filtered!$A$2:$A$461,$A7,Data_filtered!$F$2:$F$461,J$2)/$C7</f>
        <v>0.07142857143</v>
      </c>
      <c r="K7" s="96">
        <f>SUMIFS(Data_filtered!$G$2:$G$461,Data_filtered!$A$2:$A$461,$A7,Data_filtered!$F$2:$F$461,K$2)/$C7</f>
        <v>0</v>
      </c>
      <c r="L7" s="96">
        <f>SUMIFS(Data_filtered!$G$2:$G$461,Data_filtered!$A$2:$A$461,$A7,Data_filtered!$F$2:$F$461,L$2)/$C7</f>
        <v>0</v>
      </c>
      <c r="M7" s="96">
        <f>SUMIFS(Data_filtered!$G$2:$G$461,Data_filtered!$A$2:$A$461,$A7,Data_filtered!$F$2:$F$461,M$2)/$C7</f>
        <v>0</v>
      </c>
      <c r="N7" s="96">
        <f>SUMIFS(Data_filtered!$G$2:$G$461,Data_filtered!$A$2:$A$461,$A7,Data_filtered!$F$2:$F$461,N$2)/$C7</f>
        <v>0.1428571429</v>
      </c>
      <c r="O7" s="96">
        <f>SUMIFS(Data_filtered!$G$2:$G$461,Data_filtered!$A$2:$A$461,$A7,Data_filtered!$F$2:$F$461,O$2)/$C7</f>
        <v>0.07142857143</v>
      </c>
      <c r="P7" s="96">
        <f>SUMIFS(Data_filtered!$G$2:$G$461,Data_filtered!$A$2:$A$461,$A7,Data_filtered!$F$2:$F$461,P$2)/$C7</f>
        <v>0</v>
      </c>
      <c r="Q7" s="96">
        <f>SUMIFS(Data_filtered!$G$2:$G$461,Data_filtered!$A$2:$A$461,$A7,Data_filtered!$F$2:$F$461,Q$2)/$C7</f>
        <v>0</v>
      </c>
      <c r="R7" s="96">
        <f>SUMIFS(Data_filtered!$G$2:$G$461,Data_filtered!$A$2:$A$461,$A7,Data_filtered!$F$2:$F$461,R$2)/$C7</f>
        <v>0.2142857143</v>
      </c>
      <c r="S7" s="96">
        <f>SUMIFS(Data_filtered!$G$2:$G$461,Data_filtered!$A$2:$A$461,$A7,Data_filtered!$F$2:$F$461,S$2)/$C7</f>
        <v>0</v>
      </c>
      <c r="T7" s="96">
        <f>SUMIFS(Data_filtered!$G$2:$G$461,Data_filtered!$A$2:$A$461,$A7,Data_filtered!$F$2:$F$461,T$2)/$C7</f>
        <v>0</v>
      </c>
      <c r="U7" s="96">
        <f>SUMIFS(Data_filtered!$G$2:$G$461,Data_filtered!$A$2:$A$461,$A7,Data_filtered!$F$2:$F$461,U$2)/$C7</f>
        <v>0</v>
      </c>
      <c r="V7" s="96">
        <f>SUMIFS(Data_filtered!$G$2:$G$461,Data_filtered!$A$2:$A$461,$A7,Data_filtered!$F$2:$F$461,V$2)/$C7</f>
        <v>0</v>
      </c>
      <c r="W7" s="96">
        <f>SUMIFS(Data_filtered!$G$2:$G$461,Data_filtered!$A$2:$A$461,$A7,Data_filtered!$F$2:$F$461,W$2)/$C7</f>
        <v>0</v>
      </c>
      <c r="X7" s="96">
        <f>SUMIFS(Data_filtered!$G$2:$G$461,Data_filtered!$A$2:$A$461,$A7,Data_filtered!$F$2:$F$461,X$2)/$C7</f>
        <v>0</v>
      </c>
      <c r="Y7" s="96">
        <f>SUMIFS(Data_filtered!$G$2:$G$461,Data_filtered!$A$2:$A$461,$A7,Data_filtered!$F$2:$F$461,Y$2)/$C7</f>
        <v>0</v>
      </c>
      <c r="Z7" s="96">
        <f>SUMIFS(Data_filtered!$G$2:$G$461,Data_filtered!$A$2:$A$461,$A7,Data_filtered!$F$2:$F$461,Z$2)/$C7</f>
        <v>0.07142857143</v>
      </c>
      <c r="AA7" s="96">
        <f>SUMIFS(Data_filtered!$G$2:$G$461,Data_filtered!$A$2:$A$461,$A7,Data_filtered!$F$2:$F$461,AA$2)/$C7</f>
        <v>0.07142857143</v>
      </c>
      <c r="AB7" s="96">
        <f>SUMIFS(Data_filtered!$G$2:$G$461,Data_filtered!$A$2:$A$461,$A7,Data_filtered!$F$2:$F$461,AB$2)/$C7</f>
        <v>0</v>
      </c>
      <c r="AC7" s="96">
        <f>SUMIFS(Data_filtered!$G$2:$G$461,Data_filtered!$A$2:$A$461,$A7,Data_filtered!$F$2:$F$461,AC$2)/$C7</f>
        <v>0</v>
      </c>
      <c r="AD7" s="96">
        <f>SUMIFS(Data_filtered!$G$2:$G$461,Data_filtered!$A$2:$A$461,$A7,Data_filtered!$F$2:$F$461,AD$2)/$C7</f>
        <v>0</v>
      </c>
      <c r="AE7" s="96">
        <f>SUMIFS(Data_filtered!$G$2:$G$461,Data_filtered!$A$2:$A$461,$A7,Data_filtered!$F$2:$F$461,AE$2)/$C7</f>
        <v>0</v>
      </c>
      <c r="AF7" s="96">
        <f>SUMIFS(Data_filtered!$G$2:$G$461,Data_filtered!$A$2:$A$461,$A7,Data_filtered!$F$2:$F$461,AF$2)/$C7</f>
        <v>0</v>
      </c>
    </row>
    <row r="8">
      <c r="A8" s="9" t="str">
        <f>IFERROR(__xludf.DUMMYFUNCTION("""COMPUTED_VALUE"""),"Chiasmocleis mantiqueira")</f>
        <v>Chiasmocleis mantiqueira</v>
      </c>
      <c r="B8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su"&amp;"bstrato"",Data_filtered!$A$2:$A$461=A8))"),14.0)</f>
        <v>14</v>
      </c>
      <c r="C8" s="28">
        <f>SUMIFS(Data_filtered!$G$2:$G$461,Data_filtered!$A$2:$A$461,A8,Data_filtered!$E$2:$E$461,"&lt;&gt;Não identificado",Data_filtered!$E$2:$E$461,"&lt;&gt;Semente",Data_filtered!$E$2:$E$461,"&lt;&gt;Semente de capim",Data_filtered!$E$2:$E$461,"&lt;&gt;Apenas substrato")</f>
        <v>91</v>
      </c>
      <c r="D8" s="96">
        <f>SUMIFS(Data_filtered!$G$2:$G$461,Data_filtered!$A$2:$A$461,$A8,Data_filtered!$F$2:$F$461,D$2)/$C8</f>
        <v>0.01098901099</v>
      </c>
      <c r="E8" s="96">
        <f>SUMIFS(Data_filtered!$G$2:$G$461,Data_filtered!$A$2:$A$461,$A8,Data_filtered!$F$2:$F$461,E$2)/$C8</f>
        <v>0</v>
      </c>
      <c r="F8" s="96">
        <f>SUMIFS(Data_filtered!$G$2:$G$461,Data_filtered!$A$2:$A$461,$A8,Data_filtered!$F$2:$F$461,F$2)/$C8</f>
        <v>0</v>
      </c>
      <c r="G8" s="96">
        <f>SUMIFS(Data_filtered!$G$2:$G$461,Data_filtered!$A$2:$A$461,$A8,Data_filtered!$F$2:$F$461,G$2)/$C8</f>
        <v>0.02197802198</v>
      </c>
      <c r="H8" s="96">
        <f>SUMIFS(Data_filtered!$G$2:$G$461,Data_filtered!$A$2:$A$461,$A8,Data_filtered!$F$2:$F$461,H$2)/$C8</f>
        <v>0</v>
      </c>
      <c r="I8" s="96">
        <f>SUMIFS(Data_filtered!$G$2:$G$461,Data_filtered!$A$2:$A$461,$A8,Data_filtered!$F$2:$F$461,I$2)/$C8</f>
        <v>0</v>
      </c>
      <c r="J8" s="96">
        <f>SUMIFS(Data_filtered!$G$2:$G$461,Data_filtered!$A$2:$A$461,$A8,Data_filtered!$F$2:$F$461,J$2)/$C8</f>
        <v>0.05494505495</v>
      </c>
      <c r="K8" s="96">
        <f>SUMIFS(Data_filtered!$G$2:$G$461,Data_filtered!$A$2:$A$461,$A8,Data_filtered!$F$2:$F$461,K$2)/$C8</f>
        <v>0</v>
      </c>
      <c r="L8" s="96">
        <f>SUMIFS(Data_filtered!$G$2:$G$461,Data_filtered!$A$2:$A$461,$A8,Data_filtered!$F$2:$F$461,L$2)/$C8</f>
        <v>0</v>
      </c>
      <c r="M8" s="96">
        <f>SUMIFS(Data_filtered!$G$2:$G$461,Data_filtered!$A$2:$A$461,$A8,Data_filtered!$F$2:$F$461,M$2)/$C8</f>
        <v>0</v>
      </c>
      <c r="N8" s="96">
        <f>SUMIFS(Data_filtered!$G$2:$G$461,Data_filtered!$A$2:$A$461,$A8,Data_filtered!$F$2:$F$461,N$2)/$C8</f>
        <v>0</v>
      </c>
      <c r="O8" s="96">
        <f>SUMIFS(Data_filtered!$G$2:$G$461,Data_filtered!$A$2:$A$461,$A8,Data_filtered!$F$2:$F$461,O$2)/$C8</f>
        <v>0</v>
      </c>
      <c r="P8" s="96">
        <f>SUMIFS(Data_filtered!$G$2:$G$461,Data_filtered!$A$2:$A$461,$A8,Data_filtered!$F$2:$F$461,P$2)/$C8</f>
        <v>0.9010989011</v>
      </c>
      <c r="Q8" s="96">
        <f>SUMIFS(Data_filtered!$G$2:$G$461,Data_filtered!$A$2:$A$461,$A8,Data_filtered!$F$2:$F$461,Q$2)/$C8</f>
        <v>0</v>
      </c>
      <c r="R8" s="96">
        <f>SUMIFS(Data_filtered!$G$2:$G$461,Data_filtered!$A$2:$A$461,$A8,Data_filtered!$F$2:$F$461,R$2)/$C8</f>
        <v>0</v>
      </c>
      <c r="S8" s="96">
        <f>SUMIFS(Data_filtered!$G$2:$G$461,Data_filtered!$A$2:$A$461,$A8,Data_filtered!$F$2:$F$461,S$2)/$C8</f>
        <v>0</v>
      </c>
      <c r="T8" s="96">
        <f>SUMIFS(Data_filtered!$G$2:$G$461,Data_filtered!$A$2:$A$461,$A8,Data_filtered!$F$2:$F$461,T$2)/$C8</f>
        <v>0</v>
      </c>
      <c r="U8" s="96">
        <f>SUMIFS(Data_filtered!$G$2:$G$461,Data_filtered!$A$2:$A$461,$A8,Data_filtered!$F$2:$F$461,U$2)/$C8</f>
        <v>0</v>
      </c>
      <c r="V8" s="96">
        <f>SUMIFS(Data_filtered!$G$2:$G$461,Data_filtered!$A$2:$A$461,$A8,Data_filtered!$F$2:$F$461,V$2)/$C8</f>
        <v>0</v>
      </c>
      <c r="W8" s="96">
        <f>SUMIFS(Data_filtered!$G$2:$G$461,Data_filtered!$A$2:$A$461,$A8,Data_filtered!$F$2:$F$461,W$2)/$C8</f>
        <v>0</v>
      </c>
      <c r="X8" s="96">
        <f>SUMIFS(Data_filtered!$G$2:$G$461,Data_filtered!$A$2:$A$461,$A8,Data_filtered!$F$2:$F$461,X$2)/$C8</f>
        <v>0</v>
      </c>
      <c r="Y8" s="96">
        <f>SUMIFS(Data_filtered!$G$2:$G$461,Data_filtered!$A$2:$A$461,$A8,Data_filtered!$F$2:$F$461,Y$2)/$C8</f>
        <v>0</v>
      </c>
      <c r="Z8" s="96">
        <f>SUMIFS(Data_filtered!$G$2:$G$461,Data_filtered!$A$2:$A$461,$A8,Data_filtered!$F$2:$F$461,Z$2)/$C8</f>
        <v>0.01098901099</v>
      </c>
      <c r="AA8" s="96">
        <f>SUMIFS(Data_filtered!$G$2:$G$461,Data_filtered!$A$2:$A$461,$A8,Data_filtered!$F$2:$F$461,AA$2)/$C8</f>
        <v>0</v>
      </c>
      <c r="AB8" s="96">
        <f>SUMIFS(Data_filtered!$G$2:$G$461,Data_filtered!$A$2:$A$461,$A8,Data_filtered!$F$2:$F$461,AB$2)/$C8</f>
        <v>0</v>
      </c>
      <c r="AC8" s="96">
        <f>SUMIFS(Data_filtered!$G$2:$G$461,Data_filtered!$A$2:$A$461,$A8,Data_filtered!$F$2:$F$461,AC$2)/$C8</f>
        <v>0</v>
      </c>
      <c r="AD8" s="96">
        <f>SUMIFS(Data_filtered!$G$2:$G$461,Data_filtered!$A$2:$A$461,$A8,Data_filtered!$F$2:$F$461,AD$2)/$C8</f>
        <v>0</v>
      </c>
      <c r="AE8" s="96">
        <f>SUMIFS(Data_filtered!$G$2:$G$461,Data_filtered!$A$2:$A$461,$A8,Data_filtered!$F$2:$F$461,AE$2)/$C8</f>
        <v>0</v>
      </c>
      <c r="AF8" s="96">
        <f>SUMIFS(Data_filtered!$G$2:$G$461,Data_filtered!$A$2:$A$461,$A8,Data_filtered!$F$2:$F$461,AF$2)/$C8</f>
        <v>0</v>
      </c>
    </row>
    <row r="9">
      <c r="A9" s="9" t="str">
        <f>IFERROR(__xludf.DUMMYFUNCTION("""COMPUTED_VALUE"""),"Dendropsophus microps")</f>
        <v>Dendropsophus microps</v>
      </c>
      <c r="B9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su"&amp;"bstrato"",Data_filtered!$A$2:$A$461=A9))"),7.0)</f>
        <v>7</v>
      </c>
      <c r="C9" s="28">
        <f>SUMIFS(Data_filtered!$G$2:$G$461,Data_filtered!$A$2:$A$461,A9,Data_filtered!$E$2:$E$461,"&lt;&gt;Não identificado",Data_filtered!$E$2:$E$461,"&lt;&gt;Semente",Data_filtered!$E$2:$E$461,"&lt;&gt;Semente de capim",Data_filtered!$E$2:$E$461,"&lt;&gt;Apenas substrato")</f>
        <v>23</v>
      </c>
      <c r="D9" s="96">
        <f>SUMIFS(Data_filtered!$G$2:$G$461,Data_filtered!$A$2:$A$461,$A9,Data_filtered!$F$2:$F$461,D$2)/$C9</f>
        <v>0</v>
      </c>
      <c r="E9" s="96">
        <f>SUMIFS(Data_filtered!$G$2:$G$461,Data_filtered!$A$2:$A$461,$A9,Data_filtered!$F$2:$F$461,E$2)/$C9</f>
        <v>0</v>
      </c>
      <c r="F9" s="96">
        <f>SUMIFS(Data_filtered!$G$2:$G$461,Data_filtered!$A$2:$A$461,$A9,Data_filtered!$F$2:$F$461,F$2)/$C9</f>
        <v>0.04347826087</v>
      </c>
      <c r="G9" s="96">
        <f>SUMIFS(Data_filtered!$G$2:$G$461,Data_filtered!$A$2:$A$461,$A9,Data_filtered!$F$2:$F$461,G$2)/$C9</f>
        <v>0</v>
      </c>
      <c r="H9" s="96">
        <f>SUMIFS(Data_filtered!$G$2:$G$461,Data_filtered!$A$2:$A$461,$A9,Data_filtered!$F$2:$F$461,H$2)/$C9</f>
        <v>0</v>
      </c>
      <c r="I9" s="96">
        <f>SUMIFS(Data_filtered!$G$2:$G$461,Data_filtered!$A$2:$A$461,$A9,Data_filtered!$F$2:$F$461,I$2)/$C9</f>
        <v>0</v>
      </c>
      <c r="J9" s="96">
        <f>SUMIFS(Data_filtered!$G$2:$G$461,Data_filtered!$A$2:$A$461,$A9,Data_filtered!$F$2:$F$461,J$2)/$C9</f>
        <v>0.2608695652</v>
      </c>
      <c r="K9" s="96">
        <f>SUMIFS(Data_filtered!$G$2:$G$461,Data_filtered!$A$2:$A$461,$A9,Data_filtered!$F$2:$F$461,K$2)/$C9</f>
        <v>0</v>
      </c>
      <c r="L9" s="96">
        <f>SUMIFS(Data_filtered!$G$2:$G$461,Data_filtered!$A$2:$A$461,$A9,Data_filtered!$F$2:$F$461,L$2)/$C9</f>
        <v>0</v>
      </c>
      <c r="M9" s="96">
        <f>SUMIFS(Data_filtered!$G$2:$G$461,Data_filtered!$A$2:$A$461,$A9,Data_filtered!$F$2:$F$461,M$2)/$C9</f>
        <v>0</v>
      </c>
      <c r="N9" s="96">
        <f>SUMIFS(Data_filtered!$G$2:$G$461,Data_filtered!$A$2:$A$461,$A9,Data_filtered!$F$2:$F$461,N$2)/$C9</f>
        <v>0</v>
      </c>
      <c r="O9" s="96">
        <f>SUMIFS(Data_filtered!$G$2:$G$461,Data_filtered!$A$2:$A$461,$A9,Data_filtered!$F$2:$F$461,O$2)/$C9</f>
        <v>0</v>
      </c>
      <c r="P9" s="96">
        <f>SUMIFS(Data_filtered!$G$2:$G$461,Data_filtered!$A$2:$A$461,$A9,Data_filtered!$F$2:$F$461,P$2)/$C9</f>
        <v>0</v>
      </c>
      <c r="Q9" s="96">
        <f>SUMIFS(Data_filtered!$G$2:$G$461,Data_filtered!$A$2:$A$461,$A9,Data_filtered!$F$2:$F$461,Q$2)/$C9</f>
        <v>0</v>
      </c>
      <c r="R9" s="96">
        <f>SUMIFS(Data_filtered!$G$2:$G$461,Data_filtered!$A$2:$A$461,$A9,Data_filtered!$F$2:$F$461,R$2)/$C9</f>
        <v>0</v>
      </c>
      <c r="S9" s="96">
        <f>SUMIFS(Data_filtered!$G$2:$G$461,Data_filtered!$A$2:$A$461,$A9,Data_filtered!$F$2:$F$461,S$2)/$C9</f>
        <v>0.08695652174</v>
      </c>
      <c r="T9" s="96">
        <f>SUMIFS(Data_filtered!$G$2:$G$461,Data_filtered!$A$2:$A$461,$A9,Data_filtered!$F$2:$F$461,T$2)/$C9</f>
        <v>0</v>
      </c>
      <c r="U9" s="96">
        <f>SUMIFS(Data_filtered!$G$2:$G$461,Data_filtered!$A$2:$A$461,$A9,Data_filtered!$F$2:$F$461,U$2)/$C9</f>
        <v>0.5652173913</v>
      </c>
      <c r="V9" s="96">
        <f>SUMIFS(Data_filtered!$G$2:$G$461,Data_filtered!$A$2:$A$461,$A9,Data_filtered!$F$2:$F$461,V$2)/$C9</f>
        <v>0</v>
      </c>
      <c r="W9" s="96">
        <f>SUMIFS(Data_filtered!$G$2:$G$461,Data_filtered!$A$2:$A$461,$A9,Data_filtered!$F$2:$F$461,W$2)/$C9</f>
        <v>0</v>
      </c>
      <c r="X9" s="96">
        <f>SUMIFS(Data_filtered!$G$2:$G$461,Data_filtered!$A$2:$A$461,$A9,Data_filtered!$F$2:$F$461,X$2)/$C9</f>
        <v>0</v>
      </c>
      <c r="Y9" s="96">
        <f>SUMIFS(Data_filtered!$G$2:$G$461,Data_filtered!$A$2:$A$461,$A9,Data_filtered!$F$2:$F$461,Y$2)/$C9</f>
        <v>0.04347826087</v>
      </c>
      <c r="Z9" s="96">
        <f>SUMIFS(Data_filtered!$G$2:$G$461,Data_filtered!$A$2:$A$461,$A9,Data_filtered!$F$2:$F$461,Z$2)/$C9</f>
        <v>0</v>
      </c>
      <c r="AA9" s="96">
        <f>SUMIFS(Data_filtered!$G$2:$G$461,Data_filtered!$A$2:$A$461,$A9,Data_filtered!$F$2:$F$461,AA$2)/$C9</f>
        <v>0</v>
      </c>
      <c r="AB9" s="96">
        <f>SUMIFS(Data_filtered!$G$2:$G$461,Data_filtered!$A$2:$A$461,$A9,Data_filtered!$F$2:$F$461,AB$2)/$C9</f>
        <v>0</v>
      </c>
      <c r="AC9" s="96">
        <f>SUMIFS(Data_filtered!$G$2:$G$461,Data_filtered!$A$2:$A$461,$A9,Data_filtered!$F$2:$F$461,AC$2)/$C9</f>
        <v>0</v>
      </c>
      <c r="AD9" s="96">
        <f>SUMIFS(Data_filtered!$G$2:$G$461,Data_filtered!$A$2:$A$461,$A9,Data_filtered!$F$2:$F$461,AD$2)/$C9</f>
        <v>0</v>
      </c>
      <c r="AE9" s="96">
        <f>SUMIFS(Data_filtered!$G$2:$G$461,Data_filtered!$A$2:$A$461,$A9,Data_filtered!$F$2:$F$461,AE$2)/$C9</f>
        <v>0</v>
      </c>
      <c r="AF9" s="96">
        <f>SUMIFS(Data_filtered!$G$2:$G$461,Data_filtered!$A$2:$A$461,$A9,Data_filtered!$F$2:$F$461,AF$2)/$C9</f>
        <v>0</v>
      </c>
    </row>
    <row r="10">
      <c r="A10" s="9" t="str">
        <f>IFERROR(__xludf.DUMMYFUNCTION("""COMPUTED_VALUE"""),"Dendropsophus minutus")</f>
        <v>Dendropsophus minutus</v>
      </c>
      <c r="B10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su"&amp;"bstrato"",Data_filtered!$A$2:$A$461=A10))"),1.0)</f>
        <v>1</v>
      </c>
      <c r="C10" s="28">
        <f>SUMIFS(Data_filtered!$G$2:$G$461,Data_filtered!$A$2:$A$461,A10,Data_filtered!$E$2:$E$461,"&lt;&gt;Não identificado",Data_filtered!$E$2:$E$461,"&lt;&gt;Semente",Data_filtered!$E$2:$E$461,"&lt;&gt;Semente de capim",Data_filtered!$E$2:$E$461,"&lt;&gt;Apenas substrato")</f>
        <v>1</v>
      </c>
      <c r="D10" s="96">
        <f>SUMIFS(Data_filtered!$G$2:$G$461,Data_filtered!$A$2:$A$461,$A10,Data_filtered!$F$2:$F$461,D$2)/$C10</f>
        <v>0</v>
      </c>
      <c r="E10" s="96">
        <f>SUMIFS(Data_filtered!$G$2:$G$461,Data_filtered!$A$2:$A$461,$A10,Data_filtered!$F$2:$F$461,E$2)/$C10</f>
        <v>0</v>
      </c>
      <c r="F10" s="96">
        <f>SUMIFS(Data_filtered!$G$2:$G$461,Data_filtered!$A$2:$A$461,$A10,Data_filtered!$F$2:$F$461,F$2)/$C10</f>
        <v>0</v>
      </c>
      <c r="G10" s="96">
        <f>SUMIFS(Data_filtered!$G$2:$G$461,Data_filtered!$A$2:$A$461,$A10,Data_filtered!$F$2:$F$461,G$2)/$C10</f>
        <v>0</v>
      </c>
      <c r="H10" s="96">
        <f>SUMIFS(Data_filtered!$G$2:$G$461,Data_filtered!$A$2:$A$461,$A10,Data_filtered!$F$2:$F$461,H$2)/$C10</f>
        <v>0</v>
      </c>
      <c r="I10" s="96">
        <f>SUMIFS(Data_filtered!$G$2:$G$461,Data_filtered!$A$2:$A$461,$A10,Data_filtered!$F$2:$F$461,I$2)/$C10</f>
        <v>0</v>
      </c>
      <c r="J10" s="96">
        <f>SUMIFS(Data_filtered!$G$2:$G$461,Data_filtered!$A$2:$A$461,$A10,Data_filtered!$F$2:$F$461,J$2)/$C10</f>
        <v>0</v>
      </c>
      <c r="K10" s="96">
        <f>SUMIFS(Data_filtered!$G$2:$G$461,Data_filtered!$A$2:$A$461,$A10,Data_filtered!$F$2:$F$461,K$2)/$C10</f>
        <v>0</v>
      </c>
      <c r="L10" s="96">
        <f>SUMIFS(Data_filtered!$G$2:$G$461,Data_filtered!$A$2:$A$461,$A10,Data_filtered!$F$2:$F$461,L$2)/$C10</f>
        <v>0</v>
      </c>
      <c r="M10" s="96">
        <f>SUMIFS(Data_filtered!$G$2:$G$461,Data_filtered!$A$2:$A$461,$A10,Data_filtered!$F$2:$F$461,M$2)/$C10</f>
        <v>0</v>
      </c>
      <c r="N10" s="96">
        <f>SUMIFS(Data_filtered!$G$2:$G$461,Data_filtered!$A$2:$A$461,$A10,Data_filtered!$F$2:$F$461,N$2)/$C10</f>
        <v>0</v>
      </c>
      <c r="O10" s="96">
        <f>SUMIFS(Data_filtered!$G$2:$G$461,Data_filtered!$A$2:$A$461,$A10,Data_filtered!$F$2:$F$461,O$2)/$C10</f>
        <v>0</v>
      </c>
      <c r="P10" s="96">
        <f>SUMIFS(Data_filtered!$G$2:$G$461,Data_filtered!$A$2:$A$461,$A10,Data_filtered!$F$2:$F$461,P$2)/$C10</f>
        <v>0</v>
      </c>
      <c r="Q10" s="96">
        <f>SUMIFS(Data_filtered!$G$2:$G$461,Data_filtered!$A$2:$A$461,$A10,Data_filtered!$F$2:$F$461,Q$2)/$C10</f>
        <v>0</v>
      </c>
      <c r="R10" s="96">
        <f>SUMIFS(Data_filtered!$G$2:$G$461,Data_filtered!$A$2:$A$461,$A10,Data_filtered!$F$2:$F$461,R$2)/$C10</f>
        <v>0</v>
      </c>
      <c r="S10" s="96">
        <f>SUMIFS(Data_filtered!$G$2:$G$461,Data_filtered!$A$2:$A$461,$A10,Data_filtered!$F$2:$F$461,S$2)/$C10</f>
        <v>0</v>
      </c>
      <c r="T10" s="96">
        <f>SUMIFS(Data_filtered!$G$2:$G$461,Data_filtered!$A$2:$A$461,$A10,Data_filtered!$F$2:$F$461,T$2)/$C10</f>
        <v>0</v>
      </c>
      <c r="U10" s="96">
        <f>SUMIFS(Data_filtered!$G$2:$G$461,Data_filtered!$A$2:$A$461,$A10,Data_filtered!$F$2:$F$461,U$2)/$C10</f>
        <v>0</v>
      </c>
      <c r="V10" s="96">
        <f>SUMIFS(Data_filtered!$G$2:$G$461,Data_filtered!$A$2:$A$461,$A10,Data_filtered!$F$2:$F$461,V$2)/$C10</f>
        <v>0</v>
      </c>
      <c r="W10" s="96">
        <f>SUMIFS(Data_filtered!$G$2:$G$461,Data_filtered!$A$2:$A$461,$A10,Data_filtered!$F$2:$F$461,W$2)/$C10</f>
        <v>0</v>
      </c>
      <c r="X10" s="96">
        <f>SUMIFS(Data_filtered!$G$2:$G$461,Data_filtered!$A$2:$A$461,$A10,Data_filtered!$F$2:$F$461,X$2)/$C10</f>
        <v>0</v>
      </c>
      <c r="Y10" s="96">
        <f>SUMIFS(Data_filtered!$G$2:$G$461,Data_filtered!$A$2:$A$461,$A10,Data_filtered!$F$2:$F$461,Y$2)/$C10</f>
        <v>0</v>
      </c>
      <c r="Z10" s="96">
        <f>SUMIFS(Data_filtered!$G$2:$G$461,Data_filtered!$A$2:$A$461,$A10,Data_filtered!$F$2:$F$461,Z$2)/$C10</f>
        <v>0</v>
      </c>
      <c r="AA10" s="96">
        <f>SUMIFS(Data_filtered!$G$2:$G$461,Data_filtered!$A$2:$A$461,$A10,Data_filtered!$F$2:$F$461,AA$2)/$C10</f>
        <v>0</v>
      </c>
      <c r="AB10" s="96">
        <f>SUMIFS(Data_filtered!$G$2:$G$461,Data_filtered!$A$2:$A$461,$A10,Data_filtered!$F$2:$F$461,AB$2)/$C10</f>
        <v>0</v>
      </c>
      <c r="AC10" s="96">
        <f>SUMIFS(Data_filtered!$G$2:$G$461,Data_filtered!$A$2:$A$461,$A10,Data_filtered!$F$2:$F$461,AC$2)/$C10</f>
        <v>0</v>
      </c>
      <c r="AD10" s="96">
        <f>SUMIFS(Data_filtered!$G$2:$G$461,Data_filtered!$A$2:$A$461,$A10,Data_filtered!$F$2:$F$461,AD$2)/$C10</f>
        <v>0</v>
      </c>
      <c r="AE10" s="96">
        <f>SUMIFS(Data_filtered!$G$2:$G$461,Data_filtered!$A$2:$A$461,$A10,Data_filtered!$F$2:$F$461,AE$2)/$C10</f>
        <v>1</v>
      </c>
      <c r="AF10" s="96">
        <f>SUMIFS(Data_filtered!$G$2:$G$461,Data_filtered!$A$2:$A$461,$A10,Data_filtered!$F$2:$F$461,AF$2)/$C10</f>
        <v>0</v>
      </c>
    </row>
    <row r="11">
      <c r="A11" s="9" t="str">
        <f>IFERROR(__xludf.DUMMYFUNCTION("""COMPUTED_VALUE"""),"Hylodes aff. sazimai")</f>
        <v>Hylodes aff. sazimai</v>
      </c>
      <c r="B11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su"&amp;"bstrato"",Data_filtered!$A$2:$A$461=A11))"),5.0)</f>
        <v>5</v>
      </c>
      <c r="C11" s="28">
        <f>SUMIFS(Data_filtered!$G$2:$G$461,Data_filtered!$A$2:$A$461,A11,Data_filtered!$E$2:$E$461,"&lt;&gt;Não identificado",Data_filtered!$E$2:$E$461,"&lt;&gt;Semente",Data_filtered!$E$2:$E$461,"&lt;&gt;Semente de capim",Data_filtered!$E$2:$E$461,"&lt;&gt;Apenas substrato")</f>
        <v>9</v>
      </c>
      <c r="D11" s="96">
        <f>SUMIFS(Data_filtered!$G$2:$G$461,Data_filtered!$A$2:$A$461,$A11,Data_filtered!$F$2:$F$461,D$2)/$C11</f>
        <v>0</v>
      </c>
      <c r="E11" s="96">
        <f>SUMIFS(Data_filtered!$G$2:$G$461,Data_filtered!$A$2:$A$461,$A11,Data_filtered!$F$2:$F$461,E$2)/$C11</f>
        <v>0</v>
      </c>
      <c r="F11" s="96">
        <f>SUMIFS(Data_filtered!$G$2:$G$461,Data_filtered!$A$2:$A$461,$A11,Data_filtered!$F$2:$F$461,F$2)/$C11</f>
        <v>0.2222222222</v>
      </c>
      <c r="G11" s="96">
        <f>SUMIFS(Data_filtered!$G$2:$G$461,Data_filtered!$A$2:$A$461,$A11,Data_filtered!$F$2:$F$461,G$2)/$C11</f>
        <v>0</v>
      </c>
      <c r="H11" s="96">
        <f>SUMIFS(Data_filtered!$G$2:$G$461,Data_filtered!$A$2:$A$461,$A11,Data_filtered!$F$2:$F$461,H$2)/$C11</f>
        <v>0</v>
      </c>
      <c r="I11" s="96">
        <f>SUMIFS(Data_filtered!$G$2:$G$461,Data_filtered!$A$2:$A$461,$A11,Data_filtered!$F$2:$F$461,I$2)/$C11</f>
        <v>0</v>
      </c>
      <c r="J11" s="96">
        <f>SUMIFS(Data_filtered!$G$2:$G$461,Data_filtered!$A$2:$A$461,$A11,Data_filtered!$F$2:$F$461,J$2)/$C11</f>
        <v>0.3333333333</v>
      </c>
      <c r="K11" s="96">
        <f>SUMIFS(Data_filtered!$G$2:$G$461,Data_filtered!$A$2:$A$461,$A11,Data_filtered!$F$2:$F$461,K$2)/$C11</f>
        <v>0</v>
      </c>
      <c r="L11" s="96">
        <f>SUMIFS(Data_filtered!$G$2:$G$461,Data_filtered!$A$2:$A$461,$A11,Data_filtered!$F$2:$F$461,L$2)/$C11</f>
        <v>0.1111111111</v>
      </c>
      <c r="M11" s="96">
        <f>SUMIFS(Data_filtered!$G$2:$G$461,Data_filtered!$A$2:$A$461,$A11,Data_filtered!$F$2:$F$461,M$2)/$C11</f>
        <v>0.1111111111</v>
      </c>
      <c r="N11" s="96">
        <f>SUMIFS(Data_filtered!$G$2:$G$461,Data_filtered!$A$2:$A$461,$A11,Data_filtered!$F$2:$F$461,N$2)/$C11</f>
        <v>0</v>
      </c>
      <c r="O11" s="96">
        <f>SUMIFS(Data_filtered!$G$2:$G$461,Data_filtered!$A$2:$A$461,$A11,Data_filtered!$F$2:$F$461,O$2)/$C11</f>
        <v>0</v>
      </c>
      <c r="P11" s="96">
        <f>SUMIFS(Data_filtered!$G$2:$G$461,Data_filtered!$A$2:$A$461,$A11,Data_filtered!$F$2:$F$461,P$2)/$C11</f>
        <v>0</v>
      </c>
      <c r="Q11" s="96">
        <f>SUMIFS(Data_filtered!$G$2:$G$461,Data_filtered!$A$2:$A$461,$A11,Data_filtered!$F$2:$F$461,Q$2)/$C11</f>
        <v>0</v>
      </c>
      <c r="R11" s="96">
        <f>SUMIFS(Data_filtered!$G$2:$G$461,Data_filtered!$A$2:$A$461,$A11,Data_filtered!$F$2:$F$461,R$2)/$C11</f>
        <v>0</v>
      </c>
      <c r="S11" s="96">
        <f>SUMIFS(Data_filtered!$G$2:$G$461,Data_filtered!$A$2:$A$461,$A11,Data_filtered!$F$2:$F$461,S$2)/$C11</f>
        <v>0</v>
      </c>
      <c r="T11" s="96">
        <f>SUMIFS(Data_filtered!$G$2:$G$461,Data_filtered!$A$2:$A$461,$A11,Data_filtered!$F$2:$F$461,T$2)/$C11</f>
        <v>0</v>
      </c>
      <c r="U11" s="96">
        <f>SUMIFS(Data_filtered!$G$2:$G$461,Data_filtered!$A$2:$A$461,$A11,Data_filtered!$F$2:$F$461,U$2)/$C11</f>
        <v>0</v>
      </c>
      <c r="V11" s="96">
        <f>SUMIFS(Data_filtered!$G$2:$G$461,Data_filtered!$A$2:$A$461,$A11,Data_filtered!$F$2:$F$461,V$2)/$C11</f>
        <v>0</v>
      </c>
      <c r="W11" s="96">
        <f>SUMIFS(Data_filtered!$G$2:$G$461,Data_filtered!$A$2:$A$461,$A11,Data_filtered!$F$2:$F$461,W$2)/$C11</f>
        <v>0</v>
      </c>
      <c r="X11" s="96">
        <f>SUMIFS(Data_filtered!$G$2:$G$461,Data_filtered!$A$2:$A$461,$A11,Data_filtered!$F$2:$F$461,X$2)/$C11</f>
        <v>0</v>
      </c>
      <c r="Y11" s="96">
        <f>SUMIFS(Data_filtered!$G$2:$G$461,Data_filtered!$A$2:$A$461,$A11,Data_filtered!$F$2:$F$461,Y$2)/$C11</f>
        <v>0</v>
      </c>
      <c r="Z11" s="96">
        <f>SUMIFS(Data_filtered!$G$2:$G$461,Data_filtered!$A$2:$A$461,$A11,Data_filtered!$F$2:$F$461,Z$2)/$C11</f>
        <v>0.1111111111</v>
      </c>
      <c r="AA11" s="96">
        <f>SUMIFS(Data_filtered!$G$2:$G$461,Data_filtered!$A$2:$A$461,$A11,Data_filtered!$F$2:$F$461,AA$2)/$C11</f>
        <v>0</v>
      </c>
      <c r="AB11" s="96">
        <f>SUMIFS(Data_filtered!$G$2:$G$461,Data_filtered!$A$2:$A$461,$A11,Data_filtered!$F$2:$F$461,AB$2)/$C11</f>
        <v>0</v>
      </c>
      <c r="AC11" s="96">
        <f>SUMIFS(Data_filtered!$G$2:$G$461,Data_filtered!$A$2:$A$461,$A11,Data_filtered!$F$2:$F$461,AC$2)/$C11</f>
        <v>0</v>
      </c>
      <c r="AD11" s="96">
        <f>SUMIFS(Data_filtered!$G$2:$G$461,Data_filtered!$A$2:$A$461,$A11,Data_filtered!$F$2:$F$461,AD$2)/$C11</f>
        <v>0</v>
      </c>
      <c r="AE11" s="96">
        <f>SUMIFS(Data_filtered!$G$2:$G$461,Data_filtered!$A$2:$A$461,$A11,Data_filtered!$F$2:$F$461,AE$2)/$C11</f>
        <v>0</v>
      </c>
      <c r="AF11" s="96">
        <f>SUMIFS(Data_filtered!$G$2:$G$461,Data_filtered!$A$2:$A$461,$A11,Data_filtered!$F$2:$F$461,AF$2)/$C11</f>
        <v>0.1111111111</v>
      </c>
    </row>
    <row r="12">
      <c r="A12" s="9" t="str">
        <f>IFERROR(__xludf.DUMMYFUNCTION("""COMPUTED_VALUE"""),"Ischnocnema guentheri")</f>
        <v>Ischnocnema guentheri</v>
      </c>
      <c r="B12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su"&amp;"bstrato"",Data_filtered!$A$2:$A$461=A12))"),11.0)</f>
        <v>11</v>
      </c>
      <c r="C12" s="28">
        <f>SUMIFS(Data_filtered!$G$2:$G$461,Data_filtered!$A$2:$A$461,A12,Data_filtered!$E$2:$E$461,"&lt;&gt;Não identificado",Data_filtered!$E$2:$E$461,"&lt;&gt;Semente",Data_filtered!$E$2:$E$461,"&lt;&gt;Semente de capim",Data_filtered!$E$2:$E$461,"&lt;&gt;Apenas substrato")</f>
        <v>27</v>
      </c>
      <c r="D12" s="96">
        <f>SUMIFS(Data_filtered!$G$2:$G$461,Data_filtered!$A$2:$A$461,$A12,Data_filtered!$F$2:$F$461,D$2)/$C12</f>
        <v>0</v>
      </c>
      <c r="E12" s="96">
        <f>SUMIFS(Data_filtered!$G$2:$G$461,Data_filtered!$A$2:$A$461,$A12,Data_filtered!$F$2:$F$461,E$2)/$C12</f>
        <v>0</v>
      </c>
      <c r="F12" s="96">
        <f>SUMIFS(Data_filtered!$G$2:$G$461,Data_filtered!$A$2:$A$461,$A12,Data_filtered!$F$2:$F$461,F$2)/$C12</f>
        <v>0.1851851852</v>
      </c>
      <c r="G12" s="96">
        <f>SUMIFS(Data_filtered!$G$2:$G$461,Data_filtered!$A$2:$A$461,$A12,Data_filtered!$F$2:$F$461,G$2)/$C12</f>
        <v>0</v>
      </c>
      <c r="H12" s="96">
        <f>SUMIFS(Data_filtered!$G$2:$G$461,Data_filtered!$A$2:$A$461,$A12,Data_filtered!$F$2:$F$461,H$2)/$C12</f>
        <v>0.1111111111</v>
      </c>
      <c r="I12" s="96">
        <f>SUMIFS(Data_filtered!$G$2:$G$461,Data_filtered!$A$2:$A$461,$A12,Data_filtered!$F$2:$F$461,I$2)/$C12</f>
        <v>0.1111111111</v>
      </c>
      <c r="J12" s="96">
        <f>SUMIFS(Data_filtered!$G$2:$G$461,Data_filtered!$A$2:$A$461,$A12,Data_filtered!$F$2:$F$461,J$2)/$C12</f>
        <v>0.2592592593</v>
      </c>
      <c r="K12" s="96">
        <f>SUMIFS(Data_filtered!$G$2:$G$461,Data_filtered!$A$2:$A$461,$A12,Data_filtered!$F$2:$F$461,K$2)/$C12</f>
        <v>0</v>
      </c>
      <c r="L12" s="96">
        <f>SUMIFS(Data_filtered!$G$2:$G$461,Data_filtered!$A$2:$A$461,$A12,Data_filtered!$F$2:$F$461,L$2)/$C12</f>
        <v>0</v>
      </c>
      <c r="M12" s="96">
        <f>SUMIFS(Data_filtered!$G$2:$G$461,Data_filtered!$A$2:$A$461,$A12,Data_filtered!$F$2:$F$461,M$2)/$C12</f>
        <v>0.07407407407</v>
      </c>
      <c r="N12" s="96">
        <f>SUMIFS(Data_filtered!$G$2:$G$461,Data_filtered!$A$2:$A$461,$A12,Data_filtered!$F$2:$F$461,N$2)/$C12</f>
        <v>0</v>
      </c>
      <c r="O12" s="96">
        <f>SUMIFS(Data_filtered!$G$2:$G$461,Data_filtered!$A$2:$A$461,$A12,Data_filtered!$F$2:$F$461,O$2)/$C12</f>
        <v>0</v>
      </c>
      <c r="P12" s="96">
        <f>SUMIFS(Data_filtered!$G$2:$G$461,Data_filtered!$A$2:$A$461,$A12,Data_filtered!$F$2:$F$461,P$2)/$C12</f>
        <v>0.03703703704</v>
      </c>
      <c r="Q12" s="96">
        <f>SUMIFS(Data_filtered!$G$2:$G$461,Data_filtered!$A$2:$A$461,$A12,Data_filtered!$F$2:$F$461,Q$2)/$C12</f>
        <v>0</v>
      </c>
      <c r="R12" s="96">
        <f>SUMIFS(Data_filtered!$G$2:$G$461,Data_filtered!$A$2:$A$461,$A12,Data_filtered!$F$2:$F$461,R$2)/$C12</f>
        <v>0</v>
      </c>
      <c r="S12" s="96">
        <f>SUMIFS(Data_filtered!$G$2:$G$461,Data_filtered!$A$2:$A$461,$A12,Data_filtered!$F$2:$F$461,S$2)/$C12</f>
        <v>0</v>
      </c>
      <c r="T12" s="96">
        <f>SUMIFS(Data_filtered!$G$2:$G$461,Data_filtered!$A$2:$A$461,$A12,Data_filtered!$F$2:$F$461,T$2)/$C12</f>
        <v>0</v>
      </c>
      <c r="U12" s="96">
        <f>SUMIFS(Data_filtered!$G$2:$G$461,Data_filtered!$A$2:$A$461,$A12,Data_filtered!$F$2:$F$461,U$2)/$C12</f>
        <v>0</v>
      </c>
      <c r="V12" s="96">
        <f>SUMIFS(Data_filtered!$G$2:$G$461,Data_filtered!$A$2:$A$461,$A12,Data_filtered!$F$2:$F$461,V$2)/$C12</f>
        <v>0</v>
      </c>
      <c r="W12" s="96">
        <f>SUMIFS(Data_filtered!$G$2:$G$461,Data_filtered!$A$2:$A$461,$A12,Data_filtered!$F$2:$F$461,W$2)/$C12</f>
        <v>0</v>
      </c>
      <c r="X12" s="96">
        <f>SUMIFS(Data_filtered!$G$2:$G$461,Data_filtered!$A$2:$A$461,$A12,Data_filtered!$F$2:$F$461,X$2)/$C12</f>
        <v>0</v>
      </c>
      <c r="Y12" s="96">
        <f>SUMIFS(Data_filtered!$G$2:$G$461,Data_filtered!$A$2:$A$461,$A12,Data_filtered!$F$2:$F$461,Y$2)/$C12</f>
        <v>0</v>
      </c>
      <c r="Z12" s="96">
        <f>SUMIFS(Data_filtered!$G$2:$G$461,Data_filtered!$A$2:$A$461,$A12,Data_filtered!$F$2:$F$461,Z$2)/$C12</f>
        <v>0.1851851852</v>
      </c>
      <c r="AA12" s="96">
        <f>SUMIFS(Data_filtered!$G$2:$G$461,Data_filtered!$A$2:$A$461,$A12,Data_filtered!$F$2:$F$461,AA$2)/$C12</f>
        <v>0</v>
      </c>
      <c r="AB12" s="96">
        <f>SUMIFS(Data_filtered!$G$2:$G$461,Data_filtered!$A$2:$A$461,$A12,Data_filtered!$F$2:$F$461,AB$2)/$C12</f>
        <v>0</v>
      </c>
      <c r="AC12" s="96">
        <f>SUMIFS(Data_filtered!$G$2:$G$461,Data_filtered!$A$2:$A$461,$A12,Data_filtered!$F$2:$F$461,AC$2)/$C12</f>
        <v>0</v>
      </c>
      <c r="AD12" s="96">
        <f>SUMIFS(Data_filtered!$G$2:$G$461,Data_filtered!$A$2:$A$461,$A12,Data_filtered!$F$2:$F$461,AD$2)/$C12</f>
        <v>0.03703703704</v>
      </c>
      <c r="AE12" s="96">
        <f>SUMIFS(Data_filtered!$G$2:$G$461,Data_filtered!$A$2:$A$461,$A12,Data_filtered!$F$2:$F$461,AE$2)/$C12</f>
        <v>0</v>
      </c>
      <c r="AF12" s="96">
        <f>SUMIFS(Data_filtered!$G$2:$G$461,Data_filtered!$A$2:$A$461,$A12,Data_filtered!$F$2:$F$461,AF$2)/$C12</f>
        <v>0</v>
      </c>
    </row>
    <row r="13">
      <c r="A13" s="9" t="str">
        <f>IFERROR(__xludf.DUMMYFUNCTION("""COMPUTED_VALUE"""),"Ischnocnema holti")</f>
        <v>Ischnocnema holti</v>
      </c>
      <c r="B13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su"&amp;"bstrato"",Data_filtered!$A$2:$A$461=A13))"),2.0)</f>
        <v>2</v>
      </c>
      <c r="C13" s="28">
        <f>SUMIFS(Data_filtered!$G$2:$G$461,Data_filtered!$A$2:$A$461,A13,Data_filtered!$E$2:$E$461,"&lt;&gt;Não identificado",Data_filtered!$E$2:$E$461,"&lt;&gt;Semente",Data_filtered!$E$2:$E$461,"&lt;&gt;Semente de capim",Data_filtered!$E$2:$E$461,"&lt;&gt;Apenas substrato")</f>
        <v>6</v>
      </c>
      <c r="D13" s="96">
        <f>SUMIFS(Data_filtered!$G$2:$G$461,Data_filtered!$A$2:$A$461,$A13,Data_filtered!$F$2:$F$461,D$2)/$C13</f>
        <v>0</v>
      </c>
      <c r="E13" s="96">
        <f>SUMIFS(Data_filtered!$G$2:$G$461,Data_filtered!$A$2:$A$461,$A13,Data_filtered!$F$2:$F$461,E$2)/$C13</f>
        <v>0</v>
      </c>
      <c r="F13" s="96">
        <f>SUMIFS(Data_filtered!$G$2:$G$461,Data_filtered!$A$2:$A$461,$A13,Data_filtered!$F$2:$F$461,F$2)/$C13</f>
        <v>0</v>
      </c>
      <c r="G13" s="96">
        <f>SUMIFS(Data_filtered!$G$2:$G$461,Data_filtered!$A$2:$A$461,$A13,Data_filtered!$F$2:$F$461,G$2)/$C13</f>
        <v>0</v>
      </c>
      <c r="H13" s="96">
        <f>SUMIFS(Data_filtered!$G$2:$G$461,Data_filtered!$A$2:$A$461,$A13,Data_filtered!$F$2:$F$461,H$2)/$C13</f>
        <v>0.1666666667</v>
      </c>
      <c r="I13" s="96">
        <f>SUMIFS(Data_filtered!$G$2:$G$461,Data_filtered!$A$2:$A$461,$A13,Data_filtered!$F$2:$F$461,I$2)/$C13</f>
        <v>0</v>
      </c>
      <c r="J13" s="96">
        <f>SUMIFS(Data_filtered!$G$2:$G$461,Data_filtered!$A$2:$A$461,$A13,Data_filtered!$F$2:$F$461,J$2)/$C13</f>
        <v>0.3333333333</v>
      </c>
      <c r="K13" s="96">
        <f>SUMIFS(Data_filtered!$G$2:$G$461,Data_filtered!$A$2:$A$461,$A13,Data_filtered!$F$2:$F$461,K$2)/$C13</f>
        <v>0.1666666667</v>
      </c>
      <c r="L13" s="96">
        <f>SUMIFS(Data_filtered!$G$2:$G$461,Data_filtered!$A$2:$A$461,$A13,Data_filtered!$F$2:$F$461,L$2)/$C13</f>
        <v>0</v>
      </c>
      <c r="M13" s="96">
        <f>SUMIFS(Data_filtered!$G$2:$G$461,Data_filtered!$A$2:$A$461,$A13,Data_filtered!$F$2:$F$461,M$2)/$C13</f>
        <v>0</v>
      </c>
      <c r="N13" s="96">
        <f>SUMIFS(Data_filtered!$G$2:$G$461,Data_filtered!$A$2:$A$461,$A13,Data_filtered!$F$2:$F$461,N$2)/$C13</f>
        <v>0</v>
      </c>
      <c r="O13" s="96">
        <f>SUMIFS(Data_filtered!$G$2:$G$461,Data_filtered!$A$2:$A$461,$A13,Data_filtered!$F$2:$F$461,O$2)/$C13</f>
        <v>0</v>
      </c>
      <c r="P13" s="96">
        <f>SUMIFS(Data_filtered!$G$2:$G$461,Data_filtered!$A$2:$A$461,$A13,Data_filtered!$F$2:$F$461,P$2)/$C13</f>
        <v>0</v>
      </c>
      <c r="Q13" s="96">
        <f>SUMIFS(Data_filtered!$G$2:$G$461,Data_filtered!$A$2:$A$461,$A13,Data_filtered!$F$2:$F$461,Q$2)/$C13</f>
        <v>0</v>
      </c>
      <c r="R13" s="96">
        <f>SUMIFS(Data_filtered!$G$2:$G$461,Data_filtered!$A$2:$A$461,$A13,Data_filtered!$F$2:$F$461,R$2)/$C13</f>
        <v>0.1666666667</v>
      </c>
      <c r="S13" s="96">
        <f>SUMIFS(Data_filtered!$G$2:$G$461,Data_filtered!$A$2:$A$461,$A13,Data_filtered!$F$2:$F$461,S$2)/$C13</f>
        <v>0</v>
      </c>
      <c r="T13" s="96">
        <f>SUMIFS(Data_filtered!$G$2:$G$461,Data_filtered!$A$2:$A$461,$A13,Data_filtered!$F$2:$F$461,T$2)/$C13</f>
        <v>0</v>
      </c>
      <c r="U13" s="96">
        <f>SUMIFS(Data_filtered!$G$2:$G$461,Data_filtered!$A$2:$A$461,$A13,Data_filtered!$F$2:$F$461,U$2)/$C13</f>
        <v>0</v>
      </c>
      <c r="V13" s="96">
        <f>SUMIFS(Data_filtered!$G$2:$G$461,Data_filtered!$A$2:$A$461,$A13,Data_filtered!$F$2:$F$461,V$2)/$C13</f>
        <v>0</v>
      </c>
      <c r="W13" s="96">
        <f>SUMIFS(Data_filtered!$G$2:$G$461,Data_filtered!$A$2:$A$461,$A13,Data_filtered!$F$2:$F$461,W$2)/$C13</f>
        <v>0</v>
      </c>
      <c r="X13" s="96">
        <f>SUMIFS(Data_filtered!$G$2:$G$461,Data_filtered!$A$2:$A$461,$A13,Data_filtered!$F$2:$F$461,X$2)/$C13</f>
        <v>0</v>
      </c>
      <c r="Y13" s="96">
        <f>SUMIFS(Data_filtered!$G$2:$G$461,Data_filtered!$A$2:$A$461,$A13,Data_filtered!$F$2:$F$461,Y$2)/$C13</f>
        <v>0</v>
      </c>
      <c r="Z13" s="96">
        <f>SUMIFS(Data_filtered!$G$2:$G$461,Data_filtered!$A$2:$A$461,$A13,Data_filtered!$F$2:$F$461,Z$2)/$C13</f>
        <v>0</v>
      </c>
      <c r="AA13" s="96">
        <f>SUMIFS(Data_filtered!$G$2:$G$461,Data_filtered!$A$2:$A$461,$A13,Data_filtered!$F$2:$F$461,AA$2)/$C13</f>
        <v>0</v>
      </c>
      <c r="AB13" s="96">
        <f>SUMIFS(Data_filtered!$G$2:$G$461,Data_filtered!$A$2:$A$461,$A13,Data_filtered!$F$2:$F$461,AB$2)/$C13</f>
        <v>0</v>
      </c>
      <c r="AC13" s="96">
        <f>SUMIFS(Data_filtered!$G$2:$G$461,Data_filtered!$A$2:$A$461,$A13,Data_filtered!$F$2:$F$461,AC$2)/$C13</f>
        <v>0</v>
      </c>
      <c r="AD13" s="96">
        <f>SUMIFS(Data_filtered!$G$2:$G$461,Data_filtered!$A$2:$A$461,$A13,Data_filtered!$F$2:$F$461,AD$2)/$C13</f>
        <v>0</v>
      </c>
      <c r="AE13" s="96">
        <f>SUMIFS(Data_filtered!$G$2:$G$461,Data_filtered!$A$2:$A$461,$A13,Data_filtered!$F$2:$F$461,AE$2)/$C13</f>
        <v>0</v>
      </c>
      <c r="AF13" s="96">
        <f>SUMIFS(Data_filtered!$G$2:$G$461,Data_filtered!$A$2:$A$461,$A13,Data_filtered!$F$2:$F$461,AF$2)/$C13</f>
        <v>0.1666666667</v>
      </c>
    </row>
    <row r="14">
      <c r="A14" s="9" t="str">
        <f>IFERROR(__xludf.DUMMYFUNCTION("""COMPUTED_VALUE"""),"Ischnocnema juipoca")</f>
        <v>Ischnocnema juipoca</v>
      </c>
      <c r="B14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su"&amp;"bstrato"",Data_filtered!$A$2:$A$461=A14))"),11.0)</f>
        <v>11</v>
      </c>
      <c r="C14" s="28">
        <f>SUMIFS(Data_filtered!$G$2:$G$461,Data_filtered!$A$2:$A$461,A14,Data_filtered!$E$2:$E$461,"&lt;&gt;Não identificado",Data_filtered!$E$2:$E$461,"&lt;&gt;Semente",Data_filtered!$E$2:$E$461,"&lt;&gt;Semente de capim",Data_filtered!$E$2:$E$461,"&lt;&gt;Apenas substrato")</f>
        <v>28</v>
      </c>
      <c r="D14" s="96">
        <f>SUMIFS(Data_filtered!$G$2:$G$461,Data_filtered!$A$2:$A$461,$A14,Data_filtered!$F$2:$F$461,D$2)/$C14</f>
        <v>0</v>
      </c>
      <c r="E14" s="96">
        <f>SUMIFS(Data_filtered!$G$2:$G$461,Data_filtered!$A$2:$A$461,$A14,Data_filtered!$F$2:$F$461,E$2)/$C14</f>
        <v>0.03571428571</v>
      </c>
      <c r="F14" s="96">
        <f>SUMIFS(Data_filtered!$G$2:$G$461,Data_filtered!$A$2:$A$461,$A14,Data_filtered!$F$2:$F$461,F$2)/$C14</f>
        <v>0.3571428571</v>
      </c>
      <c r="G14" s="96">
        <f>SUMIFS(Data_filtered!$G$2:$G$461,Data_filtered!$A$2:$A$461,$A14,Data_filtered!$F$2:$F$461,G$2)/$C14</f>
        <v>0.03571428571</v>
      </c>
      <c r="H14" s="96">
        <f>SUMIFS(Data_filtered!$G$2:$G$461,Data_filtered!$A$2:$A$461,$A14,Data_filtered!$F$2:$F$461,H$2)/$C14</f>
        <v>0</v>
      </c>
      <c r="I14" s="96">
        <f>SUMIFS(Data_filtered!$G$2:$G$461,Data_filtered!$A$2:$A$461,$A14,Data_filtered!$F$2:$F$461,I$2)/$C14</f>
        <v>0.03571428571</v>
      </c>
      <c r="J14" s="96">
        <f>SUMIFS(Data_filtered!$G$2:$G$461,Data_filtered!$A$2:$A$461,$A14,Data_filtered!$F$2:$F$461,J$2)/$C14</f>
        <v>0.2142857143</v>
      </c>
      <c r="K14" s="96">
        <f>SUMIFS(Data_filtered!$G$2:$G$461,Data_filtered!$A$2:$A$461,$A14,Data_filtered!$F$2:$F$461,K$2)/$C14</f>
        <v>0</v>
      </c>
      <c r="L14" s="96">
        <f>SUMIFS(Data_filtered!$G$2:$G$461,Data_filtered!$A$2:$A$461,$A14,Data_filtered!$F$2:$F$461,L$2)/$C14</f>
        <v>0.03571428571</v>
      </c>
      <c r="M14" s="96">
        <f>SUMIFS(Data_filtered!$G$2:$G$461,Data_filtered!$A$2:$A$461,$A14,Data_filtered!$F$2:$F$461,M$2)/$C14</f>
        <v>0</v>
      </c>
      <c r="N14" s="96">
        <f>SUMIFS(Data_filtered!$G$2:$G$461,Data_filtered!$A$2:$A$461,$A14,Data_filtered!$F$2:$F$461,N$2)/$C14</f>
        <v>0</v>
      </c>
      <c r="O14" s="96">
        <f>SUMIFS(Data_filtered!$G$2:$G$461,Data_filtered!$A$2:$A$461,$A14,Data_filtered!$F$2:$F$461,O$2)/$C14</f>
        <v>0</v>
      </c>
      <c r="P14" s="96">
        <f>SUMIFS(Data_filtered!$G$2:$G$461,Data_filtered!$A$2:$A$461,$A14,Data_filtered!$F$2:$F$461,P$2)/$C14</f>
        <v>0.07142857143</v>
      </c>
      <c r="Q14" s="96">
        <f>SUMIFS(Data_filtered!$G$2:$G$461,Data_filtered!$A$2:$A$461,$A14,Data_filtered!$F$2:$F$461,Q$2)/$C14</f>
        <v>0</v>
      </c>
      <c r="R14" s="96">
        <f>SUMIFS(Data_filtered!$G$2:$G$461,Data_filtered!$A$2:$A$461,$A14,Data_filtered!$F$2:$F$461,R$2)/$C14</f>
        <v>0.03571428571</v>
      </c>
      <c r="S14" s="96">
        <f>SUMIFS(Data_filtered!$G$2:$G$461,Data_filtered!$A$2:$A$461,$A14,Data_filtered!$F$2:$F$461,S$2)/$C14</f>
        <v>0</v>
      </c>
      <c r="T14" s="96">
        <f>SUMIFS(Data_filtered!$G$2:$G$461,Data_filtered!$A$2:$A$461,$A14,Data_filtered!$F$2:$F$461,T$2)/$C14</f>
        <v>0</v>
      </c>
      <c r="U14" s="96">
        <f>SUMIFS(Data_filtered!$G$2:$G$461,Data_filtered!$A$2:$A$461,$A14,Data_filtered!$F$2:$F$461,U$2)/$C14</f>
        <v>0</v>
      </c>
      <c r="V14" s="96">
        <f>SUMIFS(Data_filtered!$G$2:$G$461,Data_filtered!$A$2:$A$461,$A14,Data_filtered!$F$2:$F$461,V$2)/$C14</f>
        <v>0</v>
      </c>
      <c r="W14" s="96">
        <f>SUMIFS(Data_filtered!$G$2:$G$461,Data_filtered!$A$2:$A$461,$A14,Data_filtered!$F$2:$F$461,W$2)/$C14</f>
        <v>0.07142857143</v>
      </c>
      <c r="X14" s="96">
        <f>SUMIFS(Data_filtered!$G$2:$G$461,Data_filtered!$A$2:$A$461,$A14,Data_filtered!$F$2:$F$461,X$2)/$C14</f>
        <v>0</v>
      </c>
      <c r="Y14" s="96">
        <f>SUMIFS(Data_filtered!$G$2:$G$461,Data_filtered!$A$2:$A$461,$A14,Data_filtered!$F$2:$F$461,Y$2)/$C14</f>
        <v>0</v>
      </c>
      <c r="Z14" s="96">
        <f>SUMIFS(Data_filtered!$G$2:$G$461,Data_filtered!$A$2:$A$461,$A14,Data_filtered!$F$2:$F$461,Z$2)/$C14</f>
        <v>0</v>
      </c>
      <c r="AA14" s="96">
        <f>SUMIFS(Data_filtered!$G$2:$G$461,Data_filtered!$A$2:$A$461,$A14,Data_filtered!$F$2:$F$461,AA$2)/$C14</f>
        <v>0</v>
      </c>
      <c r="AB14" s="96">
        <f>SUMIFS(Data_filtered!$G$2:$G$461,Data_filtered!$A$2:$A$461,$A14,Data_filtered!$F$2:$F$461,AB$2)/$C14</f>
        <v>0.03571428571</v>
      </c>
      <c r="AC14" s="96">
        <f>SUMIFS(Data_filtered!$G$2:$G$461,Data_filtered!$A$2:$A$461,$A14,Data_filtered!$F$2:$F$461,AC$2)/$C14</f>
        <v>0</v>
      </c>
      <c r="AD14" s="96">
        <f>SUMIFS(Data_filtered!$G$2:$G$461,Data_filtered!$A$2:$A$461,$A14,Data_filtered!$F$2:$F$461,AD$2)/$C14</f>
        <v>0.03571428571</v>
      </c>
      <c r="AE14" s="96">
        <f>SUMIFS(Data_filtered!$G$2:$G$461,Data_filtered!$A$2:$A$461,$A14,Data_filtered!$F$2:$F$461,AE$2)/$C14</f>
        <v>0</v>
      </c>
      <c r="AF14" s="96">
        <f>SUMIFS(Data_filtered!$G$2:$G$461,Data_filtered!$A$2:$A$461,$A14,Data_filtered!$F$2:$F$461,AF$2)/$C14</f>
        <v>0.03571428571</v>
      </c>
    </row>
    <row r="15">
      <c r="A15" s="9" t="str">
        <f>IFERROR(__xludf.DUMMYFUNCTION("""COMPUTED_VALUE"""),"Ischnocnema vizottoi")</f>
        <v>Ischnocnema vizottoi</v>
      </c>
      <c r="B15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su"&amp;"bstrato"",Data_filtered!$A$2:$A$461=A15))"),2.0)</f>
        <v>2</v>
      </c>
      <c r="C15" s="28">
        <f>SUMIFS(Data_filtered!$G$2:$G$461,Data_filtered!$A$2:$A$461,A15,Data_filtered!$E$2:$E$461,"&lt;&gt;Não identificado",Data_filtered!$E$2:$E$461,"&lt;&gt;Semente",Data_filtered!$E$2:$E$461,"&lt;&gt;Semente de capim",Data_filtered!$E$2:$E$461,"&lt;&gt;Apenas substrato")</f>
        <v>4</v>
      </c>
      <c r="D15" s="96">
        <f>SUMIFS(Data_filtered!$G$2:$G$461,Data_filtered!$A$2:$A$461,$A15,Data_filtered!$F$2:$F$461,D$2)/$C15</f>
        <v>0</v>
      </c>
      <c r="E15" s="96">
        <f>SUMIFS(Data_filtered!$G$2:$G$461,Data_filtered!$A$2:$A$461,$A15,Data_filtered!$F$2:$F$461,E$2)/$C15</f>
        <v>0.25</v>
      </c>
      <c r="F15" s="96">
        <f>SUMIFS(Data_filtered!$G$2:$G$461,Data_filtered!$A$2:$A$461,$A15,Data_filtered!$F$2:$F$461,F$2)/$C15</f>
        <v>0</v>
      </c>
      <c r="G15" s="96">
        <f>SUMIFS(Data_filtered!$G$2:$G$461,Data_filtered!$A$2:$A$461,$A15,Data_filtered!$F$2:$F$461,G$2)/$C15</f>
        <v>0</v>
      </c>
      <c r="H15" s="96">
        <f>SUMIFS(Data_filtered!$G$2:$G$461,Data_filtered!$A$2:$A$461,$A15,Data_filtered!$F$2:$F$461,H$2)/$C15</f>
        <v>0</v>
      </c>
      <c r="I15" s="96">
        <f>SUMIFS(Data_filtered!$G$2:$G$461,Data_filtered!$A$2:$A$461,$A15,Data_filtered!$F$2:$F$461,I$2)/$C15</f>
        <v>0</v>
      </c>
      <c r="J15" s="96">
        <f>SUMIFS(Data_filtered!$G$2:$G$461,Data_filtered!$A$2:$A$461,$A15,Data_filtered!$F$2:$F$461,J$2)/$C15</f>
        <v>0</v>
      </c>
      <c r="K15" s="96">
        <f>SUMIFS(Data_filtered!$G$2:$G$461,Data_filtered!$A$2:$A$461,$A15,Data_filtered!$F$2:$F$461,K$2)/$C15</f>
        <v>0</v>
      </c>
      <c r="L15" s="96">
        <f>SUMIFS(Data_filtered!$G$2:$G$461,Data_filtered!$A$2:$A$461,$A15,Data_filtered!$F$2:$F$461,L$2)/$C15</f>
        <v>0</v>
      </c>
      <c r="M15" s="96">
        <f>SUMIFS(Data_filtered!$G$2:$G$461,Data_filtered!$A$2:$A$461,$A15,Data_filtered!$F$2:$F$461,M$2)/$C15</f>
        <v>0</v>
      </c>
      <c r="N15" s="96">
        <f>SUMIFS(Data_filtered!$G$2:$G$461,Data_filtered!$A$2:$A$461,$A15,Data_filtered!$F$2:$F$461,N$2)/$C15</f>
        <v>0</v>
      </c>
      <c r="O15" s="96">
        <f>SUMIFS(Data_filtered!$G$2:$G$461,Data_filtered!$A$2:$A$461,$A15,Data_filtered!$F$2:$F$461,O$2)/$C15</f>
        <v>0</v>
      </c>
      <c r="P15" s="96">
        <f>SUMIFS(Data_filtered!$G$2:$G$461,Data_filtered!$A$2:$A$461,$A15,Data_filtered!$F$2:$F$461,P$2)/$C15</f>
        <v>0.25</v>
      </c>
      <c r="Q15" s="96">
        <f>SUMIFS(Data_filtered!$G$2:$G$461,Data_filtered!$A$2:$A$461,$A15,Data_filtered!$F$2:$F$461,Q$2)/$C15</f>
        <v>0</v>
      </c>
      <c r="R15" s="96">
        <f>SUMIFS(Data_filtered!$G$2:$G$461,Data_filtered!$A$2:$A$461,$A15,Data_filtered!$F$2:$F$461,R$2)/$C15</f>
        <v>0.25</v>
      </c>
      <c r="S15" s="96">
        <f>SUMIFS(Data_filtered!$G$2:$G$461,Data_filtered!$A$2:$A$461,$A15,Data_filtered!$F$2:$F$461,S$2)/$C15</f>
        <v>0.25</v>
      </c>
      <c r="T15" s="96">
        <f>SUMIFS(Data_filtered!$G$2:$G$461,Data_filtered!$A$2:$A$461,$A15,Data_filtered!$F$2:$F$461,T$2)/$C15</f>
        <v>0</v>
      </c>
      <c r="U15" s="96">
        <f>SUMIFS(Data_filtered!$G$2:$G$461,Data_filtered!$A$2:$A$461,$A15,Data_filtered!$F$2:$F$461,U$2)/$C15</f>
        <v>0</v>
      </c>
      <c r="V15" s="96">
        <f>SUMIFS(Data_filtered!$G$2:$G$461,Data_filtered!$A$2:$A$461,$A15,Data_filtered!$F$2:$F$461,V$2)/$C15</f>
        <v>0</v>
      </c>
      <c r="W15" s="96">
        <f>SUMIFS(Data_filtered!$G$2:$G$461,Data_filtered!$A$2:$A$461,$A15,Data_filtered!$F$2:$F$461,W$2)/$C15</f>
        <v>0</v>
      </c>
      <c r="X15" s="96">
        <f>SUMIFS(Data_filtered!$G$2:$G$461,Data_filtered!$A$2:$A$461,$A15,Data_filtered!$F$2:$F$461,X$2)/$C15</f>
        <v>0</v>
      </c>
      <c r="Y15" s="96">
        <f>SUMIFS(Data_filtered!$G$2:$G$461,Data_filtered!$A$2:$A$461,$A15,Data_filtered!$F$2:$F$461,Y$2)/$C15</f>
        <v>0</v>
      </c>
      <c r="Z15" s="96">
        <f>SUMIFS(Data_filtered!$G$2:$G$461,Data_filtered!$A$2:$A$461,$A15,Data_filtered!$F$2:$F$461,Z$2)/$C15</f>
        <v>0</v>
      </c>
      <c r="AA15" s="96">
        <f>SUMIFS(Data_filtered!$G$2:$G$461,Data_filtered!$A$2:$A$461,$A15,Data_filtered!$F$2:$F$461,AA$2)/$C15</f>
        <v>0</v>
      </c>
      <c r="AB15" s="96">
        <f>SUMIFS(Data_filtered!$G$2:$G$461,Data_filtered!$A$2:$A$461,$A15,Data_filtered!$F$2:$F$461,AB$2)/$C15</f>
        <v>0</v>
      </c>
      <c r="AC15" s="96">
        <f>SUMIFS(Data_filtered!$G$2:$G$461,Data_filtered!$A$2:$A$461,$A15,Data_filtered!$F$2:$F$461,AC$2)/$C15</f>
        <v>0</v>
      </c>
      <c r="AD15" s="96">
        <f>SUMIFS(Data_filtered!$G$2:$G$461,Data_filtered!$A$2:$A$461,$A15,Data_filtered!$F$2:$F$461,AD$2)/$C15</f>
        <v>0</v>
      </c>
      <c r="AE15" s="96">
        <f>SUMIFS(Data_filtered!$G$2:$G$461,Data_filtered!$A$2:$A$461,$A15,Data_filtered!$F$2:$F$461,AE$2)/$C15</f>
        <v>0</v>
      </c>
      <c r="AF15" s="96">
        <f>SUMIFS(Data_filtered!$G$2:$G$461,Data_filtered!$A$2:$A$461,$A15,Data_filtered!$F$2:$F$461,AF$2)/$C15</f>
        <v>0</v>
      </c>
    </row>
    <row r="16">
      <c r="A16" s="9" t="str">
        <f>IFERROR(__xludf.DUMMYFUNCTION("""COMPUTED_VALUE"""),"Ololygon obtriangulata")</f>
        <v>Ololygon obtriangulata</v>
      </c>
      <c r="B16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su"&amp;"bstrato"",Data_filtered!$A$2:$A$461=A16))"),17.0)</f>
        <v>17</v>
      </c>
      <c r="C16" s="28">
        <f>SUMIFS(Data_filtered!$G$2:$G$461,Data_filtered!$A$2:$A$461,A16,Data_filtered!$E$2:$E$461,"&lt;&gt;Não identificado",Data_filtered!$E$2:$E$461,"&lt;&gt;Semente",Data_filtered!$E$2:$E$461,"&lt;&gt;Semente de capim",Data_filtered!$E$2:$E$461,"&lt;&gt;Apenas substrato")</f>
        <v>20</v>
      </c>
      <c r="D16" s="96">
        <f>SUMIFS(Data_filtered!$G$2:$G$461,Data_filtered!$A$2:$A$461,$A16,Data_filtered!$F$2:$F$461,D$2)/$C16</f>
        <v>0</v>
      </c>
      <c r="E16" s="96">
        <f>SUMIFS(Data_filtered!$G$2:$G$461,Data_filtered!$A$2:$A$461,$A16,Data_filtered!$F$2:$F$461,E$2)/$C16</f>
        <v>0</v>
      </c>
      <c r="F16" s="96">
        <f>SUMIFS(Data_filtered!$G$2:$G$461,Data_filtered!$A$2:$A$461,$A16,Data_filtered!$F$2:$F$461,F$2)/$C16</f>
        <v>0.45</v>
      </c>
      <c r="G16" s="96">
        <f>SUMIFS(Data_filtered!$G$2:$G$461,Data_filtered!$A$2:$A$461,$A16,Data_filtered!$F$2:$F$461,G$2)/$C16</f>
        <v>0.25</v>
      </c>
      <c r="H16" s="96">
        <f>SUMIFS(Data_filtered!$G$2:$G$461,Data_filtered!$A$2:$A$461,$A16,Data_filtered!$F$2:$F$461,H$2)/$C16</f>
        <v>0</v>
      </c>
      <c r="I16" s="96">
        <f>SUMIFS(Data_filtered!$G$2:$G$461,Data_filtered!$A$2:$A$461,$A16,Data_filtered!$F$2:$F$461,I$2)/$C16</f>
        <v>0</v>
      </c>
      <c r="J16" s="96">
        <f>SUMIFS(Data_filtered!$G$2:$G$461,Data_filtered!$A$2:$A$461,$A16,Data_filtered!$F$2:$F$461,J$2)/$C16</f>
        <v>0.05</v>
      </c>
      <c r="K16" s="96">
        <f>SUMIFS(Data_filtered!$G$2:$G$461,Data_filtered!$A$2:$A$461,$A16,Data_filtered!$F$2:$F$461,K$2)/$C16</f>
        <v>0</v>
      </c>
      <c r="L16" s="96">
        <f>SUMIFS(Data_filtered!$G$2:$G$461,Data_filtered!$A$2:$A$461,$A16,Data_filtered!$F$2:$F$461,L$2)/$C16</f>
        <v>0</v>
      </c>
      <c r="M16" s="96">
        <f>SUMIFS(Data_filtered!$G$2:$G$461,Data_filtered!$A$2:$A$461,$A16,Data_filtered!$F$2:$F$461,M$2)/$C16</f>
        <v>0</v>
      </c>
      <c r="N16" s="96">
        <f>SUMIFS(Data_filtered!$G$2:$G$461,Data_filtered!$A$2:$A$461,$A16,Data_filtered!$F$2:$F$461,N$2)/$C16</f>
        <v>0</v>
      </c>
      <c r="O16" s="96">
        <f>SUMIFS(Data_filtered!$G$2:$G$461,Data_filtered!$A$2:$A$461,$A16,Data_filtered!$F$2:$F$461,O$2)/$C16</f>
        <v>0</v>
      </c>
      <c r="P16" s="96">
        <f>SUMIFS(Data_filtered!$G$2:$G$461,Data_filtered!$A$2:$A$461,$A16,Data_filtered!$F$2:$F$461,P$2)/$C16</f>
        <v>0</v>
      </c>
      <c r="Q16" s="96">
        <f>SUMIFS(Data_filtered!$G$2:$G$461,Data_filtered!$A$2:$A$461,$A16,Data_filtered!$F$2:$F$461,Q$2)/$C16</f>
        <v>0</v>
      </c>
      <c r="R16" s="96">
        <f>SUMIFS(Data_filtered!$G$2:$G$461,Data_filtered!$A$2:$A$461,$A16,Data_filtered!$F$2:$F$461,R$2)/$C16</f>
        <v>0.05</v>
      </c>
      <c r="S16" s="96">
        <f>SUMIFS(Data_filtered!$G$2:$G$461,Data_filtered!$A$2:$A$461,$A16,Data_filtered!$F$2:$F$461,S$2)/$C16</f>
        <v>0.15</v>
      </c>
      <c r="T16" s="96">
        <f>SUMIFS(Data_filtered!$G$2:$G$461,Data_filtered!$A$2:$A$461,$A16,Data_filtered!$F$2:$F$461,T$2)/$C16</f>
        <v>0</v>
      </c>
      <c r="U16" s="96">
        <f>SUMIFS(Data_filtered!$G$2:$G$461,Data_filtered!$A$2:$A$461,$A16,Data_filtered!$F$2:$F$461,U$2)/$C16</f>
        <v>0</v>
      </c>
      <c r="V16" s="96">
        <f>SUMIFS(Data_filtered!$G$2:$G$461,Data_filtered!$A$2:$A$461,$A16,Data_filtered!$F$2:$F$461,V$2)/$C16</f>
        <v>0</v>
      </c>
      <c r="W16" s="96">
        <f>SUMIFS(Data_filtered!$G$2:$G$461,Data_filtered!$A$2:$A$461,$A16,Data_filtered!$F$2:$F$461,W$2)/$C16</f>
        <v>0</v>
      </c>
      <c r="X16" s="96">
        <f>SUMIFS(Data_filtered!$G$2:$G$461,Data_filtered!$A$2:$A$461,$A16,Data_filtered!$F$2:$F$461,X$2)/$C16</f>
        <v>0</v>
      </c>
      <c r="Y16" s="96">
        <f>SUMIFS(Data_filtered!$G$2:$G$461,Data_filtered!$A$2:$A$461,$A16,Data_filtered!$F$2:$F$461,Y$2)/$C16</f>
        <v>0</v>
      </c>
      <c r="Z16" s="96">
        <f>SUMIFS(Data_filtered!$G$2:$G$461,Data_filtered!$A$2:$A$461,$A16,Data_filtered!$F$2:$F$461,Z$2)/$C16</f>
        <v>0</v>
      </c>
      <c r="AA16" s="96">
        <f>SUMIFS(Data_filtered!$G$2:$G$461,Data_filtered!$A$2:$A$461,$A16,Data_filtered!$F$2:$F$461,AA$2)/$C16</f>
        <v>0</v>
      </c>
      <c r="AB16" s="96">
        <f>SUMIFS(Data_filtered!$G$2:$G$461,Data_filtered!$A$2:$A$461,$A16,Data_filtered!$F$2:$F$461,AB$2)/$C16</f>
        <v>0</v>
      </c>
      <c r="AC16" s="96">
        <f>SUMIFS(Data_filtered!$G$2:$G$461,Data_filtered!$A$2:$A$461,$A16,Data_filtered!$F$2:$F$461,AC$2)/$C16</f>
        <v>0.05</v>
      </c>
      <c r="AD16" s="96">
        <f>SUMIFS(Data_filtered!$G$2:$G$461,Data_filtered!$A$2:$A$461,$A16,Data_filtered!$F$2:$F$461,AD$2)/$C16</f>
        <v>0</v>
      </c>
      <c r="AE16" s="96">
        <f>SUMIFS(Data_filtered!$G$2:$G$461,Data_filtered!$A$2:$A$461,$A16,Data_filtered!$F$2:$F$461,AE$2)/$C16</f>
        <v>0</v>
      </c>
      <c r="AF16" s="96">
        <f>SUMIFS(Data_filtered!$G$2:$G$461,Data_filtered!$A$2:$A$461,$A16,Data_filtered!$F$2:$F$461,AF$2)/$C16</f>
        <v>0</v>
      </c>
    </row>
    <row r="17">
      <c r="A17" s="9" t="str">
        <f>IFERROR(__xludf.DUMMYFUNCTION("""COMPUTED_VALUE"""),"Paratelmatobius mantiqueira")</f>
        <v>Paratelmatobius mantiqueira</v>
      </c>
      <c r="B17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su"&amp;"bstrato"",Data_filtered!$A$2:$A$461=A17))"),1.0)</f>
        <v>1</v>
      </c>
      <c r="C17" s="28">
        <f>SUMIFS(Data_filtered!$G$2:$G$461,Data_filtered!$A$2:$A$461,A17,Data_filtered!$E$2:$E$461,"&lt;&gt;Não identificado",Data_filtered!$E$2:$E$461,"&lt;&gt;Semente",Data_filtered!$E$2:$E$461,"&lt;&gt;Semente de capim",Data_filtered!$E$2:$E$461,"&lt;&gt;Apenas substrato")</f>
        <v>3</v>
      </c>
      <c r="D17" s="96">
        <f>SUMIFS(Data_filtered!$G$2:$G$461,Data_filtered!$A$2:$A$461,$A17,Data_filtered!$F$2:$F$461,D$2)/$C17</f>
        <v>0</v>
      </c>
      <c r="E17" s="96">
        <f>SUMIFS(Data_filtered!$G$2:$G$461,Data_filtered!$A$2:$A$461,$A17,Data_filtered!$F$2:$F$461,E$2)/$C17</f>
        <v>0</v>
      </c>
      <c r="F17" s="96">
        <f>SUMIFS(Data_filtered!$G$2:$G$461,Data_filtered!$A$2:$A$461,$A17,Data_filtered!$F$2:$F$461,F$2)/$C17</f>
        <v>0.3333333333</v>
      </c>
      <c r="G17" s="96">
        <f>SUMIFS(Data_filtered!$G$2:$G$461,Data_filtered!$A$2:$A$461,$A17,Data_filtered!$F$2:$F$461,G$2)/$C17</f>
        <v>0</v>
      </c>
      <c r="H17" s="96">
        <f>SUMIFS(Data_filtered!$G$2:$G$461,Data_filtered!$A$2:$A$461,$A17,Data_filtered!$F$2:$F$461,H$2)/$C17</f>
        <v>0</v>
      </c>
      <c r="I17" s="96">
        <f>SUMIFS(Data_filtered!$G$2:$G$461,Data_filtered!$A$2:$A$461,$A17,Data_filtered!$F$2:$F$461,I$2)/$C17</f>
        <v>0</v>
      </c>
      <c r="J17" s="96">
        <f>SUMIFS(Data_filtered!$G$2:$G$461,Data_filtered!$A$2:$A$461,$A17,Data_filtered!$F$2:$F$461,J$2)/$C17</f>
        <v>0</v>
      </c>
      <c r="K17" s="96">
        <f>SUMIFS(Data_filtered!$G$2:$G$461,Data_filtered!$A$2:$A$461,$A17,Data_filtered!$F$2:$F$461,K$2)/$C17</f>
        <v>0</v>
      </c>
      <c r="L17" s="96">
        <f>SUMIFS(Data_filtered!$G$2:$G$461,Data_filtered!$A$2:$A$461,$A17,Data_filtered!$F$2:$F$461,L$2)/$C17</f>
        <v>0</v>
      </c>
      <c r="M17" s="96">
        <f>SUMIFS(Data_filtered!$G$2:$G$461,Data_filtered!$A$2:$A$461,$A17,Data_filtered!$F$2:$F$461,M$2)/$C17</f>
        <v>0</v>
      </c>
      <c r="N17" s="96">
        <f>SUMIFS(Data_filtered!$G$2:$G$461,Data_filtered!$A$2:$A$461,$A17,Data_filtered!$F$2:$F$461,N$2)/$C17</f>
        <v>0</v>
      </c>
      <c r="O17" s="96">
        <f>SUMIFS(Data_filtered!$G$2:$G$461,Data_filtered!$A$2:$A$461,$A17,Data_filtered!$F$2:$F$461,O$2)/$C17</f>
        <v>0</v>
      </c>
      <c r="P17" s="96">
        <f>SUMIFS(Data_filtered!$G$2:$G$461,Data_filtered!$A$2:$A$461,$A17,Data_filtered!$F$2:$F$461,P$2)/$C17</f>
        <v>0</v>
      </c>
      <c r="Q17" s="96">
        <f>SUMIFS(Data_filtered!$G$2:$G$461,Data_filtered!$A$2:$A$461,$A17,Data_filtered!$F$2:$F$461,Q$2)/$C17</f>
        <v>0</v>
      </c>
      <c r="R17" s="96">
        <f>SUMIFS(Data_filtered!$G$2:$G$461,Data_filtered!$A$2:$A$461,$A17,Data_filtered!$F$2:$F$461,R$2)/$C17</f>
        <v>0</v>
      </c>
      <c r="S17" s="96">
        <f>SUMIFS(Data_filtered!$G$2:$G$461,Data_filtered!$A$2:$A$461,$A17,Data_filtered!$F$2:$F$461,S$2)/$C17</f>
        <v>0</v>
      </c>
      <c r="T17" s="96">
        <f>SUMIFS(Data_filtered!$G$2:$G$461,Data_filtered!$A$2:$A$461,$A17,Data_filtered!$F$2:$F$461,T$2)/$C17</f>
        <v>0.6666666667</v>
      </c>
      <c r="U17" s="96">
        <f>SUMIFS(Data_filtered!$G$2:$G$461,Data_filtered!$A$2:$A$461,$A17,Data_filtered!$F$2:$F$461,U$2)/$C17</f>
        <v>0</v>
      </c>
      <c r="V17" s="96">
        <f>SUMIFS(Data_filtered!$G$2:$G$461,Data_filtered!$A$2:$A$461,$A17,Data_filtered!$F$2:$F$461,V$2)/$C17</f>
        <v>0</v>
      </c>
      <c r="W17" s="96">
        <f>SUMIFS(Data_filtered!$G$2:$G$461,Data_filtered!$A$2:$A$461,$A17,Data_filtered!$F$2:$F$461,W$2)/$C17</f>
        <v>0</v>
      </c>
      <c r="X17" s="96">
        <f>SUMIFS(Data_filtered!$G$2:$G$461,Data_filtered!$A$2:$A$461,$A17,Data_filtered!$F$2:$F$461,X$2)/$C17</f>
        <v>0</v>
      </c>
      <c r="Y17" s="96">
        <f>SUMIFS(Data_filtered!$G$2:$G$461,Data_filtered!$A$2:$A$461,$A17,Data_filtered!$F$2:$F$461,Y$2)/$C17</f>
        <v>0</v>
      </c>
      <c r="Z17" s="96">
        <f>SUMIFS(Data_filtered!$G$2:$G$461,Data_filtered!$A$2:$A$461,$A17,Data_filtered!$F$2:$F$461,Z$2)/$C17</f>
        <v>0</v>
      </c>
      <c r="AA17" s="96">
        <f>SUMIFS(Data_filtered!$G$2:$G$461,Data_filtered!$A$2:$A$461,$A17,Data_filtered!$F$2:$F$461,AA$2)/$C17</f>
        <v>0</v>
      </c>
      <c r="AB17" s="96">
        <f>SUMIFS(Data_filtered!$G$2:$G$461,Data_filtered!$A$2:$A$461,$A17,Data_filtered!$F$2:$F$461,AB$2)/$C17</f>
        <v>0</v>
      </c>
      <c r="AC17" s="96">
        <f>SUMIFS(Data_filtered!$G$2:$G$461,Data_filtered!$A$2:$A$461,$A17,Data_filtered!$F$2:$F$461,AC$2)/$C17</f>
        <v>0</v>
      </c>
      <c r="AD17" s="96">
        <f>SUMIFS(Data_filtered!$G$2:$G$461,Data_filtered!$A$2:$A$461,$A17,Data_filtered!$F$2:$F$461,AD$2)/$C17</f>
        <v>0</v>
      </c>
      <c r="AE17" s="96">
        <f>SUMIFS(Data_filtered!$G$2:$G$461,Data_filtered!$A$2:$A$461,$A17,Data_filtered!$F$2:$F$461,AE$2)/$C17</f>
        <v>0</v>
      </c>
      <c r="AF17" s="96">
        <f>SUMIFS(Data_filtered!$G$2:$G$461,Data_filtered!$A$2:$A$461,$A17,Data_filtered!$F$2:$F$461,AF$2)/$C17</f>
        <v>0</v>
      </c>
    </row>
    <row r="18">
      <c r="A18" s="9" t="str">
        <f>IFERROR(__xludf.DUMMYFUNCTION("""COMPUTED_VALUE"""),"Physalaemus cuvieri")</f>
        <v>Physalaemus cuvieri</v>
      </c>
      <c r="B18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su"&amp;"bstrato"",Data_filtered!$A$2:$A$461=A18))"),1.0)</f>
        <v>1</v>
      </c>
      <c r="C18" s="28">
        <f>SUMIFS(Data_filtered!$G$2:$G$461,Data_filtered!$A$2:$A$461,A18,Data_filtered!$E$2:$E$461,"&lt;&gt;Não identificado",Data_filtered!$E$2:$E$461,"&lt;&gt;Semente",Data_filtered!$E$2:$E$461,"&lt;&gt;Semente de capim",Data_filtered!$E$2:$E$461,"&lt;&gt;Apenas substrato")</f>
        <v>2</v>
      </c>
      <c r="D18" s="96">
        <f>SUMIFS(Data_filtered!$G$2:$G$461,Data_filtered!$A$2:$A$461,$A18,Data_filtered!$F$2:$F$461,D$2)/$C18</f>
        <v>0</v>
      </c>
      <c r="E18" s="96">
        <f>SUMIFS(Data_filtered!$G$2:$G$461,Data_filtered!$A$2:$A$461,$A18,Data_filtered!$F$2:$F$461,E$2)/$C18</f>
        <v>0</v>
      </c>
      <c r="F18" s="96">
        <f>SUMIFS(Data_filtered!$G$2:$G$461,Data_filtered!$A$2:$A$461,$A18,Data_filtered!$F$2:$F$461,F$2)/$C18</f>
        <v>0</v>
      </c>
      <c r="G18" s="96">
        <f>SUMIFS(Data_filtered!$G$2:$G$461,Data_filtered!$A$2:$A$461,$A18,Data_filtered!$F$2:$F$461,G$2)/$C18</f>
        <v>0</v>
      </c>
      <c r="H18" s="96">
        <f>SUMIFS(Data_filtered!$G$2:$G$461,Data_filtered!$A$2:$A$461,$A18,Data_filtered!$F$2:$F$461,H$2)/$C18</f>
        <v>0</v>
      </c>
      <c r="I18" s="96">
        <f>SUMIFS(Data_filtered!$G$2:$G$461,Data_filtered!$A$2:$A$461,$A18,Data_filtered!$F$2:$F$461,I$2)/$C18</f>
        <v>0</v>
      </c>
      <c r="J18" s="96">
        <f>SUMIFS(Data_filtered!$G$2:$G$461,Data_filtered!$A$2:$A$461,$A18,Data_filtered!$F$2:$F$461,J$2)/$C18</f>
        <v>0</v>
      </c>
      <c r="K18" s="96">
        <f>SUMIFS(Data_filtered!$G$2:$G$461,Data_filtered!$A$2:$A$461,$A18,Data_filtered!$F$2:$F$461,K$2)/$C18</f>
        <v>0</v>
      </c>
      <c r="L18" s="96">
        <f>SUMIFS(Data_filtered!$G$2:$G$461,Data_filtered!$A$2:$A$461,$A18,Data_filtered!$F$2:$F$461,L$2)/$C18</f>
        <v>0</v>
      </c>
      <c r="M18" s="96">
        <f>SUMIFS(Data_filtered!$G$2:$G$461,Data_filtered!$A$2:$A$461,$A18,Data_filtered!$F$2:$F$461,M$2)/$C18</f>
        <v>0</v>
      </c>
      <c r="N18" s="96">
        <f>SUMIFS(Data_filtered!$G$2:$G$461,Data_filtered!$A$2:$A$461,$A18,Data_filtered!$F$2:$F$461,N$2)/$C18</f>
        <v>0</v>
      </c>
      <c r="O18" s="96">
        <f>SUMIFS(Data_filtered!$G$2:$G$461,Data_filtered!$A$2:$A$461,$A18,Data_filtered!$F$2:$F$461,O$2)/$C18</f>
        <v>0</v>
      </c>
      <c r="P18" s="96">
        <f>SUMIFS(Data_filtered!$G$2:$G$461,Data_filtered!$A$2:$A$461,$A18,Data_filtered!$F$2:$F$461,P$2)/$C18</f>
        <v>1</v>
      </c>
      <c r="Q18" s="96">
        <f>SUMIFS(Data_filtered!$G$2:$G$461,Data_filtered!$A$2:$A$461,$A18,Data_filtered!$F$2:$F$461,Q$2)/$C18</f>
        <v>0</v>
      </c>
      <c r="R18" s="96">
        <f>SUMIFS(Data_filtered!$G$2:$G$461,Data_filtered!$A$2:$A$461,$A18,Data_filtered!$F$2:$F$461,R$2)/$C18</f>
        <v>0</v>
      </c>
      <c r="S18" s="96">
        <f>SUMIFS(Data_filtered!$G$2:$G$461,Data_filtered!$A$2:$A$461,$A18,Data_filtered!$F$2:$F$461,S$2)/$C18</f>
        <v>0</v>
      </c>
      <c r="T18" s="96">
        <f>SUMIFS(Data_filtered!$G$2:$G$461,Data_filtered!$A$2:$A$461,$A18,Data_filtered!$F$2:$F$461,T$2)/$C18</f>
        <v>0</v>
      </c>
      <c r="U18" s="96">
        <f>SUMIFS(Data_filtered!$G$2:$G$461,Data_filtered!$A$2:$A$461,$A18,Data_filtered!$F$2:$F$461,U$2)/$C18</f>
        <v>0</v>
      </c>
      <c r="V18" s="96">
        <f>SUMIFS(Data_filtered!$G$2:$G$461,Data_filtered!$A$2:$A$461,$A18,Data_filtered!$F$2:$F$461,V$2)/$C18</f>
        <v>0</v>
      </c>
      <c r="W18" s="96">
        <f>SUMIFS(Data_filtered!$G$2:$G$461,Data_filtered!$A$2:$A$461,$A18,Data_filtered!$F$2:$F$461,W$2)/$C18</f>
        <v>0</v>
      </c>
      <c r="X18" s="96">
        <f>SUMIFS(Data_filtered!$G$2:$G$461,Data_filtered!$A$2:$A$461,$A18,Data_filtered!$F$2:$F$461,X$2)/$C18</f>
        <v>0</v>
      </c>
      <c r="Y18" s="96">
        <f>SUMIFS(Data_filtered!$G$2:$G$461,Data_filtered!$A$2:$A$461,$A18,Data_filtered!$F$2:$F$461,Y$2)/$C18</f>
        <v>0</v>
      </c>
      <c r="Z18" s="96">
        <f>SUMIFS(Data_filtered!$G$2:$G$461,Data_filtered!$A$2:$A$461,$A18,Data_filtered!$F$2:$F$461,Z$2)/$C18</f>
        <v>0</v>
      </c>
      <c r="AA18" s="96">
        <f>SUMIFS(Data_filtered!$G$2:$G$461,Data_filtered!$A$2:$A$461,$A18,Data_filtered!$F$2:$F$461,AA$2)/$C18</f>
        <v>0</v>
      </c>
      <c r="AB18" s="96">
        <f>SUMIFS(Data_filtered!$G$2:$G$461,Data_filtered!$A$2:$A$461,$A18,Data_filtered!$F$2:$F$461,AB$2)/$C18</f>
        <v>0</v>
      </c>
      <c r="AC18" s="96">
        <f>SUMIFS(Data_filtered!$G$2:$G$461,Data_filtered!$A$2:$A$461,$A18,Data_filtered!$F$2:$F$461,AC$2)/$C18</f>
        <v>0</v>
      </c>
      <c r="AD18" s="96">
        <f>SUMIFS(Data_filtered!$G$2:$G$461,Data_filtered!$A$2:$A$461,$A18,Data_filtered!$F$2:$F$461,AD$2)/$C18</f>
        <v>0</v>
      </c>
      <c r="AE18" s="96">
        <f>SUMIFS(Data_filtered!$G$2:$G$461,Data_filtered!$A$2:$A$461,$A18,Data_filtered!$F$2:$F$461,AE$2)/$C18</f>
        <v>0</v>
      </c>
      <c r="AF18" s="96">
        <f>SUMIFS(Data_filtered!$G$2:$G$461,Data_filtered!$A$2:$A$461,$A18,Data_filtered!$F$2:$F$461,AF$2)/$C18</f>
        <v>0</v>
      </c>
    </row>
    <row r="19">
      <c r="A19" s="9" t="str">
        <f>IFERROR(__xludf.DUMMYFUNCTION("""COMPUTED_VALUE"""),"Physalaemus olfersii")</f>
        <v>Physalaemus olfersii</v>
      </c>
      <c r="B19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su"&amp;"bstrato"",Data_filtered!$A$2:$A$461=A19))"),10.0)</f>
        <v>10</v>
      </c>
      <c r="C19" s="28">
        <f>SUMIFS(Data_filtered!$G$2:$G$461,Data_filtered!$A$2:$A$461,A19,Data_filtered!$E$2:$E$461,"&lt;&gt;Não identificado",Data_filtered!$E$2:$E$461,"&lt;&gt;Semente",Data_filtered!$E$2:$E$461,"&lt;&gt;Semente de capim",Data_filtered!$E$2:$E$461,"&lt;&gt;Apenas substrato")</f>
        <v>46</v>
      </c>
      <c r="D19" s="96">
        <f>SUMIFS(Data_filtered!$G$2:$G$461,Data_filtered!$A$2:$A$461,$A19,Data_filtered!$F$2:$F$461,D$2)/$C19</f>
        <v>0</v>
      </c>
      <c r="E19" s="96">
        <f>SUMIFS(Data_filtered!$G$2:$G$461,Data_filtered!$A$2:$A$461,$A19,Data_filtered!$F$2:$F$461,E$2)/$C19</f>
        <v>0</v>
      </c>
      <c r="F19" s="96">
        <f>SUMIFS(Data_filtered!$G$2:$G$461,Data_filtered!$A$2:$A$461,$A19,Data_filtered!$F$2:$F$461,F$2)/$C19</f>
        <v>0.04347826087</v>
      </c>
      <c r="G19" s="96">
        <f>SUMIFS(Data_filtered!$G$2:$G$461,Data_filtered!$A$2:$A$461,$A19,Data_filtered!$F$2:$F$461,G$2)/$C19</f>
        <v>0</v>
      </c>
      <c r="H19" s="96">
        <f>SUMIFS(Data_filtered!$G$2:$G$461,Data_filtered!$A$2:$A$461,$A19,Data_filtered!$F$2:$F$461,H$2)/$C19</f>
        <v>0</v>
      </c>
      <c r="I19" s="96">
        <f>SUMIFS(Data_filtered!$G$2:$G$461,Data_filtered!$A$2:$A$461,$A19,Data_filtered!$F$2:$F$461,I$2)/$C19</f>
        <v>0</v>
      </c>
      <c r="J19" s="96">
        <f>SUMIFS(Data_filtered!$G$2:$G$461,Data_filtered!$A$2:$A$461,$A19,Data_filtered!$F$2:$F$461,J$2)/$C19</f>
        <v>0.1086956522</v>
      </c>
      <c r="K19" s="96">
        <f>SUMIFS(Data_filtered!$G$2:$G$461,Data_filtered!$A$2:$A$461,$A19,Data_filtered!$F$2:$F$461,K$2)/$C19</f>
        <v>0</v>
      </c>
      <c r="L19" s="96">
        <f>SUMIFS(Data_filtered!$G$2:$G$461,Data_filtered!$A$2:$A$461,$A19,Data_filtered!$F$2:$F$461,L$2)/$C19</f>
        <v>0</v>
      </c>
      <c r="M19" s="96">
        <f>SUMIFS(Data_filtered!$G$2:$G$461,Data_filtered!$A$2:$A$461,$A19,Data_filtered!$F$2:$F$461,M$2)/$C19</f>
        <v>0</v>
      </c>
      <c r="N19" s="96">
        <f>SUMIFS(Data_filtered!$G$2:$G$461,Data_filtered!$A$2:$A$461,$A19,Data_filtered!$F$2:$F$461,N$2)/$C19</f>
        <v>0</v>
      </c>
      <c r="O19" s="96">
        <f>SUMIFS(Data_filtered!$G$2:$G$461,Data_filtered!$A$2:$A$461,$A19,Data_filtered!$F$2:$F$461,O$2)/$C19</f>
        <v>0</v>
      </c>
      <c r="P19" s="96">
        <f>SUMIFS(Data_filtered!$G$2:$G$461,Data_filtered!$A$2:$A$461,$A19,Data_filtered!$F$2:$F$461,P$2)/$C19</f>
        <v>0.7608695652</v>
      </c>
      <c r="Q19" s="96">
        <f>SUMIFS(Data_filtered!$G$2:$G$461,Data_filtered!$A$2:$A$461,$A19,Data_filtered!$F$2:$F$461,Q$2)/$C19</f>
        <v>0</v>
      </c>
      <c r="R19" s="96">
        <f>SUMIFS(Data_filtered!$G$2:$G$461,Data_filtered!$A$2:$A$461,$A19,Data_filtered!$F$2:$F$461,R$2)/$C19</f>
        <v>0</v>
      </c>
      <c r="S19" s="96">
        <f>SUMIFS(Data_filtered!$G$2:$G$461,Data_filtered!$A$2:$A$461,$A19,Data_filtered!$F$2:$F$461,S$2)/$C19</f>
        <v>0.02173913043</v>
      </c>
      <c r="T19" s="96">
        <f>SUMIFS(Data_filtered!$G$2:$G$461,Data_filtered!$A$2:$A$461,$A19,Data_filtered!$F$2:$F$461,T$2)/$C19</f>
        <v>0</v>
      </c>
      <c r="U19" s="96">
        <f>SUMIFS(Data_filtered!$G$2:$G$461,Data_filtered!$A$2:$A$461,$A19,Data_filtered!$F$2:$F$461,U$2)/$C19</f>
        <v>0</v>
      </c>
      <c r="V19" s="96">
        <f>SUMIFS(Data_filtered!$G$2:$G$461,Data_filtered!$A$2:$A$461,$A19,Data_filtered!$F$2:$F$461,V$2)/$C19</f>
        <v>0</v>
      </c>
      <c r="W19" s="96">
        <f>SUMIFS(Data_filtered!$G$2:$G$461,Data_filtered!$A$2:$A$461,$A19,Data_filtered!$F$2:$F$461,W$2)/$C19</f>
        <v>0</v>
      </c>
      <c r="X19" s="96">
        <f>SUMIFS(Data_filtered!$G$2:$G$461,Data_filtered!$A$2:$A$461,$A19,Data_filtered!$F$2:$F$461,X$2)/$C19</f>
        <v>0</v>
      </c>
      <c r="Y19" s="96">
        <f>SUMIFS(Data_filtered!$G$2:$G$461,Data_filtered!$A$2:$A$461,$A19,Data_filtered!$F$2:$F$461,Y$2)/$C19</f>
        <v>0</v>
      </c>
      <c r="Z19" s="96">
        <f>SUMIFS(Data_filtered!$G$2:$G$461,Data_filtered!$A$2:$A$461,$A19,Data_filtered!$F$2:$F$461,Z$2)/$C19</f>
        <v>0</v>
      </c>
      <c r="AA19" s="96">
        <f>SUMIFS(Data_filtered!$G$2:$G$461,Data_filtered!$A$2:$A$461,$A19,Data_filtered!$F$2:$F$461,AA$2)/$C19</f>
        <v>0</v>
      </c>
      <c r="AB19" s="96">
        <f>SUMIFS(Data_filtered!$G$2:$G$461,Data_filtered!$A$2:$A$461,$A19,Data_filtered!$F$2:$F$461,AB$2)/$C19</f>
        <v>0</v>
      </c>
      <c r="AC19" s="96">
        <f>SUMIFS(Data_filtered!$G$2:$G$461,Data_filtered!$A$2:$A$461,$A19,Data_filtered!$F$2:$F$461,AC$2)/$C19</f>
        <v>0</v>
      </c>
      <c r="AD19" s="96">
        <f>SUMIFS(Data_filtered!$G$2:$G$461,Data_filtered!$A$2:$A$461,$A19,Data_filtered!$F$2:$F$461,AD$2)/$C19</f>
        <v>0.04347826087</v>
      </c>
      <c r="AE19" s="96">
        <f>SUMIFS(Data_filtered!$G$2:$G$461,Data_filtered!$A$2:$A$461,$A19,Data_filtered!$F$2:$F$461,AE$2)/$C19</f>
        <v>0</v>
      </c>
      <c r="AF19" s="96">
        <f>SUMIFS(Data_filtered!$G$2:$G$461,Data_filtered!$A$2:$A$461,$A19,Data_filtered!$F$2:$F$461,AF$2)/$C19</f>
        <v>0.02173913043</v>
      </c>
    </row>
    <row r="20">
      <c r="A20" s="9" t="str">
        <f>IFERROR(__xludf.DUMMYFUNCTION("""COMPUTED_VALUE"""),"Proceratophrys boiei")</f>
        <v>Proceratophrys boiei</v>
      </c>
      <c r="B20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su"&amp;"bstrato"",Data_filtered!$A$2:$A$461=A20))"),10.0)</f>
        <v>10</v>
      </c>
      <c r="C20" s="28">
        <f>SUMIFS(Data_filtered!$G$2:$G$461,Data_filtered!$A$2:$A$461,A20,Data_filtered!$E$2:$E$461,"&lt;&gt;Não identificado",Data_filtered!$E$2:$E$461,"&lt;&gt;Semente",Data_filtered!$E$2:$E$461,"&lt;&gt;Semente de capim",Data_filtered!$E$2:$E$461,"&lt;&gt;Apenas substrato")</f>
        <v>21</v>
      </c>
      <c r="D20" s="96">
        <f>SUMIFS(Data_filtered!$G$2:$G$461,Data_filtered!$A$2:$A$461,$A20,Data_filtered!$F$2:$F$461,D$2)/$C20</f>
        <v>0.04761904762</v>
      </c>
      <c r="E20" s="96">
        <f>SUMIFS(Data_filtered!$G$2:$G$461,Data_filtered!$A$2:$A$461,$A20,Data_filtered!$F$2:$F$461,E$2)/$C20</f>
        <v>0</v>
      </c>
      <c r="F20" s="96">
        <f>SUMIFS(Data_filtered!$G$2:$G$461,Data_filtered!$A$2:$A$461,$A20,Data_filtered!$F$2:$F$461,F$2)/$C20</f>
        <v>0.04761904762</v>
      </c>
      <c r="G20" s="96">
        <f>SUMIFS(Data_filtered!$G$2:$G$461,Data_filtered!$A$2:$A$461,$A20,Data_filtered!$F$2:$F$461,G$2)/$C20</f>
        <v>0</v>
      </c>
      <c r="H20" s="96">
        <f>SUMIFS(Data_filtered!$G$2:$G$461,Data_filtered!$A$2:$A$461,$A20,Data_filtered!$F$2:$F$461,H$2)/$C20</f>
        <v>0</v>
      </c>
      <c r="I20" s="96">
        <f>SUMIFS(Data_filtered!$G$2:$G$461,Data_filtered!$A$2:$A$461,$A20,Data_filtered!$F$2:$F$461,I$2)/$C20</f>
        <v>0.09523809524</v>
      </c>
      <c r="J20" s="96">
        <f>SUMIFS(Data_filtered!$G$2:$G$461,Data_filtered!$A$2:$A$461,$A20,Data_filtered!$F$2:$F$461,J$2)/$C20</f>
        <v>0.5714285714</v>
      </c>
      <c r="K20" s="96">
        <f>SUMIFS(Data_filtered!$G$2:$G$461,Data_filtered!$A$2:$A$461,$A20,Data_filtered!$F$2:$F$461,K$2)/$C20</f>
        <v>0</v>
      </c>
      <c r="L20" s="96">
        <f>SUMIFS(Data_filtered!$G$2:$G$461,Data_filtered!$A$2:$A$461,$A20,Data_filtered!$F$2:$F$461,L$2)/$C20</f>
        <v>0</v>
      </c>
      <c r="M20" s="96">
        <f>SUMIFS(Data_filtered!$G$2:$G$461,Data_filtered!$A$2:$A$461,$A20,Data_filtered!$F$2:$F$461,M$2)/$C20</f>
        <v>0</v>
      </c>
      <c r="N20" s="96">
        <f>SUMIFS(Data_filtered!$G$2:$G$461,Data_filtered!$A$2:$A$461,$A20,Data_filtered!$F$2:$F$461,N$2)/$C20</f>
        <v>0.04761904762</v>
      </c>
      <c r="O20" s="96">
        <f>SUMIFS(Data_filtered!$G$2:$G$461,Data_filtered!$A$2:$A$461,$A20,Data_filtered!$F$2:$F$461,O$2)/$C20</f>
        <v>0.04761904762</v>
      </c>
      <c r="P20" s="96">
        <f>SUMIFS(Data_filtered!$G$2:$G$461,Data_filtered!$A$2:$A$461,$A20,Data_filtered!$F$2:$F$461,P$2)/$C20</f>
        <v>0</v>
      </c>
      <c r="Q20" s="96">
        <f>SUMIFS(Data_filtered!$G$2:$G$461,Data_filtered!$A$2:$A$461,$A20,Data_filtered!$F$2:$F$461,Q$2)/$C20</f>
        <v>0</v>
      </c>
      <c r="R20" s="96">
        <f>SUMIFS(Data_filtered!$G$2:$G$461,Data_filtered!$A$2:$A$461,$A20,Data_filtered!$F$2:$F$461,R$2)/$C20</f>
        <v>0</v>
      </c>
      <c r="S20" s="96">
        <f>SUMIFS(Data_filtered!$G$2:$G$461,Data_filtered!$A$2:$A$461,$A20,Data_filtered!$F$2:$F$461,S$2)/$C20</f>
        <v>0</v>
      </c>
      <c r="T20" s="96">
        <f>SUMIFS(Data_filtered!$G$2:$G$461,Data_filtered!$A$2:$A$461,$A20,Data_filtered!$F$2:$F$461,T$2)/$C20</f>
        <v>0.04761904762</v>
      </c>
      <c r="U20" s="96">
        <f>SUMIFS(Data_filtered!$G$2:$G$461,Data_filtered!$A$2:$A$461,$A20,Data_filtered!$F$2:$F$461,U$2)/$C20</f>
        <v>0</v>
      </c>
      <c r="V20" s="96">
        <f>SUMIFS(Data_filtered!$G$2:$G$461,Data_filtered!$A$2:$A$461,$A20,Data_filtered!$F$2:$F$461,V$2)/$C20</f>
        <v>0</v>
      </c>
      <c r="W20" s="96">
        <f>SUMIFS(Data_filtered!$G$2:$G$461,Data_filtered!$A$2:$A$461,$A20,Data_filtered!$F$2:$F$461,W$2)/$C20</f>
        <v>0</v>
      </c>
      <c r="X20" s="96">
        <f>SUMIFS(Data_filtered!$G$2:$G$461,Data_filtered!$A$2:$A$461,$A20,Data_filtered!$F$2:$F$461,X$2)/$C20</f>
        <v>0</v>
      </c>
      <c r="Y20" s="96">
        <f>SUMIFS(Data_filtered!$G$2:$G$461,Data_filtered!$A$2:$A$461,$A20,Data_filtered!$F$2:$F$461,Y$2)/$C20</f>
        <v>0</v>
      </c>
      <c r="Z20" s="96">
        <f>SUMIFS(Data_filtered!$G$2:$G$461,Data_filtered!$A$2:$A$461,$A20,Data_filtered!$F$2:$F$461,Z$2)/$C20</f>
        <v>0</v>
      </c>
      <c r="AA20" s="96">
        <f>SUMIFS(Data_filtered!$G$2:$G$461,Data_filtered!$A$2:$A$461,$A20,Data_filtered!$F$2:$F$461,AA$2)/$C20</f>
        <v>0.04761904762</v>
      </c>
      <c r="AB20" s="96">
        <f>SUMIFS(Data_filtered!$G$2:$G$461,Data_filtered!$A$2:$A$461,$A20,Data_filtered!$F$2:$F$461,AB$2)/$C20</f>
        <v>0</v>
      </c>
      <c r="AC20" s="96">
        <f>SUMIFS(Data_filtered!$G$2:$G$461,Data_filtered!$A$2:$A$461,$A20,Data_filtered!$F$2:$F$461,AC$2)/$C20</f>
        <v>0</v>
      </c>
      <c r="AD20" s="96">
        <f>SUMIFS(Data_filtered!$G$2:$G$461,Data_filtered!$A$2:$A$461,$A20,Data_filtered!$F$2:$F$461,AD$2)/$C20</f>
        <v>0.04761904762</v>
      </c>
      <c r="AE20" s="96">
        <f>SUMIFS(Data_filtered!$G$2:$G$461,Data_filtered!$A$2:$A$461,$A20,Data_filtered!$F$2:$F$461,AE$2)/$C20</f>
        <v>0</v>
      </c>
      <c r="AF20" s="96">
        <f>SUMIFS(Data_filtered!$G$2:$G$461,Data_filtered!$A$2:$A$461,$A20,Data_filtered!$F$2:$F$461,AF$2)/$C20</f>
        <v>0</v>
      </c>
    </row>
    <row r="21">
      <c r="A21" s="9" t="str">
        <f>IFERROR(__xludf.DUMMYFUNCTION("""COMPUTED_VALUE"""),"Proceratophrys itamari")</f>
        <v>Proceratophrys itamari</v>
      </c>
      <c r="B21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su"&amp;"bstrato"",Data_filtered!$A$2:$A$461=A21))"),3.0)</f>
        <v>3</v>
      </c>
      <c r="C21" s="28">
        <f>SUMIFS(Data_filtered!$G$2:$G$461,Data_filtered!$A$2:$A$461,A21,Data_filtered!$E$2:$E$461,"&lt;&gt;Não identificado",Data_filtered!$E$2:$E$461,"&lt;&gt;Semente",Data_filtered!$E$2:$E$461,"&lt;&gt;Semente de capim",Data_filtered!$E$2:$E$461,"&lt;&gt;Apenas substrato")</f>
        <v>6</v>
      </c>
      <c r="D21" s="96">
        <f>SUMIFS(Data_filtered!$G$2:$G$461,Data_filtered!$A$2:$A$461,$A21,Data_filtered!$F$2:$F$461,D$2)/$C21</f>
        <v>0</v>
      </c>
      <c r="E21" s="96">
        <f>SUMIFS(Data_filtered!$G$2:$G$461,Data_filtered!$A$2:$A$461,$A21,Data_filtered!$F$2:$F$461,E$2)/$C21</f>
        <v>0</v>
      </c>
      <c r="F21" s="96">
        <f>SUMIFS(Data_filtered!$G$2:$G$461,Data_filtered!$A$2:$A$461,$A21,Data_filtered!$F$2:$F$461,F$2)/$C21</f>
        <v>0.1666666667</v>
      </c>
      <c r="G21" s="96">
        <f>SUMIFS(Data_filtered!$G$2:$G$461,Data_filtered!$A$2:$A$461,$A21,Data_filtered!$F$2:$F$461,G$2)/$C21</f>
        <v>0</v>
      </c>
      <c r="H21" s="96">
        <f>SUMIFS(Data_filtered!$G$2:$G$461,Data_filtered!$A$2:$A$461,$A21,Data_filtered!$F$2:$F$461,H$2)/$C21</f>
        <v>0</v>
      </c>
      <c r="I21" s="96">
        <f>SUMIFS(Data_filtered!$G$2:$G$461,Data_filtered!$A$2:$A$461,$A21,Data_filtered!$F$2:$F$461,I$2)/$C21</f>
        <v>0</v>
      </c>
      <c r="J21" s="96">
        <f>SUMIFS(Data_filtered!$G$2:$G$461,Data_filtered!$A$2:$A$461,$A21,Data_filtered!$F$2:$F$461,J$2)/$C21</f>
        <v>0.3333333333</v>
      </c>
      <c r="K21" s="96">
        <f>SUMIFS(Data_filtered!$G$2:$G$461,Data_filtered!$A$2:$A$461,$A21,Data_filtered!$F$2:$F$461,K$2)/$C21</f>
        <v>0</v>
      </c>
      <c r="L21" s="96">
        <f>SUMIFS(Data_filtered!$G$2:$G$461,Data_filtered!$A$2:$A$461,$A21,Data_filtered!$F$2:$F$461,L$2)/$C21</f>
        <v>0</v>
      </c>
      <c r="M21" s="96">
        <f>SUMIFS(Data_filtered!$G$2:$G$461,Data_filtered!$A$2:$A$461,$A21,Data_filtered!$F$2:$F$461,M$2)/$C21</f>
        <v>0</v>
      </c>
      <c r="N21" s="96">
        <f>SUMIFS(Data_filtered!$G$2:$G$461,Data_filtered!$A$2:$A$461,$A21,Data_filtered!$F$2:$F$461,N$2)/$C21</f>
        <v>0</v>
      </c>
      <c r="O21" s="96">
        <f>SUMIFS(Data_filtered!$G$2:$G$461,Data_filtered!$A$2:$A$461,$A21,Data_filtered!$F$2:$F$461,O$2)/$C21</f>
        <v>0</v>
      </c>
      <c r="P21" s="96">
        <f>SUMIFS(Data_filtered!$G$2:$G$461,Data_filtered!$A$2:$A$461,$A21,Data_filtered!$F$2:$F$461,P$2)/$C21</f>
        <v>0</v>
      </c>
      <c r="Q21" s="96">
        <f>SUMIFS(Data_filtered!$G$2:$G$461,Data_filtered!$A$2:$A$461,$A21,Data_filtered!$F$2:$F$461,Q$2)/$C21</f>
        <v>0</v>
      </c>
      <c r="R21" s="96">
        <f>SUMIFS(Data_filtered!$G$2:$G$461,Data_filtered!$A$2:$A$461,$A21,Data_filtered!$F$2:$F$461,R$2)/$C21</f>
        <v>0.1666666667</v>
      </c>
      <c r="S21" s="96">
        <f>SUMIFS(Data_filtered!$G$2:$G$461,Data_filtered!$A$2:$A$461,$A21,Data_filtered!$F$2:$F$461,S$2)/$C21</f>
        <v>0</v>
      </c>
      <c r="T21" s="96">
        <f>SUMIFS(Data_filtered!$G$2:$G$461,Data_filtered!$A$2:$A$461,$A21,Data_filtered!$F$2:$F$461,T$2)/$C21</f>
        <v>0.3333333333</v>
      </c>
      <c r="U21" s="96">
        <f>SUMIFS(Data_filtered!$G$2:$G$461,Data_filtered!$A$2:$A$461,$A21,Data_filtered!$F$2:$F$461,U$2)/$C21</f>
        <v>0</v>
      </c>
      <c r="V21" s="96">
        <f>SUMIFS(Data_filtered!$G$2:$G$461,Data_filtered!$A$2:$A$461,$A21,Data_filtered!$F$2:$F$461,V$2)/$C21</f>
        <v>0</v>
      </c>
      <c r="W21" s="96">
        <f>SUMIFS(Data_filtered!$G$2:$G$461,Data_filtered!$A$2:$A$461,$A21,Data_filtered!$F$2:$F$461,W$2)/$C21</f>
        <v>0</v>
      </c>
      <c r="X21" s="96">
        <f>SUMIFS(Data_filtered!$G$2:$G$461,Data_filtered!$A$2:$A$461,$A21,Data_filtered!$F$2:$F$461,X$2)/$C21</f>
        <v>0</v>
      </c>
      <c r="Y21" s="96">
        <f>SUMIFS(Data_filtered!$G$2:$G$461,Data_filtered!$A$2:$A$461,$A21,Data_filtered!$F$2:$F$461,Y$2)/$C21</f>
        <v>0</v>
      </c>
      <c r="Z21" s="96">
        <f>SUMIFS(Data_filtered!$G$2:$G$461,Data_filtered!$A$2:$A$461,$A21,Data_filtered!$F$2:$F$461,Z$2)/$C21</f>
        <v>0</v>
      </c>
      <c r="AA21" s="96">
        <f>SUMIFS(Data_filtered!$G$2:$G$461,Data_filtered!$A$2:$A$461,$A21,Data_filtered!$F$2:$F$461,AA$2)/$C21</f>
        <v>0</v>
      </c>
      <c r="AB21" s="96">
        <f>SUMIFS(Data_filtered!$G$2:$G$461,Data_filtered!$A$2:$A$461,$A21,Data_filtered!$F$2:$F$461,AB$2)/$C21</f>
        <v>0</v>
      </c>
      <c r="AC21" s="96">
        <f>SUMIFS(Data_filtered!$G$2:$G$461,Data_filtered!$A$2:$A$461,$A21,Data_filtered!$F$2:$F$461,AC$2)/$C21</f>
        <v>0</v>
      </c>
      <c r="AD21" s="96">
        <f>SUMIFS(Data_filtered!$G$2:$G$461,Data_filtered!$A$2:$A$461,$A21,Data_filtered!$F$2:$F$461,AD$2)/$C21</f>
        <v>0</v>
      </c>
      <c r="AE21" s="96">
        <f>SUMIFS(Data_filtered!$G$2:$G$461,Data_filtered!$A$2:$A$461,$A21,Data_filtered!$F$2:$F$461,AE$2)/$C21</f>
        <v>0</v>
      </c>
      <c r="AF21" s="96">
        <f>SUMIFS(Data_filtered!$G$2:$G$461,Data_filtered!$A$2:$A$461,$A21,Data_filtered!$F$2:$F$461,AF$2)/$C21</f>
        <v>0</v>
      </c>
    </row>
    <row r="22">
      <c r="A22" s="9" t="str">
        <f>IFERROR(__xludf.DUMMYFUNCTION("""COMPUTED_VALUE"""),"Rhinella icterica")</f>
        <v>Rhinella icterica</v>
      </c>
      <c r="B22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su"&amp;"bstrato"",Data_filtered!$A$2:$A$461=A22))"),12.0)</f>
        <v>12</v>
      </c>
      <c r="C22" s="28">
        <f>SUMIFS(Data_filtered!$G$2:$G$461,Data_filtered!$A$2:$A$461,A22,Data_filtered!$E$2:$E$461,"&lt;&gt;Não identificado",Data_filtered!$E$2:$E$461,"&lt;&gt;Semente",Data_filtered!$E$2:$E$461,"&lt;&gt;Semente de capim",Data_filtered!$E$2:$E$461,"&lt;&gt;Apenas substrato")</f>
        <v>232</v>
      </c>
      <c r="D22" s="96">
        <f>SUMIFS(Data_filtered!$G$2:$G$461,Data_filtered!$A$2:$A$461,$A22,Data_filtered!$F$2:$F$461,D$2)/$C22</f>
        <v>0</v>
      </c>
      <c r="E22" s="96">
        <f>SUMIFS(Data_filtered!$G$2:$G$461,Data_filtered!$A$2:$A$461,$A22,Data_filtered!$F$2:$F$461,E$2)/$C22</f>
        <v>0</v>
      </c>
      <c r="F22" s="96">
        <f>SUMIFS(Data_filtered!$G$2:$G$461,Data_filtered!$A$2:$A$461,$A22,Data_filtered!$F$2:$F$461,F$2)/$C22</f>
        <v>0</v>
      </c>
      <c r="G22" s="96">
        <f>SUMIFS(Data_filtered!$G$2:$G$461,Data_filtered!$A$2:$A$461,$A22,Data_filtered!$F$2:$F$461,G$2)/$C22</f>
        <v>0</v>
      </c>
      <c r="H22" s="96">
        <f>SUMIFS(Data_filtered!$G$2:$G$461,Data_filtered!$A$2:$A$461,$A22,Data_filtered!$F$2:$F$461,H$2)/$C22</f>
        <v>0</v>
      </c>
      <c r="I22" s="96">
        <f>SUMIFS(Data_filtered!$G$2:$G$461,Data_filtered!$A$2:$A$461,$A22,Data_filtered!$F$2:$F$461,I$2)/$C22</f>
        <v>0</v>
      </c>
      <c r="J22" s="96">
        <f>SUMIFS(Data_filtered!$G$2:$G$461,Data_filtered!$A$2:$A$461,$A22,Data_filtered!$F$2:$F$461,J$2)/$C22</f>
        <v>0.6293103448</v>
      </c>
      <c r="K22" s="96">
        <f>SUMIFS(Data_filtered!$G$2:$G$461,Data_filtered!$A$2:$A$461,$A22,Data_filtered!$F$2:$F$461,K$2)/$C22</f>
        <v>0.01293103448</v>
      </c>
      <c r="L22" s="96">
        <f>SUMIFS(Data_filtered!$G$2:$G$461,Data_filtered!$A$2:$A$461,$A22,Data_filtered!$F$2:$F$461,L$2)/$C22</f>
        <v>0</v>
      </c>
      <c r="M22" s="96">
        <f>SUMIFS(Data_filtered!$G$2:$G$461,Data_filtered!$A$2:$A$461,$A22,Data_filtered!$F$2:$F$461,M$2)/$C22</f>
        <v>0.02155172414</v>
      </c>
      <c r="N22" s="96">
        <f>SUMIFS(Data_filtered!$G$2:$G$461,Data_filtered!$A$2:$A$461,$A22,Data_filtered!$F$2:$F$461,N$2)/$C22</f>
        <v>0.03448275862</v>
      </c>
      <c r="O22" s="96">
        <f>SUMIFS(Data_filtered!$G$2:$G$461,Data_filtered!$A$2:$A$461,$A22,Data_filtered!$F$2:$F$461,O$2)/$C22</f>
        <v>0</v>
      </c>
      <c r="P22" s="96">
        <f>SUMIFS(Data_filtered!$G$2:$G$461,Data_filtered!$A$2:$A$461,$A22,Data_filtered!$F$2:$F$461,P$2)/$C22</f>
        <v>0.2155172414</v>
      </c>
      <c r="Q22" s="96">
        <f>SUMIFS(Data_filtered!$G$2:$G$461,Data_filtered!$A$2:$A$461,$A22,Data_filtered!$F$2:$F$461,Q$2)/$C22</f>
        <v>0</v>
      </c>
      <c r="R22" s="96">
        <f>SUMIFS(Data_filtered!$G$2:$G$461,Data_filtered!$A$2:$A$461,$A22,Data_filtered!$F$2:$F$461,R$2)/$C22</f>
        <v>0.008620689655</v>
      </c>
      <c r="S22" s="96">
        <f>SUMIFS(Data_filtered!$G$2:$G$461,Data_filtered!$A$2:$A$461,$A22,Data_filtered!$F$2:$F$461,S$2)/$C22</f>
        <v>0</v>
      </c>
      <c r="T22" s="96">
        <f>SUMIFS(Data_filtered!$G$2:$G$461,Data_filtered!$A$2:$A$461,$A22,Data_filtered!$F$2:$F$461,T$2)/$C22</f>
        <v>0.008620689655</v>
      </c>
      <c r="U22" s="96">
        <f>SUMIFS(Data_filtered!$G$2:$G$461,Data_filtered!$A$2:$A$461,$A22,Data_filtered!$F$2:$F$461,U$2)/$C22</f>
        <v>0</v>
      </c>
      <c r="V22" s="96">
        <f>SUMIFS(Data_filtered!$G$2:$G$461,Data_filtered!$A$2:$A$461,$A22,Data_filtered!$F$2:$F$461,V$2)/$C22</f>
        <v>0.004310344828</v>
      </c>
      <c r="W22" s="96">
        <f>SUMIFS(Data_filtered!$G$2:$G$461,Data_filtered!$A$2:$A$461,$A22,Data_filtered!$F$2:$F$461,W$2)/$C22</f>
        <v>0.004310344828</v>
      </c>
      <c r="X22" s="96">
        <f>SUMIFS(Data_filtered!$G$2:$G$461,Data_filtered!$A$2:$A$461,$A22,Data_filtered!$F$2:$F$461,X$2)/$C22</f>
        <v>0.004310344828</v>
      </c>
      <c r="Y22" s="96">
        <f>SUMIFS(Data_filtered!$G$2:$G$461,Data_filtered!$A$2:$A$461,$A22,Data_filtered!$F$2:$F$461,Y$2)/$C22</f>
        <v>0</v>
      </c>
      <c r="Z22" s="96">
        <f>SUMIFS(Data_filtered!$G$2:$G$461,Data_filtered!$A$2:$A$461,$A22,Data_filtered!$F$2:$F$461,Z$2)/$C22</f>
        <v>0.03017241379</v>
      </c>
      <c r="AA22" s="96">
        <f>SUMIFS(Data_filtered!$G$2:$G$461,Data_filtered!$A$2:$A$461,$A22,Data_filtered!$F$2:$F$461,AA$2)/$C22</f>
        <v>0.008620689655</v>
      </c>
      <c r="AB22" s="96">
        <f>SUMIFS(Data_filtered!$G$2:$G$461,Data_filtered!$A$2:$A$461,$A22,Data_filtered!$F$2:$F$461,AB$2)/$C22</f>
        <v>0</v>
      </c>
      <c r="AC22" s="96">
        <f>SUMIFS(Data_filtered!$G$2:$G$461,Data_filtered!$A$2:$A$461,$A22,Data_filtered!$F$2:$F$461,AC$2)/$C22</f>
        <v>0</v>
      </c>
      <c r="AD22" s="96">
        <f>SUMIFS(Data_filtered!$G$2:$G$461,Data_filtered!$A$2:$A$461,$A22,Data_filtered!$F$2:$F$461,AD$2)/$C22</f>
        <v>0.01724137931</v>
      </c>
      <c r="AE22" s="96">
        <f>SUMIFS(Data_filtered!$G$2:$G$461,Data_filtered!$A$2:$A$461,$A22,Data_filtered!$F$2:$F$461,AE$2)/$C22</f>
        <v>0</v>
      </c>
      <c r="AF22" s="96">
        <f>SUMIFS(Data_filtered!$G$2:$G$461,Data_filtered!$A$2:$A$461,$A22,Data_filtered!$F$2:$F$461,AF$2)/$C22</f>
        <v>0</v>
      </c>
    </row>
    <row r="23">
      <c r="A23" s="9" t="str">
        <f>IFERROR(__xludf.DUMMYFUNCTION("""COMPUTED_VALUE"""),"Rhinella ornata")</f>
        <v>Rhinella ornata</v>
      </c>
      <c r="B23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su"&amp;"bstrato"",Data_filtered!$A$2:$A$461=A23))"),2.0)</f>
        <v>2</v>
      </c>
      <c r="C23" s="28">
        <f>SUMIFS(Data_filtered!$G$2:$G$461,Data_filtered!$A$2:$A$461,A23,Data_filtered!$E$2:$E$461,"&lt;&gt;Não identificado",Data_filtered!$E$2:$E$461,"&lt;&gt;Semente",Data_filtered!$E$2:$E$461,"&lt;&gt;Semente de capim",Data_filtered!$E$2:$E$461,"&lt;&gt;Apenas substrato")</f>
        <v>69</v>
      </c>
      <c r="D23" s="96">
        <f>SUMIFS(Data_filtered!$G$2:$G$461,Data_filtered!$A$2:$A$461,$A23,Data_filtered!$F$2:$F$461,D$2)/$C23</f>
        <v>0</v>
      </c>
      <c r="E23" s="96">
        <f>SUMIFS(Data_filtered!$G$2:$G$461,Data_filtered!$A$2:$A$461,$A23,Data_filtered!$F$2:$F$461,E$2)/$C23</f>
        <v>0</v>
      </c>
      <c r="F23" s="96">
        <f>SUMIFS(Data_filtered!$G$2:$G$461,Data_filtered!$A$2:$A$461,$A23,Data_filtered!$F$2:$F$461,F$2)/$C23</f>
        <v>0</v>
      </c>
      <c r="G23" s="96">
        <f>SUMIFS(Data_filtered!$G$2:$G$461,Data_filtered!$A$2:$A$461,$A23,Data_filtered!$F$2:$F$461,G$2)/$C23</f>
        <v>0</v>
      </c>
      <c r="H23" s="96">
        <f>SUMIFS(Data_filtered!$G$2:$G$461,Data_filtered!$A$2:$A$461,$A23,Data_filtered!$F$2:$F$461,H$2)/$C23</f>
        <v>0</v>
      </c>
      <c r="I23" s="96">
        <f>SUMIFS(Data_filtered!$G$2:$G$461,Data_filtered!$A$2:$A$461,$A23,Data_filtered!$F$2:$F$461,I$2)/$C23</f>
        <v>0</v>
      </c>
      <c r="J23" s="96">
        <f>SUMIFS(Data_filtered!$G$2:$G$461,Data_filtered!$A$2:$A$461,$A23,Data_filtered!$F$2:$F$461,J$2)/$C23</f>
        <v>0.1014492754</v>
      </c>
      <c r="K23" s="96">
        <f>SUMIFS(Data_filtered!$G$2:$G$461,Data_filtered!$A$2:$A$461,$A23,Data_filtered!$F$2:$F$461,K$2)/$C23</f>
        <v>0</v>
      </c>
      <c r="L23" s="96">
        <f>SUMIFS(Data_filtered!$G$2:$G$461,Data_filtered!$A$2:$A$461,$A23,Data_filtered!$F$2:$F$461,L$2)/$C23</f>
        <v>0</v>
      </c>
      <c r="M23" s="96">
        <f>SUMIFS(Data_filtered!$G$2:$G$461,Data_filtered!$A$2:$A$461,$A23,Data_filtered!$F$2:$F$461,M$2)/$C23</f>
        <v>0</v>
      </c>
      <c r="N23" s="96">
        <f>SUMIFS(Data_filtered!$G$2:$G$461,Data_filtered!$A$2:$A$461,$A23,Data_filtered!$F$2:$F$461,N$2)/$C23</f>
        <v>0.01449275362</v>
      </c>
      <c r="O23" s="96">
        <f>SUMIFS(Data_filtered!$G$2:$G$461,Data_filtered!$A$2:$A$461,$A23,Data_filtered!$F$2:$F$461,O$2)/$C23</f>
        <v>0</v>
      </c>
      <c r="P23" s="96">
        <f>SUMIFS(Data_filtered!$G$2:$G$461,Data_filtered!$A$2:$A$461,$A23,Data_filtered!$F$2:$F$461,P$2)/$C23</f>
        <v>0.8550724638</v>
      </c>
      <c r="Q23" s="96">
        <f>SUMIFS(Data_filtered!$G$2:$G$461,Data_filtered!$A$2:$A$461,$A23,Data_filtered!$F$2:$F$461,Q$2)/$C23</f>
        <v>0.01449275362</v>
      </c>
      <c r="R23" s="96">
        <f>SUMIFS(Data_filtered!$G$2:$G$461,Data_filtered!$A$2:$A$461,$A23,Data_filtered!$F$2:$F$461,R$2)/$C23</f>
        <v>0</v>
      </c>
      <c r="S23" s="96">
        <f>SUMIFS(Data_filtered!$G$2:$G$461,Data_filtered!$A$2:$A$461,$A23,Data_filtered!$F$2:$F$461,S$2)/$C23</f>
        <v>0</v>
      </c>
      <c r="T23" s="96">
        <f>SUMIFS(Data_filtered!$G$2:$G$461,Data_filtered!$A$2:$A$461,$A23,Data_filtered!$F$2:$F$461,T$2)/$C23</f>
        <v>0</v>
      </c>
      <c r="U23" s="96">
        <f>SUMIFS(Data_filtered!$G$2:$G$461,Data_filtered!$A$2:$A$461,$A23,Data_filtered!$F$2:$F$461,U$2)/$C23</f>
        <v>0</v>
      </c>
      <c r="V23" s="96">
        <f>SUMIFS(Data_filtered!$G$2:$G$461,Data_filtered!$A$2:$A$461,$A23,Data_filtered!$F$2:$F$461,V$2)/$C23</f>
        <v>0</v>
      </c>
      <c r="W23" s="96">
        <f>SUMIFS(Data_filtered!$G$2:$G$461,Data_filtered!$A$2:$A$461,$A23,Data_filtered!$F$2:$F$461,W$2)/$C23</f>
        <v>0</v>
      </c>
      <c r="X23" s="96">
        <f>SUMIFS(Data_filtered!$G$2:$G$461,Data_filtered!$A$2:$A$461,$A23,Data_filtered!$F$2:$F$461,X$2)/$C23</f>
        <v>0</v>
      </c>
      <c r="Y23" s="96">
        <f>SUMIFS(Data_filtered!$G$2:$G$461,Data_filtered!$A$2:$A$461,$A23,Data_filtered!$F$2:$F$461,Y$2)/$C23</f>
        <v>0</v>
      </c>
      <c r="Z23" s="96">
        <f>SUMIFS(Data_filtered!$G$2:$G$461,Data_filtered!$A$2:$A$461,$A23,Data_filtered!$F$2:$F$461,Z$2)/$C23</f>
        <v>0.01449275362</v>
      </c>
      <c r="AA23" s="96">
        <f>SUMIFS(Data_filtered!$G$2:$G$461,Data_filtered!$A$2:$A$461,$A23,Data_filtered!$F$2:$F$461,AA$2)/$C23</f>
        <v>0</v>
      </c>
      <c r="AB23" s="96">
        <f>SUMIFS(Data_filtered!$G$2:$G$461,Data_filtered!$A$2:$A$461,$A23,Data_filtered!$F$2:$F$461,AB$2)/$C23</f>
        <v>0</v>
      </c>
      <c r="AC23" s="96">
        <f>SUMIFS(Data_filtered!$G$2:$G$461,Data_filtered!$A$2:$A$461,$A23,Data_filtered!$F$2:$F$461,AC$2)/$C23</f>
        <v>0</v>
      </c>
      <c r="AD23" s="96">
        <f>SUMIFS(Data_filtered!$G$2:$G$461,Data_filtered!$A$2:$A$461,$A23,Data_filtered!$F$2:$F$461,AD$2)/$C23</f>
        <v>0</v>
      </c>
      <c r="AE23" s="96">
        <f>SUMIFS(Data_filtered!$G$2:$G$461,Data_filtered!$A$2:$A$461,$A23,Data_filtered!$F$2:$F$461,AE$2)/$C23</f>
        <v>0</v>
      </c>
      <c r="AF23" s="96">
        <f>SUMIFS(Data_filtered!$G$2:$G$461,Data_filtered!$A$2:$A$461,$A23,Data_filtered!$F$2:$F$461,AF$2)/$C23</f>
        <v>0</v>
      </c>
    </row>
    <row r="24">
      <c r="A24" s="9" t="str">
        <f>IFERROR(__xludf.DUMMYFUNCTION("""COMPUTED_VALUE"""),"Scinax aff. dolloi")</f>
        <v>Scinax aff. dolloi</v>
      </c>
      <c r="B24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su"&amp;"bstrato"",Data_filtered!$A$2:$A$461=A24))"),9.0)</f>
        <v>9</v>
      </c>
      <c r="C24" s="28">
        <f>SUMIFS(Data_filtered!$G$2:$G$461,Data_filtered!$A$2:$A$461,A24,Data_filtered!$E$2:$E$461,"&lt;&gt;Não identificado",Data_filtered!$E$2:$E$461,"&lt;&gt;Semente",Data_filtered!$E$2:$E$461,"&lt;&gt;Semente de capim",Data_filtered!$E$2:$E$461,"&lt;&gt;Apenas substrato")</f>
        <v>14</v>
      </c>
      <c r="D24" s="96">
        <f>SUMIFS(Data_filtered!$G$2:$G$461,Data_filtered!$A$2:$A$461,$A24,Data_filtered!$F$2:$F$461,D$2)/$C24</f>
        <v>0</v>
      </c>
      <c r="E24" s="96">
        <f>SUMIFS(Data_filtered!$G$2:$G$461,Data_filtered!$A$2:$A$461,$A24,Data_filtered!$F$2:$F$461,E$2)/$C24</f>
        <v>0.07142857143</v>
      </c>
      <c r="F24" s="96">
        <f>SUMIFS(Data_filtered!$G$2:$G$461,Data_filtered!$A$2:$A$461,$A24,Data_filtered!$F$2:$F$461,F$2)/$C24</f>
        <v>0.5714285714</v>
      </c>
      <c r="G24" s="96">
        <f>SUMIFS(Data_filtered!$G$2:$G$461,Data_filtered!$A$2:$A$461,$A24,Data_filtered!$F$2:$F$461,G$2)/$C24</f>
        <v>0</v>
      </c>
      <c r="H24" s="96">
        <f>SUMIFS(Data_filtered!$G$2:$G$461,Data_filtered!$A$2:$A$461,$A24,Data_filtered!$F$2:$F$461,H$2)/$C24</f>
        <v>0</v>
      </c>
      <c r="I24" s="96">
        <f>SUMIFS(Data_filtered!$G$2:$G$461,Data_filtered!$A$2:$A$461,$A24,Data_filtered!$F$2:$F$461,I$2)/$C24</f>
        <v>0</v>
      </c>
      <c r="J24" s="96">
        <f>SUMIFS(Data_filtered!$G$2:$G$461,Data_filtered!$A$2:$A$461,$A24,Data_filtered!$F$2:$F$461,J$2)/$C24</f>
        <v>0.2142857143</v>
      </c>
      <c r="K24" s="96">
        <f>SUMIFS(Data_filtered!$G$2:$G$461,Data_filtered!$A$2:$A$461,$A24,Data_filtered!$F$2:$F$461,K$2)/$C24</f>
        <v>0</v>
      </c>
      <c r="L24" s="96">
        <f>SUMIFS(Data_filtered!$G$2:$G$461,Data_filtered!$A$2:$A$461,$A24,Data_filtered!$F$2:$F$461,L$2)/$C24</f>
        <v>0</v>
      </c>
      <c r="M24" s="96">
        <f>SUMIFS(Data_filtered!$G$2:$G$461,Data_filtered!$A$2:$A$461,$A24,Data_filtered!$F$2:$F$461,M$2)/$C24</f>
        <v>0</v>
      </c>
      <c r="N24" s="96">
        <f>SUMIFS(Data_filtered!$G$2:$G$461,Data_filtered!$A$2:$A$461,$A24,Data_filtered!$F$2:$F$461,N$2)/$C24</f>
        <v>0</v>
      </c>
      <c r="O24" s="96">
        <f>SUMIFS(Data_filtered!$G$2:$G$461,Data_filtered!$A$2:$A$461,$A24,Data_filtered!$F$2:$F$461,O$2)/$C24</f>
        <v>0</v>
      </c>
      <c r="P24" s="96">
        <f>SUMIFS(Data_filtered!$G$2:$G$461,Data_filtered!$A$2:$A$461,$A24,Data_filtered!$F$2:$F$461,P$2)/$C24</f>
        <v>0</v>
      </c>
      <c r="Q24" s="96">
        <f>SUMIFS(Data_filtered!$G$2:$G$461,Data_filtered!$A$2:$A$461,$A24,Data_filtered!$F$2:$F$461,Q$2)/$C24</f>
        <v>0</v>
      </c>
      <c r="R24" s="96">
        <f>SUMIFS(Data_filtered!$G$2:$G$461,Data_filtered!$A$2:$A$461,$A24,Data_filtered!$F$2:$F$461,R$2)/$C24</f>
        <v>0</v>
      </c>
      <c r="S24" s="96">
        <f>SUMIFS(Data_filtered!$G$2:$G$461,Data_filtered!$A$2:$A$461,$A24,Data_filtered!$F$2:$F$461,S$2)/$C24</f>
        <v>0.07142857143</v>
      </c>
      <c r="T24" s="96">
        <f>SUMIFS(Data_filtered!$G$2:$G$461,Data_filtered!$A$2:$A$461,$A24,Data_filtered!$F$2:$F$461,T$2)/$C24</f>
        <v>0</v>
      </c>
      <c r="U24" s="96">
        <f>SUMIFS(Data_filtered!$G$2:$G$461,Data_filtered!$A$2:$A$461,$A24,Data_filtered!$F$2:$F$461,U$2)/$C24</f>
        <v>0</v>
      </c>
      <c r="V24" s="96">
        <f>SUMIFS(Data_filtered!$G$2:$G$461,Data_filtered!$A$2:$A$461,$A24,Data_filtered!$F$2:$F$461,V$2)/$C24</f>
        <v>0</v>
      </c>
      <c r="W24" s="96">
        <f>SUMIFS(Data_filtered!$G$2:$G$461,Data_filtered!$A$2:$A$461,$A24,Data_filtered!$F$2:$F$461,W$2)/$C24</f>
        <v>0</v>
      </c>
      <c r="X24" s="96">
        <f>SUMIFS(Data_filtered!$G$2:$G$461,Data_filtered!$A$2:$A$461,$A24,Data_filtered!$F$2:$F$461,X$2)/$C24</f>
        <v>0</v>
      </c>
      <c r="Y24" s="96">
        <f>SUMIFS(Data_filtered!$G$2:$G$461,Data_filtered!$A$2:$A$461,$A24,Data_filtered!$F$2:$F$461,Y$2)/$C24</f>
        <v>0</v>
      </c>
      <c r="Z24" s="96">
        <f>SUMIFS(Data_filtered!$G$2:$G$461,Data_filtered!$A$2:$A$461,$A24,Data_filtered!$F$2:$F$461,Z$2)/$C24</f>
        <v>0.07142857143</v>
      </c>
      <c r="AA24" s="96">
        <f>SUMIFS(Data_filtered!$G$2:$G$461,Data_filtered!$A$2:$A$461,$A24,Data_filtered!$F$2:$F$461,AA$2)/$C24</f>
        <v>0</v>
      </c>
      <c r="AB24" s="96">
        <f>SUMIFS(Data_filtered!$G$2:$G$461,Data_filtered!$A$2:$A$461,$A24,Data_filtered!$F$2:$F$461,AB$2)/$C24</f>
        <v>0</v>
      </c>
      <c r="AC24" s="96">
        <f>SUMIFS(Data_filtered!$G$2:$G$461,Data_filtered!$A$2:$A$461,$A24,Data_filtered!$F$2:$F$461,AC$2)/$C24</f>
        <v>0</v>
      </c>
      <c r="AD24" s="96">
        <f>SUMIFS(Data_filtered!$G$2:$G$461,Data_filtered!$A$2:$A$461,$A24,Data_filtered!$F$2:$F$461,AD$2)/$C24</f>
        <v>0</v>
      </c>
      <c r="AE24" s="96">
        <f>SUMIFS(Data_filtered!$G$2:$G$461,Data_filtered!$A$2:$A$461,$A24,Data_filtered!$F$2:$F$461,AE$2)/$C24</f>
        <v>0</v>
      </c>
      <c r="AF24" s="96">
        <f>SUMIFS(Data_filtered!$G$2:$G$461,Data_filtered!$A$2:$A$461,$A24,Data_filtered!$F$2:$F$461,AF$2)/$C24</f>
        <v>0</v>
      </c>
    </row>
    <row r="25">
      <c r="A25" s="9" t="str">
        <f>IFERROR(__xludf.DUMMYFUNCTION("""COMPUTED_VALUE"""),"Trachycephalus imitatrix")</f>
        <v>Trachycephalus imitatrix</v>
      </c>
      <c r="B25" s="68">
        <f>IFERROR(__xludf.DUMMYFUNCTION("COUNTUNIQUE(FILTER(Data_filtered!$B$2:$B$461,Data_filtered!$E$2:$E$461&lt;&gt;""Vazio"",Data_filtered!$E$2:$E$461&lt;&gt;""Não identificado"",Data_filtered!$E$2:$E$461&lt;&gt;""Semente"",Data_filtered!$E$2:$E$461&lt;&gt;""Semente de capim"",Data_filtered!$E$2:$E$461&lt;&gt;""Apenas su"&amp;"bstrato"",Data_filtered!$A$2:$A$461=A25))"),1.0)</f>
        <v>1</v>
      </c>
      <c r="C25" s="28">
        <f>SUMIFS(Data_filtered!$G$2:$G$461,Data_filtered!$A$2:$A$461,A25,Data_filtered!$E$2:$E$461,"&lt;&gt;Não identificado",Data_filtered!$E$2:$E$461,"&lt;&gt;Semente",Data_filtered!$E$2:$E$461,"&lt;&gt;Semente de capim",Data_filtered!$E$2:$E$461,"&lt;&gt;Apenas substrato")</f>
        <v>4</v>
      </c>
      <c r="D25" s="96">
        <f>SUMIFS(Data_filtered!$G$2:$G$461,Data_filtered!$A$2:$A$461,$A25,Data_filtered!$F$2:$F$461,D$2)/$C25</f>
        <v>0</v>
      </c>
      <c r="E25" s="96">
        <f>SUMIFS(Data_filtered!$G$2:$G$461,Data_filtered!$A$2:$A$461,$A25,Data_filtered!$F$2:$F$461,E$2)/$C25</f>
        <v>0</v>
      </c>
      <c r="F25" s="96">
        <f>SUMIFS(Data_filtered!$G$2:$G$461,Data_filtered!$A$2:$A$461,$A25,Data_filtered!$F$2:$F$461,F$2)/$C25</f>
        <v>0.25</v>
      </c>
      <c r="G25" s="96">
        <f>SUMIFS(Data_filtered!$G$2:$G$461,Data_filtered!$A$2:$A$461,$A25,Data_filtered!$F$2:$F$461,G$2)/$C25</f>
        <v>0.25</v>
      </c>
      <c r="H25" s="96">
        <f>SUMIFS(Data_filtered!$G$2:$G$461,Data_filtered!$A$2:$A$461,$A25,Data_filtered!$F$2:$F$461,H$2)/$C25</f>
        <v>0</v>
      </c>
      <c r="I25" s="96">
        <f>SUMIFS(Data_filtered!$G$2:$G$461,Data_filtered!$A$2:$A$461,$A25,Data_filtered!$F$2:$F$461,I$2)/$C25</f>
        <v>0.25</v>
      </c>
      <c r="J25" s="96">
        <f>SUMIFS(Data_filtered!$G$2:$G$461,Data_filtered!$A$2:$A$461,$A25,Data_filtered!$F$2:$F$461,J$2)/$C25</f>
        <v>0.25</v>
      </c>
      <c r="K25" s="96">
        <f>SUMIFS(Data_filtered!$G$2:$G$461,Data_filtered!$A$2:$A$461,$A25,Data_filtered!$F$2:$F$461,K$2)/$C25</f>
        <v>0</v>
      </c>
      <c r="L25" s="96">
        <f>SUMIFS(Data_filtered!$G$2:$G$461,Data_filtered!$A$2:$A$461,$A25,Data_filtered!$F$2:$F$461,L$2)/$C25</f>
        <v>0</v>
      </c>
      <c r="M25" s="96">
        <f>SUMIFS(Data_filtered!$G$2:$G$461,Data_filtered!$A$2:$A$461,$A25,Data_filtered!$F$2:$F$461,M$2)/$C25</f>
        <v>0</v>
      </c>
      <c r="N25" s="96">
        <f>SUMIFS(Data_filtered!$G$2:$G$461,Data_filtered!$A$2:$A$461,$A25,Data_filtered!$F$2:$F$461,N$2)/$C25</f>
        <v>0</v>
      </c>
      <c r="O25" s="96">
        <f>SUMIFS(Data_filtered!$G$2:$G$461,Data_filtered!$A$2:$A$461,$A25,Data_filtered!$F$2:$F$461,O$2)/$C25</f>
        <v>0</v>
      </c>
      <c r="P25" s="96">
        <f>SUMIFS(Data_filtered!$G$2:$G$461,Data_filtered!$A$2:$A$461,$A25,Data_filtered!$F$2:$F$461,P$2)/$C25</f>
        <v>0</v>
      </c>
      <c r="Q25" s="96">
        <f>SUMIFS(Data_filtered!$G$2:$G$461,Data_filtered!$A$2:$A$461,$A25,Data_filtered!$F$2:$F$461,Q$2)/$C25</f>
        <v>0</v>
      </c>
      <c r="R25" s="96">
        <f>SUMIFS(Data_filtered!$G$2:$G$461,Data_filtered!$A$2:$A$461,$A25,Data_filtered!$F$2:$F$461,R$2)/$C25</f>
        <v>0</v>
      </c>
      <c r="S25" s="96">
        <f>SUMIFS(Data_filtered!$G$2:$G$461,Data_filtered!$A$2:$A$461,$A25,Data_filtered!$F$2:$F$461,S$2)/$C25</f>
        <v>0</v>
      </c>
      <c r="T25" s="96">
        <f>SUMIFS(Data_filtered!$G$2:$G$461,Data_filtered!$A$2:$A$461,$A25,Data_filtered!$F$2:$F$461,T$2)/$C25</f>
        <v>0</v>
      </c>
      <c r="U25" s="96">
        <f>SUMIFS(Data_filtered!$G$2:$G$461,Data_filtered!$A$2:$A$461,$A25,Data_filtered!$F$2:$F$461,U$2)/$C25</f>
        <v>0</v>
      </c>
      <c r="V25" s="96">
        <f>SUMIFS(Data_filtered!$G$2:$G$461,Data_filtered!$A$2:$A$461,$A25,Data_filtered!$F$2:$F$461,V$2)/$C25</f>
        <v>0</v>
      </c>
      <c r="W25" s="96">
        <f>SUMIFS(Data_filtered!$G$2:$G$461,Data_filtered!$A$2:$A$461,$A25,Data_filtered!$F$2:$F$461,W$2)/$C25</f>
        <v>0</v>
      </c>
      <c r="X25" s="96">
        <f>SUMIFS(Data_filtered!$G$2:$G$461,Data_filtered!$A$2:$A$461,$A25,Data_filtered!$F$2:$F$461,X$2)/$C25</f>
        <v>0</v>
      </c>
      <c r="Y25" s="96">
        <f>SUMIFS(Data_filtered!$G$2:$G$461,Data_filtered!$A$2:$A$461,$A25,Data_filtered!$F$2:$F$461,Y$2)/$C25</f>
        <v>0</v>
      </c>
      <c r="Z25" s="96">
        <f>SUMIFS(Data_filtered!$G$2:$G$461,Data_filtered!$A$2:$A$461,$A25,Data_filtered!$F$2:$F$461,Z$2)/$C25</f>
        <v>0</v>
      </c>
      <c r="AA25" s="96">
        <f>SUMIFS(Data_filtered!$G$2:$G$461,Data_filtered!$A$2:$A$461,$A25,Data_filtered!$F$2:$F$461,AA$2)/$C25</f>
        <v>0</v>
      </c>
      <c r="AB25" s="96">
        <f>SUMIFS(Data_filtered!$G$2:$G$461,Data_filtered!$A$2:$A$461,$A25,Data_filtered!$F$2:$F$461,AB$2)/$C25</f>
        <v>0</v>
      </c>
      <c r="AC25" s="96">
        <f>SUMIFS(Data_filtered!$G$2:$G$461,Data_filtered!$A$2:$A$461,$A25,Data_filtered!$F$2:$F$461,AC$2)/$C25</f>
        <v>0</v>
      </c>
      <c r="AD25" s="96">
        <f>SUMIFS(Data_filtered!$G$2:$G$461,Data_filtered!$A$2:$A$461,$A25,Data_filtered!$F$2:$F$461,AD$2)/$C25</f>
        <v>0</v>
      </c>
      <c r="AE25" s="96">
        <f>SUMIFS(Data_filtered!$G$2:$G$461,Data_filtered!$A$2:$A$461,$A25,Data_filtered!$F$2:$F$461,AE$2)/$C25</f>
        <v>0</v>
      </c>
      <c r="AF25" s="96">
        <f>SUMIFS(Data_filtered!$G$2:$G$461,Data_filtered!$A$2:$A$461,$A25,Data_filtered!$F$2:$F$461,AF$2)/$C25</f>
        <v>0</v>
      </c>
    </row>
    <row r="26">
      <c r="B26" s="68"/>
      <c r="C26" s="28"/>
    </row>
    <row r="27">
      <c r="B27" s="68"/>
      <c r="C27" s="28"/>
    </row>
  </sheetData>
  <mergeCells count="1">
    <mergeCell ref="B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0"/>
    <col customWidth="1" min="3" max="3" width="19.63"/>
    <col customWidth="1" min="5" max="5" width="20.0"/>
    <col customWidth="1" min="6" max="6" width="15.13"/>
    <col customWidth="1" min="7" max="7" width="23.38"/>
  </cols>
  <sheetData>
    <row r="1" ht="15.75" customHeight="1">
      <c r="A1" s="12" t="s">
        <v>105</v>
      </c>
      <c r="B1" s="12" t="s">
        <v>920</v>
      </c>
      <c r="C1" s="12" t="s">
        <v>748</v>
      </c>
      <c r="D1" s="12" t="s">
        <v>749</v>
      </c>
      <c r="E1" s="12" t="s">
        <v>751</v>
      </c>
      <c r="F1" s="12" t="s">
        <v>752</v>
      </c>
      <c r="G1" s="12" t="s">
        <v>113</v>
      </c>
    </row>
    <row r="2" ht="15.75" customHeight="1">
      <c r="A2" s="12" t="s">
        <v>5</v>
      </c>
      <c r="B2" s="7" t="s">
        <v>0</v>
      </c>
      <c r="C2" s="7" t="s">
        <v>759</v>
      </c>
      <c r="D2" s="7" t="s">
        <v>75</v>
      </c>
      <c r="E2" s="8">
        <v>15.0</v>
      </c>
      <c r="F2" s="7">
        <v>2.0</v>
      </c>
    </row>
    <row r="3" ht="15.75" customHeight="1">
      <c r="C3" s="7" t="s">
        <v>759</v>
      </c>
      <c r="D3" s="7" t="s">
        <v>75</v>
      </c>
      <c r="E3" s="8">
        <v>19.0</v>
      </c>
      <c r="F3" s="8">
        <v>3.0</v>
      </c>
    </row>
    <row r="4" ht="15.75" customHeight="1">
      <c r="C4" s="7" t="s">
        <v>759</v>
      </c>
      <c r="D4" s="7" t="s">
        <v>75</v>
      </c>
      <c r="E4" s="8">
        <v>15.0</v>
      </c>
      <c r="F4" s="8">
        <v>2.0</v>
      </c>
    </row>
    <row r="5" ht="15.75" customHeight="1">
      <c r="C5" s="7" t="s">
        <v>57</v>
      </c>
      <c r="D5" s="7"/>
      <c r="E5" s="8">
        <v>3.0</v>
      </c>
      <c r="F5" s="8">
        <v>2.0</v>
      </c>
      <c r="G5" s="8" t="s">
        <v>921</v>
      </c>
    </row>
    <row r="6" ht="15.75" customHeight="1">
      <c r="C6" s="8" t="s">
        <v>759</v>
      </c>
      <c r="D6" s="8" t="s">
        <v>75</v>
      </c>
      <c r="E6" s="8">
        <v>8.0</v>
      </c>
      <c r="F6" s="8">
        <v>1.0</v>
      </c>
    </row>
    <row r="7" ht="15.75" customHeight="1">
      <c r="C7" s="8" t="s">
        <v>759</v>
      </c>
      <c r="D7" s="8" t="s">
        <v>75</v>
      </c>
      <c r="E7" s="8">
        <v>8.0</v>
      </c>
      <c r="F7" s="8">
        <v>1.0</v>
      </c>
    </row>
    <row r="8" ht="15.75" customHeight="1">
      <c r="C8" s="8" t="s">
        <v>63</v>
      </c>
      <c r="E8" s="8">
        <v>3.0</v>
      </c>
      <c r="F8" s="8">
        <v>1.0</v>
      </c>
    </row>
    <row r="9" ht="15.75" customHeight="1">
      <c r="C9" s="8" t="s">
        <v>63</v>
      </c>
      <c r="D9" s="44" t="s">
        <v>97</v>
      </c>
      <c r="E9" s="8">
        <v>15.0</v>
      </c>
      <c r="F9" s="8">
        <v>3.0</v>
      </c>
      <c r="G9" s="8" t="s">
        <v>922</v>
      </c>
    </row>
    <row r="10" ht="15.75" customHeight="1">
      <c r="C10" s="8" t="s">
        <v>923</v>
      </c>
      <c r="D10" s="8" t="s">
        <v>85</v>
      </c>
      <c r="E10" s="8">
        <v>14.0</v>
      </c>
      <c r="F10" s="8">
        <v>2.0</v>
      </c>
      <c r="G10" s="8" t="s">
        <v>922</v>
      </c>
    </row>
    <row r="11" ht="15.75" customHeight="1">
      <c r="C11" s="8" t="s">
        <v>923</v>
      </c>
      <c r="D11" s="8" t="s">
        <v>85</v>
      </c>
      <c r="E11" s="8">
        <v>14.0</v>
      </c>
      <c r="F11" s="8">
        <v>2.0</v>
      </c>
    </row>
    <row r="12" ht="15.75" customHeight="1">
      <c r="C12" s="8" t="s">
        <v>781</v>
      </c>
      <c r="E12" s="8">
        <v>5.0</v>
      </c>
      <c r="F12" s="8">
        <v>2.0</v>
      </c>
      <c r="G12" s="8" t="s">
        <v>921</v>
      </c>
    </row>
    <row r="13" ht="15.75" customHeight="1">
      <c r="C13" s="8" t="s">
        <v>759</v>
      </c>
      <c r="D13" s="8" t="s">
        <v>75</v>
      </c>
      <c r="E13" s="8">
        <v>3.0</v>
      </c>
      <c r="F13" s="8">
        <v>1.0</v>
      </c>
    </row>
    <row r="14" ht="15.75" customHeight="1">
      <c r="C14" s="8" t="s">
        <v>781</v>
      </c>
      <c r="D14" s="8" t="s">
        <v>924</v>
      </c>
      <c r="E14" s="8">
        <v>2.0</v>
      </c>
      <c r="F14" s="8">
        <v>1.0</v>
      </c>
    </row>
    <row r="15" ht="15.75" customHeight="1">
      <c r="C15" s="8" t="s">
        <v>781</v>
      </c>
      <c r="D15" s="8" t="s">
        <v>89</v>
      </c>
      <c r="E15" s="8">
        <v>3.0</v>
      </c>
      <c r="F15" s="8">
        <v>1.0</v>
      </c>
    </row>
    <row r="16" ht="15.75" customHeight="1">
      <c r="C16" s="8" t="s">
        <v>63</v>
      </c>
      <c r="E16" s="8">
        <v>3.0</v>
      </c>
      <c r="F16" s="8">
        <v>1.0</v>
      </c>
    </row>
    <row r="17" ht="15.75" customHeight="1">
      <c r="C17" s="8" t="s">
        <v>63</v>
      </c>
      <c r="E17" s="8">
        <v>3.0</v>
      </c>
      <c r="F17" s="8">
        <v>1.0</v>
      </c>
    </row>
    <row r="18" ht="15.75" customHeight="1">
      <c r="C18" s="8" t="s">
        <v>63</v>
      </c>
      <c r="E18" s="8">
        <v>3.0</v>
      </c>
      <c r="F18" s="8">
        <v>1.0</v>
      </c>
    </row>
    <row r="19" ht="15.75" customHeight="1">
      <c r="C19" s="8" t="s">
        <v>781</v>
      </c>
      <c r="D19" s="8" t="s">
        <v>924</v>
      </c>
      <c r="E19" s="8">
        <v>3.0</v>
      </c>
      <c r="F19" s="8">
        <v>1.0</v>
      </c>
    </row>
    <row r="20" ht="15.75" customHeight="1">
      <c r="C20" s="8" t="s">
        <v>781</v>
      </c>
      <c r="D20" s="8" t="s">
        <v>89</v>
      </c>
      <c r="E20" s="8">
        <v>3.0</v>
      </c>
      <c r="F20" s="8">
        <v>1.0</v>
      </c>
    </row>
    <row r="21" ht="15.75" customHeight="1">
      <c r="C21" s="8" t="s">
        <v>759</v>
      </c>
      <c r="D21" s="8" t="s">
        <v>75</v>
      </c>
      <c r="E21" s="8">
        <v>5.0</v>
      </c>
      <c r="F21" s="8">
        <v>1.0</v>
      </c>
      <c r="G21" s="8" t="s">
        <v>921</v>
      </c>
    </row>
    <row r="22" ht="15.75" customHeight="1">
      <c r="C22" s="8" t="s">
        <v>63</v>
      </c>
      <c r="D22" s="44" t="s">
        <v>97</v>
      </c>
      <c r="E22" s="8">
        <v>3.0</v>
      </c>
      <c r="F22" s="8">
        <v>1.0</v>
      </c>
    </row>
    <row r="23" ht="15.75" customHeight="1">
      <c r="C23" s="8" t="s">
        <v>63</v>
      </c>
      <c r="E23" s="8">
        <v>3.0</v>
      </c>
      <c r="F23" s="8">
        <v>2.0</v>
      </c>
      <c r="G23" s="8" t="s">
        <v>921</v>
      </c>
    </row>
    <row r="24" ht="15.75" customHeight="1">
      <c r="C24" s="8" t="s">
        <v>63</v>
      </c>
      <c r="E24" s="8">
        <v>2.0</v>
      </c>
      <c r="F24" s="8">
        <v>1.0</v>
      </c>
    </row>
    <row r="25" ht="15.75" customHeight="1">
      <c r="C25" s="8" t="s">
        <v>781</v>
      </c>
      <c r="D25" s="8" t="s">
        <v>89</v>
      </c>
      <c r="E25" s="8">
        <v>3.0</v>
      </c>
      <c r="F25" s="8">
        <v>1.0</v>
      </c>
    </row>
    <row r="26" ht="15.75" customHeight="1">
      <c r="C26" s="8" t="s">
        <v>781</v>
      </c>
      <c r="D26" s="8" t="s">
        <v>89</v>
      </c>
      <c r="E26" s="8">
        <v>2.0</v>
      </c>
      <c r="F26" s="8">
        <v>1.0</v>
      </c>
    </row>
    <row r="27" ht="15.75" customHeight="1">
      <c r="C27" s="8" t="s">
        <v>781</v>
      </c>
      <c r="D27" s="8" t="s">
        <v>924</v>
      </c>
      <c r="E27" s="8">
        <v>6.0</v>
      </c>
      <c r="F27" s="8">
        <v>1.0</v>
      </c>
    </row>
    <row r="28" ht="15.75" customHeight="1">
      <c r="C28" s="8" t="s">
        <v>781</v>
      </c>
      <c r="D28" s="8" t="s">
        <v>89</v>
      </c>
      <c r="E28" s="8">
        <v>3.0</v>
      </c>
      <c r="F28" s="8">
        <v>1.0</v>
      </c>
    </row>
    <row r="29" ht="15.75" customHeight="1">
      <c r="C29" s="8" t="s">
        <v>67</v>
      </c>
      <c r="E29" s="8">
        <v>1.0</v>
      </c>
      <c r="F29" s="8">
        <v>1.0</v>
      </c>
      <c r="G29" s="8" t="s">
        <v>925</v>
      </c>
    </row>
    <row r="30" ht="15.75" customHeight="1">
      <c r="C30" s="8" t="s">
        <v>781</v>
      </c>
      <c r="D30" s="8" t="s">
        <v>89</v>
      </c>
      <c r="E30" s="8">
        <v>2.0</v>
      </c>
      <c r="F30" s="8">
        <v>1.0</v>
      </c>
    </row>
    <row r="31" ht="15.75" customHeight="1">
      <c r="C31" s="8" t="s">
        <v>781</v>
      </c>
      <c r="D31" s="8" t="s">
        <v>89</v>
      </c>
      <c r="E31" s="8">
        <v>3.0</v>
      </c>
      <c r="F31" s="8">
        <v>1.0</v>
      </c>
    </row>
    <row r="32" ht="15.75" customHeight="1">
      <c r="C32" s="8" t="s">
        <v>781</v>
      </c>
      <c r="D32" s="8" t="s">
        <v>89</v>
      </c>
      <c r="E32" s="8">
        <v>2.0</v>
      </c>
      <c r="F32" s="8">
        <v>1.0</v>
      </c>
    </row>
    <row r="33" ht="15.75" customHeight="1">
      <c r="C33" s="8" t="s">
        <v>63</v>
      </c>
      <c r="E33" s="8">
        <v>21.0</v>
      </c>
      <c r="F33" s="8">
        <v>12.0</v>
      </c>
    </row>
    <row r="34" ht="15.75" customHeight="1">
      <c r="C34" s="8" t="s">
        <v>63</v>
      </c>
      <c r="E34" s="8">
        <v>4.0</v>
      </c>
      <c r="F34" s="8">
        <v>1.0</v>
      </c>
    </row>
    <row r="35" ht="15.75" customHeight="1">
      <c r="C35" s="8" t="s">
        <v>63</v>
      </c>
      <c r="E35" s="8">
        <v>3.0</v>
      </c>
      <c r="F35" s="8">
        <v>1.0</v>
      </c>
    </row>
    <row r="36" ht="15.75" customHeight="1">
      <c r="C36" s="8" t="s">
        <v>926</v>
      </c>
      <c r="D36" s="8" t="s">
        <v>927</v>
      </c>
      <c r="E36" s="8">
        <v>20.0</v>
      </c>
      <c r="F36" s="8">
        <v>3.0</v>
      </c>
    </row>
    <row r="37" ht="15.75" customHeight="1">
      <c r="C37" s="8" t="s">
        <v>759</v>
      </c>
      <c r="D37" s="8" t="s">
        <v>75</v>
      </c>
      <c r="E37" s="8">
        <v>15.0</v>
      </c>
      <c r="F37" s="8">
        <v>2.0</v>
      </c>
    </row>
    <row r="38" ht="15.75" customHeight="1">
      <c r="C38" s="8" t="s">
        <v>759</v>
      </c>
      <c r="D38" s="8" t="s">
        <v>75</v>
      </c>
      <c r="E38" s="8">
        <v>15.0</v>
      </c>
      <c r="F38" s="8">
        <v>2.0</v>
      </c>
    </row>
    <row r="39" ht="15.75" customHeight="1">
      <c r="C39" s="8" t="s">
        <v>759</v>
      </c>
      <c r="D39" s="8" t="s">
        <v>75</v>
      </c>
      <c r="E39" s="8">
        <v>15.0</v>
      </c>
      <c r="F39" s="8">
        <v>2.0</v>
      </c>
    </row>
    <row r="40" ht="15.75" customHeight="1">
      <c r="C40" s="8" t="s">
        <v>781</v>
      </c>
      <c r="D40" s="8" t="s">
        <v>85</v>
      </c>
      <c r="E40" s="8">
        <v>3.0</v>
      </c>
      <c r="F40" s="8">
        <v>1.0</v>
      </c>
    </row>
    <row r="41" ht="15.75" customHeight="1">
      <c r="C41" s="8" t="s">
        <v>781</v>
      </c>
      <c r="D41" s="8" t="s">
        <v>85</v>
      </c>
      <c r="E41" s="8">
        <v>7.0</v>
      </c>
      <c r="F41" s="8">
        <v>2.0</v>
      </c>
    </row>
    <row r="42" ht="15.75" customHeight="1">
      <c r="C42" s="8" t="s">
        <v>759</v>
      </c>
      <c r="D42" s="8" t="s">
        <v>75</v>
      </c>
      <c r="E42" s="8">
        <v>7.0</v>
      </c>
      <c r="F42" s="8">
        <v>1.0</v>
      </c>
    </row>
    <row r="43" ht="15.75" customHeight="1">
      <c r="C43" s="8" t="s">
        <v>759</v>
      </c>
      <c r="D43" s="8" t="s">
        <v>75</v>
      </c>
      <c r="E43" s="8">
        <v>7.0</v>
      </c>
      <c r="F43" s="8">
        <v>1.0</v>
      </c>
    </row>
    <row r="44" ht="15.75" customHeight="1">
      <c r="A44" s="63" t="s">
        <v>21</v>
      </c>
      <c r="B44" s="8" t="s">
        <v>0</v>
      </c>
      <c r="C44" s="8" t="s">
        <v>759</v>
      </c>
      <c r="D44" s="8" t="s">
        <v>75</v>
      </c>
      <c r="E44" s="8">
        <v>12.0</v>
      </c>
      <c r="F44" s="8">
        <v>1.0</v>
      </c>
    </row>
    <row r="45" ht="15.75" customHeight="1">
      <c r="C45" s="8" t="s">
        <v>759</v>
      </c>
      <c r="D45" s="8" t="s">
        <v>75</v>
      </c>
      <c r="E45" s="8">
        <v>12.0</v>
      </c>
      <c r="F45" s="8">
        <v>1.0</v>
      </c>
    </row>
    <row r="46" ht="15.75" customHeight="1">
      <c r="C46" s="8" t="s">
        <v>781</v>
      </c>
      <c r="D46" s="8" t="s">
        <v>924</v>
      </c>
      <c r="E46" s="8">
        <v>1.0</v>
      </c>
      <c r="F46" s="8">
        <v>0.5</v>
      </c>
    </row>
    <row r="47" ht="15.75" customHeight="1">
      <c r="C47" s="8" t="s">
        <v>781</v>
      </c>
      <c r="D47" s="8" t="s">
        <v>89</v>
      </c>
      <c r="E47" s="8">
        <v>2.0</v>
      </c>
      <c r="F47" s="8">
        <v>1.0</v>
      </c>
    </row>
    <row r="48" ht="15.75" customHeight="1">
      <c r="C48" s="8" t="s">
        <v>63</v>
      </c>
      <c r="E48" s="8">
        <v>12.0</v>
      </c>
      <c r="F48" s="8">
        <v>2.0</v>
      </c>
      <c r="G48" s="8" t="s">
        <v>111</v>
      </c>
    </row>
    <row r="49" ht="15.75" customHeight="1">
      <c r="C49" s="8" t="s">
        <v>63</v>
      </c>
      <c r="E49" s="8">
        <v>3.0</v>
      </c>
      <c r="F49" s="8">
        <v>1.0</v>
      </c>
      <c r="G49" s="8" t="s">
        <v>111</v>
      </c>
    </row>
    <row r="50" ht="15.75" customHeight="1">
      <c r="C50" s="8" t="s">
        <v>77</v>
      </c>
      <c r="D50" s="8" t="s">
        <v>79</v>
      </c>
      <c r="E50" s="8">
        <v>2.0</v>
      </c>
      <c r="F50" s="8">
        <v>1.0</v>
      </c>
    </row>
    <row r="51" ht="15.75" customHeight="1">
      <c r="C51" s="8" t="s">
        <v>63</v>
      </c>
      <c r="E51" s="8">
        <v>8.0</v>
      </c>
      <c r="F51" s="8">
        <v>3.0</v>
      </c>
      <c r="G51" s="8" t="s">
        <v>111</v>
      </c>
    </row>
    <row r="52" ht="15.75" customHeight="1">
      <c r="C52" s="8" t="s">
        <v>63</v>
      </c>
      <c r="E52" s="8">
        <v>13.0</v>
      </c>
      <c r="F52" s="8">
        <v>2.0</v>
      </c>
    </row>
    <row r="53" ht="15.75" customHeight="1">
      <c r="C53" s="8" t="s">
        <v>63</v>
      </c>
      <c r="E53" s="8">
        <v>13.0</v>
      </c>
      <c r="F53" s="8">
        <v>1.0</v>
      </c>
    </row>
    <row r="54" ht="15.75" customHeight="1">
      <c r="C54" s="8" t="s">
        <v>63</v>
      </c>
      <c r="E54" s="8">
        <v>13.0</v>
      </c>
      <c r="F54" s="8">
        <v>1.0</v>
      </c>
    </row>
    <row r="55" ht="15.75" customHeight="1">
      <c r="C55" s="8" t="s">
        <v>781</v>
      </c>
      <c r="D55" s="8" t="s">
        <v>89</v>
      </c>
      <c r="E55" s="8">
        <v>7.0</v>
      </c>
      <c r="F55" s="8">
        <v>2.0</v>
      </c>
    </row>
    <row r="56" ht="15.75" customHeight="1">
      <c r="C56" s="8" t="s">
        <v>93</v>
      </c>
      <c r="D56" s="8" t="s">
        <v>73</v>
      </c>
      <c r="E56" s="8">
        <v>20.0</v>
      </c>
      <c r="F56" s="8">
        <v>5.0</v>
      </c>
    </row>
    <row r="57" ht="15.75" customHeight="1">
      <c r="C57" s="8" t="s">
        <v>759</v>
      </c>
      <c r="D57" s="8" t="s">
        <v>75</v>
      </c>
      <c r="E57" s="8">
        <v>8.0</v>
      </c>
      <c r="F57" s="8">
        <v>1.0</v>
      </c>
    </row>
    <row r="58" ht="15.75" customHeight="1">
      <c r="C58" s="8" t="s">
        <v>63</v>
      </c>
      <c r="E58" s="8">
        <v>3.0</v>
      </c>
      <c r="F58" s="8">
        <v>1.0</v>
      </c>
    </row>
    <row r="59" ht="15.75" customHeight="1">
      <c r="C59" s="8" t="s">
        <v>63</v>
      </c>
      <c r="E59" s="8">
        <v>3.0</v>
      </c>
      <c r="F59" s="8">
        <v>1.0</v>
      </c>
    </row>
    <row r="60" ht="15.75" customHeight="1">
      <c r="C60" s="8" t="s">
        <v>63</v>
      </c>
      <c r="E60" s="8">
        <v>3.0</v>
      </c>
      <c r="F60" s="8">
        <v>1.0</v>
      </c>
    </row>
    <row r="61" ht="15.75" customHeight="1">
      <c r="C61" s="8" t="s">
        <v>759</v>
      </c>
      <c r="D61" s="8" t="s">
        <v>75</v>
      </c>
      <c r="E61" s="8">
        <v>4.0</v>
      </c>
      <c r="F61" s="8">
        <v>0.5</v>
      </c>
    </row>
    <row r="62" ht="15.75" customHeight="1">
      <c r="C62" s="8" t="s">
        <v>759</v>
      </c>
      <c r="D62" s="8" t="s">
        <v>75</v>
      </c>
      <c r="E62" s="8">
        <v>4.0</v>
      </c>
      <c r="F62" s="8">
        <v>0.5</v>
      </c>
    </row>
    <row r="63" ht="15.75" customHeight="1">
      <c r="C63" s="8" t="s">
        <v>759</v>
      </c>
      <c r="D63" s="8" t="s">
        <v>75</v>
      </c>
      <c r="E63" s="8">
        <v>3.0</v>
      </c>
      <c r="F63" s="8">
        <v>0.5</v>
      </c>
    </row>
    <row r="64" ht="15.75" customHeight="1">
      <c r="C64" s="8" t="s">
        <v>77</v>
      </c>
      <c r="D64" s="8" t="s">
        <v>79</v>
      </c>
      <c r="E64" s="8">
        <v>3.0</v>
      </c>
      <c r="F64" s="8">
        <v>1.0</v>
      </c>
    </row>
    <row r="65" ht="15.75" customHeight="1">
      <c r="C65" s="8" t="s">
        <v>928</v>
      </c>
      <c r="E65" s="8">
        <v>3.0</v>
      </c>
      <c r="F65" s="8">
        <v>1.0</v>
      </c>
    </row>
    <row r="66" ht="15.75" customHeight="1">
      <c r="C66" s="8" t="s">
        <v>57</v>
      </c>
      <c r="E66" s="8">
        <v>6.0</v>
      </c>
      <c r="F66" s="8">
        <v>2.0</v>
      </c>
    </row>
    <row r="67" ht="15.75" customHeight="1">
      <c r="C67" s="8" t="s">
        <v>759</v>
      </c>
      <c r="D67" s="8" t="s">
        <v>75</v>
      </c>
      <c r="E67" s="8">
        <v>3.0</v>
      </c>
      <c r="F67" s="8">
        <v>1.0</v>
      </c>
    </row>
    <row r="68" ht="15.75" customHeight="1">
      <c r="C68" s="8" t="s">
        <v>63</v>
      </c>
      <c r="E68" s="8">
        <v>3.0</v>
      </c>
      <c r="F68" s="8">
        <v>1.0</v>
      </c>
    </row>
    <row r="69" ht="15.75" customHeight="1">
      <c r="C69" s="8" t="s">
        <v>781</v>
      </c>
      <c r="D69" s="8" t="s">
        <v>89</v>
      </c>
      <c r="E69" s="8">
        <v>3.0</v>
      </c>
      <c r="F69" s="8">
        <v>1.0</v>
      </c>
    </row>
    <row r="70" ht="15.75" customHeight="1">
      <c r="C70" s="8" t="s">
        <v>57</v>
      </c>
      <c r="E70" s="8">
        <v>2.0</v>
      </c>
      <c r="F70" s="8">
        <v>1.0</v>
      </c>
    </row>
    <row r="71" ht="15.75" customHeight="1">
      <c r="C71" s="8" t="s">
        <v>57</v>
      </c>
      <c r="E71" s="8">
        <v>2.0</v>
      </c>
      <c r="F71" s="8">
        <v>0.5</v>
      </c>
    </row>
    <row r="72" ht="15.75" customHeight="1">
      <c r="C72" s="8" t="s">
        <v>928</v>
      </c>
      <c r="E72" s="8">
        <v>3.0</v>
      </c>
      <c r="F72" s="8">
        <v>1.0</v>
      </c>
    </row>
    <row r="73" ht="15.75" customHeight="1">
      <c r="C73" s="8" t="s">
        <v>781</v>
      </c>
      <c r="D73" s="8" t="s">
        <v>924</v>
      </c>
      <c r="E73" s="8">
        <v>2.0</v>
      </c>
      <c r="F73" s="8">
        <v>1.0</v>
      </c>
    </row>
    <row r="74" ht="15.75" customHeight="1">
      <c r="C74" s="8" t="s">
        <v>926</v>
      </c>
      <c r="E74" s="8">
        <v>4.0</v>
      </c>
      <c r="F74" s="8">
        <v>1.0</v>
      </c>
      <c r="G74" s="8" t="s">
        <v>929</v>
      </c>
    </row>
    <row r="75" ht="15.75" customHeight="1">
      <c r="C75" s="8" t="s">
        <v>930</v>
      </c>
      <c r="E75" s="8">
        <v>2.0</v>
      </c>
      <c r="F75" s="8">
        <v>0.5</v>
      </c>
    </row>
    <row r="76" ht="15.75" customHeight="1">
      <c r="C76" s="8" t="s">
        <v>63</v>
      </c>
      <c r="E76" s="8">
        <v>3.0</v>
      </c>
      <c r="F76" s="8">
        <v>1.0</v>
      </c>
    </row>
    <row r="77" ht="15.75" customHeight="1">
      <c r="C77" s="8" t="s">
        <v>63</v>
      </c>
      <c r="E77" s="8">
        <v>3.0</v>
      </c>
      <c r="F77" s="8">
        <v>1.0</v>
      </c>
    </row>
    <row r="78" ht="15.75" customHeight="1">
      <c r="C78" s="8" t="s">
        <v>63</v>
      </c>
      <c r="E78" s="8">
        <v>1.0</v>
      </c>
      <c r="F78" s="8">
        <v>0.5</v>
      </c>
    </row>
    <row r="79" ht="15.75" customHeight="1">
      <c r="C79" s="8" t="s">
        <v>63</v>
      </c>
      <c r="D79" s="44" t="s">
        <v>97</v>
      </c>
      <c r="E79" s="8">
        <v>5.0</v>
      </c>
      <c r="F79" s="8">
        <v>1.0</v>
      </c>
    </row>
    <row r="80" ht="15.75" customHeight="1">
      <c r="C80" s="8" t="s">
        <v>781</v>
      </c>
      <c r="D80" s="8" t="s">
        <v>89</v>
      </c>
      <c r="E80" s="8">
        <v>3.0</v>
      </c>
      <c r="F80" s="8">
        <v>1.0</v>
      </c>
    </row>
    <row r="81" ht="15.75" customHeight="1">
      <c r="C81" s="8" t="s">
        <v>781</v>
      </c>
      <c r="D81" s="8" t="s">
        <v>89</v>
      </c>
      <c r="E81" s="8">
        <v>3.0</v>
      </c>
      <c r="F81" s="8">
        <v>1.0</v>
      </c>
    </row>
    <row r="82" ht="15.75" customHeight="1">
      <c r="C82" s="8" t="s">
        <v>781</v>
      </c>
      <c r="D82" s="8" t="s">
        <v>89</v>
      </c>
      <c r="E82" s="8">
        <v>3.0</v>
      </c>
      <c r="F82" s="8">
        <v>1.0</v>
      </c>
    </row>
    <row r="83" ht="15.75" customHeight="1">
      <c r="C83" s="8" t="s">
        <v>759</v>
      </c>
      <c r="D83" s="8" t="s">
        <v>75</v>
      </c>
      <c r="E83" s="8">
        <v>2.0</v>
      </c>
      <c r="F83" s="8">
        <v>0.5</v>
      </c>
    </row>
    <row r="84" ht="15.75" customHeight="1">
      <c r="C84" s="8" t="s">
        <v>759</v>
      </c>
      <c r="D84" s="8" t="s">
        <v>75</v>
      </c>
      <c r="E84" s="8">
        <v>4.0</v>
      </c>
      <c r="F84" s="8">
        <v>1.0</v>
      </c>
    </row>
    <row r="85" ht="15.75" customHeight="1">
      <c r="C85" s="8" t="s">
        <v>928</v>
      </c>
      <c r="E85" s="8">
        <v>2.0</v>
      </c>
      <c r="F85" s="8">
        <v>1.0</v>
      </c>
      <c r="G85" s="8" t="s">
        <v>921</v>
      </c>
    </row>
    <row r="86" ht="15.75" customHeight="1">
      <c r="C86" s="8" t="s">
        <v>781</v>
      </c>
      <c r="D86" s="8" t="s">
        <v>924</v>
      </c>
      <c r="E86" s="8">
        <v>2.0</v>
      </c>
      <c r="F86" s="8">
        <v>0.5</v>
      </c>
    </row>
    <row r="87" ht="15.75" customHeight="1">
      <c r="C87" s="8" t="s">
        <v>928</v>
      </c>
      <c r="E87" s="8">
        <v>5.0</v>
      </c>
      <c r="F87" s="8">
        <v>2.0</v>
      </c>
    </row>
    <row r="88" ht="15.75" customHeight="1">
      <c r="C88" s="8" t="s">
        <v>928</v>
      </c>
      <c r="E88" s="8">
        <v>2.0</v>
      </c>
      <c r="F88" s="8">
        <v>1.0</v>
      </c>
    </row>
    <row r="89" ht="15.75" customHeight="1">
      <c r="C89" s="8" t="s">
        <v>63</v>
      </c>
      <c r="D89" s="44" t="s">
        <v>97</v>
      </c>
      <c r="E89" s="8">
        <v>2.0</v>
      </c>
      <c r="F89" s="8">
        <v>1.0</v>
      </c>
    </row>
    <row r="90" ht="15.75" customHeight="1">
      <c r="C90" s="8" t="s">
        <v>928</v>
      </c>
      <c r="E90" s="8">
        <v>3.0</v>
      </c>
      <c r="F90" s="8">
        <v>1.0</v>
      </c>
    </row>
    <row r="91" ht="15.75" customHeight="1">
      <c r="C91" s="8" t="s">
        <v>781</v>
      </c>
      <c r="D91" s="8" t="s">
        <v>924</v>
      </c>
      <c r="E91" s="8">
        <v>3.0</v>
      </c>
      <c r="F91" s="8">
        <v>0.5</v>
      </c>
    </row>
    <row r="92" ht="15.75" customHeight="1">
      <c r="C92" s="8" t="s">
        <v>77</v>
      </c>
      <c r="D92" s="8" t="s">
        <v>931</v>
      </c>
      <c r="E92" s="8">
        <v>3.0</v>
      </c>
      <c r="F92" s="8">
        <v>1.0</v>
      </c>
    </row>
    <row r="93" ht="15.75" customHeight="1">
      <c r="C93" s="8" t="s">
        <v>928</v>
      </c>
      <c r="E93" s="8">
        <v>3.0</v>
      </c>
      <c r="F93" s="8">
        <v>1.0</v>
      </c>
    </row>
    <row r="94" ht="15.75" customHeight="1">
      <c r="C94" s="8" t="s">
        <v>63</v>
      </c>
      <c r="E94" s="8">
        <v>1.0</v>
      </c>
      <c r="F94" s="8">
        <v>0.5</v>
      </c>
    </row>
    <row r="95" ht="15.75" customHeight="1">
      <c r="C95" s="8" t="s">
        <v>63</v>
      </c>
      <c r="E95" s="8">
        <v>3.0</v>
      </c>
      <c r="F95" s="8">
        <v>1.0</v>
      </c>
    </row>
    <row r="96" ht="15.75" customHeight="1">
      <c r="C96" s="8" t="s">
        <v>759</v>
      </c>
      <c r="D96" s="8" t="s">
        <v>75</v>
      </c>
      <c r="E96" s="8">
        <v>4.0</v>
      </c>
      <c r="F96" s="8">
        <v>1.0</v>
      </c>
    </row>
    <row r="97" ht="15.75" customHeight="1">
      <c r="C97" s="8" t="s">
        <v>63</v>
      </c>
      <c r="D97" s="44" t="s">
        <v>97</v>
      </c>
      <c r="E97" s="8">
        <v>2.0</v>
      </c>
      <c r="F97" s="8">
        <v>1.0</v>
      </c>
    </row>
    <row r="98" ht="15.75" customHeight="1">
      <c r="C98" s="8" t="s">
        <v>57</v>
      </c>
      <c r="E98" s="8">
        <v>2.0</v>
      </c>
      <c r="F98" s="8">
        <v>1.0</v>
      </c>
    </row>
    <row r="99" ht="15.75" customHeight="1">
      <c r="C99" s="8" t="s">
        <v>759</v>
      </c>
      <c r="D99" s="8" t="s">
        <v>75</v>
      </c>
      <c r="E99" s="8">
        <v>12.0</v>
      </c>
      <c r="F99" s="8">
        <v>1.0</v>
      </c>
    </row>
    <row r="100" ht="15.75" customHeight="1">
      <c r="C100" s="8" t="s">
        <v>69</v>
      </c>
      <c r="E100" s="8">
        <v>12.0</v>
      </c>
      <c r="F100" s="8">
        <v>1.0</v>
      </c>
    </row>
    <row r="101" ht="15.75" customHeight="1">
      <c r="C101" s="97" t="s">
        <v>932</v>
      </c>
      <c r="D101" s="97" t="s">
        <v>85</v>
      </c>
      <c r="E101" s="98" t="s">
        <v>933</v>
      </c>
      <c r="F101" s="97"/>
      <c r="G101" s="97" t="s">
        <v>934</v>
      </c>
    </row>
    <row r="102" ht="15.75" customHeight="1">
      <c r="C102" s="8" t="s">
        <v>781</v>
      </c>
      <c r="D102" s="8" t="s">
        <v>924</v>
      </c>
      <c r="E102" s="8">
        <v>3.0</v>
      </c>
      <c r="F102" s="8">
        <v>1.0</v>
      </c>
    </row>
    <row r="103" ht="15.75" customHeight="1">
      <c r="C103" s="8" t="s">
        <v>63</v>
      </c>
      <c r="E103" s="8">
        <v>3.0</v>
      </c>
      <c r="F103" s="8">
        <v>1.0</v>
      </c>
    </row>
    <row r="104" ht="15.75" customHeight="1">
      <c r="C104" s="8" t="s">
        <v>781</v>
      </c>
      <c r="D104" s="8" t="s">
        <v>89</v>
      </c>
      <c r="E104" s="8">
        <v>3.0</v>
      </c>
      <c r="F104" s="8">
        <v>1.0</v>
      </c>
    </row>
    <row r="105" ht="15.75" customHeight="1">
      <c r="C105" s="8" t="s">
        <v>781</v>
      </c>
      <c r="D105" s="8" t="s">
        <v>89</v>
      </c>
      <c r="E105" s="8">
        <v>3.0</v>
      </c>
      <c r="F105" s="8">
        <v>1.0</v>
      </c>
    </row>
    <row r="106" ht="15.75" customHeight="1">
      <c r="C106" s="8" t="s">
        <v>781</v>
      </c>
      <c r="D106" s="8" t="s">
        <v>89</v>
      </c>
      <c r="E106" s="8">
        <v>3.0</v>
      </c>
      <c r="F106" s="8">
        <v>1.0</v>
      </c>
    </row>
    <row r="107" ht="15.75" customHeight="1">
      <c r="C107" s="8" t="s">
        <v>781</v>
      </c>
      <c r="D107" s="8" t="s">
        <v>89</v>
      </c>
      <c r="E107" s="8">
        <v>3.0</v>
      </c>
      <c r="F107" s="8">
        <v>1.0</v>
      </c>
    </row>
    <row r="108" ht="15.75" customHeight="1">
      <c r="C108" s="8" t="s">
        <v>759</v>
      </c>
      <c r="D108" s="8" t="s">
        <v>75</v>
      </c>
      <c r="E108" s="8">
        <v>4.0</v>
      </c>
      <c r="F108" s="8">
        <v>1.0</v>
      </c>
    </row>
    <row r="109" ht="15.75" customHeight="1">
      <c r="C109" s="8" t="s">
        <v>759</v>
      </c>
      <c r="D109" s="8" t="s">
        <v>75</v>
      </c>
      <c r="E109" s="8">
        <v>3.0</v>
      </c>
      <c r="F109" s="8">
        <v>0.5</v>
      </c>
    </row>
    <row r="110" ht="15.75" customHeight="1">
      <c r="C110" s="8" t="s">
        <v>63</v>
      </c>
      <c r="D110" s="44" t="s">
        <v>97</v>
      </c>
      <c r="E110" s="8">
        <v>5.0</v>
      </c>
      <c r="F110" s="8">
        <v>2.0</v>
      </c>
    </row>
    <row r="111" ht="15.75" customHeight="1">
      <c r="C111" s="8" t="s">
        <v>781</v>
      </c>
      <c r="D111" s="8" t="s">
        <v>924</v>
      </c>
      <c r="E111" s="8">
        <v>3.0</v>
      </c>
      <c r="F111" s="8">
        <v>0.5</v>
      </c>
    </row>
    <row r="112" ht="15.75" customHeight="1">
      <c r="C112" s="8" t="s">
        <v>928</v>
      </c>
      <c r="E112" s="8">
        <v>3.0</v>
      </c>
      <c r="F112" s="8">
        <v>1.0</v>
      </c>
    </row>
    <row r="113" ht="15.75" customHeight="1">
      <c r="C113" s="8" t="s">
        <v>63</v>
      </c>
      <c r="E113" s="8">
        <v>3.0</v>
      </c>
      <c r="F113" s="8">
        <v>1.0</v>
      </c>
    </row>
    <row r="114" ht="15.75" customHeight="1">
      <c r="C114" s="8" t="s">
        <v>928</v>
      </c>
      <c r="E114" s="8">
        <v>2.0</v>
      </c>
      <c r="F114" s="8">
        <v>1.0</v>
      </c>
    </row>
    <row r="115" ht="15.75" customHeight="1">
      <c r="C115" s="8" t="s">
        <v>63</v>
      </c>
      <c r="E115" s="8">
        <v>0.5</v>
      </c>
      <c r="F115" s="8">
        <v>0.5</v>
      </c>
    </row>
    <row r="116" ht="15.75" customHeight="1">
      <c r="C116" s="8" t="s">
        <v>63</v>
      </c>
      <c r="D116" s="44" t="s">
        <v>97</v>
      </c>
      <c r="E116" s="8">
        <v>5.0</v>
      </c>
      <c r="F116" s="8">
        <v>2.0</v>
      </c>
    </row>
    <row r="117" ht="15.75" customHeight="1">
      <c r="C117" s="8" t="s">
        <v>928</v>
      </c>
      <c r="E117" s="8">
        <v>2.0</v>
      </c>
      <c r="F117" s="8">
        <v>1.0</v>
      </c>
    </row>
    <row r="118" ht="15.75" customHeight="1">
      <c r="C118" s="8" t="s">
        <v>928</v>
      </c>
      <c r="E118" s="8">
        <v>2.0</v>
      </c>
      <c r="F118" s="8">
        <v>1.0</v>
      </c>
    </row>
    <row r="119" ht="15.75" customHeight="1">
      <c r="C119" s="8" t="s">
        <v>781</v>
      </c>
      <c r="D119" s="8" t="s">
        <v>89</v>
      </c>
      <c r="E119" s="8">
        <v>3.0</v>
      </c>
      <c r="F119" s="8">
        <v>1.0</v>
      </c>
    </row>
    <row r="120" ht="15.75" customHeight="1">
      <c r="C120" s="8" t="s">
        <v>781</v>
      </c>
      <c r="D120" s="8" t="s">
        <v>89</v>
      </c>
      <c r="E120" s="8">
        <v>3.0</v>
      </c>
      <c r="F120" s="8">
        <v>1.0</v>
      </c>
    </row>
    <row r="121" ht="15.75" customHeight="1">
      <c r="C121" s="8" t="s">
        <v>781</v>
      </c>
      <c r="D121" s="8" t="s">
        <v>89</v>
      </c>
      <c r="E121" s="8">
        <v>3.0</v>
      </c>
      <c r="F121" s="8">
        <v>1.0</v>
      </c>
    </row>
    <row r="122" ht="15.75" customHeight="1">
      <c r="C122" s="8" t="s">
        <v>928</v>
      </c>
      <c r="E122" s="8">
        <v>4.0</v>
      </c>
      <c r="F122" s="8">
        <v>1.0</v>
      </c>
    </row>
    <row r="123" ht="15.75" customHeight="1">
      <c r="C123" s="8" t="s">
        <v>928</v>
      </c>
      <c r="E123" s="8">
        <v>3.0</v>
      </c>
      <c r="F123" s="8">
        <v>1.0</v>
      </c>
    </row>
    <row r="124" ht="15.75" customHeight="1">
      <c r="C124" s="8" t="s">
        <v>781</v>
      </c>
      <c r="D124" s="8" t="s">
        <v>89</v>
      </c>
      <c r="E124" s="8">
        <v>2.0</v>
      </c>
      <c r="F124" s="8">
        <v>1.0</v>
      </c>
    </row>
    <row r="125" ht="15.75" customHeight="1">
      <c r="A125" s="63" t="s">
        <v>25</v>
      </c>
      <c r="B125" s="8" t="s">
        <v>0</v>
      </c>
      <c r="C125" s="8" t="s">
        <v>923</v>
      </c>
      <c r="D125" s="8" t="s">
        <v>85</v>
      </c>
      <c r="E125" s="8">
        <v>15.0</v>
      </c>
      <c r="F125" s="8">
        <v>1.0</v>
      </c>
    </row>
    <row r="126" ht="15.75" customHeight="1">
      <c r="C126" s="8" t="s">
        <v>67</v>
      </c>
      <c r="E126" s="8">
        <v>1.0</v>
      </c>
      <c r="F126" s="8">
        <v>0.5</v>
      </c>
    </row>
    <row r="127" ht="15.75" customHeight="1">
      <c r="C127" s="8" t="s">
        <v>781</v>
      </c>
      <c r="D127" s="8" t="s">
        <v>89</v>
      </c>
      <c r="E127" s="8">
        <v>2.0</v>
      </c>
      <c r="F127" s="8">
        <v>0.5</v>
      </c>
    </row>
    <row r="128" ht="15.75" customHeight="1">
      <c r="C128" s="8" t="s">
        <v>781</v>
      </c>
      <c r="D128" s="8" t="s">
        <v>924</v>
      </c>
      <c r="E128" s="8">
        <v>0.5</v>
      </c>
      <c r="F128" s="8">
        <v>0.5</v>
      </c>
    </row>
    <row r="129" ht="15.75" customHeight="1">
      <c r="C129" s="8" t="s">
        <v>781</v>
      </c>
      <c r="D129" s="8" t="s">
        <v>89</v>
      </c>
      <c r="E129" s="8">
        <v>1.0</v>
      </c>
      <c r="F129" s="8">
        <v>0.5</v>
      </c>
    </row>
    <row r="130" ht="15.75" customHeight="1">
      <c r="C130" s="8" t="s">
        <v>63</v>
      </c>
      <c r="E130" s="8">
        <v>1.0</v>
      </c>
      <c r="F130" s="8">
        <v>0.5</v>
      </c>
    </row>
    <row r="131" ht="15.75" customHeight="1">
      <c r="C131" s="8" t="s">
        <v>759</v>
      </c>
      <c r="D131" s="8" t="s">
        <v>75</v>
      </c>
      <c r="E131" s="8">
        <v>4.0</v>
      </c>
      <c r="F131" s="8">
        <v>1.0</v>
      </c>
    </row>
    <row r="132" ht="15.75" customHeight="1">
      <c r="C132" s="8" t="s">
        <v>63</v>
      </c>
      <c r="E132" s="8">
        <v>1.0</v>
      </c>
      <c r="F132" s="8">
        <v>0.5</v>
      </c>
    </row>
    <row r="133" ht="15.75" customHeight="1">
      <c r="C133" s="8" t="s">
        <v>781</v>
      </c>
      <c r="D133" s="8" t="s">
        <v>89</v>
      </c>
      <c r="E133" s="8">
        <v>2.0</v>
      </c>
      <c r="F133" s="8">
        <v>1.0</v>
      </c>
    </row>
    <row r="134" ht="15.75" customHeight="1">
      <c r="C134" s="8" t="s">
        <v>930</v>
      </c>
      <c r="E134" s="8">
        <v>3.0</v>
      </c>
      <c r="F134" s="8">
        <v>1.0</v>
      </c>
    </row>
    <row r="135" ht="15.75" customHeight="1">
      <c r="C135" s="8" t="s">
        <v>63</v>
      </c>
      <c r="E135" s="8">
        <v>3.0</v>
      </c>
      <c r="F135" s="8">
        <v>1.0</v>
      </c>
    </row>
    <row r="136" ht="15.75" customHeight="1">
      <c r="C136" s="8" t="s">
        <v>63</v>
      </c>
      <c r="E136" s="8">
        <v>3.0</v>
      </c>
      <c r="F136" s="8">
        <v>1.0</v>
      </c>
    </row>
    <row r="137" ht="15.75" customHeight="1">
      <c r="C137" s="8" t="s">
        <v>759</v>
      </c>
      <c r="D137" s="8" t="s">
        <v>75</v>
      </c>
      <c r="E137" s="8">
        <v>4.0</v>
      </c>
      <c r="F137" s="8">
        <v>1.0</v>
      </c>
    </row>
    <row r="138" ht="15.75" customHeight="1">
      <c r="C138" s="8" t="s">
        <v>759</v>
      </c>
      <c r="D138" s="8" t="s">
        <v>75</v>
      </c>
      <c r="E138" s="8">
        <v>4.0</v>
      </c>
      <c r="F138" s="8">
        <v>1.0</v>
      </c>
    </row>
    <row r="139" ht="15.75" customHeight="1">
      <c r="C139" s="8" t="s">
        <v>781</v>
      </c>
      <c r="D139" s="8" t="s">
        <v>89</v>
      </c>
      <c r="E139" s="8">
        <v>2.0</v>
      </c>
      <c r="F139" s="8">
        <v>0.5</v>
      </c>
    </row>
    <row r="140" ht="15.75" customHeight="1">
      <c r="C140" s="8" t="s">
        <v>57</v>
      </c>
      <c r="E140" s="8">
        <v>3.0</v>
      </c>
      <c r="F140" s="8">
        <v>1.0</v>
      </c>
    </row>
    <row r="141" ht="15.75" customHeight="1">
      <c r="C141" s="8" t="s">
        <v>781</v>
      </c>
      <c r="D141" s="8" t="s">
        <v>89</v>
      </c>
      <c r="E141" s="8">
        <v>2.0</v>
      </c>
      <c r="F141" s="8">
        <v>0.5</v>
      </c>
    </row>
    <row r="142" ht="15.75" customHeight="1">
      <c r="C142" s="8" t="s">
        <v>781</v>
      </c>
      <c r="D142" s="8" t="s">
        <v>924</v>
      </c>
      <c r="E142" s="8">
        <v>2.0</v>
      </c>
      <c r="F142" s="8">
        <v>0.5</v>
      </c>
    </row>
    <row r="143" ht="15.75" customHeight="1">
      <c r="C143" s="8" t="s">
        <v>923</v>
      </c>
      <c r="D143" s="8" t="s">
        <v>85</v>
      </c>
      <c r="E143" s="8">
        <v>6.0</v>
      </c>
      <c r="F143" s="8">
        <v>1.0</v>
      </c>
    </row>
    <row r="144" ht="15.75" customHeight="1">
      <c r="C144" s="8" t="s">
        <v>781</v>
      </c>
      <c r="D144" s="8" t="s">
        <v>924</v>
      </c>
      <c r="E144" s="8">
        <v>2.0</v>
      </c>
      <c r="F144" s="8">
        <v>0.5</v>
      </c>
    </row>
    <row r="145" ht="15.75" customHeight="1">
      <c r="C145" s="8" t="s">
        <v>67</v>
      </c>
      <c r="E145" s="8">
        <v>2.0</v>
      </c>
      <c r="F145" s="8">
        <v>0.5</v>
      </c>
    </row>
    <row r="146" ht="15.75" customHeight="1">
      <c r="C146" s="8" t="s">
        <v>67</v>
      </c>
      <c r="E146" s="8">
        <v>2.0</v>
      </c>
      <c r="F146" s="8">
        <v>0.5</v>
      </c>
    </row>
    <row r="147" ht="15.75" customHeight="1">
      <c r="C147" s="8" t="s">
        <v>63</v>
      </c>
      <c r="D147" s="44" t="s">
        <v>97</v>
      </c>
      <c r="E147" s="8">
        <v>11.0</v>
      </c>
      <c r="F147" s="8">
        <v>2.0</v>
      </c>
    </row>
    <row r="148" ht="15.75" customHeight="1">
      <c r="C148" s="8" t="s">
        <v>759</v>
      </c>
      <c r="D148" s="8" t="s">
        <v>75</v>
      </c>
      <c r="E148" s="8">
        <v>3.0</v>
      </c>
      <c r="F148" s="8">
        <v>0.5</v>
      </c>
    </row>
    <row r="149" ht="15.75" customHeight="1">
      <c r="C149" s="8" t="s">
        <v>759</v>
      </c>
      <c r="D149" s="8" t="s">
        <v>75</v>
      </c>
      <c r="E149" s="8">
        <v>15.0</v>
      </c>
      <c r="F149" s="8">
        <v>2.0</v>
      </c>
    </row>
    <row r="150" ht="15.75" customHeight="1">
      <c r="C150" s="8" t="s">
        <v>759</v>
      </c>
      <c r="D150" s="8" t="s">
        <v>75</v>
      </c>
      <c r="E150" s="8">
        <v>15.0</v>
      </c>
      <c r="F150" s="8">
        <v>2.0</v>
      </c>
    </row>
    <row r="151" ht="15.75" customHeight="1">
      <c r="C151" s="8" t="s">
        <v>759</v>
      </c>
      <c r="D151" s="8" t="s">
        <v>75</v>
      </c>
      <c r="E151" s="8">
        <v>15.0</v>
      </c>
      <c r="F151" s="8">
        <v>2.0</v>
      </c>
    </row>
    <row r="152" ht="15.75" customHeight="1">
      <c r="C152" s="8" t="s">
        <v>759</v>
      </c>
      <c r="D152" s="8" t="s">
        <v>75</v>
      </c>
      <c r="E152" s="8">
        <v>3.0</v>
      </c>
      <c r="F152" s="8">
        <v>0.5</v>
      </c>
    </row>
    <row r="153" ht="15.75" customHeight="1">
      <c r="C153" s="8" t="s">
        <v>759</v>
      </c>
      <c r="D153" s="8" t="s">
        <v>75</v>
      </c>
      <c r="E153" s="8">
        <v>3.0</v>
      </c>
      <c r="F153" s="8">
        <v>1.0</v>
      </c>
    </row>
    <row r="154" ht="15.75" customHeight="1">
      <c r="C154" s="8" t="s">
        <v>63</v>
      </c>
      <c r="E154" s="8">
        <v>19.0</v>
      </c>
      <c r="F154" s="8">
        <v>2.0</v>
      </c>
    </row>
    <row r="155" ht="15.75" customHeight="1">
      <c r="C155" s="8" t="s">
        <v>63</v>
      </c>
      <c r="D155" s="44" t="s">
        <v>97</v>
      </c>
      <c r="E155" s="8">
        <v>13.0</v>
      </c>
      <c r="F155" s="8">
        <v>2.0</v>
      </c>
    </row>
    <row r="156" ht="15.75" customHeight="1">
      <c r="C156" s="8" t="s">
        <v>781</v>
      </c>
      <c r="D156" s="8" t="s">
        <v>924</v>
      </c>
      <c r="E156" s="8">
        <v>3.0</v>
      </c>
      <c r="F156" s="8">
        <v>0.5</v>
      </c>
    </row>
    <row r="157" ht="15.75" customHeight="1">
      <c r="C157" s="8" t="s">
        <v>57</v>
      </c>
      <c r="E157" s="8">
        <v>3.0</v>
      </c>
      <c r="F157" s="8">
        <v>1.0</v>
      </c>
    </row>
    <row r="158" ht="15.75" customHeight="1">
      <c r="C158" s="8" t="s">
        <v>57</v>
      </c>
      <c r="E158" s="8">
        <v>13.0</v>
      </c>
      <c r="F158" s="8">
        <v>5.0</v>
      </c>
    </row>
    <row r="159" ht="15.75" customHeight="1">
      <c r="C159" s="8" t="s">
        <v>759</v>
      </c>
      <c r="D159" s="8" t="s">
        <v>75</v>
      </c>
      <c r="E159" s="8">
        <v>3.0</v>
      </c>
      <c r="F159" s="8">
        <v>0.5</v>
      </c>
    </row>
    <row r="160" ht="15.75" customHeight="1">
      <c r="C160" s="8" t="s">
        <v>781</v>
      </c>
      <c r="D160" s="8" t="s">
        <v>89</v>
      </c>
      <c r="E160" s="8">
        <v>3.0</v>
      </c>
      <c r="F160" s="8">
        <v>1.0</v>
      </c>
    </row>
    <row r="161" ht="15.75" customHeight="1">
      <c r="C161" s="8" t="s">
        <v>781</v>
      </c>
      <c r="D161" s="8" t="s">
        <v>924</v>
      </c>
      <c r="E161" s="8">
        <v>3.0</v>
      </c>
      <c r="F161" s="8">
        <v>0.5</v>
      </c>
    </row>
    <row r="162" ht="15.75" customHeight="1">
      <c r="C162" s="8" t="s">
        <v>759</v>
      </c>
      <c r="D162" s="8" t="s">
        <v>75</v>
      </c>
      <c r="E162" s="8">
        <v>4.0</v>
      </c>
      <c r="F162" s="8">
        <v>0.5</v>
      </c>
    </row>
    <row r="163" ht="15.75" customHeight="1">
      <c r="C163" s="8" t="s">
        <v>781</v>
      </c>
      <c r="D163" s="8" t="s">
        <v>89</v>
      </c>
      <c r="E163" s="8">
        <v>1.0</v>
      </c>
      <c r="F163" s="8">
        <v>0.5</v>
      </c>
    </row>
    <row r="164" ht="15.75" customHeight="1">
      <c r="A164" s="63" t="s">
        <v>9</v>
      </c>
      <c r="B164" s="63" t="s">
        <v>0</v>
      </c>
      <c r="C164" s="8" t="s">
        <v>63</v>
      </c>
      <c r="E164" s="8">
        <v>25.0</v>
      </c>
      <c r="F164" s="8">
        <v>10.0</v>
      </c>
    </row>
    <row r="165" ht="15.75" customHeight="1">
      <c r="C165" s="8" t="s">
        <v>77</v>
      </c>
      <c r="D165" s="8" t="s">
        <v>931</v>
      </c>
      <c r="E165" s="8">
        <v>2.0</v>
      </c>
      <c r="F165" s="8">
        <v>1.0</v>
      </c>
    </row>
    <row r="166" ht="15.75" customHeight="1">
      <c r="C166" s="8" t="s">
        <v>759</v>
      </c>
      <c r="D166" s="8" t="s">
        <v>101</v>
      </c>
      <c r="E166" s="8">
        <v>2.0</v>
      </c>
      <c r="F166" s="8">
        <v>0.5</v>
      </c>
    </row>
    <row r="167" ht="15.75" customHeight="1">
      <c r="C167" s="8" t="s">
        <v>759</v>
      </c>
      <c r="D167" s="8" t="s">
        <v>75</v>
      </c>
      <c r="E167" s="8">
        <v>3.0</v>
      </c>
      <c r="F167" s="8">
        <v>0.5</v>
      </c>
    </row>
    <row r="168" ht="15.75" customHeight="1">
      <c r="C168" s="8" t="s">
        <v>781</v>
      </c>
      <c r="D168" s="8" t="s">
        <v>924</v>
      </c>
      <c r="E168" s="8">
        <v>2.0</v>
      </c>
      <c r="F168" s="8">
        <v>1.0</v>
      </c>
    </row>
    <row r="169" ht="15.75" customHeight="1">
      <c r="C169" s="8" t="s">
        <v>63</v>
      </c>
      <c r="D169" s="44" t="s">
        <v>97</v>
      </c>
      <c r="E169" s="8">
        <v>20.0</v>
      </c>
      <c r="F169" s="8">
        <v>2.0</v>
      </c>
    </row>
    <row r="170" ht="15.75" customHeight="1">
      <c r="C170" s="8" t="s">
        <v>63</v>
      </c>
      <c r="E170" s="8">
        <v>3.0</v>
      </c>
      <c r="F170" s="8">
        <v>1.0</v>
      </c>
    </row>
    <row r="171" ht="15.75" customHeight="1">
      <c r="C171" s="8" t="s">
        <v>759</v>
      </c>
      <c r="D171" s="8" t="s">
        <v>75</v>
      </c>
      <c r="E171" s="8">
        <v>2.0</v>
      </c>
      <c r="F171" s="8">
        <v>0.5</v>
      </c>
    </row>
    <row r="172" ht="15.75" customHeight="1">
      <c r="C172" s="8" t="s">
        <v>759</v>
      </c>
      <c r="D172" s="8" t="s">
        <v>75</v>
      </c>
      <c r="E172" s="8">
        <v>8.0</v>
      </c>
      <c r="F172" s="8">
        <v>1.0</v>
      </c>
    </row>
    <row r="173" ht="15.75" customHeight="1">
      <c r="C173" s="8" t="s">
        <v>781</v>
      </c>
      <c r="D173" s="8" t="s">
        <v>924</v>
      </c>
      <c r="E173" s="8">
        <v>2.0</v>
      </c>
      <c r="F173" s="8">
        <v>0.5</v>
      </c>
    </row>
    <row r="174" ht="15.75" customHeight="1">
      <c r="C174" s="8" t="s">
        <v>781</v>
      </c>
      <c r="D174" s="8" t="s">
        <v>924</v>
      </c>
      <c r="E174" s="8">
        <v>2.0</v>
      </c>
      <c r="F174" s="8">
        <v>0.5</v>
      </c>
    </row>
    <row r="175" ht="15.75" customHeight="1">
      <c r="C175" s="29" t="s">
        <v>59</v>
      </c>
      <c r="E175" s="8">
        <v>20.0</v>
      </c>
      <c r="F175" s="8">
        <v>5.0</v>
      </c>
    </row>
    <row r="176" ht="15.75" customHeight="1">
      <c r="C176" s="8" t="s">
        <v>781</v>
      </c>
      <c r="D176" s="8" t="s">
        <v>924</v>
      </c>
      <c r="E176" s="8">
        <v>8.0</v>
      </c>
      <c r="F176" s="8">
        <v>1.0</v>
      </c>
    </row>
    <row r="177" ht="15.75" customHeight="1">
      <c r="C177" s="8" t="s">
        <v>759</v>
      </c>
      <c r="D177" s="8" t="s">
        <v>75</v>
      </c>
      <c r="E177" s="8">
        <v>16.0</v>
      </c>
      <c r="F177" s="8">
        <v>2.0</v>
      </c>
    </row>
    <row r="178" ht="15.75" customHeight="1">
      <c r="C178" s="8" t="s">
        <v>63</v>
      </c>
      <c r="D178" s="44" t="s">
        <v>97</v>
      </c>
      <c r="E178" s="8">
        <v>13.0</v>
      </c>
      <c r="F178" s="8">
        <v>1.0</v>
      </c>
    </row>
    <row r="179" ht="15.75" customHeight="1">
      <c r="C179" s="8" t="s">
        <v>63</v>
      </c>
      <c r="E179" s="8">
        <v>2.0</v>
      </c>
      <c r="F179" s="8">
        <v>1.0</v>
      </c>
    </row>
    <row r="180" ht="15.75" customHeight="1">
      <c r="C180" s="8" t="s">
        <v>63</v>
      </c>
      <c r="E180" s="8">
        <v>1.0</v>
      </c>
      <c r="F180" s="8">
        <v>0.5</v>
      </c>
    </row>
    <row r="181" ht="15.75" customHeight="1">
      <c r="C181" s="8" t="s">
        <v>759</v>
      </c>
      <c r="D181" s="8" t="s">
        <v>75</v>
      </c>
      <c r="E181" s="8">
        <v>15.0</v>
      </c>
      <c r="F181" s="8">
        <v>2.0</v>
      </c>
    </row>
    <row r="182" ht="15.75" customHeight="1">
      <c r="C182" s="8" t="s">
        <v>93</v>
      </c>
      <c r="D182" s="8" t="s">
        <v>73</v>
      </c>
      <c r="E182" s="8">
        <v>17.0</v>
      </c>
      <c r="F182" s="8">
        <v>3.0</v>
      </c>
    </row>
    <row r="183" ht="15.75" customHeight="1">
      <c r="C183" s="8" t="s">
        <v>63</v>
      </c>
      <c r="E183" s="8">
        <v>4.0</v>
      </c>
      <c r="F183" s="8">
        <v>1.0</v>
      </c>
    </row>
    <row r="184" ht="15.75" customHeight="1">
      <c r="C184" s="8" t="s">
        <v>63</v>
      </c>
      <c r="E184" s="8">
        <v>4.0</v>
      </c>
      <c r="F184" s="8">
        <v>1.0</v>
      </c>
      <c r="G184" s="8" t="s">
        <v>921</v>
      </c>
    </row>
    <row r="185" ht="15.75" customHeight="1">
      <c r="C185" s="8" t="s">
        <v>781</v>
      </c>
      <c r="D185" s="8" t="s">
        <v>924</v>
      </c>
      <c r="E185" s="8">
        <v>2.0</v>
      </c>
      <c r="F185" s="8">
        <v>0.5</v>
      </c>
    </row>
    <row r="186" ht="15.75" customHeight="1">
      <c r="C186" s="8" t="s">
        <v>63</v>
      </c>
      <c r="E186" s="8">
        <v>3.0</v>
      </c>
      <c r="F186" s="8">
        <v>1.0</v>
      </c>
    </row>
    <row r="187" ht="15.75" customHeight="1">
      <c r="C187" s="8" t="s">
        <v>63</v>
      </c>
      <c r="E187" s="8">
        <v>17.0</v>
      </c>
      <c r="F187" s="8">
        <v>6.0</v>
      </c>
    </row>
    <row r="188" ht="15.75" customHeight="1">
      <c r="C188" s="8" t="s">
        <v>63</v>
      </c>
      <c r="E188" s="8">
        <v>2.0</v>
      </c>
      <c r="F188" s="8">
        <v>1.0</v>
      </c>
    </row>
    <row r="189" ht="15.75" customHeight="1">
      <c r="C189" s="8" t="s">
        <v>781</v>
      </c>
      <c r="D189" s="8" t="s">
        <v>924</v>
      </c>
      <c r="E189" s="8">
        <v>2.0</v>
      </c>
      <c r="F189" s="8">
        <v>0.5</v>
      </c>
    </row>
    <row r="190" ht="15.75" customHeight="1">
      <c r="C190" s="8" t="s">
        <v>781</v>
      </c>
      <c r="D190" s="8" t="s">
        <v>89</v>
      </c>
      <c r="E190" s="8">
        <v>5.0</v>
      </c>
      <c r="F190" s="8">
        <v>1.0</v>
      </c>
    </row>
    <row r="191" ht="15.75" customHeight="1">
      <c r="C191" s="8" t="s">
        <v>63</v>
      </c>
      <c r="E191" s="8">
        <v>3.0</v>
      </c>
      <c r="F191" s="8">
        <v>1.0</v>
      </c>
    </row>
    <row r="192" ht="15.75" customHeight="1">
      <c r="C192" s="8" t="s">
        <v>923</v>
      </c>
      <c r="D192" s="8" t="s">
        <v>85</v>
      </c>
      <c r="E192" s="8">
        <v>14.0</v>
      </c>
      <c r="F192" s="8">
        <v>2.0</v>
      </c>
    </row>
    <row r="193" ht="15.75" customHeight="1">
      <c r="C193" s="8" t="s">
        <v>781</v>
      </c>
      <c r="D193" s="8" t="s">
        <v>89</v>
      </c>
      <c r="E193" s="8">
        <v>5.0</v>
      </c>
      <c r="F193" s="8">
        <v>2.0</v>
      </c>
    </row>
    <row r="194" ht="15.75" customHeight="1">
      <c r="C194" s="8" t="s">
        <v>781</v>
      </c>
      <c r="D194" s="8" t="s">
        <v>89</v>
      </c>
      <c r="E194" s="8">
        <v>3.0</v>
      </c>
      <c r="F194" s="8">
        <v>1.0</v>
      </c>
    </row>
    <row r="195" ht="15.75" customHeight="1">
      <c r="C195" s="8" t="s">
        <v>63</v>
      </c>
      <c r="E195" s="8">
        <v>3.0</v>
      </c>
      <c r="F195" s="8">
        <v>1.0</v>
      </c>
    </row>
    <row r="196" ht="15.75" customHeight="1">
      <c r="C196" s="8" t="s">
        <v>759</v>
      </c>
      <c r="D196" s="8" t="s">
        <v>75</v>
      </c>
      <c r="E196" s="8">
        <v>15.0</v>
      </c>
      <c r="F196" s="8">
        <v>2.0</v>
      </c>
    </row>
    <row r="197" ht="15.75" customHeight="1">
      <c r="C197" s="8" t="s">
        <v>759</v>
      </c>
      <c r="D197" s="8" t="s">
        <v>75</v>
      </c>
      <c r="E197" s="8">
        <v>7.0</v>
      </c>
      <c r="F197" s="8">
        <v>1.0</v>
      </c>
    </row>
    <row r="198" ht="15.75" customHeight="1">
      <c r="C198" s="8" t="s">
        <v>63</v>
      </c>
      <c r="E198" s="8">
        <v>1.0</v>
      </c>
      <c r="F198" s="8">
        <v>1.0</v>
      </c>
    </row>
    <row r="199" ht="15.75" customHeight="1">
      <c r="A199" s="63" t="s">
        <v>13</v>
      </c>
      <c r="B199" s="63" t="s">
        <v>0</v>
      </c>
      <c r="C199" s="8" t="s">
        <v>57</v>
      </c>
      <c r="E199" s="8">
        <v>1.0</v>
      </c>
      <c r="F199" s="8">
        <v>1.0</v>
      </c>
      <c r="G199" s="8" t="s">
        <v>921</v>
      </c>
    </row>
    <row r="200" ht="15.75" customHeight="1">
      <c r="C200" s="8" t="s">
        <v>781</v>
      </c>
      <c r="D200" s="8" t="s">
        <v>89</v>
      </c>
      <c r="E200" s="8">
        <v>3.0</v>
      </c>
      <c r="F200" s="8">
        <v>1.0</v>
      </c>
    </row>
    <row r="201" ht="15.75" customHeight="1">
      <c r="C201" s="8" t="s">
        <v>67</v>
      </c>
      <c r="E201" s="8">
        <v>0.5</v>
      </c>
      <c r="F201" s="8">
        <v>0.5</v>
      </c>
    </row>
    <row r="202" ht="15.75" customHeight="1">
      <c r="C202" s="8" t="s">
        <v>759</v>
      </c>
      <c r="D202" s="8" t="s">
        <v>75</v>
      </c>
      <c r="E202" s="8">
        <v>2.0</v>
      </c>
      <c r="F202" s="8">
        <v>0.5</v>
      </c>
    </row>
    <row r="203" ht="15.75" customHeight="1">
      <c r="C203" s="8" t="s">
        <v>781</v>
      </c>
      <c r="D203" s="8" t="s">
        <v>89</v>
      </c>
      <c r="E203" s="8">
        <v>2.0</v>
      </c>
      <c r="F203" s="8">
        <v>0.5</v>
      </c>
    </row>
    <row r="204" ht="15.75" customHeight="1">
      <c r="C204" s="8" t="s">
        <v>67</v>
      </c>
      <c r="E204" s="8">
        <v>1.0</v>
      </c>
      <c r="F204" s="8">
        <v>0.5</v>
      </c>
    </row>
    <row r="205" ht="15.75" customHeight="1">
      <c r="C205" s="8" t="s">
        <v>759</v>
      </c>
      <c r="D205" s="8" t="s">
        <v>75</v>
      </c>
      <c r="E205" s="8">
        <v>2.0</v>
      </c>
      <c r="F205" s="8">
        <v>1.0</v>
      </c>
    </row>
    <row r="206" ht="15.75" customHeight="1">
      <c r="C206" s="8" t="s">
        <v>67</v>
      </c>
      <c r="E206" s="8">
        <v>1.0</v>
      </c>
      <c r="F206" s="8">
        <v>0.5</v>
      </c>
    </row>
    <row r="207" ht="15.75" customHeight="1">
      <c r="C207" s="8" t="s">
        <v>781</v>
      </c>
      <c r="D207" s="8" t="s">
        <v>924</v>
      </c>
      <c r="E207" s="8">
        <v>2.0</v>
      </c>
      <c r="F207" s="8">
        <v>0.5</v>
      </c>
    </row>
    <row r="208" ht="15.75" customHeight="1">
      <c r="C208" s="8" t="s">
        <v>781</v>
      </c>
      <c r="D208" s="8" t="s">
        <v>924</v>
      </c>
      <c r="E208" s="8">
        <v>2.0</v>
      </c>
      <c r="F208" s="8">
        <v>0.5</v>
      </c>
    </row>
    <row r="209" ht="15.75" customHeight="1">
      <c r="C209" s="8" t="s">
        <v>67</v>
      </c>
      <c r="E209" s="8">
        <v>2.0</v>
      </c>
      <c r="F209" s="8">
        <v>1.0</v>
      </c>
    </row>
    <row r="210" ht="15.75" customHeight="1">
      <c r="C210" s="8" t="s">
        <v>781</v>
      </c>
      <c r="D210" s="8" t="s">
        <v>89</v>
      </c>
      <c r="E210" s="8">
        <v>3.0</v>
      </c>
      <c r="F210" s="8">
        <v>1.0</v>
      </c>
    </row>
    <row r="211" ht="15.75" customHeight="1">
      <c r="C211" s="8" t="s">
        <v>63</v>
      </c>
      <c r="E211" s="8">
        <v>5.0</v>
      </c>
      <c r="F211" s="8">
        <v>2.0</v>
      </c>
    </row>
    <row r="212" ht="15.75" customHeight="1">
      <c r="C212" s="8" t="s">
        <v>63</v>
      </c>
      <c r="E212" s="8">
        <v>3.0</v>
      </c>
      <c r="F212" s="8">
        <v>1.0</v>
      </c>
    </row>
    <row r="213" ht="15.75" customHeight="1">
      <c r="C213" s="8" t="s">
        <v>63</v>
      </c>
      <c r="E213" s="8">
        <v>3.0</v>
      </c>
      <c r="F213" s="8">
        <v>1.0</v>
      </c>
    </row>
    <row r="214" ht="15.75" customHeight="1">
      <c r="C214" s="8" t="s">
        <v>63</v>
      </c>
      <c r="E214" s="8">
        <v>4.0</v>
      </c>
      <c r="F214" s="8">
        <v>2.0</v>
      </c>
    </row>
    <row r="215" ht="15.75" customHeight="1">
      <c r="C215" s="8" t="s">
        <v>781</v>
      </c>
      <c r="D215" s="8" t="s">
        <v>89</v>
      </c>
      <c r="E215" s="8">
        <v>2.0</v>
      </c>
      <c r="F215" s="8">
        <v>0.5</v>
      </c>
    </row>
    <row r="216" ht="15.75" customHeight="1">
      <c r="C216" s="8" t="s">
        <v>759</v>
      </c>
      <c r="D216" s="8" t="s">
        <v>75</v>
      </c>
      <c r="E216" s="8">
        <v>5.0</v>
      </c>
      <c r="F216" s="8">
        <v>1.0</v>
      </c>
    </row>
    <row r="217" ht="15.75" customHeight="1">
      <c r="C217" s="8" t="s">
        <v>781</v>
      </c>
      <c r="D217" s="8" t="s">
        <v>89</v>
      </c>
      <c r="E217" s="8">
        <v>2.0</v>
      </c>
      <c r="F217" s="8">
        <v>1.0</v>
      </c>
    </row>
    <row r="218" ht="15.75" customHeight="1">
      <c r="C218" s="8" t="s">
        <v>57</v>
      </c>
      <c r="E218" s="8">
        <v>5.0</v>
      </c>
      <c r="F218" s="8">
        <v>2.0</v>
      </c>
    </row>
    <row r="219" ht="15.75" customHeight="1">
      <c r="C219" s="8" t="s">
        <v>67</v>
      </c>
      <c r="E219" s="8">
        <v>2.0</v>
      </c>
      <c r="F219" s="8">
        <v>0.5</v>
      </c>
    </row>
    <row r="220" ht="15.75" customHeight="1">
      <c r="C220" s="8" t="s">
        <v>781</v>
      </c>
      <c r="D220" s="8" t="s">
        <v>89</v>
      </c>
      <c r="E220" s="8">
        <v>2.0</v>
      </c>
      <c r="F220" s="8">
        <v>0.5</v>
      </c>
    </row>
    <row r="221" ht="15.75" customHeight="1">
      <c r="C221" s="8" t="s">
        <v>759</v>
      </c>
      <c r="D221" s="8" t="s">
        <v>75</v>
      </c>
      <c r="E221" s="8">
        <v>15.0</v>
      </c>
      <c r="F221" s="8">
        <v>2.0</v>
      </c>
    </row>
    <row r="222" ht="15.75" customHeight="1">
      <c r="C222" s="8" t="s">
        <v>759</v>
      </c>
      <c r="D222" s="8" t="s">
        <v>75</v>
      </c>
      <c r="E222" s="8">
        <v>15.0</v>
      </c>
      <c r="F222" s="8">
        <v>2.0</v>
      </c>
    </row>
    <row r="223" ht="15.75" customHeight="1">
      <c r="C223" s="8" t="s">
        <v>759</v>
      </c>
      <c r="D223" s="8" t="s">
        <v>75</v>
      </c>
      <c r="E223" s="8">
        <v>15.0</v>
      </c>
      <c r="F223" s="8">
        <v>2.0</v>
      </c>
    </row>
    <row r="224" ht="15.75" customHeight="1">
      <c r="C224" s="8" t="s">
        <v>759</v>
      </c>
      <c r="D224" s="8" t="s">
        <v>75</v>
      </c>
      <c r="E224" s="8">
        <v>15.0</v>
      </c>
      <c r="F224" s="8">
        <v>2.0</v>
      </c>
    </row>
    <row r="225" ht="15.75" customHeight="1">
      <c r="C225" s="8" t="s">
        <v>759</v>
      </c>
      <c r="D225" s="8" t="s">
        <v>75</v>
      </c>
      <c r="E225" s="8">
        <v>15.0</v>
      </c>
      <c r="F225" s="8">
        <v>2.0</v>
      </c>
    </row>
    <row r="226" ht="15.75" customHeight="1">
      <c r="C226" s="8" t="s">
        <v>759</v>
      </c>
      <c r="D226" s="8" t="s">
        <v>75</v>
      </c>
      <c r="E226" s="8">
        <v>15.0</v>
      </c>
      <c r="F226" s="8">
        <v>2.0</v>
      </c>
    </row>
    <row r="227" ht="15.75" customHeight="1">
      <c r="C227" s="8" t="s">
        <v>759</v>
      </c>
      <c r="D227" s="8" t="s">
        <v>75</v>
      </c>
      <c r="E227" s="8">
        <v>3.0</v>
      </c>
      <c r="F227" s="8">
        <v>1.0</v>
      </c>
      <c r="G227" s="8" t="s">
        <v>921</v>
      </c>
    </row>
    <row r="228" ht="15.75" customHeight="1">
      <c r="C228" s="8" t="s">
        <v>59</v>
      </c>
      <c r="E228" s="8">
        <v>18.0</v>
      </c>
      <c r="F228" s="8">
        <v>4.0</v>
      </c>
    </row>
    <row r="229" ht="15.75" customHeight="1">
      <c r="C229" s="8" t="s">
        <v>69</v>
      </c>
      <c r="E229" s="8">
        <v>14.0</v>
      </c>
      <c r="F229" s="8">
        <v>2.0</v>
      </c>
    </row>
    <row r="230" ht="15.75" customHeight="1">
      <c r="C230" s="8" t="s">
        <v>781</v>
      </c>
      <c r="D230" s="8" t="s">
        <v>924</v>
      </c>
      <c r="E230" s="8">
        <v>3.0</v>
      </c>
      <c r="F230" s="8">
        <v>0.5</v>
      </c>
    </row>
    <row r="231" ht="15.75" customHeight="1">
      <c r="C231" s="8" t="s">
        <v>759</v>
      </c>
      <c r="D231" s="8" t="s">
        <v>75</v>
      </c>
      <c r="E231" s="8">
        <v>2.0</v>
      </c>
      <c r="F231" s="8">
        <v>0.5</v>
      </c>
    </row>
    <row r="232" ht="15.75" customHeight="1">
      <c r="C232" s="8" t="s">
        <v>63</v>
      </c>
      <c r="E232" s="8">
        <v>15.0</v>
      </c>
      <c r="F232" s="8">
        <v>8.0</v>
      </c>
    </row>
    <row r="233" ht="15.75" customHeight="1">
      <c r="C233" s="8" t="s">
        <v>63</v>
      </c>
      <c r="E233" s="8">
        <v>3.0</v>
      </c>
      <c r="F233" s="8">
        <v>1.0</v>
      </c>
    </row>
    <row r="234" ht="15.75" customHeight="1">
      <c r="C234" s="8" t="s">
        <v>63</v>
      </c>
      <c r="E234" s="8">
        <v>6.0</v>
      </c>
      <c r="F234" s="8">
        <v>3.0</v>
      </c>
    </row>
    <row r="235" ht="15.75" customHeight="1">
      <c r="C235" s="8" t="s">
        <v>759</v>
      </c>
      <c r="D235" s="8" t="s">
        <v>75</v>
      </c>
      <c r="E235" s="8">
        <v>2.0</v>
      </c>
      <c r="F235" s="8">
        <v>0.5</v>
      </c>
    </row>
    <row r="236" ht="15.75" customHeight="1">
      <c r="C236" s="8" t="s">
        <v>759</v>
      </c>
      <c r="D236" s="8" t="s">
        <v>75</v>
      </c>
      <c r="E236" s="8">
        <v>15.0</v>
      </c>
      <c r="F236" s="8">
        <v>2.0</v>
      </c>
    </row>
    <row r="237" ht="15.75" customHeight="1">
      <c r="C237" s="8" t="s">
        <v>759</v>
      </c>
      <c r="D237" s="8" t="s">
        <v>75</v>
      </c>
      <c r="E237" s="8">
        <v>15.0</v>
      </c>
      <c r="F237" s="8">
        <v>2.0</v>
      </c>
    </row>
    <row r="238" ht="15.75" customHeight="1">
      <c r="C238" s="8" t="s">
        <v>759</v>
      </c>
      <c r="D238" s="8" t="s">
        <v>75</v>
      </c>
      <c r="E238" s="8">
        <v>15.0</v>
      </c>
      <c r="F238" s="8">
        <v>2.0</v>
      </c>
    </row>
    <row r="239" ht="15.75" customHeight="1">
      <c r="C239" s="8" t="s">
        <v>759</v>
      </c>
      <c r="D239" s="8" t="s">
        <v>75</v>
      </c>
      <c r="E239" s="8">
        <v>15.0</v>
      </c>
      <c r="F239" s="8">
        <v>2.0</v>
      </c>
    </row>
    <row r="240" ht="15.75" customHeight="1">
      <c r="C240" s="8" t="s">
        <v>63</v>
      </c>
      <c r="E240" s="8">
        <v>3.0</v>
      </c>
      <c r="F240" s="8">
        <v>2.0</v>
      </c>
    </row>
    <row r="241" ht="15.75" customHeight="1">
      <c r="C241" s="8" t="s">
        <v>77</v>
      </c>
      <c r="D241" s="8" t="s">
        <v>79</v>
      </c>
      <c r="E241" s="8">
        <v>9.0</v>
      </c>
      <c r="F241" s="8">
        <v>6.0</v>
      </c>
      <c r="G241" s="8" t="s">
        <v>935</v>
      </c>
    </row>
    <row r="242" ht="15.75" customHeight="1">
      <c r="C242" s="8" t="s">
        <v>67</v>
      </c>
      <c r="E242" s="8">
        <v>3.0</v>
      </c>
      <c r="F242" s="8">
        <v>0.5</v>
      </c>
    </row>
    <row r="243" ht="15.75" customHeight="1">
      <c r="C243" s="8" t="s">
        <v>67</v>
      </c>
      <c r="E243" s="8">
        <v>2.0</v>
      </c>
      <c r="F243" s="8">
        <v>0.5</v>
      </c>
    </row>
    <row r="244" ht="15.75" customHeight="1">
      <c r="C244" s="8" t="s">
        <v>63</v>
      </c>
      <c r="E244" s="8">
        <v>2.0</v>
      </c>
      <c r="F244" s="8">
        <v>0.5</v>
      </c>
    </row>
    <row r="245" ht="15.75" customHeight="1">
      <c r="C245" s="8" t="s">
        <v>759</v>
      </c>
      <c r="D245" s="8" t="s">
        <v>75</v>
      </c>
      <c r="E245" s="8">
        <v>2.0</v>
      </c>
      <c r="F245" s="8">
        <v>1.0</v>
      </c>
    </row>
    <row r="246" ht="15.75" customHeight="1">
      <c r="C246" s="8" t="s">
        <v>781</v>
      </c>
      <c r="D246" s="8" t="s">
        <v>89</v>
      </c>
      <c r="E246" s="8">
        <v>3.0</v>
      </c>
      <c r="F246" s="8">
        <v>1.0</v>
      </c>
    </row>
    <row r="247" ht="15.75" customHeight="1">
      <c r="C247" s="8" t="s">
        <v>63</v>
      </c>
      <c r="E247" s="8">
        <v>3.0</v>
      </c>
      <c r="F247" s="8">
        <v>1.0</v>
      </c>
    </row>
    <row r="248" ht="15.75" customHeight="1">
      <c r="C248" s="8" t="s">
        <v>759</v>
      </c>
      <c r="D248" s="8" t="s">
        <v>75</v>
      </c>
      <c r="E248" s="8">
        <v>15.0</v>
      </c>
      <c r="F248" s="8">
        <v>2.0</v>
      </c>
    </row>
    <row r="249" ht="15.75" customHeight="1">
      <c r="C249" s="8" t="s">
        <v>759</v>
      </c>
      <c r="D249" s="8" t="s">
        <v>75</v>
      </c>
      <c r="E249" s="8">
        <v>15.0</v>
      </c>
      <c r="F249" s="8">
        <v>2.0</v>
      </c>
    </row>
    <row r="250" ht="15.75" customHeight="1">
      <c r="C250" s="8" t="s">
        <v>63</v>
      </c>
      <c r="D250" s="8" t="s">
        <v>97</v>
      </c>
      <c r="E250" s="8">
        <v>10.0</v>
      </c>
      <c r="F250" s="8">
        <v>2.0</v>
      </c>
    </row>
    <row r="251" ht="15.75" customHeight="1">
      <c r="C251" s="8" t="s">
        <v>63</v>
      </c>
      <c r="E251" s="8">
        <v>5.0</v>
      </c>
      <c r="F251" s="8">
        <v>2.0</v>
      </c>
    </row>
    <row r="252" ht="15.75" customHeight="1">
      <c r="C252" s="8" t="s">
        <v>63</v>
      </c>
      <c r="E252" s="8">
        <v>14.0</v>
      </c>
      <c r="F252" s="8">
        <v>5.0</v>
      </c>
    </row>
    <row r="253" ht="15.75" customHeight="1">
      <c r="C253" s="8" t="s">
        <v>67</v>
      </c>
      <c r="E253" s="8">
        <v>2.0</v>
      </c>
      <c r="F253" s="8">
        <v>0.5</v>
      </c>
    </row>
    <row r="254" ht="15.75" customHeight="1">
      <c r="C254" s="8" t="s">
        <v>781</v>
      </c>
      <c r="D254" s="8" t="s">
        <v>89</v>
      </c>
      <c r="E254" s="8">
        <v>3.0</v>
      </c>
      <c r="F254" s="8">
        <v>1.0</v>
      </c>
    </row>
    <row r="255" ht="15.75" customHeight="1">
      <c r="C255" s="8" t="s">
        <v>63</v>
      </c>
      <c r="E255" s="8">
        <v>3.0</v>
      </c>
      <c r="F255" s="8">
        <v>1.0</v>
      </c>
    </row>
    <row r="256" ht="15.75" customHeight="1">
      <c r="C256" s="8" t="s">
        <v>759</v>
      </c>
      <c r="D256" s="8" t="s">
        <v>75</v>
      </c>
      <c r="E256" s="8">
        <v>2.0</v>
      </c>
      <c r="F256" s="8">
        <v>0.5</v>
      </c>
    </row>
    <row r="257" ht="15.75" customHeight="1">
      <c r="C257" s="8" t="s">
        <v>759</v>
      </c>
      <c r="D257" s="8" t="s">
        <v>75</v>
      </c>
      <c r="E257" s="8">
        <v>2.0</v>
      </c>
      <c r="F257" s="8">
        <v>0.5</v>
      </c>
    </row>
    <row r="258" ht="15.75" customHeight="1">
      <c r="A258" s="63" t="s">
        <v>17</v>
      </c>
      <c r="B258" s="63" t="s">
        <v>0</v>
      </c>
      <c r="C258" s="8" t="s">
        <v>77</v>
      </c>
      <c r="D258" s="8" t="s">
        <v>79</v>
      </c>
      <c r="E258" s="8">
        <v>2.0</v>
      </c>
      <c r="F258" s="8">
        <v>1.0</v>
      </c>
    </row>
    <row r="259" ht="15.75" customHeight="1">
      <c r="C259" s="8" t="s">
        <v>759</v>
      </c>
      <c r="D259" s="8" t="s">
        <v>75</v>
      </c>
      <c r="E259" s="8">
        <v>2.0</v>
      </c>
      <c r="F259" s="8">
        <v>0.5</v>
      </c>
    </row>
    <row r="260" ht="15.75" customHeight="1">
      <c r="C260" s="8" t="s">
        <v>759</v>
      </c>
      <c r="D260" s="8" t="s">
        <v>75</v>
      </c>
      <c r="E260" s="8">
        <v>14.0</v>
      </c>
      <c r="F260" s="8">
        <v>1.0</v>
      </c>
    </row>
    <row r="261" ht="15.75" customHeight="1">
      <c r="C261" s="8" t="s">
        <v>63</v>
      </c>
      <c r="E261" s="8">
        <v>3.0</v>
      </c>
      <c r="F261" s="8">
        <v>1.0</v>
      </c>
    </row>
    <row r="262" ht="15.75" customHeight="1">
      <c r="C262" s="8" t="s">
        <v>759</v>
      </c>
      <c r="D262" s="8" t="s">
        <v>75</v>
      </c>
      <c r="E262" s="8">
        <v>3.0</v>
      </c>
      <c r="F262" s="8">
        <v>0.5</v>
      </c>
    </row>
    <row r="263" ht="15.75" customHeight="1">
      <c r="C263" s="8" t="s">
        <v>759</v>
      </c>
      <c r="D263" s="8" t="s">
        <v>75</v>
      </c>
      <c r="E263" s="8">
        <v>14.0</v>
      </c>
      <c r="F263" s="8">
        <v>2.0</v>
      </c>
    </row>
    <row r="264" ht="15.75" customHeight="1">
      <c r="C264" s="8" t="s">
        <v>759</v>
      </c>
      <c r="D264" s="8" t="s">
        <v>75</v>
      </c>
      <c r="E264" s="8">
        <v>3.0</v>
      </c>
      <c r="F264" s="8">
        <v>0.5</v>
      </c>
    </row>
    <row r="265" ht="15.75" customHeight="1">
      <c r="C265" s="8" t="s">
        <v>930</v>
      </c>
      <c r="E265" s="8">
        <v>2.0</v>
      </c>
      <c r="F265" s="8">
        <v>1.0</v>
      </c>
    </row>
    <row r="266" ht="15.75" customHeight="1">
      <c r="C266" s="8" t="s">
        <v>67</v>
      </c>
      <c r="E266" s="8">
        <v>2.0</v>
      </c>
      <c r="F266" s="8">
        <v>0.5</v>
      </c>
    </row>
    <row r="267" ht="15.75" customHeight="1">
      <c r="C267" s="8" t="s">
        <v>57</v>
      </c>
      <c r="E267" s="8">
        <v>2.0</v>
      </c>
      <c r="F267" s="8">
        <v>0.5</v>
      </c>
    </row>
    <row r="268" ht="15.75" customHeight="1">
      <c r="C268" s="8" t="s">
        <v>67</v>
      </c>
      <c r="E268" s="8">
        <v>1.0</v>
      </c>
      <c r="F268" s="8">
        <v>0.5</v>
      </c>
    </row>
    <row r="269" ht="15.75" customHeight="1">
      <c r="C269" s="8" t="s">
        <v>67</v>
      </c>
      <c r="E269" s="8">
        <v>1.0</v>
      </c>
      <c r="F269" s="8">
        <v>0.5</v>
      </c>
    </row>
    <row r="270" ht="15.75" customHeight="1">
      <c r="C270" s="8" t="s">
        <v>781</v>
      </c>
      <c r="D270" s="8" t="s">
        <v>924</v>
      </c>
      <c r="E270" s="8">
        <v>2.0</v>
      </c>
      <c r="F270" s="8">
        <v>1.0</v>
      </c>
    </row>
    <row r="271" ht="15.75" customHeight="1">
      <c r="C271" s="8" t="s">
        <v>67</v>
      </c>
      <c r="E271" s="8">
        <v>1.0</v>
      </c>
      <c r="F271" s="8">
        <v>0.5</v>
      </c>
    </row>
    <row r="272" ht="15.75" customHeight="1">
      <c r="C272" s="8" t="s">
        <v>928</v>
      </c>
      <c r="E272" s="8">
        <v>8.0</v>
      </c>
      <c r="F272" s="8">
        <v>4.0</v>
      </c>
    </row>
    <row r="273" ht="15.75" customHeight="1">
      <c r="C273" s="8" t="s">
        <v>67</v>
      </c>
      <c r="E273" s="8">
        <v>2.0</v>
      </c>
      <c r="F273" s="8">
        <v>0.5</v>
      </c>
    </row>
    <row r="274" ht="15.75" customHeight="1">
      <c r="C274" s="8" t="s">
        <v>759</v>
      </c>
      <c r="D274" s="8" t="s">
        <v>75</v>
      </c>
      <c r="E274" s="8">
        <v>3.0</v>
      </c>
      <c r="F274" s="8">
        <v>0.5</v>
      </c>
    </row>
    <row r="275" ht="15.75" customHeight="1">
      <c r="C275" s="8" t="s">
        <v>759</v>
      </c>
      <c r="D275" s="8" t="s">
        <v>75</v>
      </c>
      <c r="E275" s="8">
        <v>5.0</v>
      </c>
      <c r="F275" s="8">
        <v>1.0</v>
      </c>
    </row>
    <row r="276" ht="15.75" customHeight="1">
      <c r="C276" s="8" t="s">
        <v>781</v>
      </c>
      <c r="D276" s="8" t="s">
        <v>89</v>
      </c>
      <c r="E276" s="8">
        <v>4.0</v>
      </c>
      <c r="F276" s="8">
        <v>1.0</v>
      </c>
    </row>
    <row r="277" ht="15.75" customHeight="1">
      <c r="C277" s="8" t="s">
        <v>63</v>
      </c>
      <c r="E277" s="8">
        <v>3.0</v>
      </c>
      <c r="F277" s="8">
        <v>1.0</v>
      </c>
    </row>
    <row r="278" ht="15.75" customHeight="1">
      <c r="C278" s="8" t="s">
        <v>781</v>
      </c>
      <c r="D278" s="8" t="s">
        <v>89</v>
      </c>
      <c r="E278" s="8">
        <v>4.0</v>
      </c>
      <c r="F278" s="8">
        <v>1.0</v>
      </c>
    </row>
    <row r="279" ht="15.75" customHeight="1">
      <c r="C279" s="8" t="s">
        <v>759</v>
      </c>
      <c r="D279" s="8" t="s">
        <v>75</v>
      </c>
      <c r="E279" s="8">
        <v>15.0</v>
      </c>
      <c r="F279" s="8">
        <v>2.0</v>
      </c>
    </row>
    <row r="280" ht="15.75" customHeight="1">
      <c r="C280" s="8" t="s">
        <v>759</v>
      </c>
      <c r="D280" s="8" t="s">
        <v>75</v>
      </c>
      <c r="E280" s="8">
        <v>15.0</v>
      </c>
      <c r="F280" s="8">
        <v>2.0</v>
      </c>
    </row>
    <row r="281" ht="15.75" customHeight="1">
      <c r="C281" s="8" t="s">
        <v>59</v>
      </c>
      <c r="E281" s="8">
        <v>11.0</v>
      </c>
      <c r="F281" s="8">
        <v>3.0</v>
      </c>
    </row>
    <row r="282" ht="15.75" customHeight="1">
      <c r="C282" s="8" t="s">
        <v>759</v>
      </c>
      <c r="D282" s="8" t="s">
        <v>75</v>
      </c>
      <c r="E282" s="8">
        <v>7.0</v>
      </c>
      <c r="F282" s="8">
        <v>2.0</v>
      </c>
      <c r="G282" s="8" t="s">
        <v>921</v>
      </c>
    </row>
    <row r="283" ht="15.75" customHeight="1">
      <c r="C283" s="8" t="s">
        <v>63</v>
      </c>
      <c r="E283" s="8">
        <v>5.0</v>
      </c>
      <c r="F283" s="8">
        <v>1.0</v>
      </c>
    </row>
    <row r="284" ht="15.75" customHeight="1">
      <c r="C284" s="8" t="s">
        <v>759</v>
      </c>
      <c r="D284" s="8" t="s">
        <v>101</v>
      </c>
      <c r="E284" s="8">
        <v>13.0</v>
      </c>
      <c r="F284" s="8">
        <v>2.0</v>
      </c>
    </row>
    <row r="285" ht="15.75" customHeight="1">
      <c r="C285" s="8" t="s">
        <v>926</v>
      </c>
      <c r="E285" s="8">
        <v>2.0</v>
      </c>
      <c r="F285" s="8">
        <v>2.0</v>
      </c>
      <c r="G285" s="8" t="s">
        <v>936</v>
      </c>
    </row>
    <row r="286" ht="15.75" customHeight="1">
      <c r="C286" s="8" t="s">
        <v>759</v>
      </c>
      <c r="D286" s="8" t="s">
        <v>75</v>
      </c>
      <c r="E286" s="8">
        <v>15.0</v>
      </c>
      <c r="F286" s="8">
        <v>2.0</v>
      </c>
    </row>
    <row r="287" ht="15.75" customHeight="1">
      <c r="C287" s="8" t="s">
        <v>781</v>
      </c>
      <c r="D287" s="8" t="s">
        <v>89</v>
      </c>
      <c r="E287" s="8">
        <v>6.0</v>
      </c>
      <c r="F287" s="8">
        <v>1.0</v>
      </c>
    </row>
    <row r="288" ht="15.75" customHeight="1">
      <c r="C288" s="8" t="s">
        <v>63</v>
      </c>
      <c r="E288" s="8">
        <v>9.0</v>
      </c>
      <c r="F288" s="8">
        <v>6.0</v>
      </c>
    </row>
    <row r="289" ht="15.75" customHeight="1">
      <c r="C289" s="8" t="s">
        <v>63</v>
      </c>
      <c r="E289" s="8">
        <v>3.0</v>
      </c>
      <c r="F289" s="8">
        <v>1.0</v>
      </c>
    </row>
    <row r="290" ht="15.75" customHeight="1">
      <c r="C290" s="8" t="s">
        <v>67</v>
      </c>
      <c r="E290" s="8">
        <v>2.0</v>
      </c>
      <c r="F290" s="8">
        <v>0.5</v>
      </c>
    </row>
    <row r="291" ht="15.75" customHeight="1">
      <c r="C291" s="8" t="s">
        <v>759</v>
      </c>
      <c r="D291" s="8" t="s">
        <v>75</v>
      </c>
      <c r="E291" s="8">
        <v>15.0</v>
      </c>
      <c r="F291" s="8">
        <v>2.0</v>
      </c>
    </row>
    <row r="292" ht="15.75" customHeight="1">
      <c r="C292" s="8" t="s">
        <v>63</v>
      </c>
      <c r="D292" s="8" t="s">
        <v>97</v>
      </c>
      <c r="E292" s="8">
        <v>11.0</v>
      </c>
      <c r="F292" s="8">
        <v>1.0</v>
      </c>
    </row>
    <row r="293" ht="15.75" customHeight="1">
      <c r="C293" s="8" t="s">
        <v>759</v>
      </c>
      <c r="D293" s="8" t="s">
        <v>75</v>
      </c>
      <c r="E293" s="8">
        <v>3.0</v>
      </c>
      <c r="F293" s="8">
        <v>0.5</v>
      </c>
    </row>
    <row r="294" ht="15.75" customHeight="1">
      <c r="C294" s="8" t="s">
        <v>63</v>
      </c>
      <c r="E294" s="8">
        <v>3.0</v>
      </c>
      <c r="F294" s="8">
        <v>1.0</v>
      </c>
    </row>
    <row r="295" ht="15.75" customHeight="1">
      <c r="C295" s="8" t="s">
        <v>928</v>
      </c>
      <c r="E295" s="8">
        <v>9.0</v>
      </c>
      <c r="F295" s="8">
        <v>3.0</v>
      </c>
    </row>
    <row r="296" ht="15.75" customHeight="1">
      <c r="C296" s="8" t="s">
        <v>759</v>
      </c>
      <c r="D296" s="8" t="s">
        <v>75</v>
      </c>
      <c r="E296" s="8">
        <v>4.0</v>
      </c>
      <c r="F296" s="8">
        <v>1.0</v>
      </c>
    </row>
    <row r="297" ht="15.75" customHeight="1">
      <c r="A297" s="63" t="s">
        <v>35</v>
      </c>
      <c r="B297" s="63" t="s">
        <v>0</v>
      </c>
      <c r="C297" s="8" t="s">
        <v>937</v>
      </c>
      <c r="D297" s="8" t="s">
        <v>938</v>
      </c>
      <c r="E297" s="8">
        <v>40.0</v>
      </c>
      <c r="F297" s="8">
        <v>21.0</v>
      </c>
    </row>
    <row r="298" ht="15.75" customHeight="1">
      <c r="C298" s="8" t="s">
        <v>781</v>
      </c>
      <c r="D298" s="8" t="s">
        <v>924</v>
      </c>
      <c r="E298" s="8">
        <v>4.0</v>
      </c>
      <c r="F298" s="8">
        <v>1.0</v>
      </c>
    </row>
    <row r="299" ht="15.75" customHeight="1">
      <c r="C299" s="8" t="s">
        <v>759</v>
      </c>
      <c r="D299" s="8" t="s">
        <v>101</v>
      </c>
      <c r="E299" s="8">
        <v>1.0</v>
      </c>
      <c r="F299" s="8">
        <v>0.5</v>
      </c>
    </row>
    <row r="300" ht="15.75" customHeight="1">
      <c r="C300" s="8" t="s">
        <v>759</v>
      </c>
      <c r="D300" s="8" t="s">
        <v>75</v>
      </c>
      <c r="E300" s="8">
        <v>3.0</v>
      </c>
      <c r="F300" s="8">
        <v>0.5</v>
      </c>
    </row>
    <row r="301" ht="15.75" customHeight="1">
      <c r="C301" s="8" t="s">
        <v>759</v>
      </c>
      <c r="D301" s="8" t="s">
        <v>75</v>
      </c>
      <c r="E301" s="8">
        <v>4.0</v>
      </c>
      <c r="F301" s="8">
        <v>1.0</v>
      </c>
    </row>
    <row r="302" ht="15.75" customHeight="1">
      <c r="C302" s="8" t="s">
        <v>759</v>
      </c>
      <c r="D302" s="8" t="s">
        <v>75</v>
      </c>
      <c r="E302" s="8">
        <v>2.0</v>
      </c>
      <c r="F302" s="8">
        <v>0.5</v>
      </c>
    </row>
    <row r="303" ht="15.75" customHeight="1">
      <c r="C303" s="8" t="s">
        <v>759</v>
      </c>
      <c r="D303" s="8" t="s">
        <v>75</v>
      </c>
      <c r="E303" s="8">
        <v>3.0</v>
      </c>
      <c r="F303" s="8">
        <v>0.5</v>
      </c>
    </row>
    <row r="304" ht="15.75" customHeight="1">
      <c r="C304" s="8" t="s">
        <v>759</v>
      </c>
      <c r="D304" s="8" t="s">
        <v>75</v>
      </c>
      <c r="E304" s="8">
        <v>3.0</v>
      </c>
      <c r="F304" s="8">
        <v>0.5</v>
      </c>
    </row>
    <row r="305" ht="15.75" customHeight="1">
      <c r="C305" s="8" t="s">
        <v>57</v>
      </c>
      <c r="E305" s="8">
        <v>2.0</v>
      </c>
      <c r="F305" s="8">
        <v>1.0</v>
      </c>
    </row>
    <row r="306" ht="15.75" customHeight="1">
      <c r="C306" s="8" t="s">
        <v>759</v>
      </c>
      <c r="D306" s="8" t="s">
        <v>75</v>
      </c>
      <c r="E306" s="8">
        <v>2.0</v>
      </c>
      <c r="F306" s="8">
        <v>0.5</v>
      </c>
    </row>
    <row r="307" ht="15.75" customHeight="1">
      <c r="C307" s="8" t="s">
        <v>759</v>
      </c>
      <c r="D307" s="8" t="s">
        <v>75</v>
      </c>
      <c r="E307" s="8">
        <v>6.0</v>
      </c>
      <c r="F307" s="8">
        <v>1.0</v>
      </c>
    </row>
    <row r="308" ht="15.75" customHeight="1">
      <c r="C308" s="8" t="s">
        <v>759</v>
      </c>
      <c r="D308" s="8" t="s">
        <v>75</v>
      </c>
      <c r="E308" s="8">
        <v>4.0</v>
      </c>
      <c r="F308" s="8">
        <v>0.5</v>
      </c>
    </row>
    <row r="309" ht="15.75" customHeight="1">
      <c r="C309" s="8" t="s">
        <v>759</v>
      </c>
      <c r="D309" s="8" t="s">
        <v>75</v>
      </c>
      <c r="E309" s="8">
        <v>4.0</v>
      </c>
      <c r="F309" s="8">
        <v>0.5</v>
      </c>
    </row>
    <row r="310" ht="15.75" customHeight="1">
      <c r="C310" s="8" t="s">
        <v>781</v>
      </c>
      <c r="D310" s="8" t="s">
        <v>924</v>
      </c>
      <c r="E310" s="8">
        <v>1.0</v>
      </c>
      <c r="F310" s="8">
        <v>0.5</v>
      </c>
    </row>
    <row r="311" ht="15.75" customHeight="1">
      <c r="C311" s="8" t="s">
        <v>759</v>
      </c>
      <c r="D311" s="8" t="s">
        <v>75</v>
      </c>
      <c r="E311" s="8">
        <v>5.0</v>
      </c>
      <c r="F311" s="8">
        <v>1.0</v>
      </c>
    </row>
    <row r="312" ht="15.75" customHeight="1">
      <c r="C312" s="8" t="s">
        <v>759</v>
      </c>
      <c r="D312" s="8" t="s">
        <v>75</v>
      </c>
      <c r="E312" s="8">
        <v>3.0</v>
      </c>
      <c r="F312" s="8">
        <v>0.5</v>
      </c>
    </row>
    <row r="313" ht="15.75" customHeight="1">
      <c r="C313" s="8" t="s">
        <v>57</v>
      </c>
      <c r="E313" s="8">
        <v>2.0</v>
      </c>
      <c r="F313" s="8">
        <v>1.0</v>
      </c>
    </row>
    <row r="314" ht="15.75" customHeight="1">
      <c r="C314" s="8" t="s">
        <v>759</v>
      </c>
      <c r="D314" s="8" t="s">
        <v>75</v>
      </c>
      <c r="E314" s="8">
        <v>5.0</v>
      </c>
      <c r="F314" s="8">
        <v>1.0</v>
      </c>
    </row>
    <row r="315" ht="15.75" customHeight="1">
      <c r="C315" s="8" t="s">
        <v>759</v>
      </c>
      <c r="D315" s="8" t="s">
        <v>75</v>
      </c>
      <c r="E315" s="8">
        <v>3.0</v>
      </c>
      <c r="F315" s="8">
        <v>0.5</v>
      </c>
    </row>
    <row r="316" ht="15.75" customHeight="1">
      <c r="C316" s="8" t="s">
        <v>759</v>
      </c>
      <c r="D316" s="8" t="s">
        <v>75</v>
      </c>
      <c r="E316" s="8">
        <v>3.0</v>
      </c>
      <c r="F316" s="8">
        <v>0.5</v>
      </c>
    </row>
    <row r="317" ht="15.75" customHeight="1">
      <c r="C317" s="8" t="s">
        <v>67</v>
      </c>
      <c r="E317" s="8">
        <v>1.0</v>
      </c>
      <c r="F317" s="8">
        <v>0.5</v>
      </c>
    </row>
    <row r="318" ht="15.75" customHeight="1">
      <c r="C318" s="8" t="s">
        <v>781</v>
      </c>
      <c r="D318" s="8" t="s">
        <v>924</v>
      </c>
      <c r="E318" s="8">
        <v>2.0</v>
      </c>
      <c r="F318" s="8">
        <v>0.5</v>
      </c>
    </row>
    <row r="319" ht="15.75" customHeight="1">
      <c r="C319" s="8" t="s">
        <v>759</v>
      </c>
      <c r="D319" s="8" t="s">
        <v>75</v>
      </c>
      <c r="E319" s="8">
        <v>3.0</v>
      </c>
      <c r="F319" s="8">
        <v>0.5</v>
      </c>
    </row>
    <row r="320" ht="15.75" customHeight="1">
      <c r="C320" s="8" t="s">
        <v>781</v>
      </c>
      <c r="D320" s="8" t="s">
        <v>924</v>
      </c>
      <c r="E320" s="8">
        <v>1.0</v>
      </c>
      <c r="F320" s="8">
        <v>0.5</v>
      </c>
    </row>
    <row r="321" ht="15.75" customHeight="1">
      <c r="C321" s="8" t="s">
        <v>781</v>
      </c>
      <c r="D321" s="8" t="s">
        <v>924</v>
      </c>
      <c r="E321" s="8">
        <v>1.0</v>
      </c>
      <c r="F321" s="8">
        <v>0.5</v>
      </c>
    </row>
    <row r="322" ht="15.75" customHeight="1">
      <c r="C322" s="8" t="s">
        <v>781</v>
      </c>
      <c r="D322" s="8" t="s">
        <v>924</v>
      </c>
      <c r="E322" s="8">
        <v>1.0</v>
      </c>
      <c r="F322" s="8">
        <v>0.5</v>
      </c>
    </row>
    <row r="323" ht="15.75" customHeight="1">
      <c r="C323" s="8" t="s">
        <v>759</v>
      </c>
      <c r="D323" s="8" t="s">
        <v>75</v>
      </c>
      <c r="E323" s="8">
        <v>4.0</v>
      </c>
      <c r="F323" s="8">
        <v>1.0</v>
      </c>
    </row>
    <row r="324" ht="15.75" customHeight="1">
      <c r="C324" s="8" t="s">
        <v>57</v>
      </c>
      <c r="E324" s="8">
        <v>1.0</v>
      </c>
      <c r="F324" s="8">
        <v>1.0</v>
      </c>
      <c r="G324" s="8" t="s">
        <v>921</v>
      </c>
    </row>
    <row r="325" ht="15.75" customHeight="1">
      <c r="C325" s="8" t="s">
        <v>759</v>
      </c>
      <c r="D325" s="8" t="s">
        <v>75</v>
      </c>
      <c r="E325" s="8">
        <v>3.0</v>
      </c>
      <c r="F325" s="8">
        <v>0.5</v>
      </c>
    </row>
    <row r="326" ht="15.75" customHeight="1">
      <c r="C326" s="8" t="s">
        <v>759</v>
      </c>
      <c r="D326" s="8" t="s">
        <v>75</v>
      </c>
      <c r="E326" s="8">
        <v>4.0</v>
      </c>
      <c r="F326" s="8">
        <v>0.5</v>
      </c>
    </row>
    <row r="327" ht="15.75" customHeight="1">
      <c r="C327" s="8" t="s">
        <v>63</v>
      </c>
      <c r="E327" s="8">
        <v>4.0</v>
      </c>
      <c r="F327" s="8">
        <v>1.0</v>
      </c>
    </row>
    <row r="328" ht="15.75" customHeight="1">
      <c r="C328" s="8" t="s">
        <v>759</v>
      </c>
      <c r="D328" s="8" t="s">
        <v>75</v>
      </c>
      <c r="E328" s="8">
        <v>4.0</v>
      </c>
      <c r="F328" s="8">
        <v>1.0</v>
      </c>
    </row>
    <row r="329" ht="15.75" customHeight="1">
      <c r="C329" s="8" t="s">
        <v>759</v>
      </c>
      <c r="D329" s="8" t="s">
        <v>75</v>
      </c>
      <c r="E329" s="8">
        <v>5.0</v>
      </c>
      <c r="F329" s="8">
        <v>1.0</v>
      </c>
    </row>
    <row r="330" ht="15.75" customHeight="1">
      <c r="C330" s="8" t="s">
        <v>759</v>
      </c>
      <c r="D330" s="8" t="s">
        <v>75</v>
      </c>
      <c r="E330" s="8">
        <v>3.0</v>
      </c>
      <c r="F330" s="8">
        <v>0.5</v>
      </c>
    </row>
    <row r="331" ht="15.75" customHeight="1">
      <c r="C331" s="8" t="s">
        <v>759</v>
      </c>
      <c r="D331" s="8" t="s">
        <v>75</v>
      </c>
      <c r="E331" s="8">
        <v>3.0</v>
      </c>
      <c r="F331" s="8">
        <v>0.5</v>
      </c>
    </row>
    <row r="332" ht="15.75" customHeight="1">
      <c r="C332" s="8" t="s">
        <v>63</v>
      </c>
      <c r="E332" s="8">
        <v>2.0</v>
      </c>
      <c r="F332" s="8">
        <v>0.5</v>
      </c>
    </row>
    <row r="333" ht="15.75" customHeight="1">
      <c r="C333" s="8" t="s">
        <v>99</v>
      </c>
      <c r="E333" s="8">
        <v>1.0</v>
      </c>
      <c r="F333" s="8">
        <v>0.5</v>
      </c>
    </row>
    <row r="334" ht="15.75" customHeight="1">
      <c r="C334" s="8" t="s">
        <v>781</v>
      </c>
      <c r="D334" s="8" t="s">
        <v>924</v>
      </c>
      <c r="E334" s="8">
        <v>4.0</v>
      </c>
      <c r="F334" s="8">
        <v>1.0</v>
      </c>
    </row>
    <row r="335" ht="15.75" customHeight="1">
      <c r="C335" s="8" t="s">
        <v>759</v>
      </c>
      <c r="D335" s="8" t="s">
        <v>101</v>
      </c>
      <c r="E335" s="8">
        <v>3.0</v>
      </c>
      <c r="F335" s="8">
        <v>0.5</v>
      </c>
    </row>
    <row r="336" ht="15.75" customHeight="1">
      <c r="C336" s="8" t="s">
        <v>759</v>
      </c>
      <c r="D336" s="8" t="s">
        <v>75</v>
      </c>
      <c r="E336" s="8">
        <v>3.0</v>
      </c>
      <c r="F336" s="8">
        <v>0.5</v>
      </c>
    </row>
    <row r="337" ht="15.75" customHeight="1">
      <c r="C337" s="8" t="s">
        <v>57</v>
      </c>
      <c r="E337" s="8">
        <v>2.0</v>
      </c>
      <c r="F337" s="8">
        <v>1.0</v>
      </c>
    </row>
    <row r="338" ht="15.75" customHeight="1">
      <c r="C338" s="8" t="s">
        <v>69</v>
      </c>
      <c r="E338" s="8">
        <v>11.0</v>
      </c>
      <c r="F338" s="8">
        <v>2.0</v>
      </c>
    </row>
    <row r="339" ht="15.75" customHeight="1">
      <c r="C339" s="8" t="s">
        <v>759</v>
      </c>
      <c r="D339" s="8" t="s">
        <v>75</v>
      </c>
      <c r="E339" s="8">
        <v>5.0</v>
      </c>
      <c r="F339" s="8">
        <v>1.0</v>
      </c>
    </row>
    <row r="340" ht="15.75" customHeight="1">
      <c r="C340" s="8" t="s">
        <v>759</v>
      </c>
      <c r="D340" s="8" t="s">
        <v>75</v>
      </c>
      <c r="E340" s="8">
        <v>5.0</v>
      </c>
      <c r="F340" s="8">
        <v>1.0</v>
      </c>
    </row>
    <row r="341" ht="15.75" customHeight="1">
      <c r="C341" s="8" t="s">
        <v>759</v>
      </c>
      <c r="D341" s="8" t="s">
        <v>75</v>
      </c>
      <c r="E341" s="8">
        <v>7.0</v>
      </c>
      <c r="F341" s="8">
        <v>1.0</v>
      </c>
    </row>
    <row r="342" ht="15.75" customHeight="1">
      <c r="C342" s="8" t="s">
        <v>759</v>
      </c>
      <c r="D342" s="8" t="s">
        <v>75</v>
      </c>
      <c r="E342" s="8">
        <v>3.0</v>
      </c>
      <c r="F342" s="8">
        <v>0.5</v>
      </c>
    </row>
    <row r="343" ht="15.75" customHeight="1">
      <c r="C343" s="8" t="s">
        <v>759</v>
      </c>
      <c r="D343" s="8" t="s">
        <v>75</v>
      </c>
      <c r="E343" s="8">
        <v>3.0</v>
      </c>
      <c r="F343" s="8">
        <v>0.5</v>
      </c>
    </row>
    <row r="344" ht="15.75" customHeight="1">
      <c r="C344" s="8" t="s">
        <v>759</v>
      </c>
      <c r="D344" s="8" t="s">
        <v>75</v>
      </c>
      <c r="E344" s="8">
        <v>3.0</v>
      </c>
      <c r="F344" s="8">
        <v>0.5</v>
      </c>
    </row>
    <row r="345" ht="15.75" customHeight="1">
      <c r="C345" s="8" t="s">
        <v>759</v>
      </c>
      <c r="D345" s="8" t="s">
        <v>75</v>
      </c>
      <c r="E345" s="8">
        <v>4.0</v>
      </c>
      <c r="F345" s="8">
        <v>0.5</v>
      </c>
    </row>
    <row r="346" ht="15.75" customHeight="1">
      <c r="C346" s="8" t="s">
        <v>759</v>
      </c>
      <c r="D346" s="8" t="s">
        <v>75</v>
      </c>
      <c r="E346" s="8">
        <v>3.0</v>
      </c>
      <c r="F346" s="8">
        <v>0.5</v>
      </c>
    </row>
    <row r="347" ht="15.75" customHeight="1">
      <c r="C347" s="8" t="s">
        <v>57</v>
      </c>
      <c r="E347" s="8">
        <v>1.0</v>
      </c>
      <c r="F347" s="8">
        <v>0.5</v>
      </c>
    </row>
    <row r="348" ht="15.75" customHeight="1">
      <c r="C348" s="8" t="s">
        <v>759</v>
      </c>
      <c r="D348" s="8" t="s">
        <v>75</v>
      </c>
      <c r="E348" s="8">
        <v>4.0</v>
      </c>
      <c r="F348" s="8">
        <v>0.5</v>
      </c>
    </row>
    <row r="349" ht="15.75" customHeight="1">
      <c r="C349" s="8" t="s">
        <v>57</v>
      </c>
      <c r="E349" s="8">
        <v>3.0</v>
      </c>
      <c r="F349" s="8">
        <v>1.0</v>
      </c>
    </row>
    <row r="350" ht="15.75" customHeight="1">
      <c r="C350" s="8" t="s">
        <v>759</v>
      </c>
      <c r="D350" s="8" t="s">
        <v>75</v>
      </c>
      <c r="E350" s="8">
        <v>4.0</v>
      </c>
      <c r="F350" s="8">
        <v>1.0</v>
      </c>
    </row>
    <row r="351" ht="15.75" customHeight="1">
      <c r="C351" s="8" t="s">
        <v>759</v>
      </c>
      <c r="D351" s="8" t="s">
        <v>75</v>
      </c>
      <c r="E351" s="8">
        <v>3.0</v>
      </c>
      <c r="F351" s="8">
        <v>0.5</v>
      </c>
    </row>
    <row r="352" ht="15.75" customHeight="1">
      <c r="C352" s="8" t="s">
        <v>759</v>
      </c>
      <c r="D352" s="8" t="s">
        <v>75</v>
      </c>
      <c r="E352" s="8">
        <v>2.0</v>
      </c>
      <c r="F352" s="8">
        <v>0.5</v>
      </c>
    </row>
    <row r="353" ht="15.75" customHeight="1">
      <c r="C353" s="8" t="s">
        <v>759</v>
      </c>
      <c r="D353" s="8" t="s">
        <v>75</v>
      </c>
      <c r="E353" s="8">
        <v>6.0</v>
      </c>
      <c r="F353" s="8">
        <v>1.0</v>
      </c>
    </row>
    <row r="354" ht="15.75" customHeight="1">
      <c r="C354" s="8" t="s">
        <v>67</v>
      </c>
      <c r="E354" s="8">
        <v>2.0</v>
      </c>
      <c r="F354" s="8">
        <v>0.5</v>
      </c>
    </row>
    <row r="355" ht="15.75" customHeight="1">
      <c r="C355" s="8" t="s">
        <v>759</v>
      </c>
      <c r="D355" s="8" t="s">
        <v>75</v>
      </c>
      <c r="E355" s="8">
        <v>13.0</v>
      </c>
      <c r="F355" s="8">
        <v>2.0</v>
      </c>
    </row>
    <row r="356" ht="15.75" customHeight="1">
      <c r="C356" s="8" t="s">
        <v>781</v>
      </c>
      <c r="D356" s="8" t="s">
        <v>89</v>
      </c>
      <c r="E356" s="8">
        <v>2.0</v>
      </c>
      <c r="F356" s="8">
        <v>1.0</v>
      </c>
    </row>
    <row r="357" ht="15.75" customHeight="1">
      <c r="C357" s="8" t="s">
        <v>781</v>
      </c>
      <c r="D357" s="8" t="s">
        <v>89</v>
      </c>
      <c r="E357" s="8">
        <v>3.0</v>
      </c>
      <c r="F357" s="8">
        <v>1.0</v>
      </c>
    </row>
    <row r="358" ht="15.75" customHeight="1">
      <c r="C358" s="8" t="s">
        <v>63</v>
      </c>
      <c r="E358" s="8">
        <v>3.0</v>
      </c>
      <c r="F358" s="8">
        <v>1.0</v>
      </c>
    </row>
    <row r="359" ht="15.75" customHeight="1">
      <c r="C359" s="8" t="s">
        <v>759</v>
      </c>
      <c r="D359" s="8" t="s">
        <v>75</v>
      </c>
      <c r="E359" s="8">
        <v>4.0</v>
      </c>
      <c r="F359" s="8">
        <v>0.5</v>
      </c>
    </row>
    <row r="360" ht="15.75" customHeight="1">
      <c r="C360" s="8" t="s">
        <v>759</v>
      </c>
      <c r="D360" s="8" t="s">
        <v>75</v>
      </c>
      <c r="E360" s="8">
        <v>7.0</v>
      </c>
      <c r="F360" s="8">
        <v>1.0</v>
      </c>
    </row>
    <row r="361" ht="15.75" customHeight="1">
      <c r="C361" s="8" t="s">
        <v>63</v>
      </c>
      <c r="D361" s="8" t="s">
        <v>97</v>
      </c>
      <c r="E361" s="8">
        <v>9.0</v>
      </c>
      <c r="F361" s="8">
        <v>2.0</v>
      </c>
    </row>
    <row r="362" ht="15.75" customHeight="1">
      <c r="C362" s="8" t="s">
        <v>57</v>
      </c>
      <c r="E362" s="8">
        <v>1.0</v>
      </c>
      <c r="F362" s="8">
        <v>1.0</v>
      </c>
    </row>
    <row r="363" ht="15.75" customHeight="1">
      <c r="C363" s="8" t="s">
        <v>759</v>
      </c>
      <c r="D363" s="8" t="s">
        <v>75</v>
      </c>
      <c r="E363" s="8">
        <v>4.0</v>
      </c>
      <c r="F363" s="8">
        <v>1.0</v>
      </c>
    </row>
    <row r="364" ht="15.75" customHeight="1">
      <c r="C364" s="8" t="s">
        <v>759</v>
      </c>
      <c r="D364" s="8" t="s">
        <v>75</v>
      </c>
      <c r="E364" s="8">
        <v>3.0</v>
      </c>
      <c r="F364" s="8">
        <v>0.5</v>
      </c>
    </row>
    <row r="365" ht="15.75" customHeight="1">
      <c r="C365" s="8" t="s">
        <v>759</v>
      </c>
      <c r="D365" s="8" t="s">
        <v>75</v>
      </c>
      <c r="E365" s="8">
        <v>3.0</v>
      </c>
      <c r="F365" s="8">
        <v>0.5</v>
      </c>
    </row>
    <row r="366" ht="15.75" customHeight="1">
      <c r="C366" s="8" t="s">
        <v>63</v>
      </c>
      <c r="E366" s="8">
        <v>2.0</v>
      </c>
      <c r="F366" s="8">
        <v>1.0</v>
      </c>
    </row>
    <row r="367" ht="15.75" customHeight="1">
      <c r="C367" s="8" t="s">
        <v>759</v>
      </c>
      <c r="D367" s="8" t="s">
        <v>75</v>
      </c>
      <c r="E367" s="8">
        <v>5.0</v>
      </c>
      <c r="F367" s="8">
        <v>1.0</v>
      </c>
    </row>
    <row r="368" ht="15.75" customHeight="1">
      <c r="C368" s="8" t="s">
        <v>759</v>
      </c>
      <c r="D368" s="8" t="s">
        <v>75</v>
      </c>
      <c r="E368" s="8">
        <v>15.0</v>
      </c>
      <c r="F368" s="8">
        <v>2.0</v>
      </c>
    </row>
    <row r="369" ht="15.75" customHeight="1">
      <c r="C369" s="8" t="s">
        <v>759</v>
      </c>
      <c r="D369" s="8" t="s">
        <v>75</v>
      </c>
      <c r="E369" s="8">
        <v>4.0</v>
      </c>
      <c r="F369" s="8">
        <v>0.5</v>
      </c>
    </row>
    <row r="370" ht="15.75" customHeight="1">
      <c r="C370" s="8" t="s">
        <v>57</v>
      </c>
      <c r="E370" s="8">
        <v>7.0</v>
      </c>
      <c r="F370" s="8">
        <v>3.0</v>
      </c>
    </row>
    <row r="371" ht="15.75" customHeight="1">
      <c r="C371" s="8" t="s">
        <v>759</v>
      </c>
      <c r="D371" s="8" t="s">
        <v>75</v>
      </c>
      <c r="E371" s="8">
        <v>4.0</v>
      </c>
      <c r="F371" s="8">
        <v>0.5</v>
      </c>
    </row>
    <row r="372" ht="15.75" customHeight="1">
      <c r="C372" s="8" t="s">
        <v>759</v>
      </c>
      <c r="D372" s="8" t="s">
        <v>75</v>
      </c>
      <c r="E372" s="8">
        <v>3.0</v>
      </c>
      <c r="F372" s="8">
        <v>0.5</v>
      </c>
    </row>
    <row r="373" ht="15.75" customHeight="1">
      <c r="C373" s="8" t="s">
        <v>63</v>
      </c>
      <c r="D373" s="8" t="s">
        <v>97</v>
      </c>
      <c r="E373" s="8">
        <v>8.0</v>
      </c>
      <c r="F373" s="8">
        <v>2.0</v>
      </c>
    </row>
    <row r="374" ht="15.75" customHeight="1">
      <c r="C374" s="8" t="s">
        <v>759</v>
      </c>
      <c r="D374" s="8" t="s">
        <v>75</v>
      </c>
      <c r="E374" s="8">
        <v>3.0</v>
      </c>
      <c r="F374" s="8">
        <v>1.0</v>
      </c>
    </row>
    <row r="375" ht="15.75" customHeight="1">
      <c r="C375" s="8" t="s">
        <v>759</v>
      </c>
      <c r="D375" s="8" t="s">
        <v>75</v>
      </c>
      <c r="E375" s="8">
        <v>3.0</v>
      </c>
      <c r="F375" s="8">
        <v>0.5</v>
      </c>
    </row>
    <row r="376" ht="15.75" customHeight="1">
      <c r="C376" s="8" t="s">
        <v>759</v>
      </c>
      <c r="D376" s="8" t="s">
        <v>75</v>
      </c>
      <c r="E376" s="8">
        <v>3.0</v>
      </c>
      <c r="F376" s="8">
        <v>0.5</v>
      </c>
    </row>
    <row r="377" ht="15.75" customHeight="1">
      <c r="C377" s="8" t="s">
        <v>57</v>
      </c>
      <c r="E377" s="8">
        <v>2.0</v>
      </c>
      <c r="F377" s="8">
        <v>1.0</v>
      </c>
    </row>
    <row r="378" ht="15.75" customHeight="1">
      <c r="C378" s="8" t="s">
        <v>57</v>
      </c>
      <c r="E378" s="8">
        <v>3.0</v>
      </c>
      <c r="F378" s="8">
        <v>1.0</v>
      </c>
    </row>
    <row r="379" ht="15.75" customHeight="1">
      <c r="C379" s="8" t="s">
        <v>759</v>
      </c>
      <c r="D379" s="8" t="s">
        <v>75</v>
      </c>
      <c r="E379" s="8">
        <v>3.0</v>
      </c>
      <c r="F379" s="8">
        <v>0.5</v>
      </c>
    </row>
    <row r="380" ht="15.75" customHeight="1">
      <c r="C380" s="8" t="s">
        <v>759</v>
      </c>
      <c r="D380" s="8" t="s">
        <v>75</v>
      </c>
      <c r="E380" s="8">
        <v>3.0</v>
      </c>
      <c r="F380" s="8">
        <v>0.5</v>
      </c>
    </row>
    <row r="381" ht="15.75" customHeight="1">
      <c r="C381" s="8" t="s">
        <v>759</v>
      </c>
      <c r="D381" s="8" t="s">
        <v>75</v>
      </c>
      <c r="E381" s="8">
        <v>3.0</v>
      </c>
      <c r="F381" s="8">
        <v>0.5</v>
      </c>
    </row>
    <row r="382" ht="15.75" customHeight="1">
      <c r="C382" s="8" t="s">
        <v>759</v>
      </c>
      <c r="D382" s="8" t="s">
        <v>75</v>
      </c>
      <c r="E382" s="8">
        <v>3.0</v>
      </c>
      <c r="F382" s="8">
        <v>0.5</v>
      </c>
    </row>
    <row r="383" ht="15.75" customHeight="1">
      <c r="C383" s="8" t="s">
        <v>759</v>
      </c>
      <c r="D383" s="8" t="s">
        <v>75</v>
      </c>
      <c r="E383" s="8">
        <v>3.0</v>
      </c>
      <c r="F383" s="8">
        <v>0.5</v>
      </c>
    </row>
    <row r="384" ht="15.75" customHeight="1">
      <c r="C384" s="8" t="s">
        <v>759</v>
      </c>
      <c r="D384" s="8" t="s">
        <v>75</v>
      </c>
      <c r="E384" s="8">
        <v>3.0</v>
      </c>
      <c r="F384" s="8">
        <v>0.5</v>
      </c>
    </row>
    <row r="385" ht="15.75" customHeight="1">
      <c r="C385" s="8" t="s">
        <v>759</v>
      </c>
      <c r="D385" s="8" t="s">
        <v>75</v>
      </c>
      <c r="E385" s="8">
        <v>3.0</v>
      </c>
      <c r="F385" s="8">
        <v>0.5</v>
      </c>
    </row>
    <row r="386" ht="15.75" customHeight="1">
      <c r="C386" s="8" t="s">
        <v>759</v>
      </c>
      <c r="D386" s="8" t="s">
        <v>75</v>
      </c>
      <c r="E386" s="8">
        <v>3.0</v>
      </c>
      <c r="F386" s="8">
        <v>0.5</v>
      </c>
    </row>
    <row r="387" ht="15.75" customHeight="1">
      <c r="C387" s="8" t="s">
        <v>759</v>
      </c>
      <c r="D387" s="8" t="s">
        <v>75</v>
      </c>
      <c r="E387" s="8">
        <v>3.0</v>
      </c>
      <c r="F387" s="8">
        <v>0.5</v>
      </c>
    </row>
    <row r="388" ht="15.75" customHeight="1">
      <c r="C388" s="8" t="s">
        <v>759</v>
      </c>
      <c r="D388" s="8" t="s">
        <v>75</v>
      </c>
      <c r="E388" s="8">
        <v>3.0</v>
      </c>
      <c r="F388" s="8">
        <v>0.5</v>
      </c>
    </row>
    <row r="389" ht="15.75" customHeight="1">
      <c r="C389" s="8" t="s">
        <v>759</v>
      </c>
      <c r="D389" s="8" t="s">
        <v>75</v>
      </c>
      <c r="E389" s="8">
        <v>4.0</v>
      </c>
      <c r="F389" s="8">
        <v>1.0</v>
      </c>
    </row>
    <row r="390" ht="15.75" customHeight="1">
      <c r="C390" s="8" t="s">
        <v>759</v>
      </c>
      <c r="D390" s="8" t="s">
        <v>75</v>
      </c>
      <c r="E390" s="8">
        <v>4.0</v>
      </c>
      <c r="F390" s="8">
        <v>1.0</v>
      </c>
    </row>
    <row r="391" ht="15.75" customHeight="1">
      <c r="C391" s="8" t="s">
        <v>759</v>
      </c>
      <c r="D391" s="8" t="s">
        <v>75</v>
      </c>
      <c r="E391" s="8">
        <v>14.0</v>
      </c>
      <c r="F391" s="8">
        <v>2.0</v>
      </c>
    </row>
    <row r="392" ht="15.75" customHeight="1">
      <c r="C392" s="8" t="s">
        <v>759</v>
      </c>
      <c r="D392" s="8" t="s">
        <v>75</v>
      </c>
      <c r="E392" s="8">
        <v>3.0</v>
      </c>
      <c r="F392" s="8">
        <v>0.5</v>
      </c>
    </row>
    <row r="393" ht="15.75" customHeight="1">
      <c r="C393" s="8" t="s">
        <v>759</v>
      </c>
      <c r="D393" s="8" t="s">
        <v>75</v>
      </c>
      <c r="E393" s="8">
        <v>3.0</v>
      </c>
      <c r="F393" s="8">
        <v>0.5</v>
      </c>
    </row>
    <row r="394" ht="15.75" customHeight="1">
      <c r="C394" s="8" t="s">
        <v>759</v>
      </c>
      <c r="D394" s="8" t="s">
        <v>75</v>
      </c>
      <c r="E394" s="8">
        <v>3.0</v>
      </c>
      <c r="F394" s="8">
        <v>0.5</v>
      </c>
    </row>
    <row r="395" ht="15.75" customHeight="1">
      <c r="C395" s="8" t="s">
        <v>759</v>
      </c>
      <c r="D395" s="8" t="s">
        <v>75</v>
      </c>
      <c r="E395" s="8">
        <v>3.0</v>
      </c>
      <c r="F395" s="8">
        <v>0.5</v>
      </c>
    </row>
    <row r="396" ht="15.75" customHeight="1">
      <c r="C396" s="8" t="s">
        <v>63</v>
      </c>
      <c r="D396" s="8" t="s">
        <v>97</v>
      </c>
      <c r="E396" s="8">
        <v>7.0</v>
      </c>
      <c r="F396" s="8">
        <v>1.0</v>
      </c>
    </row>
    <row r="397" ht="15.75" customHeight="1">
      <c r="C397" s="8" t="s">
        <v>63</v>
      </c>
      <c r="E397" s="8">
        <v>4.0</v>
      </c>
      <c r="F397" s="8">
        <v>1.0</v>
      </c>
    </row>
    <row r="398" ht="15.75" customHeight="1">
      <c r="C398" s="8" t="s">
        <v>759</v>
      </c>
      <c r="D398" s="8" t="s">
        <v>75</v>
      </c>
      <c r="E398" s="8">
        <v>4.0</v>
      </c>
      <c r="F398" s="8">
        <v>1.0</v>
      </c>
    </row>
    <row r="399" ht="15.75" customHeight="1">
      <c r="C399" s="8" t="s">
        <v>759</v>
      </c>
      <c r="D399" s="8" t="s">
        <v>75</v>
      </c>
      <c r="E399" s="8">
        <v>4.0</v>
      </c>
      <c r="F399" s="8">
        <v>1.0</v>
      </c>
    </row>
    <row r="400" ht="15.75" customHeight="1">
      <c r="C400" s="8" t="s">
        <v>781</v>
      </c>
      <c r="D400" s="8" t="s">
        <v>85</v>
      </c>
      <c r="E400" s="8">
        <v>3.0</v>
      </c>
      <c r="F400" s="8">
        <v>0.5</v>
      </c>
    </row>
    <row r="401" ht="15.75" customHeight="1">
      <c r="C401" s="8" t="s">
        <v>759</v>
      </c>
      <c r="D401" s="8" t="s">
        <v>75</v>
      </c>
      <c r="E401" s="8">
        <v>6.0</v>
      </c>
      <c r="F401" s="8">
        <v>1.0</v>
      </c>
    </row>
    <row r="402" ht="15.75" customHeight="1">
      <c r="C402" s="8" t="s">
        <v>759</v>
      </c>
      <c r="D402" s="8" t="s">
        <v>75</v>
      </c>
      <c r="E402" s="8">
        <v>13.0</v>
      </c>
      <c r="F402" s="8">
        <v>2.0</v>
      </c>
    </row>
    <row r="403" ht="15.75" customHeight="1">
      <c r="C403" s="8" t="s">
        <v>759</v>
      </c>
      <c r="D403" s="8" t="s">
        <v>75</v>
      </c>
      <c r="E403" s="8">
        <v>3.0</v>
      </c>
      <c r="F403" s="8">
        <v>0.5</v>
      </c>
    </row>
    <row r="404" ht="15.75" customHeight="1">
      <c r="C404" s="8" t="s">
        <v>781</v>
      </c>
      <c r="D404" s="8" t="s">
        <v>89</v>
      </c>
      <c r="E404" s="8">
        <v>3.0</v>
      </c>
      <c r="F404" s="8">
        <v>1.0</v>
      </c>
    </row>
    <row r="405" ht="15.75" customHeight="1">
      <c r="A405" s="63" t="s">
        <v>38</v>
      </c>
      <c r="B405" s="63" t="s">
        <v>0</v>
      </c>
      <c r="C405" s="8" t="s">
        <v>759</v>
      </c>
      <c r="D405" s="8" t="s">
        <v>75</v>
      </c>
      <c r="E405" s="8">
        <v>15.0</v>
      </c>
      <c r="F405" s="8">
        <v>2.0</v>
      </c>
    </row>
    <row r="406" ht="15.75" customHeight="1">
      <c r="C406" s="8" t="s">
        <v>759</v>
      </c>
      <c r="D406" s="8" t="s">
        <v>75</v>
      </c>
      <c r="E406" s="8">
        <v>15.0</v>
      </c>
      <c r="F406" s="8">
        <v>2.0</v>
      </c>
    </row>
    <row r="407" ht="15.75" customHeight="1">
      <c r="C407" s="8" t="s">
        <v>759</v>
      </c>
      <c r="D407" s="8" t="s">
        <v>75</v>
      </c>
      <c r="E407" s="8">
        <v>15.0</v>
      </c>
      <c r="F407" s="8">
        <v>2.0</v>
      </c>
    </row>
    <row r="408" ht="15.75" customHeight="1">
      <c r="C408" s="8" t="s">
        <v>759</v>
      </c>
      <c r="D408" s="8" t="s">
        <v>75</v>
      </c>
      <c r="E408" s="8">
        <v>15.0</v>
      </c>
      <c r="F408" s="8">
        <v>2.0</v>
      </c>
    </row>
    <row r="409" ht="15.75" customHeight="1">
      <c r="C409" s="8" t="s">
        <v>759</v>
      </c>
      <c r="D409" s="8" t="s">
        <v>75</v>
      </c>
      <c r="E409" s="8">
        <v>13.0</v>
      </c>
      <c r="F409" s="8">
        <v>2.0</v>
      </c>
    </row>
    <row r="410" ht="15.75" customHeight="1">
      <c r="C410" s="8" t="s">
        <v>759</v>
      </c>
      <c r="D410" s="8" t="s">
        <v>75</v>
      </c>
      <c r="E410" s="8">
        <v>2.0</v>
      </c>
      <c r="F410" s="8">
        <v>0.5</v>
      </c>
    </row>
    <row r="411" ht="15.75" customHeight="1">
      <c r="C411" s="8" t="s">
        <v>67</v>
      </c>
      <c r="E411" s="8">
        <v>1.0</v>
      </c>
      <c r="F411" s="8">
        <v>0.5</v>
      </c>
    </row>
    <row r="412" ht="15.75" customHeight="1">
      <c r="C412" s="8" t="s">
        <v>67</v>
      </c>
      <c r="E412" s="8">
        <v>3.0</v>
      </c>
      <c r="F412" s="8">
        <v>1.0</v>
      </c>
    </row>
    <row r="413" ht="15.75" customHeight="1">
      <c r="C413" s="8" t="s">
        <v>57</v>
      </c>
      <c r="E413" s="8">
        <v>11.0</v>
      </c>
      <c r="F413" s="8">
        <v>5.0</v>
      </c>
    </row>
    <row r="414" ht="15.75" customHeight="1">
      <c r="C414" s="8" t="s">
        <v>93</v>
      </c>
      <c r="D414" s="8" t="s">
        <v>73</v>
      </c>
      <c r="E414" s="8">
        <v>4.0</v>
      </c>
      <c r="F414" s="8">
        <v>1.0</v>
      </c>
    </row>
    <row r="415" ht="15.75" customHeight="1">
      <c r="C415" s="8" t="s">
        <v>759</v>
      </c>
      <c r="D415" s="8" t="s">
        <v>75</v>
      </c>
      <c r="E415" s="8">
        <v>2.0</v>
      </c>
      <c r="F415" s="8">
        <v>0.5</v>
      </c>
    </row>
    <row r="416" ht="15.75" customHeight="1">
      <c r="C416" s="8" t="s">
        <v>759</v>
      </c>
      <c r="D416" s="8" t="s">
        <v>75</v>
      </c>
      <c r="E416" s="8">
        <v>2.0</v>
      </c>
      <c r="F416" s="8">
        <v>0.5</v>
      </c>
    </row>
    <row r="417" ht="15.75" customHeight="1">
      <c r="C417" s="8" t="s">
        <v>67</v>
      </c>
      <c r="E417" s="8">
        <v>1.0</v>
      </c>
      <c r="F417" s="8">
        <v>0.5</v>
      </c>
    </row>
    <row r="418" ht="15.75" customHeight="1">
      <c r="C418" s="8" t="s">
        <v>67</v>
      </c>
      <c r="E418" s="8">
        <v>3.0</v>
      </c>
      <c r="F418" s="8">
        <v>1.0</v>
      </c>
    </row>
    <row r="419" ht="15.75" customHeight="1">
      <c r="C419" s="8" t="s">
        <v>67</v>
      </c>
      <c r="E419" s="8">
        <v>1.0</v>
      </c>
      <c r="F419" s="8">
        <v>0.5</v>
      </c>
    </row>
    <row r="420" ht="15.75" customHeight="1">
      <c r="C420" s="8" t="s">
        <v>67</v>
      </c>
      <c r="E420" s="8">
        <v>2.0</v>
      </c>
      <c r="F420" s="8">
        <v>0.5</v>
      </c>
    </row>
    <row r="421" ht="15.75" customHeight="1">
      <c r="C421" s="8" t="s">
        <v>759</v>
      </c>
      <c r="D421" s="8" t="s">
        <v>75</v>
      </c>
      <c r="E421" s="8">
        <v>8.0</v>
      </c>
      <c r="F421" s="8">
        <v>1.0</v>
      </c>
    </row>
    <row r="422" ht="15.75" customHeight="1">
      <c r="C422" s="8" t="s">
        <v>759</v>
      </c>
      <c r="D422" s="8" t="s">
        <v>75</v>
      </c>
      <c r="E422" s="8">
        <v>5.0</v>
      </c>
      <c r="F422" s="8">
        <v>1.0</v>
      </c>
    </row>
    <row r="423" ht="15.75" customHeight="1">
      <c r="C423" s="8" t="s">
        <v>759</v>
      </c>
      <c r="D423" s="8" t="s">
        <v>75</v>
      </c>
      <c r="E423" s="8">
        <v>5.0</v>
      </c>
      <c r="F423" s="8">
        <v>1.0</v>
      </c>
    </row>
    <row r="424" ht="15.75" customHeight="1">
      <c r="C424" s="8" t="s">
        <v>759</v>
      </c>
      <c r="D424" s="8" t="s">
        <v>75</v>
      </c>
      <c r="E424" s="8">
        <v>5.0</v>
      </c>
      <c r="F424" s="8">
        <v>1.0</v>
      </c>
    </row>
    <row r="425" ht="15.75" customHeight="1">
      <c r="C425" s="8" t="s">
        <v>759</v>
      </c>
      <c r="D425" s="8" t="s">
        <v>75</v>
      </c>
      <c r="E425" s="8">
        <v>6.0</v>
      </c>
      <c r="F425" s="8">
        <v>1.0</v>
      </c>
    </row>
    <row r="426" ht="15.75" customHeight="1">
      <c r="C426" s="8" t="s">
        <v>759</v>
      </c>
      <c r="D426" s="8" t="s">
        <v>75</v>
      </c>
      <c r="E426" s="8">
        <v>4.0</v>
      </c>
      <c r="F426" s="8">
        <v>1.0</v>
      </c>
    </row>
    <row r="427" ht="15.75" customHeight="1">
      <c r="C427" s="8" t="s">
        <v>759</v>
      </c>
      <c r="D427" s="8" t="s">
        <v>75</v>
      </c>
      <c r="E427" s="8">
        <v>3.0</v>
      </c>
      <c r="F427" s="8">
        <v>0.5</v>
      </c>
    </row>
    <row r="428" ht="15.75" customHeight="1">
      <c r="C428" s="8" t="s">
        <v>759</v>
      </c>
      <c r="D428" s="8" t="s">
        <v>75</v>
      </c>
      <c r="E428" s="8">
        <v>4.0</v>
      </c>
      <c r="F428" s="8">
        <v>0.5</v>
      </c>
    </row>
    <row r="429" ht="15.75" customHeight="1">
      <c r="C429" s="8" t="s">
        <v>759</v>
      </c>
      <c r="D429" s="8" t="s">
        <v>75</v>
      </c>
      <c r="E429" s="8">
        <v>4.0</v>
      </c>
      <c r="F429" s="8">
        <v>0.5</v>
      </c>
    </row>
    <row r="430" ht="15.75" customHeight="1">
      <c r="C430" s="8" t="s">
        <v>57</v>
      </c>
      <c r="E430" s="8">
        <v>2.0</v>
      </c>
      <c r="F430" s="8">
        <v>1.0</v>
      </c>
    </row>
    <row r="431" ht="15.75" customHeight="1">
      <c r="C431" s="8" t="s">
        <v>93</v>
      </c>
      <c r="D431" s="8" t="s">
        <v>73</v>
      </c>
      <c r="E431" s="8">
        <v>4.0</v>
      </c>
      <c r="F431" s="8">
        <v>1.0</v>
      </c>
    </row>
    <row r="432" ht="15.75" customHeight="1">
      <c r="C432" s="8" t="s">
        <v>759</v>
      </c>
      <c r="D432" s="8" t="s">
        <v>75</v>
      </c>
      <c r="E432" s="8">
        <v>3.0</v>
      </c>
      <c r="F432" s="8">
        <v>1.0</v>
      </c>
    </row>
    <row r="433" ht="15.75" customHeight="1">
      <c r="C433" s="8" t="s">
        <v>759</v>
      </c>
      <c r="D433" s="8" t="s">
        <v>75</v>
      </c>
      <c r="E433" s="8">
        <v>2.0</v>
      </c>
      <c r="F433" s="8">
        <v>1.0</v>
      </c>
    </row>
    <row r="434" ht="15.75" customHeight="1">
      <c r="C434" s="8" t="s">
        <v>759</v>
      </c>
      <c r="D434" s="8" t="s">
        <v>75</v>
      </c>
      <c r="E434" s="8">
        <v>4.0</v>
      </c>
      <c r="F434" s="8">
        <v>1.0</v>
      </c>
    </row>
    <row r="435" ht="15.75" customHeight="1">
      <c r="C435" s="8" t="s">
        <v>759</v>
      </c>
      <c r="D435" s="8" t="s">
        <v>75</v>
      </c>
      <c r="E435" s="8">
        <v>2.0</v>
      </c>
      <c r="F435" s="8">
        <v>0.5</v>
      </c>
    </row>
    <row r="436" ht="15.75" customHeight="1">
      <c r="C436" s="8" t="s">
        <v>67</v>
      </c>
      <c r="E436" s="8">
        <v>1.0</v>
      </c>
      <c r="F436" s="8">
        <v>0.5</v>
      </c>
    </row>
    <row r="437" ht="15.75" customHeight="1">
      <c r="C437" s="8" t="s">
        <v>759</v>
      </c>
      <c r="D437" s="8" t="s">
        <v>75</v>
      </c>
      <c r="E437" s="8">
        <v>13.0</v>
      </c>
      <c r="F437" s="8">
        <v>2.0</v>
      </c>
    </row>
    <row r="438" ht="15.75" customHeight="1">
      <c r="C438" s="8" t="s">
        <v>759</v>
      </c>
      <c r="D438" s="8" t="s">
        <v>75</v>
      </c>
      <c r="E438" s="8">
        <v>13.0</v>
      </c>
      <c r="F438" s="8">
        <v>2.0</v>
      </c>
    </row>
    <row r="439" ht="15.75" customHeight="1">
      <c r="C439" s="8" t="s">
        <v>63</v>
      </c>
      <c r="E439" s="8">
        <v>1.0</v>
      </c>
      <c r="F439" s="8">
        <v>1.0</v>
      </c>
    </row>
    <row r="440" ht="15.75" customHeight="1">
      <c r="C440" s="8" t="s">
        <v>759</v>
      </c>
      <c r="D440" s="8" t="s">
        <v>75</v>
      </c>
      <c r="E440" s="8">
        <v>3.0</v>
      </c>
      <c r="F440" s="8">
        <v>0.5</v>
      </c>
    </row>
    <row r="441" ht="15.75" customHeight="1">
      <c r="C441" s="99" t="s">
        <v>759</v>
      </c>
      <c r="D441" s="99" t="s">
        <v>75</v>
      </c>
      <c r="E441" s="100">
        <v>13.0</v>
      </c>
      <c r="F441" s="100">
        <v>2.0</v>
      </c>
    </row>
    <row r="442" ht="15.75" customHeight="1">
      <c r="C442" s="99" t="s">
        <v>759</v>
      </c>
      <c r="D442" s="99" t="s">
        <v>75</v>
      </c>
      <c r="E442" s="100">
        <v>7.0</v>
      </c>
      <c r="F442" s="100">
        <v>1.0</v>
      </c>
    </row>
    <row r="443" ht="15.75" customHeight="1">
      <c r="C443" s="99" t="s">
        <v>759</v>
      </c>
      <c r="D443" s="99" t="s">
        <v>75</v>
      </c>
      <c r="E443" s="100">
        <v>7.0</v>
      </c>
      <c r="F443" s="100">
        <v>1.0</v>
      </c>
    </row>
    <row r="444" ht="15.75" customHeight="1">
      <c r="C444" s="99" t="s">
        <v>759</v>
      </c>
      <c r="D444" s="99" t="s">
        <v>75</v>
      </c>
      <c r="E444" s="100">
        <v>7.0</v>
      </c>
      <c r="F444" s="100">
        <v>1.0</v>
      </c>
    </row>
    <row r="445" ht="15.75" customHeight="1">
      <c r="C445" s="99" t="s">
        <v>759</v>
      </c>
      <c r="D445" s="99" t="s">
        <v>75</v>
      </c>
      <c r="E445" s="100">
        <v>3.0</v>
      </c>
      <c r="F445" s="100">
        <v>1.0</v>
      </c>
    </row>
    <row r="446" ht="15.75" customHeight="1">
      <c r="C446" s="99" t="s">
        <v>759</v>
      </c>
      <c r="D446" s="99" t="s">
        <v>75</v>
      </c>
      <c r="E446" s="100">
        <v>13.0</v>
      </c>
      <c r="F446" s="100">
        <v>2.0</v>
      </c>
    </row>
    <row r="447" ht="15.75" customHeight="1">
      <c r="C447" s="99" t="s">
        <v>759</v>
      </c>
      <c r="D447" s="99" t="s">
        <v>75</v>
      </c>
      <c r="E447" s="100">
        <v>3.0</v>
      </c>
      <c r="F447" s="100">
        <v>0.5</v>
      </c>
    </row>
    <row r="448" ht="15.75" customHeight="1">
      <c r="C448" s="8" t="s">
        <v>63</v>
      </c>
      <c r="E448" s="8">
        <v>2.0</v>
      </c>
      <c r="F448" s="8">
        <v>1.0</v>
      </c>
    </row>
    <row r="449" ht="15.75" customHeight="1">
      <c r="C449" s="8" t="s">
        <v>759</v>
      </c>
      <c r="D449" s="8" t="s">
        <v>75</v>
      </c>
      <c r="E449" s="8">
        <v>3.0</v>
      </c>
      <c r="F449" s="8">
        <v>1.0</v>
      </c>
    </row>
    <row r="450" ht="15.75" customHeight="1">
      <c r="C450" s="8" t="s">
        <v>759</v>
      </c>
      <c r="D450" s="8" t="s">
        <v>75</v>
      </c>
      <c r="E450" s="8">
        <v>3.0</v>
      </c>
      <c r="F450" s="8">
        <v>0.5</v>
      </c>
    </row>
    <row r="451" ht="15.75" customHeight="1">
      <c r="C451" s="8" t="s">
        <v>759</v>
      </c>
      <c r="D451" s="8" t="s">
        <v>75</v>
      </c>
      <c r="E451" s="8">
        <v>8.0</v>
      </c>
      <c r="F451" s="8">
        <v>1.0</v>
      </c>
    </row>
    <row r="452" ht="15.75" customHeight="1">
      <c r="C452" s="8" t="s">
        <v>781</v>
      </c>
      <c r="D452" s="8" t="s">
        <v>89</v>
      </c>
      <c r="E452" s="8">
        <v>2.0</v>
      </c>
      <c r="F452" s="8">
        <v>1.0</v>
      </c>
    </row>
    <row r="453" ht="15.75" customHeight="1">
      <c r="C453" s="8" t="s">
        <v>759</v>
      </c>
      <c r="D453" s="8" t="s">
        <v>75</v>
      </c>
      <c r="E453" s="8">
        <v>4.0</v>
      </c>
      <c r="F453" s="8">
        <v>1.0</v>
      </c>
    </row>
    <row r="454" ht="15.75" customHeight="1">
      <c r="C454" s="8" t="s">
        <v>759</v>
      </c>
      <c r="D454" s="8" t="s">
        <v>75</v>
      </c>
      <c r="E454" s="8">
        <v>4.0</v>
      </c>
      <c r="F454" s="8">
        <v>1.0</v>
      </c>
    </row>
    <row r="455" ht="15.75" customHeight="1">
      <c r="C455" s="8" t="s">
        <v>759</v>
      </c>
      <c r="D455" s="8" t="s">
        <v>75</v>
      </c>
      <c r="E455" s="8">
        <v>3.0</v>
      </c>
      <c r="F455" s="8">
        <v>0.5</v>
      </c>
    </row>
    <row r="456" ht="15.75" customHeight="1">
      <c r="C456" s="8" t="s">
        <v>759</v>
      </c>
      <c r="D456" s="8" t="s">
        <v>75</v>
      </c>
      <c r="E456" s="8">
        <v>3.0</v>
      </c>
      <c r="F456" s="8">
        <v>0.5</v>
      </c>
    </row>
    <row r="457" ht="15.75" customHeight="1">
      <c r="C457" s="8" t="s">
        <v>57</v>
      </c>
      <c r="E457" s="8">
        <v>8.0</v>
      </c>
      <c r="F457" s="8">
        <v>2.0</v>
      </c>
    </row>
    <row r="458" ht="15.75" customHeight="1">
      <c r="C458" s="8" t="s">
        <v>759</v>
      </c>
      <c r="D458" s="8" t="s">
        <v>75</v>
      </c>
      <c r="E458" s="8">
        <v>3.0</v>
      </c>
      <c r="F458" s="8">
        <v>1.0</v>
      </c>
    </row>
    <row r="459" ht="15.75" customHeight="1">
      <c r="C459" s="8" t="s">
        <v>759</v>
      </c>
      <c r="D459" s="8" t="s">
        <v>75</v>
      </c>
      <c r="E459" s="8">
        <v>3.0</v>
      </c>
      <c r="F459" s="8">
        <v>0.5</v>
      </c>
    </row>
    <row r="460" ht="15.75" customHeight="1">
      <c r="C460" s="8" t="s">
        <v>759</v>
      </c>
      <c r="D460" s="8" t="s">
        <v>75</v>
      </c>
      <c r="E460" s="8">
        <v>7.0</v>
      </c>
      <c r="F460" s="8">
        <v>1.0</v>
      </c>
    </row>
    <row r="461" ht="15.75" customHeight="1">
      <c r="C461" s="8" t="s">
        <v>759</v>
      </c>
      <c r="D461" s="8" t="s">
        <v>75</v>
      </c>
      <c r="E461" s="8">
        <v>7.0</v>
      </c>
      <c r="F461" s="8">
        <v>1.0</v>
      </c>
    </row>
    <row r="462" ht="15.75" customHeight="1">
      <c r="C462" s="8" t="s">
        <v>759</v>
      </c>
      <c r="D462" s="8" t="s">
        <v>75</v>
      </c>
      <c r="E462" s="8">
        <v>3.0</v>
      </c>
      <c r="F462" s="8">
        <v>0.5</v>
      </c>
    </row>
    <row r="463" ht="15.75" customHeight="1">
      <c r="C463" s="8" t="s">
        <v>759</v>
      </c>
      <c r="D463" s="8" t="s">
        <v>75</v>
      </c>
      <c r="E463" s="8">
        <v>7.0</v>
      </c>
      <c r="F463" s="8">
        <v>1.0</v>
      </c>
    </row>
    <row r="464" ht="15.75" customHeight="1">
      <c r="C464" s="8" t="s">
        <v>63</v>
      </c>
      <c r="E464" s="8">
        <v>2.0</v>
      </c>
      <c r="F464" s="8">
        <v>1.0</v>
      </c>
    </row>
    <row r="465" ht="15.75" customHeight="1">
      <c r="C465" s="8" t="s">
        <v>759</v>
      </c>
      <c r="D465" s="8" t="s">
        <v>75</v>
      </c>
      <c r="E465" s="8">
        <v>4.0</v>
      </c>
      <c r="F465" s="8">
        <v>1.0</v>
      </c>
    </row>
    <row r="466" ht="15.75" customHeight="1">
      <c r="C466" s="8" t="s">
        <v>759</v>
      </c>
      <c r="D466" s="8" t="s">
        <v>75</v>
      </c>
      <c r="E466" s="8">
        <v>3.0</v>
      </c>
      <c r="F466" s="8">
        <v>0.5</v>
      </c>
    </row>
    <row r="467" ht="15.75" customHeight="1">
      <c r="C467" s="8" t="s">
        <v>759</v>
      </c>
      <c r="D467" s="8" t="s">
        <v>75</v>
      </c>
      <c r="E467" s="8">
        <v>3.0</v>
      </c>
      <c r="F467" s="8">
        <v>0.5</v>
      </c>
    </row>
    <row r="468" ht="15.75" customHeight="1">
      <c r="C468" s="8" t="s">
        <v>759</v>
      </c>
      <c r="D468" s="8" t="s">
        <v>75</v>
      </c>
      <c r="E468" s="8">
        <v>4.0</v>
      </c>
      <c r="F468" s="8">
        <v>0.5</v>
      </c>
    </row>
    <row r="469" ht="15.75" customHeight="1">
      <c r="C469" s="8" t="s">
        <v>93</v>
      </c>
      <c r="D469" s="8" t="s">
        <v>939</v>
      </c>
      <c r="E469" s="8">
        <v>6.0</v>
      </c>
      <c r="F469" s="8">
        <v>2.0</v>
      </c>
    </row>
    <row r="470" ht="15.75" customHeight="1">
      <c r="C470" s="8" t="s">
        <v>63</v>
      </c>
      <c r="D470" s="8" t="s">
        <v>97</v>
      </c>
      <c r="E470" s="8">
        <v>2.0</v>
      </c>
      <c r="F470" s="8">
        <v>0.5</v>
      </c>
    </row>
    <row r="471" ht="15.75" customHeight="1">
      <c r="C471" s="8" t="s">
        <v>759</v>
      </c>
      <c r="D471" s="8" t="s">
        <v>75</v>
      </c>
      <c r="E471" s="8">
        <v>3.0</v>
      </c>
      <c r="F471" s="8">
        <v>0.5</v>
      </c>
    </row>
    <row r="472" ht="15.75" customHeight="1">
      <c r="C472" s="8" t="s">
        <v>759</v>
      </c>
      <c r="D472" s="8" t="s">
        <v>75</v>
      </c>
      <c r="E472" s="8">
        <v>7.0</v>
      </c>
      <c r="F472" s="8">
        <v>1.0</v>
      </c>
    </row>
    <row r="473" ht="15.75" customHeight="1">
      <c r="C473" s="8" t="s">
        <v>759</v>
      </c>
      <c r="D473" s="8" t="s">
        <v>75</v>
      </c>
      <c r="E473" s="8">
        <v>13.0</v>
      </c>
      <c r="F473" s="8">
        <v>2.0</v>
      </c>
    </row>
    <row r="474" ht="15.75" customHeight="1">
      <c r="C474" s="8" t="s">
        <v>759</v>
      </c>
      <c r="D474" s="8" t="s">
        <v>75</v>
      </c>
      <c r="E474" s="8">
        <v>13.0</v>
      </c>
      <c r="F474" s="8">
        <v>2.0</v>
      </c>
    </row>
    <row r="475" ht="15.75" customHeight="1">
      <c r="C475" s="8" t="s">
        <v>759</v>
      </c>
      <c r="D475" s="8" t="s">
        <v>75</v>
      </c>
      <c r="E475" s="8">
        <v>4.0</v>
      </c>
      <c r="F475" s="8">
        <v>1.0</v>
      </c>
    </row>
    <row r="476" ht="15.75" customHeight="1">
      <c r="C476" s="8" t="s">
        <v>57</v>
      </c>
      <c r="E476" s="8">
        <v>6.0</v>
      </c>
      <c r="F476" s="8">
        <v>3.0</v>
      </c>
    </row>
    <row r="477" ht="15.75" customHeight="1">
      <c r="C477" s="8" t="s">
        <v>940</v>
      </c>
      <c r="D477" s="8" t="s">
        <v>75</v>
      </c>
      <c r="E477" s="8">
        <v>3.0</v>
      </c>
      <c r="F477" s="8">
        <v>0.5</v>
      </c>
    </row>
    <row r="478" ht="15.75" customHeight="1">
      <c r="C478" s="8" t="s">
        <v>940</v>
      </c>
      <c r="D478" s="8" t="s">
        <v>75</v>
      </c>
      <c r="E478" s="8">
        <v>3.0</v>
      </c>
      <c r="F478" s="8">
        <v>0.5</v>
      </c>
    </row>
    <row r="479" ht="15.75" customHeight="1">
      <c r="C479" s="8" t="s">
        <v>940</v>
      </c>
      <c r="D479" s="8" t="s">
        <v>75</v>
      </c>
      <c r="E479" s="8">
        <v>3.0</v>
      </c>
      <c r="F479" s="8">
        <v>0.5</v>
      </c>
    </row>
    <row r="480" ht="15.75" customHeight="1">
      <c r="C480" s="8" t="s">
        <v>781</v>
      </c>
      <c r="D480" s="8" t="s">
        <v>924</v>
      </c>
      <c r="E480" s="8">
        <v>1.0</v>
      </c>
      <c r="F480" s="8">
        <v>0.5</v>
      </c>
    </row>
    <row r="481" ht="15.75" customHeight="1">
      <c r="C481" s="8" t="s">
        <v>940</v>
      </c>
      <c r="D481" s="8" t="s">
        <v>75</v>
      </c>
      <c r="E481" s="8">
        <v>1.0</v>
      </c>
      <c r="F481" s="8">
        <v>0.5</v>
      </c>
    </row>
    <row r="482" ht="15.75" customHeight="1">
      <c r="C482" s="8" t="s">
        <v>940</v>
      </c>
      <c r="D482" s="8" t="s">
        <v>75</v>
      </c>
      <c r="E482" s="8">
        <v>4.0</v>
      </c>
      <c r="F482" s="8">
        <v>0.5</v>
      </c>
    </row>
    <row r="483" ht="15.75" customHeight="1">
      <c r="C483" s="8" t="s">
        <v>940</v>
      </c>
      <c r="D483" s="8" t="s">
        <v>75</v>
      </c>
      <c r="E483" s="8">
        <v>3.0</v>
      </c>
      <c r="F483" s="8">
        <v>0.5</v>
      </c>
    </row>
    <row r="484" ht="15.75" customHeight="1">
      <c r="C484" s="8" t="s">
        <v>940</v>
      </c>
      <c r="D484" s="8" t="s">
        <v>75</v>
      </c>
      <c r="E484" s="8">
        <v>3.0</v>
      </c>
      <c r="F484" s="8">
        <v>0.5</v>
      </c>
    </row>
    <row r="485" ht="15.75" customHeight="1">
      <c r="C485" s="8" t="s">
        <v>940</v>
      </c>
      <c r="D485" s="8" t="s">
        <v>75</v>
      </c>
      <c r="E485" s="8">
        <v>4.0</v>
      </c>
      <c r="F485" s="8">
        <v>0.5</v>
      </c>
    </row>
    <row r="486" ht="15.75" customHeight="1">
      <c r="C486" s="8" t="s">
        <v>940</v>
      </c>
      <c r="D486" s="8" t="s">
        <v>75</v>
      </c>
      <c r="E486" s="8">
        <v>4.0</v>
      </c>
      <c r="F486" s="8">
        <v>0.5</v>
      </c>
    </row>
    <row r="487" ht="15.75" customHeight="1">
      <c r="C487" s="8" t="s">
        <v>940</v>
      </c>
      <c r="D487" s="8" t="s">
        <v>75</v>
      </c>
      <c r="E487" s="8">
        <v>2.0</v>
      </c>
      <c r="F487" s="8">
        <v>0.5</v>
      </c>
    </row>
    <row r="488" ht="15.75" customHeight="1">
      <c r="C488" s="8" t="s">
        <v>940</v>
      </c>
      <c r="D488" s="8" t="s">
        <v>75</v>
      </c>
      <c r="E488" s="8">
        <v>7.0</v>
      </c>
      <c r="F488" s="8">
        <v>1.0</v>
      </c>
    </row>
    <row r="489" ht="15.75" customHeight="1">
      <c r="C489" s="8" t="s">
        <v>940</v>
      </c>
      <c r="D489" s="8" t="s">
        <v>75</v>
      </c>
      <c r="E489" s="8">
        <v>9.0</v>
      </c>
      <c r="F489" s="8">
        <v>1.0</v>
      </c>
    </row>
    <row r="490" ht="15.75" customHeight="1">
      <c r="C490" s="8" t="s">
        <v>940</v>
      </c>
      <c r="D490" s="8" t="s">
        <v>75</v>
      </c>
      <c r="E490" s="8">
        <v>13.0</v>
      </c>
      <c r="F490" s="8">
        <v>2.0</v>
      </c>
    </row>
    <row r="491" ht="15.75" customHeight="1">
      <c r="C491" s="8" t="s">
        <v>940</v>
      </c>
      <c r="D491" s="8" t="s">
        <v>75</v>
      </c>
      <c r="E491" s="8">
        <v>13.0</v>
      </c>
      <c r="F491" s="8">
        <v>2.0</v>
      </c>
    </row>
    <row r="492" ht="15.75" customHeight="1">
      <c r="C492" s="8" t="s">
        <v>781</v>
      </c>
      <c r="D492" s="8" t="s">
        <v>924</v>
      </c>
      <c r="E492" s="8">
        <v>2.0</v>
      </c>
      <c r="F492" s="8">
        <v>0.5</v>
      </c>
    </row>
    <row r="493" ht="15.75" customHeight="1">
      <c r="C493" s="8" t="s">
        <v>759</v>
      </c>
      <c r="D493" s="8" t="s">
        <v>75</v>
      </c>
      <c r="E493" s="8">
        <v>3.0</v>
      </c>
      <c r="F493" s="8">
        <v>0.5</v>
      </c>
    </row>
    <row r="494" ht="15.75" customHeight="1">
      <c r="C494" s="8" t="s">
        <v>759</v>
      </c>
      <c r="D494" s="8" t="s">
        <v>101</v>
      </c>
      <c r="E494" s="8">
        <v>2.0</v>
      </c>
      <c r="F494" s="8">
        <v>0.5</v>
      </c>
    </row>
    <row r="495" ht="15.75" customHeight="1">
      <c r="C495" s="8" t="s">
        <v>759</v>
      </c>
      <c r="D495" s="8" t="s">
        <v>75</v>
      </c>
      <c r="E495" s="8">
        <v>9.0</v>
      </c>
      <c r="F495" s="8">
        <v>1.0</v>
      </c>
    </row>
    <row r="496" ht="15.75" customHeight="1">
      <c r="C496" s="8" t="s">
        <v>759</v>
      </c>
      <c r="D496" s="8" t="s">
        <v>75</v>
      </c>
      <c r="E496" s="8">
        <v>5.0</v>
      </c>
      <c r="F496" s="8">
        <v>1.0</v>
      </c>
    </row>
    <row r="497" ht="15.75" customHeight="1">
      <c r="C497" s="8" t="s">
        <v>759</v>
      </c>
      <c r="D497" s="8" t="s">
        <v>75</v>
      </c>
      <c r="E497" s="8">
        <v>4.0</v>
      </c>
      <c r="F497" s="8">
        <v>0.5</v>
      </c>
    </row>
    <row r="498" ht="15.75" customHeight="1">
      <c r="C498" s="8" t="s">
        <v>759</v>
      </c>
      <c r="D498" s="8" t="s">
        <v>75</v>
      </c>
      <c r="E498" s="8">
        <v>14.0</v>
      </c>
      <c r="F498" s="8">
        <v>2.0</v>
      </c>
    </row>
    <row r="499" ht="15.75" customHeight="1">
      <c r="C499" s="8" t="s">
        <v>759</v>
      </c>
      <c r="D499" s="8" t="s">
        <v>75</v>
      </c>
      <c r="E499" s="8">
        <v>14.0</v>
      </c>
      <c r="F499" s="8">
        <v>2.0</v>
      </c>
    </row>
    <row r="500" ht="15.75" customHeight="1">
      <c r="C500" s="8" t="s">
        <v>759</v>
      </c>
      <c r="D500" s="8" t="s">
        <v>75</v>
      </c>
      <c r="E500" s="8">
        <v>4.0</v>
      </c>
      <c r="F500" s="8">
        <v>0.5</v>
      </c>
    </row>
    <row r="501" ht="15.75" customHeight="1">
      <c r="C501" s="8" t="s">
        <v>63</v>
      </c>
      <c r="E501" s="8">
        <v>2.0</v>
      </c>
      <c r="F501" s="8">
        <v>1.0</v>
      </c>
    </row>
    <row r="502" ht="15.75" customHeight="1">
      <c r="C502" s="8" t="s">
        <v>759</v>
      </c>
      <c r="D502" s="8" t="s">
        <v>75</v>
      </c>
      <c r="E502" s="8">
        <v>9.0</v>
      </c>
      <c r="F502" s="8">
        <v>1.0</v>
      </c>
    </row>
    <row r="503" ht="15.75" customHeight="1">
      <c r="C503" s="8" t="s">
        <v>759</v>
      </c>
      <c r="D503" s="8" t="s">
        <v>75</v>
      </c>
      <c r="E503" s="8">
        <v>4.0</v>
      </c>
      <c r="F503" s="8">
        <v>0.5</v>
      </c>
    </row>
    <row r="504" ht="15.75" customHeight="1">
      <c r="C504" s="8" t="s">
        <v>759</v>
      </c>
      <c r="D504" s="8" t="s">
        <v>75</v>
      </c>
      <c r="E504" s="8">
        <v>4.0</v>
      </c>
      <c r="F504" s="8">
        <v>0.5</v>
      </c>
    </row>
    <row r="505" ht="15.75" customHeight="1">
      <c r="C505" s="8" t="s">
        <v>759</v>
      </c>
      <c r="D505" s="8" t="s">
        <v>75</v>
      </c>
      <c r="E505" s="8">
        <v>4.0</v>
      </c>
      <c r="F505" s="8">
        <v>0.5</v>
      </c>
    </row>
    <row r="506" ht="15.75" customHeight="1">
      <c r="C506" s="8" t="s">
        <v>759</v>
      </c>
      <c r="D506" s="8" t="s">
        <v>75</v>
      </c>
      <c r="E506" s="8">
        <v>4.0</v>
      </c>
      <c r="F506" s="8">
        <v>0.5</v>
      </c>
    </row>
    <row r="507" ht="15.75" customHeight="1">
      <c r="C507" s="8" t="s">
        <v>759</v>
      </c>
      <c r="D507" s="8" t="s">
        <v>75</v>
      </c>
      <c r="E507" s="8">
        <v>4.0</v>
      </c>
      <c r="F507" s="8">
        <v>0.5</v>
      </c>
    </row>
    <row r="508" ht="15.75" customHeight="1">
      <c r="C508" s="8" t="s">
        <v>57</v>
      </c>
      <c r="E508" s="8">
        <v>5.0</v>
      </c>
      <c r="F508" s="8">
        <v>2.0</v>
      </c>
    </row>
    <row r="509" ht="15.75" customHeight="1">
      <c r="C509" s="8" t="s">
        <v>759</v>
      </c>
      <c r="D509" s="8" t="s">
        <v>75</v>
      </c>
      <c r="E509" s="8">
        <v>14.0</v>
      </c>
      <c r="F509" s="8">
        <v>2.0</v>
      </c>
    </row>
    <row r="510" ht="15.75" customHeight="1">
      <c r="C510" s="8" t="s">
        <v>759</v>
      </c>
      <c r="D510" s="8" t="s">
        <v>75</v>
      </c>
      <c r="E510" s="8">
        <v>14.0</v>
      </c>
      <c r="F510" s="8">
        <v>2.0</v>
      </c>
    </row>
    <row r="511" ht="15.75" customHeight="1">
      <c r="C511" s="8" t="s">
        <v>759</v>
      </c>
      <c r="D511" s="8" t="s">
        <v>75</v>
      </c>
      <c r="E511" s="8">
        <v>9.0</v>
      </c>
      <c r="F511" s="8">
        <v>1.0</v>
      </c>
    </row>
    <row r="512" ht="15.75" customHeight="1">
      <c r="C512" s="8" t="s">
        <v>759</v>
      </c>
      <c r="D512" s="8" t="s">
        <v>75</v>
      </c>
      <c r="E512" s="8">
        <v>7.0</v>
      </c>
      <c r="F512" s="8">
        <v>1.0</v>
      </c>
    </row>
    <row r="513" ht="15.75" customHeight="1">
      <c r="C513" s="8" t="s">
        <v>67</v>
      </c>
      <c r="E513" s="8">
        <v>1.0</v>
      </c>
      <c r="F513" s="8">
        <v>0.5</v>
      </c>
    </row>
    <row r="514" ht="15.75" customHeight="1">
      <c r="C514" s="8" t="s">
        <v>67</v>
      </c>
      <c r="E514" s="8">
        <v>1.0</v>
      </c>
      <c r="F514" s="8">
        <v>0.5</v>
      </c>
    </row>
    <row r="515" ht="15.75" customHeight="1">
      <c r="C515" s="8" t="s">
        <v>759</v>
      </c>
      <c r="D515" s="8" t="s">
        <v>75</v>
      </c>
      <c r="E515" s="8">
        <v>3.0</v>
      </c>
      <c r="F515" s="8">
        <v>0.5</v>
      </c>
    </row>
    <row r="516" ht="15.75" customHeight="1">
      <c r="C516" s="8" t="s">
        <v>759</v>
      </c>
      <c r="D516" s="8" t="s">
        <v>75</v>
      </c>
      <c r="E516" s="8">
        <v>3.0</v>
      </c>
      <c r="F516" s="8">
        <v>0.5</v>
      </c>
    </row>
    <row r="517" ht="15.75" customHeight="1">
      <c r="C517" s="8" t="s">
        <v>759</v>
      </c>
      <c r="D517" s="8" t="s">
        <v>75</v>
      </c>
      <c r="E517" s="8">
        <v>3.0</v>
      </c>
      <c r="F517" s="8">
        <v>0.5</v>
      </c>
    </row>
    <row r="518" ht="15.75" customHeight="1">
      <c r="C518" s="8" t="s">
        <v>759</v>
      </c>
      <c r="D518" s="8" t="s">
        <v>75</v>
      </c>
      <c r="E518" s="8">
        <v>3.0</v>
      </c>
      <c r="F518" s="8">
        <v>0.5</v>
      </c>
    </row>
    <row r="519" ht="15.75" customHeight="1">
      <c r="C519" s="8" t="s">
        <v>759</v>
      </c>
      <c r="D519" s="8" t="s">
        <v>75</v>
      </c>
      <c r="E519" s="8">
        <v>3.0</v>
      </c>
      <c r="F519" s="8">
        <v>0.5</v>
      </c>
    </row>
    <row r="520" ht="15.75" customHeight="1">
      <c r="C520" s="8" t="s">
        <v>781</v>
      </c>
      <c r="D520" s="8" t="s">
        <v>89</v>
      </c>
      <c r="E520" s="8">
        <v>3.0</v>
      </c>
      <c r="F520" s="8">
        <v>1.0</v>
      </c>
    </row>
    <row r="521" ht="15.75" customHeight="1">
      <c r="C521" s="8" t="s">
        <v>63</v>
      </c>
      <c r="E521" s="8">
        <v>2.0</v>
      </c>
      <c r="F521" s="8">
        <v>1.0</v>
      </c>
    </row>
    <row r="522" ht="15.75" customHeight="1">
      <c r="C522" s="8" t="s">
        <v>67</v>
      </c>
      <c r="E522" s="8">
        <v>2.0</v>
      </c>
      <c r="F522" s="8">
        <v>0.5</v>
      </c>
    </row>
    <row r="523" ht="15.75" customHeight="1">
      <c r="C523" s="8" t="s">
        <v>759</v>
      </c>
      <c r="D523" s="8" t="s">
        <v>75</v>
      </c>
      <c r="E523" s="8">
        <v>5.0</v>
      </c>
      <c r="F523" s="8">
        <v>1.0</v>
      </c>
    </row>
    <row r="524" ht="15.75" customHeight="1">
      <c r="C524" s="8" t="s">
        <v>759</v>
      </c>
      <c r="D524" s="8" t="s">
        <v>75</v>
      </c>
      <c r="E524" s="8">
        <v>5.0</v>
      </c>
      <c r="F524" s="8">
        <v>1.0</v>
      </c>
    </row>
    <row r="525" ht="15.75" customHeight="1">
      <c r="C525" s="8" t="s">
        <v>759</v>
      </c>
      <c r="D525" s="8" t="s">
        <v>75</v>
      </c>
      <c r="E525" s="8">
        <v>3.0</v>
      </c>
      <c r="F525" s="8">
        <v>0.5</v>
      </c>
    </row>
    <row r="526" ht="15.75" customHeight="1">
      <c r="C526" s="8" t="s">
        <v>759</v>
      </c>
      <c r="D526" s="8" t="s">
        <v>75</v>
      </c>
      <c r="E526" s="8">
        <v>3.0</v>
      </c>
      <c r="F526" s="8">
        <v>0.5</v>
      </c>
    </row>
    <row r="527" ht="15.75" customHeight="1">
      <c r="C527" s="8" t="s">
        <v>67</v>
      </c>
      <c r="E527" s="8">
        <v>3.0</v>
      </c>
      <c r="F527" s="8">
        <v>0.5</v>
      </c>
    </row>
    <row r="528" ht="15.75" customHeight="1">
      <c r="C528" s="8" t="s">
        <v>759</v>
      </c>
      <c r="D528" s="8" t="s">
        <v>75</v>
      </c>
      <c r="E528" s="8">
        <v>3.0</v>
      </c>
      <c r="F528" s="8">
        <v>0.5</v>
      </c>
    </row>
    <row r="529" ht="15.75" customHeight="1">
      <c r="C529" s="8" t="s">
        <v>781</v>
      </c>
      <c r="D529" s="8" t="s">
        <v>924</v>
      </c>
      <c r="E529" s="8">
        <v>2.0</v>
      </c>
      <c r="F529" s="8">
        <v>0.5</v>
      </c>
    </row>
    <row r="530" ht="15.75" customHeight="1">
      <c r="C530" s="8" t="s">
        <v>57</v>
      </c>
      <c r="E530" s="8">
        <v>8.0</v>
      </c>
      <c r="F530" s="8">
        <v>3.0</v>
      </c>
    </row>
    <row r="531" ht="15.75" customHeight="1">
      <c r="C531" s="8" t="s">
        <v>759</v>
      </c>
      <c r="D531" s="8" t="s">
        <v>75</v>
      </c>
      <c r="E531" s="8">
        <v>14.0</v>
      </c>
      <c r="F531" s="8">
        <v>2.0</v>
      </c>
    </row>
    <row r="532" ht="15.75" customHeight="1">
      <c r="C532" s="8" t="s">
        <v>759</v>
      </c>
      <c r="D532" s="8" t="s">
        <v>75</v>
      </c>
      <c r="E532" s="8">
        <v>4.0</v>
      </c>
      <c r="F532" s="8">
        <v>0.5</v>
      </c>
    </row>
    <row r="533" ht="15.75" customHeight="1">
      <c r="C533" s="8" t="s">
        <v>759</v>
      </c>
      <c r="D533" s="8" t="s">
        <v>75</v>
      </c>
      <c r="E533" s="8">
        <v>7.0</v>
      </c>
      <c r="F533" s="8">
        <v>1.0</v>
      </c>
    </row>
    <row r="534" ht="15.75" customHeight="1">
      <c r="C534" s="8" t="s">
        <v>759</v>
      </c>
      <c r="D534" s="8" t="s">
        <v>75</v>
      </c>
      <c r="E534" s="8">
        <v>9.0</v>
      </c>
      <c r="F534" s="8">
        <v>1.0</v>
      </c>
    </row>
    <row r="535" ht="15.75" customHeight="1">
      <c r="C535" s="8" t="s">
        <v>759</v>
      </c>
      <c r="D535" s="8" t="s">
        <v>75</v>
      </c>
      <c r="E535" s="8">
        <v>7.0</v>
      </c>
      <c r="F535" s="8">
        <v>1.0</v>
      </c>
    </row>
    <row r="536" ht="15.75" customHeight="1">
      <c r="C536" s="8" t="s">
        <v>759</v>
      </c>
      <c r="D536" s="8" t="s">
        <v>75</v>
      </c>
      <c r="E536" s="8">
        <v>4.0</v>
      </c>
      <c r="F536" s="8">
        <v>0.5</v>
      </c>
    </row>
    <row r="537" ht="15.75" customHeight="1">
      <c r="C537" s="8" t="s">
        <v>63</v>
      </c>
      <c r="D537" s="8" t="s">
        <v>97</v>
      </c>
      <c r="E537" s="8">
        <v>2.0</v>
      </c>
      <c r="F537" s="8">
        <v>0.5</v>
      </c>
    </row>
    <row r="538" ht="15.75" customHeight="1">
      <c r="C538" s="8" t="s">
        <v>759</v>
      </c>
      <c r="D538" s="8" t="s">
        <v>75</v>
      </c>
      <c r="E538" s="8">
        <v>10.0</v>
      </c>
      <c r="F538" s="8">
        <v>2.0</v>
      </c>
    </row>
    <row r="539" ht="15.75" customHeight="1">
      <c r="C539" s="8" t="s">
        <v>759</v>
      </c>
      <c r="D539" s="8" t="s">
        <v>75</v>
      </c>
      <c r="E539" s="8">
        <v>14.0</v>
      </c>
      <c r="F539" s="8">
        <v>2.0</v>
      </c>
    </row>
    <row r="540" ht="15.75" customHeight="1">
      <c r="C540" s="8" t="s">
        <v>759</v>
      </c>
      <c r="D540" s="8" t="s">
        <v>75</v>
      </c>
      <c r="E540" s="8">
        <v>3.0</v>
      </c>
      <c r="F540" s="8">
        <v>0.5</v>
      </c>
    </row>
    <row r="541" ht="15.75" customHeight="1">
      <c r="C541" s="8" t="s">
        <v>759</v>
      </c>
      <c r="D541" s="8" t="s">
        <v>75</v>
      </c>
      <c r="E541" s="8">
        <v>7.0</v>
      </c>
      <c r="F541" s="8">
        <v>1.0</v>
      </c>
    </row>
    <row r="542" ht="15.75" customHeight="1">
      <c r="A542" s="63" t="s">
        <v>29</v>
      </c>
      <c r="B542" s="8" t="s">
        <v>4</v>
      </c>
      <c r="C542" s="8" t="s">
        <v>63</v>
      </c>
      <c r="D542" s="8" t="s">
        <v>97</v>
      </c>
      <c r="E542" s="8">
        <v>13.0</v>
      </c>
      <c r="F542" s="8">
        <v>2.0</v>
      </c>
    </row>
    <row r="543" ht="15.75" customHeight="1">
      <c r="C543" s="8" t="s">
        <v>781</v>
      </c>
      <c r="D543" s="8" t="s">
        <v>89</v>
      </c>
      <c r="E543" s="8">
        <v>2.0</v>
      </c>
      <c r="F543" s="8">
        <v>0.5</v>
      </c>
    </row>
    <row r="544" ht="15.75" customHeight="1">
      <c r="C544" s="8" t="s">
        <v>781</v>
      </c>
      <c r="D544" s="8" t="s">
        <v>89</v>
      </c>
      <c r="E544" s="8">
        <v>3.0</v>
      </c>
      <c r="F544" s="8">
        <v>0.5</v>
      </c>
    </row>
    <row r="545" ht="15.75" customHeight="1">
      <c r="C545" s="8" t="s">
        <v>781</v>
      </c>
      <c r="D545" s="8" t="s">
        <v>89</v>
      </c>
      <c r="E545" s="8">
        <v>3.0</v>
      </c>
      <c r="F545" s="8">
        <v>1.0</v>
      </c>
    </row>
    <row r="546" ht="15.75" customHeight="1">
      <c r="C546" s="8" t="s">
        <v>930</v>
      </c>
      <c r="E546" s="8">
        <v>2.0</v>
      </c>
      <c r="F546" s="8">
        <v>0.5</v>
      </c>
    </row>
    <row r="547" ht="15.75" customHeight="1">
      <c r="C547" s="8" t="s">
        <v>67</v>
      </c>
      <c r="E547" s="8">
        <v>0.5</v>
      </c>
      <c r="F547" s="8">
        <v>0.5</v>
      </c>
      <c r="G547" s="8" t="s">
        <v>941</v>
      </c>
    </row>
    <row r="548" ht="15.75" customHeight="1">
      <c r="C548" s="8" t="s">
        <v>781</v>
      </c>
      <c r="D548" s="8" t="s">
        <v>89</v>
      </c>
      <c r="E548" s="8">
        <v>3.0</v>
      </c>
      <c r="F548" s="8">
        <v>1.0</v>
      </c>
    </row>
    <row r="549" ht="15.75" customHeight="1">
      <c r="C549" s="8" t="s">
        <v>781</v>
      </c>
      <c r="D549" s="8" t="s">
        <v>89</v>
      </c>
      <c r="E549" s="8">
        <v>3.0</v>
      </c>
      <c r="F549" s="8">
        <v>1.0</v>
      </c>
    </row>
    <row r="550" ht="15.75" customHeight="1">
      <c r="C550" s="8" t="s">
        <v>781</v>
      </c>
      <c r="D550" s="8" t="s">
        <v>89</v>
      </c>
      <c r="E550" s="8">
        <v>3.0</v>
      </c>
      <c r="F550" s="8">
        <v>1.0</v>
      </c>
    </row>
    <row r="551" ht="15.75" customHeight="1">
      <c r="C551" s="8" t="s">
        <v>63</v>
      </c>
      <c r="E551" s="8">
        <v>5.0</v>
      </c>
      <c r="F551" s="8">
        <v>2.0</v>
      </c>
    </row>
    <row r="552" ht="15.75" customHeight="1">
      <c r="C552" s="8" t="s">
        <v>63</v>
      </c>
      <c r="D552" s="8" t="s">
        <v>85</v>
      </c>
      <c r="E552" s="8">
        <v>6.0</v>
      </c>
      <c r="F552" s="8">
        <v>1.0</v>
      </c>
    </row>
    <row r="553" ht="15.75" customHeight="1">
      <c r="C553" s="8" t="s">
        <v>63</v>
      </c>
      <c r="D553" s="8" t="s">
        <v>85</v>
      </c>
      <c r="E553" s="8">
        <v>2.0</v>
      </c>
      <c r="F553" s="8">
        <v>0.5</v>
      </c>
    </row>
    <row r="554" ht="15.75" customHeight="1">
      <c r="C554" s="8" t="s">
        <v>67</v>
      </c>
      <c r="E554" s="8">
        <v>3.0</v>
      </c>
      <c r="F554" s="8">
        <v>1.0</v>
      </c>
    </row>
    <row r="555" ht="15.75" customHeight="1">
      <c r="C555" s="8" t="s">
        <v>67</v>
      </c>
      <c r="E555" s="8">
        <v>0.5</v>
      </c>
      <c r="F555" s="8">
        <v>0.5</v>
      </c>
    </row>
    <row r="556" ht="15.75" customHeight="1">
      <c r="C556" s="8" t="s">
        <v>781</v>
      </c>
      <c r="D556" s="8" t="s">
        <v>89</v>
      </c>
      <c r="E556" s="8">
        <v>2.0</v>
      </c>
      <c r="F556" s="8">
        <v>0.5</v>
      </c>
    </row>
    <row r="557" ht="15.75" customHeight="1">
      <c r="C557" s="8" t="s">
        <v>781</v>
      </c>
      <c r="D557" s="8" t="s">
        <v>89</v>
      </c>
      <c r="E557" s="8">
        <v>3.0</v>
      </c>
      <c r="F557" s="8">
        <v>1.0</v>
      </c>
    </row>
    <row r="558" ht="15.75" customHeight="1">
      <c r="C558" s="8" t="s">
        <v>781</v>
      </c>
      <c r="D558" s="8" t="s">
        <v>89</v>
      </c>
      <c r="E558" s="8">
        <v>2.0</v>
      </c>
      <c r="F558" s="8">
        <v>0.5</v>
      </c>
    </row>
    <row r="559" ht="15.75" customHeight="1">
      <c r="C559" s="8" t="s">
        <v>781</v>
      </c>
      <c r="D559" s="8" t="s">
        <v>89</v>
      </c>
      <c r="E559" s="8">
        <v>2.0</v>
      </c>
      <c r="F559" s="8">
        <v>0.5</v>
      </c>
    </row>
    <row r="560" ht="15.75" customHeight="1">
      <c r="C560" s="8" t="s">
        <v>759</v>
      </c>
      <c r="D560" s="8" t="s">
        <v>75</v>
      </c>
      <c r="E560" s="8">
        <v>3.0</v>
      </c>
      <c r="F560" s="8">
        <v>0.5</v>
      </c>
    </row>
    <row r="561" ht="15.75" customHeight="1">
      <c r="C561" s="8" t="s">
        <v>781</v>
      </c>
      <c r="D561" s="8" t="s">
        <v>89</v>
      </c>
      <c r="E561" s="8">
        <v>3.0</v>
      </c>
      <c r="F561" s="8">
        <v>1.0</v>
      </c>
    </row>
    <row r="562" ht="15.75" customHeight="1">
      <c r="C562" s="8" t="s">
        <v>781</v>
      </c>
      <c r="D562" s="8" t="s">
        <v>89</v>
      </c>
      <c r="E562" s="8">
        <v>3.0</v>
      </c>
      <c r="F562" s="8">
        <v>1.0</v>
      </c>
    </row>
    <row r="563" ht="15.75" customHeight="1">
      <c r="C563" s="8" t="s">
        <v>781</v>
      </c>
      <c r="D563" s="8" t="s">
        <v>89</v>
      </c>
      <c r="E563" s="8">
        <v>3.0</v>
      </c>
      <c r="F563" s="8">
        <v>1.0</v>
      </c>
    </row>
    <row r="564" ht="15.75" customHeight="1">
      <c r="C564" s="8" t="s">
        <v>91</v>
      </c>
      <c r="E564" s="8">
        <v>15.0</v>
      </c>
      <c r="F564" s="8">
        <v>9.0</v>
      </c>
    </row>
    <row r="565" ht="15.75" customHeight="1">
      <c r="C565" s="8" t="s">
        <v>63</v>
      </c>
      <c r="D565" s="8" t="s">
        <v>85</v>
      </c>
      <c r="E565" s="8">
        <v>5.0</v>
      </c>
      <c r="F565" s="8">
        <v>1.0</v>
      </c>
    </row>
    <row r="566" ht="15.75" customHeight="1">
      <c r="C566" s="8" t="s">
        <v>57</v>
      </c>
      <c r="E566" s="8">
        <v>5.0</v>
      </c>
      <c r="F566" s="8">
        <v>2.0</v>
      </c>
    </row>
    <row r="567" ht="15.75" customHeight="1">
      <c r="C567" s="8" t="s">
        <v>63</v>
      </c>
      <c r="E567" s="8">
        <v>5.0</v>
      </c>
      <c r="F567" s="8">
        <v>1.0</v>
      </c>
    </row>
    <row r="568" ht="15.75" customHeight="1">
      <c r="C568" s="8" t="s">
        <v>67</v>
      </c>
      <c r="E568" s="8">
        <v>0.5</v>
      </c>
      <c r="F568" s="8">
        <v>0.5</v>
      </c>
    </row>
    <row r="569" ht="15.75" customHeight="1">
      <c r="C569" s="8" t="s">
        <v>67</v>
      </c>
      <c r="E569" s="8">
        <v>0.5</v>
      </c>
      <c r="F569" s="8">
        <v>0.5</v>
      </c>
    </row>
    <row r="570" ht="15.75" customHeight="1">
      <c r="C570" s="8" t="s">
        <v>63</v>
      </c>
      <c r="E570" s="8">
        <v>2.0</v>
      </c>
      <c r="F570" s="8">
        <v>0.5</v>
      </c>
    </row>
    <row r="571" ht="15.75" customHeight="1">
      <c r="C571" s="8" t="s">
        <v>781</v>
      </c>
      <c r="D571" s="8" t="s">
        <v>89</v>
      </c>
      <c r="E571" s="8">
        <v>3.0</v>
      </c>
      <c r="F571" s="8">
        <v>1.0</v>
      </c>
    </row>
    <row r="572" ht="15.75" customHeight="1">
      <c r="C572" s="8" t="s">
        <v>781</v>
      </c>
      <c r="D572" s="8" t="s">
        <v>89</v>
      </c>
      <c r="E572" s="8">
        <v>3.0</v>
      </c>
      <c r="F572" s="8">
        <v>1.0</v>
      </c>
    </row>
    <row r="573" ht="15.75" customHeight="1">
      <c r="C573" s="8" t="s">
        <v>781</v>
      </c>
      <c r="D573" s="8" t="s">
        <v>89</v>
      </c>
      <c r="E573" s="8">
        <v>2.0</v>
      </c>
      <c r="F573" s="8">
        <v>0.5</v>
      </c>
    </row>
    <row r="574" ht="15.75" customHeight="1">
      <c r="C574" s="8" t="s">
        <v>781</v>
      </c>
      <c r="D574" s="8" t="s">
        <v>89</v>
      </c>
      <c r="E574" s="8">
        <v>2.0</v>
      </c>
      <c r="F574" s="8">
        <v>0.5</v>
      </c>
    </row>
    <row r="575" ht="15.75" customHeight="1">
      <c r="C575" s="8" t="s">
        <v>781</v>
      </c>
      <c r="D575" s="8" t="s">
        <v>89</v>
      </c>
      <c r="E575" s="8">
        <v>3.0</v>
      </c>
      <c r="F575" s="8">
        <v>1.0</v>
      </c>
    </row>
    <row r="576" ht="15.75" customHeight="1">
      <c r="C576" s="8" t="s">
        <v>759</v>
      </c>
      <c r="D576" s="8" t="s">
        <v>75</v>
      </c>
      <c r="E576" s="8">
        <v>5.0</v>
      </c>
      <c r="F576" s="8">
        <v>1.0</v>
      </c>
    </row>
    <row r="577" ht="15.75" customHeight="1">
      <c r="C577" s="8" t="s">
        <v>63</v>
      </c>
      <c r="E577" s="8">
        <v>3.0</v>
      </c>
      <c r="F577" s="8">
        <v>1.0</v>
      </c>
    </row>
    <row r="578" ht="15.75" customHeight="1">
      <c r="C578" s="8" t="s">
        <v>63</v>
      </c>
      <c r="E578" s="8">
        <v>3.0</v>
      </c>
      <c r="F578" s="8">
        <v>1.0</v>
      </c>
    </row>
    <row r="579" ht="15.75" customHeight="1">
      <c r="C579" s="8" t="s">
        <v>67</v>
      </c>
      <c r="E579" s="8">
        <v>1.0</v>
      </c>
      <c r="F579" s="8">
        <v>0.5</v>
      </c>
    </row>
    <row r="580" ht="15.75" customHeight="1">
      <c r="C580" s="8" t="s">
        <v>942</v>
      </c>
      <c r="D580" s="8" t="s">
        <v>931</v>
      </c>
      <c r="E580" s="8">
        <v>1.0</v>
      </c>
      <c r="F580" s="8">
        <v>0.5</v>
      </c>
    </row>
    <row r="581" ht="15.75" customHeight="1">
      <c r="C581" s="8" t="s">
        <v>781</v>
      </c>
      <c r="D581" s="8" t="s">
        <v>924</v>
      </c>
      <c r="E581" s="8">
        <v>2.0</v>
      </c>
      <c r="F581" s="8">
        <v>0.5</v>
      </c>
    </row>
    <row r="582" ht="15.75" customHeight="1">
      <c r="C582" s="8" t="s">
        <v>67</v>
      </c>
      <c r="E582" s="8">
        <v>0.5</v>
      </c>
      <c r="F582" s="8">
        <v>0.5</v>
      </c>
    </row>
    <row r="583" ht="15.75" customHeight="1">
      <c r="C583" s="8" t="s">
        <v>63</v>
      </c>
      <c r="D583" s="8" t="s">
        <v>85</v>
      </c>
      <c r="E583" s="8">
        <v>9.0</v>
      </c>
      <c r="F583" s="8">
        <v>1.0</v>
      </c>
    </row>
    <row r="584" ht="15.75" customHeight="1">
      <c r="C584" s="8" t="s">
        <v>759</v>
      </c>
      <c r="D584" s="8" t="s">
        <v>101</v>
      </c>
      <c r="E584" s="8">
        <v>2.0</v>
      </c>
      <c r="F584" s="8">
        <v>0.5</v>
      </c>
    </row>
    <row r="585" ht="15.75" customHeight="1">
      <c r="C585" s="8" t="s">
        <v>67</v>
      </c>
      <c r="E585" s="8">
        <v>3.0</v>
      </c>
      <c r="F585" s="8">
        <v>1.0</v>
      </c>
    </row>
    <row r="586" ht="15.75" customHeight="1">
      <c r="C586" s="8" t="s">
        <v>781</v>
      </c>
      <c r="D586" s="8" t="s">
        <v>89</v>
      </c>
      <c r="E586" s="8">
        <v>2.0</v>
      </c>
      <c r="F586" s="8">
        <v>1.0</v>
      </c>
    </row>
    <row r="587" ht="15.75" customHeight="1">
      <c r="C587" s="8" t="s">
        <v>781</v>
      </c>
      <c r="D587" s="8" t="s">
        <v>89</v>
      </c>
      <c r="E587" s="8">
        <v>2.0</v>
      </c>
      <c r="F587" s="8">
        <v>1.0</v>
      </c>
    </row>
    <row r="588" ht="15.75" customHeight="1">
      <c r="C588" s="8" t="s">
        <v>63</v>
      </c>
      <c r="D588" s="8" t="s">
        <v>85</v>
      </c>
      <c r="E588" s="8">
        <v>2.0</v>
      </c>
      <c r="F588" s="8">
        <v>0.5</v>
      </c>
    </row>
    <row r="589" ht="15.75" customHeight="1">
      <c r="C589" s="8" t="s">
        <v>63</v>
      </c>
      <c r="D589" s="8" t="s">
        <v>85</v>
      </c>
      <c r="E589" s="8">
        <v>8.0</v>
      </c>
      <c r="F589" s="8">
        <v>1.0</v>
      </c>
    </row>
    <row r="590" ht="15.75" customHeight="1">
      <c r="C590" s="8" t="s">
        <v>63</v>
      </c>
      <c r="D590" s="8" t="s">
        <v>85</v>
      </c>
      <c r="E590" s="8">
        <v>9.0</v>
      </c>
      <c r="F590" s="8">
        <v>1.0</v>
      </c>
    </row>
    <row r="591" ht="15.75" customHeight="1">
      <c r="C591" s="8" t="s">
        <v>781</v>
      </c>
      <c r="D591" s="8" t="s">
        <v>89</v>
      </c>
      <c r="E591" s="8">
        <v>2.0</v>
      </c>
      <c r="F591" s="8">
        <v>1.0</v>
      </c>
    </row>
    <row r="592" ht="15.75" customHeight="1">
      <c r="C592" s="8" t="s">
        <v>781</v>
      </c>
      <c r="D592" s="8" t="s">
        <v>89</v>
      </c>
      <c r="E592" s="8">
        <v>2.0</v>
      </c>
      <c r="F592" s="8">
        <v>0.5</v>
      </c>
    </row>
    <row r="593" ht="15.75" customHeight="1">
      <c r="C593" s="8" t="s">
        <v>67</v>
      </c>
      <c r="E593" s="8">
        <v>2.0</v>
      </c>
      <c r="F593" s="8">
        <v>0.5</v>
      </c>
    </row>
    <row r="594" ht="15.75" customHeight="1">
      <c r="C594" s="8" t="s">
        <v>781</v>
      </c>
      <c r="D594" s="8" t="s">
        <v>89</v>
      </c>
      <c r="E594" s="8">
        <v>2.0</v>
      </c>
      <c r="F594" s="8">
        <v>1.0</v>
      </c>
    </row>
    <row r="595" ht="15.75" customHeight="1">
      <c r="C595" s="8" t="s">
        <v>781</v>
      </c>
      <c r="D595" s="8" t="s">
        <v>89</v>
      </c>
      <c r="E595" s="8">
        <v>3.0</v>
      </c>
      <c r="F595" s="8">
        <v>1.0</v>
      </c>
    </row>
    <row r="596" ht="15.75" customHeight="1">
      <c r="C596" s="8" t="s">
        <v>781</v>
      </c>
      <c r="D596" s="8" t="s">
        <v>89</v>
      </c>
      <c r="E596" s="8">
        <v>3.0</v>
      </c>
      <c r="F596" s="8">
        <v>1.0</v>
      </c>
    </row>
    <row r="597" ht="15.75" customHeight="1">
      <c r="C597" s="8" t="s">
        <v>781</v>
      </c>
      <c r="D597" s="8" t="s">
        <v>89</v>
      </c>
      <c r="E597" s="8">
        <v>3.0</v>
      </c>
      <c r="F597" s="8">
        <v>1.0</v>
      </c>
    </row>
    <row r="598" ht="15.75" customHeight="1">
      <c r="C598" s="8" t="s">
        <v>759</v>
      </c>
      <c r="D598" s="8" t="s">
        <v>75</v>
      </c>
      <c r="E598" s="8">
        <v>5.0</v>
      </c>
      <c r="F598" s="8">
        <v>1.0</v>
      </c>
    </row>
    <row r="599" ht="15.75" customHeight="1">
      <c r="C599" s="8" t="s">
        <v>781</v>
      </c>
      <c r="D599" s="8" t="s">
        <v>89</v>
      </c>
      <c r="E599" s="8">
        <v>2.0</v>
      </c>
      <c r="F599" s="8">
        <v>0.5</v>
      </c>
    </row>
    <row r="600" ht="15.75" customHeight="1">
      <c r="C600" s="8" t="s">
        <v>67</v>
      </c>
      <c r="E600" s="8">
        <v>0.5</v>
      </c>
      <c r="F600" s="8">
        <v>0.5</v>
      </c>
    </row>
    <row r="601" ht="15.75" customHeight="1">
      <c r="C601" s="8" t="s">
        <v>781</v>
      </c>
      <c r="D601" s="8" t="s">
        <v>89</v>
      </c>
      <c r="E601" s="8">
        <v>3.0</v>
      </c>
      <c r="F601" s="8">
        <v>1.0</v>
      </c>
    </row>
    <row r="602" ht="15.75" customHeight="1">
      <c r="C602" s="8" t="s">
        <v>781</v>
      </c>
      <c r="D602" s="8" t="s">
        <v>89</v>
      </c>
      <c r="E602" s="8">
        <v>2.0</v>
      </c>
      <c r="F602" s="8">
        <v>1.0</v>
      </c>
    </row>
    <row r="603" ht="15.75" customHeight="1">
      <c r="C603" s="8" t="s">
        <v>781</v>
      </c>
      <c r="D603" s="8" t="s">
        <v>89</v>
      </c>
      <c r="E603" s="8">
        <v>3.0</v>
      </c>
      <c r="F603" s="8">
        <v>1.0</v>
      </c>
    </row>
    <row r="604" ht="15.75" customHeight="1">
      <c r="C604" s="8" t="s">
        <v>63</v>
      </c>
      <c r="D604" s="8" t="s">
        <v>85</v>
      </c>
      <c r="E604" s="8">
        <v>9.0</v>
      </c>
      <c r="F604" s="8">
        <v>2.0</v>
      </c>
    </row>
    <row r="605" ht="15.75" customHeight="1">
      <c r="C605" s="8" t="s">
        <v>63</v>
      </c>
      <c r="D605" s="8" t="s">
        <v>85</v>
      </c>
      <c r="E605" s="8">
        <v>6.0</v>
      </c>
      <c r="F605" s="8">
        <v>1.0</v>
      </c>
    </row>
    <row r="606" ht="15.75" customHeight="1">
      <c r="C606" s="8" t="s">
        <v>63</v>
      </c>
      <c r="D606" s="8" t="s">
        <v>85</v>
      </c>
      <c r="E606" s="8">
        <v>9.0</v>
      </c>
      <c r="F606" s="8">
        <v>2.0</v>
      </c>
    </row>
    <row r="607" ht="15.75" customHeight="1">
      <c r="C607" s="8" t="s">
        <v>781</v>
      </c>
      <c r="D607" s="8" t="s">
        <v>89</v>
      </c>
      <c r="E607" s="8">
        <v>3.0</v>
      </c>
      <c r="F607" s="8">
        <v>1.0</v>
      </c>
    </row>
    <row r="608" ht="15.75" customHeight="1">
      <c r="C608" s="8" t="s">
        <v>781</v>
      </c>
      <c r="D608" s="8" t="s">
        <v>89</v>
      </c>
      <c r="E608" s="8">
        <v>2.0</v>
      </c>
      <c r="F608" s="8">
        <v>1.0</v>
      </c>
    </row>
    <row r="609" ht="15.75" customHeight="1">
      <c r="C609" s="8" t="s">
        <v>781</v>
      </c>
      <c r="D609" s="8" t="s">
        <v>89</v>
      </c>
      <c r="E609" s="8">
        <v>2.0</v>
      </c>
      <c r="F609" s="8">
        <v>1.0</v>
      </c>
    </row>
    <row r="610" ht="15.75" customHeight="1">
      <c r="C610" s="8" t="s">
        <v>63</v>
      </c>
      <c r="D610" s="8" t="s">
        <v>97</v>
      </c>
      <c r="E610" s="8">
        <v>3.0</v>
      </c>
      <c r="F610" s="8">
        <v>1.0</v>
      </c>
    </row>
    <row r="611" ht="15.75" customHeight="1">
      <c r="C611" s="8" t="s">
        <v>781</v>
      </c>
      <c r="D611" s="8" t="s">
        <v>89</v>
      </c>
      <c r="E611" s="8">
        <v>2.0</v>
      </c>
      <c r="F611" s="8">
        <v>1.0</v>
      </c>
    </row>
    <row r="612" ht="15.75" customHeight="1">
      <c r="C612" s="8" t="s">
        <v>781</v>
      </c>
      <c r="D612" s="8" t="s">
        <v>89</v>
      </c>
      <c r="E612" s="8">
        <v>2.0</v>
      </c>
      <c r="F612" s="8">
        <v>1.0</v>
      </c>
    </row>
    <row r="613" ht="15.75" customHeight="1">
      <c r="C613" s="8" t="s">
        <v>67</v>
      </c>
      <c r="E613" s="8">
        <v>3.0</v>
      </c>
      <c r="F613" s="8">
        <v>0.5</v>
      </c>
    </row>
    <row r="614" ht="15.75" customHeight="1">
      <c r="C614" s="8" t="s">
        <v>781</v>
      </c>
      <c r="D614" s="8" t="s">
        <v>89</v>
      </c>
      <c r="E614" s="8">
        <v>2.0</v>
      </c>
      <c r="F614" s="8">
        <v>1.0</v>
      </c>
    </row>
    <row r="615" ht="15.75" customHeight="1">
      <c r="C615" s="8" t="s">
        <v>781</v>
      </c>
      <c r="D615" s="8" t="s">
        <v>89</v>
      </c>
      <c r="E615" s="8">
        <v>2.0</v>
      </c>
      <c r="F615" s="8">
        <v>1.0</v>
      </c>
    </row>
    <row r="616" ht="15.75" customHeight="1">
      <c r="C616" s="8" t="s">
        <v>63</v>
      </c>
      <c r="D616" s="8" t="s">
        <v>85</v>
      </c>
      <c r="E616" s="8">
        <v>6.0</v>
      </c>
      <c r="F616" s="8">
        <v>1.0</v>
      </c>
    </row>
    <row r="617" ht="15.75" customHeight="1">
      <c r="C617" s="8" t="s">
        <v>57</v>
      </c>
      <c r="E617" s="8">
        <v>2.0</v>
      </c>
      <c r="F617" s="8">
        <v>0.5</v>
      </c>
    </row>
    <row r="618" ht="15.75" customHeight="1">
      <c r="C618" s="8" t="s">
        <v>781</v>
      </c>
      <c r="D618" s="8" t="s">
        <v>89</v>
      </c>
      <c r="E618" s="8">
        <v>3.0</v>
      </c>
      <c r="F618" s="8">
        <v>1.0</v>
      </c>
    </row>
    <row r="619" ht="15.75" customHeight="1">
      <c r="C619" s="8" t="s">
        <v>67</v>
      </c>
      <c r="E619" s="8">
        <v>2.0</v>
      </c>
      <c r="F619" s="8">
        <v>0.5</v>
      </c>
    </row>
    <row r="620" ht="15.75" customHeight="1">
      <c r="C620" s="8" t="s">
        <v>67</v>
      </c>
      <c r="E620" s="8">
        <v>2.0</v>
      </c>
      <c r="F620" s="8">
        <v>1.0</v>
      </c>
    </row>
    <row r="621" ht="15.75" customHeight="1">
      <c r="C621" s="44" t="s">
        <v>943</v>
      </c>
      <c r="E621" s="8">
        <v>9.0</v>
      </c>
      <c r="F621" s="8">
        <v>1.0</v>
      </c>
    </row>
    <row r="622" ht="15.75" customHeight="1">
      <c r="C622" s="8" t="s">
        <v>63</v>
      </c>
      <c r="E622" s="8">
        <v>9.0</v>
      </c>
      <c r="F622" s="8">
        <v>1.0</v>
      </c>
    </row>
    <row r="623" ht="15.75" customHeight="1">
      <c r="C623" s="8" t="s">
        <v>781</v>
      </c>
      <c r="D623" s="8" t="s">
        <v>89</v>
      </c>
      <c r="E623" s="8">
        <v>2.0</v>
      </c>
      <c r="F623" s="8">
        <v>1.0</v>
      </c>
    </row>
    <row r="624" ht="15.75" customHeight="1">
      <c r="C624" s="8" t="s">
        <v>781</v>
      </c>
      <c r="D624" s="8" t="s">
        <v>89</v>
      </c>
      <c r="E624" s="8">
        <v>2.0</v>
      </c>
      <c r="F624" s="8">
        <v>1.0</v>
      </c>
    </row>
    <row r="625" ht="15.75" customHeight="1">
      <c r="C625" s="8" t="s">
        <v>781</v>
      </c>
      <c r="D625" s="8" t="s">
        <v>89</v>
      </c>
      <c r="E625" s="8">
        <v>2.0</v>
      </c>
      <c r="F625" s="8">
        <v>0.5</v>
      </c>
    </row>
    <row r="626" ht="15.75" customHeight="1">
      <c r="C626" s="8" t="s">
        <v>67</v>
      </c>
      <c r="E626" s="8">
        <v>4.0</v>
      </c>
      <c r="F626" s="8">
        <v>1.0</v>
      </c>
    </row>
    <row r="627" ht="15.75" customHeight="1">
      <c r="C627" s="8" t="s">
        <v>67</v>
      </c>
      <c r="E627" s="8">
        <v>3.0</v>
      </c>
      <c r="F627" s="8">
        <v>1.0</v>
      </c>
    </row>
    <row r="628" ht="15.75" customHeight="1">
      <c r="C628" s="8" t="s">
        <v>759</v>
      </c>
      <c r="D628" s="8" t="s">
        <v>75</v>
      </c>
      <c r="E628" s="8">
        <v>4.0</v>
      </c>
      <c r="F628" s="8">
        <v>1.0</v>
      </c>
    </row>
    <row r="629" ht="15.75" customHeight="1">
      <c r="C629" s="8" t="s">
        <v>67</v>
      </c>
      <c r="E629" s="8">
        <v>1.0</v>
      </c>
      <c r="F629" s="8">
        <v>0.5</v>
      </c>
    </row>
    <row r="630" ht="15.75" customHeight="1">
      <c r="C630" s="8" t="s">
        <v>781</v>
      </c>
      <c r="D630" s="8" t="s">
        <v>89</v>
      </c>
      <c r="E630" s="8">
        <v>3.0</v>
      </c>
      <c r="F630" s="8">
        <v>1.0</v>
      </c>
    </row>
    <row r="631" ht="15.75" customHeight="1">
      <c r="C631" s="8" t="s">
        <v>781</v>
      </c>
      <c r="D631" s="8" t="s">
        <v>89</v>
      </c>
      <c r="E631" s="8">
        <v>3.0</v>
      </c>
      <c r="F631" s="8">
        <v>1.0</v>
      </c>
    </row>
    <row r="632" ht="15.75" customHeight="1">
      <c r="C632" s="8" t="s">
        <v>781</v>
      </c>
      <c r="D632" s="8" t="s">
        <v>89</v>
      </c>
      <c r="E632" s="8">
        <v>2.0</v>
      </c>
      <c r="F632" s="8">
        <v>0.5</v>
      </c>
    </row>
    <row r="633" ht="15.75" customHeight="1">
      <c r="C633" s="8" t="s">
        <v>781</v>
      </c>
      <c r="D633" s="8" t="s">
        <v>89</v>
      </c>
      <c r="E633" s="8">
        <v>2.0</v>
      </c>
      <c r="F633" s="8">
        <v>0.5</v>
      </c>
    </row>
    <row r="634" ht="15.75" customHeight="1">
      <c r="C634" s="8" t="s">
        <v>67</v>
      </c>
      <c r="E634" s="8">
        <v>4.0</v>
      </c>
      <c r="F634" s="8">
        <v>1.0</v>
      </c>
    </row>
    <row r="635" ht="15.75" customHeight="1">
      <c r="C635" s="8" t="s">
        <v>781</v>
      </c>
      <c r="D635" s="8" t="s">
        <v>89</v>
      </c>
      <c r="E635" s="8">
        <v>2.0</v>
      </c>
      <c r="F635" s="8">
        <v>1.0</v>
      </c>
    </row>
    <row r="636" ht="15.75" customHeight="1">
      <c r="C636" s="8" t="s">
        <v>781</v>
      </c>
      <c r="D636" s="8" t="s">
        <v>89</v>
      </c>
      <c r="E636" s="8">
        <v>2.0</v>
      </c>
      <c r="F636" s="8">
        <v>1.0</v>
      </c>
    </row>
    <row r="637" ht="15.75" customHeight="1">
      <c r="C637" s="8" t="s">
        <v>781</v>
      </c>
      <c r="D637" s="8" t="s">
        <v>89</v>
      </c>
      <c r="E637" s="8">
        <v>2.0</v>
      </c>
      <c r="F637" s="8">
        <v>0.5</v>
      </c>
    </row>
    <row r="638" ht="15.75" customHeight="1">
      <c r="C638" s="8" t="s">
        <v>63</v>
      </c>
      <c r="D638" s="8" t="s">
        <v>85</v>
      </c>
      <c r="E638" s="8">
        <v>10.0</v>
      </c>
      <c r="F638" s="8">
        <v>2.0</v>
      </c>
    </row>
    <row r="639" ht="15.75" customHeight="1">
      <c r="C639" s="8" t="s">
        <v>67</v>
      </c>
      <c r="E639" s="8">
        <v>1.0</v>
      </c>
      <c r="F639" s="8">
        <v>0.5</v>
      </c>
    </row>
    <row r="640" ht="15.75" customHeight="1">
      <c r="C640" s="8" t="s">
        <v>63</v>
      </c>
      <c r="D640" s="8" t="s">
        <v>85</v>
      </c>
      <c r="E640" s="8">
        <v>5.0</v>
      </c>
      <c r="F640" s="8">
        <v>1.0</v>
      </c>
    </row>
    <row r="641" ht="15.75" customHeight="1">
      <c r="C641" s="8" t="s">
        <v>781</v>
      </c>
      <c r="D641" s="8" t="s">
        <v>89</v>
      </c>
      <c r="E641" s="8">
        <v>3.0</v>
      </c>
      <c r="F641" s="8">
        <v>1.0</v>
      </c>
    </row>
    <row r="642" ht="15.75" customHeight="1">
      <c r="C642" s="8" t="s">
        <v>71</v>
      </c>
      <c r="E642" s="8">
        <v>8.0</v>
      </c>
      <c r="F642" s="8">
        <v>1.0</v>
      </c>
    </row>
    <row r="643" ht="15.75" customHeight="1">
      <c r="C643" s="8" t="s">
        <v>67</v>
      </c>
      <c r="E643" s="8">
        <v>3.0</v>
      </c>
      <c r="F643" s="8">
        <v>1.0</v>
      </c>
    </row>
    <row r="644" ht="15.75" customHeight="1">
      <c r="C644" s="8" t="s">
        <v>67</v>
      </c>
      <c r="E644" s="8">
        <v>2.0</v>
      </c>
      <c r="F644" s="8">
        <v>0.5</v>
      </c>
    </row>
    <row r="645" ht="15.75" customHeight="1">
      <c r="C645" s="8" t="s">
        <v>781</v>
      </c>
      <c r="D645" s="8" t="s">
        <v>89</v>
      </c>
      <c r="E645" s="8">
        <v>3.0</v>
      </c>
      <c r="F645" s="8">
        <v>1.0</v>
      </c>
    </row>
    <row r="646" ht="15.75" customHeight="1">
      <c r="C646" s="8" t="s">
        <v>781</v>
      </c>
      <c r="D646" s="8" t="s">
        <v>89</v>
      </c>
      <c r="E646" s="8">
        <v>2.0</v>
      </c>
      <c r="F646" s="8">
        <v>0.5</v>
      </c>
    </row>
    <row r="647" ht="15.75" customHeight="1">
      <c r="C647" s="8" t="s">
        <v>781</v>
      </c>
      <c r="D647" s="8" t="s">
        <v>89</v>
      </c>
      <c r="E647" s="8">
        <v>2.0</v>
      </c>
      <c r="F647" s="8">
        <v>1.0</v>
      </c>
    </row>
    <row r="648" ht="15.75" customHeight="1">
      <c r="C648" s="8" t="s">
        <v>781</v>
      </c>
      <c r="D648" s="8" t="s">
        <v>89</v>
      </c>
      <c r="E648" s="8">
        <v>2.0</v>
      </c>
      <c r="F648" s="8">
        <v>1.0</v>
      </c>
    </row>
    <row r="649" ht="15.75" customHeight="1">
      <c r="C649" s="8" t="s">
        <v>781</v>
      </c>
      <c r="D649" s="8" t="s">
        <v>89</v>
      </c>
      <c r="E649" s="8">
        <v>3.0</v>
      </c>
      <c r="F649" s="8">
        <v>1.0</v>
      </c>
    </row>
    <row r="650" ht="15.75" customHeight="1">
      <c r="C650" s="8" t="s">
        <v>781</v>
      </c>
      <c r="D650" s="8" t="s">
        <v>89</v>
      </c>
      <c r="E650" s="8">
        <v>2.0</v>
      </c>
      <c r="F650" s="8">
        <v>0.5</v>
      </c>
    </row>
    <row r="651" ht="15.75" customHeight="1">
      <c r="C651" s="8" t="s">
        <v>781</v>
      </c>
      <c r="D651" s="8" t="s">
        <v>89</v>
      </c>
      <c r="E651" s="8">
        <v>2.0</v>
      </c>
      <c r="F651" s="8">
        <v>1.0</v>
      </c>
    </row>
    <row r="652" ht="15.75" customHeight="1">
      <c r="C652" s="8" t="s">
        <v>63</v>
      </c>
      <c r="D652" s="8" t="s">
        <v>97</v>
      </c>
      <c r="E652" s="8">
        <v>10.0</v>
      </c>
      <c r="F652" s="8">
        <v>2.0</v>
      </c>
    </row>
    <row r="653" ht="15.75" customHeight="1">
      <c r="A653" s="63" t="s">
        <v>32</v>
      </c>
      <c r="B653" s="8" t="s">
        <v>4</v>
      </c>
      <c r="C653" s="8" t="s">
        <v>93</v>
      </c>
      <c r="D653" s="8" t="s">
        <v>73</v>
      </c>
      <c r="E653" s="8">
        <v>7.0</v>
      </c>
      <c r="F653" s="8">
        <v>2.0</v>
      </c>
    </row>
    <row r="654" ht="15.75" customHeight="1">
      <c r="C654" s="8" t="s">
        <v>759</v>
      </c>
      <c r="D654" s="8" t="s">
        <v>75</v>
      </c>
      <c r="E654" s="8">
        <v>9.0</v>
      </c>
      <c r="F654" s="8">
        <v>1.0</v>
      </c>
    </row>
    <row r="655" ht="15.75" customHeight="1">
      <c r="C655" s="8" t="s">
        <v>781</v>
      </c>
      <c r="D655" s="8" t="s">
        <v>89</v>
      </c>
      <c r="E655" s="8">
        <v>2.0</v>
      </c>
      <c r="F655" s="8">
        <v>0.5</v>
      </c>
    </row>
    <row r="656" ht="15.75" customHeight="1">
      <c r="C656" s="8" t="s">
        <v>63</v>
      </c>
      <c r="E656" s="8">
        <v>3.0</v>
      </c>
      <c r="F656" s="8">
        <v>1.0</v>
      </c>
    </row>
    <row r="657" ht="15.75" customHeight="1">
      <c r="C657" s="8" t="s">
        <v>781</v>
      </c>
      <c r="D657" s="8" t="s">
        <v>89</v>
      </c>
      <c r="E657" s="8">
        <v>1.0</v>
      </c>
      <c r="F657" s="8">
        <v>0.5</v>
      </c>
    </row>
    <row r="658" ht="15.75" customHeight="1">
      <c r="C658" s="8" t="s">
        <v>781</v>
      </c>
      <c r="D658" s="8" t="s">
        <v>89</v>
      </c>
      <c r="E658" s="8">
        <v>3.0</v>
      </c>
      <c r="F658" s="8">
        <v>1.0</v>
      </c>
    </row>
    <row r="659" ht="15.75" customHeight="1">
      <c r="C659" s="8" t="s">
        <v>63</v>
      </c>
      <c r="D659" s="8" t="s">
        <v>97</v>
      </c>
      <c r="E659" s="8">
        <v>5.0</v>
      </c>
      <c r="F659" s="8">
        <v>1.0</v>
      </c>
    </row>
    <row r="660" ht="15.75" customHeight="1">
      <c r="C660" s="8" t="s">
        <v>781</v>
      </c>
      <c r="D660" s="8" t="s">
        <v>89</v>
      </c>
      <c r="E660" s="8">
        <v>2.0</v>
      </c>
      <c r="F660" s="8">
        <v>1.0</v>
      </c>
    </row>
    <row r="661" ht="15.75" customHeight="1">
      <c r="C661" s="8" t="s">
        <v>759</v>
      </c>
      <c r="D661" s="8" t="s">
        <v>75</v>
      </c>
      <c r="E661" s="8">
        <v>17.0</v>
      </c>
      <c r="F661" s="8">
        <v>2.0</v>
      </c>
    </row>
    <row r="662" ht="15.75" customHeight="1">
      <c r="C662" s="8" t="s">
        <v>63</v>
      </c>
      <c r="D662" s="8" t="s">
        <v>97</v>
      </c>
      <c r="E662" s="8">
        <v>6.0</v>
      </c>
      <c r="F662" s="8">
        <v>1.0</v>
      </c>
    </row>
    <row r="663" ht="15.75" customHeight="1">
      <c r="C663" s="8" t="s">
        <v>759</v>
      </c>
      <c r="D663" s="8" t="s">
        <v>75</v>
      </c>
      <c r="E663" s="8">
        <v>15.0</v>
      </c>
      <c r="F663" s="8">
        <v>2.0</v>
      </c>
    </row>
    <row r="664" ht="15.75" customHeight="1">
      <c r="C664" s="8" t="s">
        <v>759</v>
      </c>
      <c r="D664" s="8" t="s">
        <v>75</v>
      </c>
      <c r="E664" s="8">
        <v>3.0</v>
      </c>
      <c r="F664" s="8">
        <v>0.5</v>
      </c>
    </row>
    <row r="665" ht="15.75" customHeight="1">
      <c r="C665" s="8" t="s">
        <v>93</v>
      </c>
      <c r="D665" s="8" t="s">
        <v>73</v>
      </c>
      <c r="E665" s="8">
        <v>7.0</v>
      </c>
      <c r="F665" s="8">
        <v>2.0</v>
      </c>
    </row>
    <row r="666" ht="15.75" customHeight="1">
      <c r="C666" s="8" t="s">
        <v>63</v>
      </c>
      <c r="E666" s="8">
        <v>10.0</v>
      </c>
      <c r="F666" s="8">
        <v>3.0</v>
      </c>
    </row>
    <row r="667" ht="15.75" customHeight="1">
      <c r="C667" s="8" t="s">
        <v>781</v>
      </c>
      <c r="D667" s="8" t="s">
        <v>89</v>
      </c>
      <c r="E667" s="8">
        <v>3.0</v>
      </c>
      <c r="F667" s="8">
        <v>1.0</v>
      </c>
    </row>
    <row r="668" ht="15.75" customHeight="1">
      <c r="C668" s="8" t="s">
        <v>781</v>
      </c>
      <c r="D668" s="8" t="s">
        <v>89</v>
      </c>
      <c r="E668" s="8">
        <v>3.0</v>
      </c>
      <c r="F668" s="8">
        <v>1.0</v>
      </c>
    </row>
    <row r="669" ht="15.75" customHeight="1">
      <c r="C669" s="8" t="s">
        <v>759</v>
      </c>
      <c r="D669" s="8" t="s">
        <v>75</v>
      </c>
      <c r="E669" s="8">
        <v>5.0</v>
      </c>
      <c r="F669" s="8">
        <v>1.0</v>
      </c>
    </row>
    <row r="670" ht="15.75" customHeight="1">
      <c r="C670" s="8" t="s">
        <v>63</v>
      </c>
      <c r="E670" s="8">
        <v>3.0</v>
      </c>
      <c r="F670" s="8">
        <v>1.0</v>
      </c>
    </row>
    <row r="671" ht="15.75" customHeight="1">
      <c r="C671" s="8" t="s">
        <v>67</v>
      </c>
      <c r="E671" s="8">
        <v>3.0</v>
      </c>
      <c r="F671" s="8">
        <v>0.5</v>
      </c>
    </row>
    <row r="672" ht="15.75" customHeight="1">
      <c r="C672" s="8" t="s">
        <v>77</v>
      </c>
      <c r="D672" s="8" t="s">
        <v>836</v>
      </c>
      <c r="E672" s="8">
        <v>3.0</v>
      </c>
      <c r="F672" s="8">
        <v>1.0</v>
      </c>
      <c r="G672" s="8" t="s">
        <v>111</v>
      </c>
    </row>
    <row r="673" ht="15.75" customHeight="1">
      <c r="C673" s="8" t="s">
        <v>759</v>
      </c>
      <c r="D673" s="8" t="s">
        <v>75</v>
      </c>
      <c r="E673" s="8">
        <v>5.0</v>
      </c>
      <c r="F673" s="8">
        <v>1.0</v>
      </c>
    </row>
    <row r="674" ht="15.75" customHeight="1">
      <c r="C674" s="8" t="s">
        <v>63</v>
      </c>
      <c r="E674" s="8">
        <v>4.0</v>
      </c>
      <c r="F674" s="8">
        <v>1.0</v>
      </c>
    </row>
    <row r="675" ht="15.75" customHeight="1">
      <c r="C675" s="8" t="s">
        <v>759</v>
      </c>
      <c r="D675" s="8" t="s">
        <v>75</v>
      </c>
      <c r="E675" s="8">
        <v>8.0</v>
      </c>
      <c r="F675" s="8">
        <v>1.0</v>
      </c>
    </row>
    <row r="676" ht="15.75" customHeight="1">
      <c r="C676" s="8" t="s">
        <v>63</v>
      </c>
      <c r="D676" s="8" t="s">
        <v>97</v>
      </c>
      <c r="E676" s="8">
        <v>6.0</v>
      </c>
      <c r="F676" s="8">
        <v>1.0</v>
      </c>
    </row>
    <row r="677" ht="15.75" customHeight="1">
      <c r="C677" s="8" t="s">
        <v>781</v>
      </c>
      <c r="D677" s="8" t="s">
        <v>89</v>
      </c>
      <c r="E677" s="8">
        <v>3.0</v>
      </c>
      <c r="F677" s="8">
        <v>1.0</v>
      </c>
    </row>
    <row r="678" ht="15.75" customHeight="1">
      <c r="C678" s="8" t="s">
        <v>781</v>
      </c>
      <c r="D678" s="8" t="s">
        <v>89</v>
      </c>
      <c r="E678" s="8">
        <v>3.0</v>
      </c>
      <c r="F678" s="8">
        <v>1.0</v>
      </c>
    </row>
    <row r="679" ht="15.75" customHeight="1">
      <c r="C679" s="8" t="s">
        <v>781</v>
      </c>
      <c r="D679" s="8" t="s">
        <v>89</v>
      </c>
      <c r="E679" s="8">
        <v>3.0</v>
      </c>
      <c r="F679" s="8">
        <v>1.0</v>
      </c>
    </row>
    <row r="680" ht="15.75" customHeight="1">
      <c r="C680" s="8" t="s">
        <v>781</v>
      </c>
      <c r="D680" s="8" t="s">
        <v>89</v>
      </c>
      <c r="E680" s="8">
        <v>2.0</v>
      </c>
      <c r="F680" s="8">
        <v>0.5</v>
      </c>
    </row>
    <row r="681" ht="15.75" customHeight="1">
      <c r="C681" s="8" t="s">
        <v>69</v>
      </c>
      <c r="E681" s="8">
        <v>14.0</v>
      </c>
      <c r="F681" s="8">
        <v>2.0</v>
      </c>
    </row>
    <row r="682" ht="15.75" customHeight="1">
      <c r="C682" s="8" t="s">
        <v>781</v>
      </c>
      <c r="D682" s="8" t="s">
        <v>89</v>
      </c>
      <c r="E682" s="8">
        <v>10.0</v>
      </c>
      <c r="F682" s="8">
        <v>2.0</v>
      </c>
    </row>
    <row r="683" ht="15.75" customHeight="1">
      <c r="C683" s="8" t="s">
        <v>759</v>
      </c>
      <c r="D683" s="8" t="s">
        <v>75</v>
      </c>
      <c r="E683" s="8">
        <v>15.0</v>
      </c>
      <c r="F683" s="8">
        <v>2.0</v>
      </c>
    </row>
    <row r="684" ht="15.75" customHeight="1">
      <c r="C684" s="8" t="s">
        <v>759</v>
      </c>
      <c r="D684" s="8" t="s">
        <v>75</v>
      </c>
      <c r="E684" s="8">
        <v>15.0</v>
      </c>
      <c r="F684" s="8">
        <v>2.0</v>
      </c>
    </row>
    <row r="685" ht="15.75" customHeight="1">
      <c r="C685" s="8" t="s">
        <v>63</v>
      </c>
      <c r="E685" s="8">
        <v>1.0</v>
      </c>
      <c r="F685" s="8">
        <v>1.0</v>
      </c>
    </row>
    <row r="686" ht="15.75" customHeight="1">
      <c r="C686" s="8" t="s">
        <v>781</v>
      </c>
      <c r="D686" s="8" t="s">
        <v>89</v>
      </c>
      <c r="E686" s="8">
        <v>2.0</v>
      </c>
      <c r="F686" s="8">
        <v>0.5</v>
      </c>
    </row>
    <row r="687" ht="15.75" customHeight="1">
      <c r="C687" s="8" t="s">
        <v>759</v>
      </c>
      <c r="D687" s="8" t="s">
        <v>75</v>
      </c>
      <c r="E687" s="8">
        <v>9.0</v>
      </c>
      <c r="F687" s="8">
        <v>1.0</v>
      </c>
    </row>
    <row r="688" ht="15.75" customHeight="1">
      <c r="C688" s="8" t="s">
        <v>759</v>
      </c>
      <c r="D688" s="8" t="s">
        <v>75</v>
      </c>
      <c r="E688" s="8">
        <v>12.0</v>
      </c>
      <c r="F688" s="8">
        <v>1.0</v>
      </c>
    </row>
    <row r="689" ht="15.75" customHeight="1">
      <c r="C689" s="8" t="s">
        <v>67</v>
      </c>
      <c r="E689" s="8">
        <v>3.0</v>
      </c>
      <c r="F689" s="8">
        <v>0.5</v>
      </c>
    </row>
    <row r="690" ht="15.75" customHeight="1">
      <c r="C690" s="8" t="s">
        <v>781</v>
      </c>
      <c r="D690" s="8" t="s">
        <v>89</v>
      </c>
      <c r="E690" s="8">
        <v>2.0</v>
      </c>
      <c r="F690" s="8">
        <v>1.0</v>
      </c>
    </row>
    <row r="691" ht="15.75" customHeight="1">
      <c r="C691" s="8" t="s">
        <v>781</v>
      </c>
      <c r="D691" s="8" t="s">
        <v>89</v>
      </c>
      <c r="E691" s="8">
        <v>2.0</v>
      </c>
      <c r="F691" s="8">
        <v>0.5</v>
      </c>
    </row>
    <row r="692" ht="15.75" customHeight="1">
      <c r="C692" s="8" t="s">
        <v>63</v>
      </c>
      <c r="E692" s="8">
        <v>3.0</v>
      </c>
      <c r="F692" s="8">
        <v>1.0</v>
      </c>
    </row>
    <row r="693" ht="15.75" customHeight="1">
      <c r="C693" s="8" t="s">
        <v>67</v>
      </c>
      <c r="E693" s="8">
        <v>3.0</v>
      </c>
      <c r="F693" s="8">
        <v>1.0</v>
      </c>
    </row>
    <row r="694" ht="15.75" customHeight="1">
      <c r="C694" s="8" t="s">
        <v>759</v>
      </c>
      <c r="D694" s="8" t="s">
        <v>75</v>
      </c>
      <c r="E694" s="8">
        <v>10.0</v>
      </c>
      <c r="F694" s="8">
        <v>1.0</v>
      </c>
    </row>
    <row r="695" ht="15.75" customHeight="1">
      <c r="C695" s="8" t="s">
        <v>63</v>
      </c>
      <c r="E695" s="8">
        <v>14.0</v>
      </c>
      <c r="F695" s="8">
        <v>6.0</v>
      </c>
    </row>
    <row r="696" ht="15.75" customHeight="1">
      <c r="C696" s="8" t="s">
        <v>63</v>
      </c>
      <c r="D696" s="8" t="s">
        <v>97</v>
      </c>
      <c r="E696" s="8">
        <v>10.0</v>
      </c>
      <c r="F696" s="8">
        <v>2.0</v>
      </c>
    </row>
    <row r="697" ht="15.75" customHeight="1">
      <c r="C697" s="8" t="s">
        <v>781</v>
      </c>
      <c r="D697" s="8" t="s">
        <v>85</v>
      </c>
      <c r="E697" s="8">
        <v>5.0</v>
      </c>
      <c r="F697" s="8">
        <v>1.0</v>
      </c>
    </row>
    <row r="698" ht="15.75" customHeight="1">
      <c r="C698" s="8" t="s">
        <v>67</v>
      </c>
      <c r="E698" s="8">
        <v>3.0</v>
      </c>
      <c r="F698" s="8">
        <v>0.5</v>
      </c>
    </row>
    <row r="699" ht="15.75" customHeight="1">
      <c r="C699" s="8" t="s">
        <v>781</v>
      </c>
      <c r="D699" s="8" t="s">
        <v>89</v>
      </c>
      <c r="E699" s="8">
        <v>3.0</v>
      </c>
      <c r="F699" s="8">
        <v>0.5</v>
      </c>
    </row>
    <row r="700" ht="15.75" customHeight="1">
      <c r="C700" s="8" t="s">
        <v>781</v>
      </c>
      <c r="D700" s="8" t="s">
        <v>89</v>
      </c>
      <c r="E700" s="8">
        <v>2.0</v>
      </c>
      <c r="F700" s="8">
        <v>1.0</v>
      </c>
    </row>
    <row r="701" ht="15.75" customHeight="1">
      <c r="C701" s="8" t="s">
        <v>781</v>
      </c>
      <c r="D701" s="8" t="s">
        <v>89</v>
      </c>
      <c r="E701" s="8">
        <v>10.0</v>
      </c>
      <c r="F701" s="8">
        <v>2.0</v>
      </c>
    </row>
    <row r="702" ht="15.75" customHeight="1">
      <c r="C702" s="8" t="s">
        <v>781</v>
      </c>
      <c r="D702" s="8" t="s">
        <v>89</v>
      </c>
      <c r="E702" s="8">
        <v>2.0</v>
      </c>
      <c r="F702" s="8">
        <v>1.0</v>
      </c>
    </row>
    <row r="703" ht="15.75" customHeight="1">
      <c r="C703" s="8" t="s">
        <v>781</v>
      </c>
      <c r="D703" s="8" t="s">
        <v>924</v>
      </c>
      <c r="E703" s="8">
        <v>2.0</v>
      </c>
      <c r="F703" s="8">
        <v>0.5</v>
      </c>
    </row>
    <row r="704" ht="15.75" customHeight="1">
      <c r="C704" s="8" t="s">
        <v>63</v>
      </c>
      <c r="E704" s="8">
        <v>7.0</v>
      </c>
      <c r="F704" s="8">
        <v>1.0</v>
      </c>
    </row>
    <row r="705" ht="15.75" customHeight="1">
      <c r="C705" s="8" t="s">
        <v>781</v>
      </c>
      <c r="D705" s="8" t="s">
        <v>89</v>
      </c>
      <c r="E705" s="8">
        <v>3.0</v>
      </c>
      <c r="F705" s="8">
        <v>1.0</v>
      </c>
    </row>
    <row r="706" ht="15.75" customHeight="1">
      <c r="C706" s="8" t="s">
        <v>781</v>
      </c>
      <c r="D706" s="8" t="s">
        <v>89</v>
      </c>
      <c r="E706" s="8">
        <v>3.0</v>
      </c>
      <c r="F706" s="8">
        <v>1.0</v>
      </c>
    </row>
    <row r="707" ht="15.75" customHeight="1">
      <c r="C707" s="8" t="s">
        <v>781</v>
      </c>
      <c r="D707" s="8" t="s">
        <v>89</v>
      </c>
      <c r="E707" s="8">
        <v>3.0</v>
      </c>
      <c r="F707" s="8">
        <v>1.0</v>
      </c>
    </row>
    <row r="708" ht="15.75" customHeight="1">
      <c r="C708" s="8" t="s">
        <v>781</v>
      </c>
      <c r="D708" s="8" t="s">
        <v>89</v>
      </c>
      <c r="E708" s="8">
        <v>2.0</v>
      </c>
      <c r="F708" s="8">
        <v>1.0</v>
      </c>
    </row>
    <row r="709" ht="15.75" customHeight="1">
      <c r="C709" s="8" t="s">
        <v>781</v>
      </c>
      <c r="D709" s="8" t="s">
        <v>89</v>
      </c>
      <c r="E709" s="8">
        <v>1.0</v>
      </c>
      <c r="F709" s="8">
        <v>0.5</v>
      </c>
    </row>
    <row r="710" ht="15.75" customHeight="1">
      <c r="C710" s="8" t="s">
        <v>759</v>
      </c>
      <c r="D710" s="8" t="s">
        <v>75</v>
      </c>
      <c r="E710" s="8">
        <v>8.0</v>
      </c>
      <c r="F710" s="8">
        <v>1.0</v>
      </c>
    </row>
    <row r="711" ht="15.75" customHeight="1">
      <c r="C711" s="8" t="s">
        <v>759</v>
      </c>
      <c r="D711" s="8" t="s">
        <v>75</v>
      </c>
      <c r="E711" s="8">
        <v>8.0</v>
      </c>
      <c r="F711" s="8">
        <v>1.0</v>
      </c>
    </row>
    <row r="712" ht="15.75" customHeight="1">
      <c r="C712" s="8" t="s">
        <v>759</v>
      </c>
      <c r="D712" s="8" t="s">
        <v>75</v>
      </c>
      <c r="E712" s="8">
        <v>15.0</v>
      </c>
      <c r="F712" s="8">
        <v>2.0</v>
      </c>
    </row>
    <row r="713" ht="15.75" customHeight="1">
      <c r="C713" s="8" t="s">
        <v>759</v>
      </c>
      <c r="D713" s="8" t="s">
        <v>75</v>
      </c>
      <c r="E713" s="8">
        <v>15.0</v>
      </c>
      <c r="F713" s="8">
        <v>2.0</v>
      </c>
    </row>
    <row r="714" ht="15.75" customHeight="1">
      <c r="C714" s="8" t="s">
        <v>67</v>
      </c>
      <c r="E714" s="8">
        <v>2.0</v>
      </c>
      <c r="F714" s="8">
        <v>0.5</v>
      </c>
    </row>
    <row r="715" ht="15.75" customHeight="1">
      <c r="C715" s="8" t="s">
        <v>67</v>
      </c>
      <c r="E715" s="8">
        <v>1.0</v>
      </c>
      <c r="F715" s="8">
        <v>0.5</v>
      </c>
    </row>
    <row r="716" ht="15.75" customHeight="1">
      <c r="C716" s="8" t="s">
        <v>67</v>
      </c>
      <c r="E716" s="8">
        <v>2.0</v>
      </c>
      <c r="F716" s="8">
        <v>0.5</v>
      </c>
    </row>
    <row r="717" ht="15.75" customHeight="1">
      <c r="C717" s="8" t="s">
        <v>57</v>
      </c>
      <c r="E717" s="8">
        <v>2.0</v>
      </c>
      <c r="F717" s="8">
        <v>1.0</v>
      </c>
    </row>
    <row r="718" ht="15.75" customHeight="1">
      <c r="C718" s="8" t="s">
        <v>781</v>
      </c>
      <c r="D718" s="8" t="s">
        <v>89</v>
      </c>
      <c r="E718" s="8">
        <v>2.0</v>
      </c>
      <c r="F718" s="8">
        <v>1.0</v>
      </c>
    </row>
    <row r="719" ht="15.75" customHeight="1">
      <c r="C719" s="8" t="s">
        <v>781</v>
      </c>
      <c r="D719" s="8" t="s">
        <v>924</v>
      </c>
      <c r="E719" s="8">
        <v>2.0</v>
      </c>
      <c r="F719" s="8">
        <v>0.5</v>
      </c>
    </row>
    <row r="720" ht="15.75" customHeight="1">
      <c r="C720" s="8" t="s">
        <v>63</v>
      </c>
      <c r="E720" s="8">
        <v>4.0</v>
      </c>
      <c r="F720" s="8">
        <v>0.5</v>
      </c>
    </row>
    <row r="721" ht="15.75" customHeight="1">
      <c r="C721" s="8" t="s">
        <v>67</v>
      </c>
      <c r="E721" s="8">
        <v>1.0</v>
      </c>
      <c r="F721" s="8">
        <v>0.5</v>
      </c>
    </row>
    <row r="722" ht="15.75" customHeight="1">
      <c r="C722" s="8" t="s">
        <v>63</v>
      </c>
      <c r="E722" s="8">
        <v>0.5</v>
      </c>
      <c r="F722" s="8">
        <v>0.5</v>
      </c>
    </row>
    <row r="723" ht="15.75" customHeight="1">
      <c r="C723" s="8" t="s">
        <v>759</v>
      </c>
      <c r="D723" s="8" t="s">
        <v>75</v>
      </c>
      <c r="E723" s="8">
        <v>5.0</v>
      </c>
      <c r="F723" s="8">
        <v>1.0</v>
      </c>
    </row>
    <row r="724" ht="15.75" customHeight="1">
      <c r="C724" s="8" t="s">
        <v>55</v>
      </c>
      <c r="E724" s="8">
        <v>1.0</v>
      </c>
      <c r="F724" s="8">
        <v>1.0</v>
      </c>
    </row>
    <row r="725" ht="15.75" customHeight="1">
      <c r="C725" s="8" t="s">
        <v>781</v>
      </c>
      <c r="D725" s="8" t="s">
        <v>89</v>
      </c>
      <c r="E725" s="8">
        <v>4.0</v>
      </c>
      <c r="F725" s="8">
        <v>1.0</v>
      </c>
    </row>
    <row r="726" ht="15.75" customHeight="1">
      <c r="C726" s="8" t="s">
        <v>759</v>
      </c>
      <c r="D726" s="8" t="s">
        <v>75</v>
      </c>
      <c r="E726" s="8">
        <v>8.0</v>
      </c>
      <c r="F726" s="8">
        <v>1.0</v>
      </c>
    </row>
    <row r="727" ht="15.75" customHeight="1">
      <c r="C727" s="8" t="s">
        <v>759</v>
      </c>
      <c r="D727" s="8" t="s">
        <v>75</v>
      </c>
      <c r="E727" s="8">
        <v>15.0</v>
      </c>
      <c r="F727" s="8">
        <v>2.0</v>
      </c>
    </row>
    <row r="728" ht="15.75" customHeight="1">
      <c r="C728" s="8" t="s">
        <v>759</v>
      </c>
      <c r="D728" s="8" t="s">
        <v>75</v>
      </c>
      <c r="E728" s="8">
        <v>15.0</v>
      </c>
      <c r="F728" s="8">
        <v>2.0</v>
      </c>
    </row>
    <row r="729" ht="15.75" customHeight="1">
      <c r="C729" s="8" t="s">
        <v>759</v>
      </c>
      <c r="D729" s="8" t="s">
        <v>75</v>
      </c>
      <c r="E729" s="8">
        <v>15.0</v>
      </c>
      <c r="F729" s="8">
        <v>2.0</v>
      </c>
    </row>
    <row r="730" ht="15.75" customHeight="1">
      <c r="C730" s="8" t="s">
        <v>57</v>
      </c>
      <c r="E730" s="8">
        <v>6.0</v>
      </c>
      <c r="F730" s="8">
        <v>2.0</v>
      </c>
    </row>
    <row r="731" ht="15.75" customHeight="1">
      <c r="C731" s="8" t="s">
        <v>944</v>
      </c>
      <c r="E731" s="8">
        <v>6.0</v>
      </c>
      <c r="F731" s="8">
        <v>2.0</v>
      </c>
      <c r="G731" s="8" t="s">
        <v>111</v>
      </c>
    </row>
    <row r="732" ht="15.75" customHeight="1">
      <c r="C732" s="8" t="s">
        <v>759</v>
      </c>
      <c r="D732" s="8" t="s">
        <v>75</v>
      </c>
      <c r="E732" s="8">
        <v>15.0</v>
      </c>
      <c r="F732" s="8">
        <v>2.0</v>
      </c>
    </row>
    <row r="733" ht="15.75" customHeight="1">
      <c r="C733" s="8" t="s">
        <v>759</v>
      </c>
      <c r="D733" s="8" t="s">
        <v>75</v>
      </c>
      <c r="E733" s="8">
        <v>15.0</v>
      </c>
      <c r="F733" s="8">
        <v>2.0</v>
      </c>
    </row>
    <row r="734" ht="15.75" customHeight="1">
      <c r="C734" s="8" t="s">
        <v>759</v>
      </c>
      <c r="D734" s="8" t="s">
        <v>75</v>
      </c>
      <c r="E734" s="8">
        <v>15.0</v>
      </c>
      <c r="F734" s="8">
        <v>2.0</v>
      </c>
    </row>
    <row r="735" ht="15.75" customHeight="1">
      <c r="C735" s="8" t="s">
        <v>57</v>
      </c>
      <c r="E735" s="8">
        <v>2.0</v>
      </c>
      <c r="F735" s="8">
        <v>1.0</v>
      </c>
    </row>
    <row r="736" ht="15.75" customHeight="1">
      <c r="C736" s="8" t="s">
        <v>781</v>
      </c>
      <c r="D736" s="8" t="s">
        <v>924</v>
      </c>
      <c r="E736" s="8">
        <v>2.0</v>
      </c>
      <c r="F736" s="8">
        <v>0.5</v>
      </c>
    </row>
    <row r="737" ht="15.75" customHeight="1">
      <c r="C737" s="8" t="s">
        <v>759</v>
      </c>
      <c r="D737" s="8" t="s">
        <v>75</v>
      </c>
      <c r="E737" s="8">
        <v>14.0</v>
      </c>
      <c r="F737" s="8">
        <v>2.0</v>
      </c>
    </row>
    <row r="738" ht="15.75" customHeight="1">
      <c r="A738" s="63" t="s">
        <v>7</v>
      </c>
      <c r="B738" s="8" t="s">
        <v>4</v>
      </c>
      <c r="C738" s="8" t="s">
        <v>77</v>
      </c>
      <c r="D738" s="8" t="s">
        <v>931</v>
      </c>
      <c r="E738" s="8">
        <v>2.0</v>
      </c>
      <c r="F738" s="8">
        <v>1.0</v>
      </c>
      <c r="G738" s="8" t="s">
        <v>836</v>
      </c>
    </row>
    <row r="739" ht="15.75" customHeight="1">
      <c r="C739" s="8" t="s">
        <v>781</v>
      </c>
      <c r="D739" s="8" t="s">
        <v>89</v>
      </c>
      <c r="E739" s="8">
        <v>2.0</v>
      </c>
      <c r="F739" s="8">
        <v>1.0</v>
      </c>
    </row>
    <row r="740" ht="15.75" customHeight="1">
      <c r="C740" s="8" t="s">
        <v>759</v>
      </c>
      <c r="D740" s="8" t="s">
        <v>75</v>
      </c>
      <c r="E740" s="8">
        <v>15.0</v>
      </c>
      <c r="F740" s="8">
        <v>2.0</v>
      </c>
    </row>
    <row r="741" ht="15.75" customHeight="1">
      <c r="C741" s="8" t="s">
        <v>759</v>
      </c>
      <c r="D741" s="8" t="s">
        <v>75</v>
      </c>
      <c r="E741" s="8">
        <v>15.0</v>
      </c>
      <c r="F741" s="8">
        <v>2.0</v>
      </c>
    </row>
    <row r="742" ht="15.75" customHeight="1">
      <c r="C742" s="8" t="s">
        <v>759</v>
      </c>
      <c r="D742" s="8" t="s">
        <v>75</v>
      </c>
      <c r="E742" s="8">
        <v>15.0</v>
      </c>
      <c r="F742" s="8">
        <v>2.0</v>
      </c>
    </row>
    <row r="743" ht="15.75" customHeight="1">
      <c r="C743" s="8" t="s">
        <v>759</v>
      </c>
      <c r="D743" s="8" t="s">
        <v>75</v>
      </c>
      <c r="E743" s="8">
        <v>15.0</v>
      </c>
      <c r="F743" s="8">
        <v>2.0</v>
      </c>
    </row>
    <row r="744" ht="15.75" customHeight="1">
      <c r="C744" s="8" t="s">
        <v>759</v>
      </c>
      <c r="D744" s="8" t="s">
        <v>75</v>
      </c>
      <c r="E744" s="8">
        <v>15.0</v>
      </c>
      <c r="F744" s="8">
        <v>2.0</v>
      </c>
    </row>
    <row r="745" ht="15.75" customHeight="1">
      <c r="C745" s="8" t="s">
        <v>67</v>
      </c>
      <c r="E745" s="8">
        <v>1.0</v>
      </c>
      <c r="F745" s="8">
        <v>0.5</v>
      </c>
    </row>
    <row r="746" ht="15.75" customHeight="1">
      <c r="C746" s="8" t="s">
        <v>67</v>
      </c>
      <c r="E746" s="8">
        <v>1.0</v>
      </c>
      <c r="F746" s="8">
        <v>0.5</v>
      </c>
    </row>
    <row r="747" ht="15.75" customHeight="1">
      <c r="C747" s="8" t="s">
        <v>67</v>
      </c>
      <c r="E747" s="8">
        <v>1.0</v>
      </c>
      <c r="F747" s="8">
        <v>0.5</v>
      </c>
    </row>
    <row r="748" ht="15.75" customHeight="1">
      <c r="C748" s="8" t="s">
        <v>781</v>
      </c>
      <c r="D748" s="8" t="s">
        <v>89</v>
      </c>
      <c r="E748" s="8">
        <v>5.0</v>
      </c>
      <c r="F748" s="8">
        <v>1.0</v>
      </c>
    </row>
    <row r="749" ht="15.75" customHeight="1">
      <c r="C749" s="8" t="s">
        <v>759</v>
      </c>
      <c r="D749" s="8" t="s">
        <v>101</v>
      </c>
      <c r="E749" s="8">
        <v>2.0</v>
      </c>
      <c r="F749" s="8">
        <v>1.0</v>
      </c>
    </row>
    <row r="750" ht="15.75" customHeight="1">
      <c r="C750" s="8" t="s">
        <v>57</v>
      </c>
      <c r="E750" s="8">
        <v>2.0</v>
      </c>
      <c r="F750" s="8">
        <v>1.0</v>
      </c>
    </row>
    <row r="751" ht="15.75" customHeight="1">
      <c r="C751" s="8" t="s">
        <v>63</v>
      </c>
      <c r="D751" s="8" t="s">
        <v>97</v>
      </c>
      <c r="E751" s="8">
        <v>3.0</v>
      </c>
      <c r="F751" s="8">
        <v>1.0</v>
      </c>
    </row>
    <row r="752" ht="15.75" customHeight="1">
      <c r="C752" s="8" t="s">
        <v>63</v>
      </c>
      <c r="E752" s="8">
        <v>6.0</v>
      </c>
      <c r="F752" s="8">
        <v>1.0</v>
      </c>
    </row>
    <row r="753" ht="15.75" customHeight="1">
      <c r="C753" s="8" t="s">
        <v>781</v>
      </c>
      <c r="D753" s="8" t="s">
        <v>924</v>
      </c>
      <c r="E753" s="8">
        <v>5.0</v>
      </c>
      <c r="F753" s="8">
        <v>1.0</v>
      </c>
    </row>
    <row r="754" ht="15.75" customHeight="1">
      <c r="C754" s="8" t="s">
        <v>781</v>
      </c>
      <c r="D754" s="8" t="s">
        <v>89</v>
      </c>
      <c r="E754" s="8">
        <v>3.0</v>
      </c>
      <c r="F754" s="8">
        <v>1.0</v>
      </c>
    </row>
    <row r="755" ht="15.75" customHeight="1">
      <c r="C755" s="8" t="s">
        <v>766</v>
      </c>
      <c r="E755" s="8">
        <v>7.0</v>
      </c>
      <c r="F755" s="8">
        <v>1.0</v>
      </c>
    </row>
    <row r="756" ht="15.75" customHeight="1">
      <c r="C756" s="8" t="s">
        <v>67</v>
      </c>
      <c r="E756" s="8">
        <v>0.5</v>
      </c>
      <c r="F756" s="8">
        <v>0.5</v>
      </c>
    </row>
    <row r="757" ht="15.75" customHeight="1">
      <c r="C757" s="8" t="s">
        <v>67</v>
      </c>
      <c r="E757" s="8">
        <v>2.0</v>
      </c>
      <c r="F757" s="8">
        <v>0.5</v>
      </c>
    </row>
    <row r="758" ht="15.75" customHeight="1">
      <c r="C758" s="8" t="s">
        <v>781</v>
      </c>
      <c r="D758" s="8" t="s">
        <v>89</v>
      </c>
      <c r="E758" s="8">
        <v>3.0</v>
      </c>
      <c r="F758" s="8">
        <v>1.0</v>
      </c>
    </row>
    <row r="759" ht="15.75" customHeight="1">
      <c r="C759" s="8" t="s">
        <v>67</v>
      </c>
      <c r="E759" s="8">
        <v>2.0</v>
      </c>
      <c r="F759" s="8">
        <v>0.5</v>
      </c>
    </row>
    <row r="760" ht="15.75" customHeight="1">
      <c r="C760" s="8" t="s">
        <v>71</v>
      </c>
      <c r="E760" s="8">
        <v>10.0</v>
      </c>
      <c r="F760" s="8">
        <v>2.0</v>
      </c>
    </row>
    <row r="761" ht="15.75" customHeight="1">
      <c r="C761" s="8" t="s">
        <v>781</v>
      </c>
      <c r="D761" s="8" t="s">
        <v>89</v>
      </c>
      <c r="E761" s="8">
        <v>2.0</v>
      </c>
      <c r="F761" s="8">
        <v>1.0</v>
      </c>
    </row>
    <row r="762" ht="15.75" customHeight="1">
      <c r="C762" s="8" t="s">
        <v>67</v>
      </c>
      <c r="E762" s="8">
        <v>2.0</v>
      </c>
      <c r="F762" s="8">
        <v>0.5</v>
      </c>
    </row>
    <row r="763" ht="15.75" customHeight="1">
      <c r="C763" s="8" t="s">
        <v>63</v>
      </c>
      <c r="E763" s="8">
        <v>7.0</v>
      </c>
      <c r="F763" s="8">
        <v>4.0</v>
      </c>
    </row>
    <row r="764" ht="15.75" customHeight="1">
      <c r="C764" s="8" t="s">
        <v>67</v>
      </c>
      <c r="E764" s="8">
        <v>2.0</v>
      </c>
      <c r="F764" s="8">
        <v>1.0</v>
      </c>
    </row>
    <row r="765" ht="15.75" customHeight="1">
      <c r="C765" s="8" t="s">
        <v>759</v>
      </c>
      <c r="D765" s="8" t="s">
        <v>75</v>
      </c>
      <c r="E765" s="8">
        <v>13.0</v>
      </c>
      <c r="F765" s="8">
        <v>1.0</v>
      </c>
    </row>
    <row r="766" ht="15.75" customHeight="1">
      <c r="C766" s="8" t="s">
        <v>67</v>
      </c>
      <c r="E766" s="8">
        <v>0.5</v>
      </c>
      <c r="F766" s="8">
        <v>0.5</v>
      </c>
    </row>
    <row r="767" ht="15.75" customHeight="1">
      <c r="C767" s="8" t="s">
        <v>63</v>
      </c>
      <c r="E767" s="8">
        <v>2.0</v>
      </c>
      <c r="F767" s="8">
        <v>1.0</v>
      </c>
    </row>
    <row r="768" ht="15.75" customHeight="1">
      <c r="C768" s="8" t="s">
        <v>759</v>
      </c>
      <c r="D768" s="8" t="s">
        <v>75</v>
      </c>
      <c r="E768" s="8">
        <v>5.0</v>
      </c>
      <c r="F768" s="8">
        <v>1.0</v>
      </c>
    </row>
    <row r="769" ht="15.75" customHeight="1">
      <c r="C769" s="8" t="s">
        <v>759</v>
      </c>
      <c r="D769" s="8" t="s">
        <v>75</v>
      </c>
      <c r="E769" s="8">
        <v>15.0</v>
      </c>
      <c r="F769" s="8">
        <v>2.0</v>
      </c>
    </row>
    <row r="770" ht="15.75" customHeight="1">
      <c r="C770" s="8" t="s">
        <v>781</v>
      </c>
      <c r="D770" s="8" t="s">
        <v>89</v>
      </c>
      <c r="E770" s="8">
        <v>2.0</v>
      </c>
      <c r="F770" s="8">
        <v>1.0</v>
      </c>
    </row>
    <row r="771" ht="15.75" customHeight="1">
      <c r="C771" s="8" t="s">
        <v>781</v>
      </c>
      <c r="D771" s="8" t="s">
        <v>89</v>
      </c>
      <c r="E771" s="8">
        <v>2.0</v>
      </c>
      <c r="F771" s="8">
        <v>1.0</v>
      </c>
    </row>
    <row r="772" ht="15.75" customHeight="1">
      <c r="C772" s="8" t="s">
        <v>759</v>
      </c>
      <c r="D772" s="8" t="s">
        <v>75</v>
      </c>
      <c r="E772" s="8">
        <v>4.0</v>
      </c>
      <c r="F772" s="8">
        <v>1.0</v>
      </c>
    </row>
    <row r="773" ht="15.75" customHeight="1">
      <c r="C773" s="8" t="s">
        <v>759</v>
      </c>
      <c r="D773" s="8" t="s">
        <v>75</v>
      </c>
      <c r="E773" s="8">
        <v>15.0</v>
      </c>
      <c r="F773" s="8">
        <v>2.0</v>
      </c>
    </row>
    <row r="774" ht="15.75" customHeight="1">
      <c r="C774" s="8" t="s">
        <v>67</v>
      </c>
      <c r="E774" s="8">
        <v>2.0</v>
      </c>
      <c r="F774" s="8">
        <v>0.5</v>
      </c>
    </row>
    <row r="775" ht="15.75" customHeight="1">
      <c r="C775" s="8" t="s">
        <v>67</v>
      </c>
      <c r="E775" s="8">
        <v>2.0</v>
      </c>
      <c r="F775" s="8">
        <v>0.5</v>
      </c>
    </row>
    <row r="776" ht="15.75" customHeight="1">
      <c r="C776" s="8" t="s">
        <v>67</v>
      </c>
      <c r="E776" s="8">
        <v>2.0</v>
      </c>
      <c r="F776" s="8">
        <v>1.0</v>
      </c>
    </row>
    <row r="777" ht="15.75" customHeight="1">
      <c r="C777" s="8" t="s">
        <v>781</v>
      </c>
      <c r="D777" s="8" t="s">
        <v>89</v>
      </c>
      <c r="E777" s="8">
        <v>4.0</v>
      </c>
      <c r="F777" s="8">
        <v>1.0</v>
      </c>
    </row>
    <row r="778" ht="15.75" customHeight="1">
      <c r="C778" s="8" t="s">
        <v>781</v>
      </c>
      <c r="D778" s="8" t="s">
        <v>89</v>
      </c>
      <c r="E778" s="8">
        <v>0.5</v>
      </c>
      <c r="F778" s="8">
        <v>0.5</v>
      </c>
      <c r="G778" s="8" t="s">
        <v>921</v>
      </c>
    </row>
    <row r="779" ht="15.75" customHeight="1">
      <c r="C779" s="8" t="s">
        <v>67</v>
      </c>
      <c r="E779" s="8">
        <v>3.0</v>
      </c>
      <c r="F779" s="8">
        <v>0.5</v>
      </c>
    </row>
    <row r="780" ht="15.75" customHeight="1">
      <c r="C780" s="8" t="s">
        <v>759</v>
      </c>
      <c r="D780" s="8" t="s">
        <v>75</v>
      </c>
      <c r="E780" s="8">
        <v>12.0</v>
      </c>
      <c r="F780" s="8">
        <v>2.0</v>
      </c>
    </row>
    <row r="781" ht="15.75" customHeight="1">
      <c r="C781" s="8" t="s">
        <v>63</v>
      </c>
      <c r="E781" s="8">
        <v>3.0</v>
      </c>
      <c r="F781" s="8">
        <v>0.5</v>
      </c>
    </row>
    <row r="782" ht="15.75" customHeight="1">
      <c r="C782" s="8" t="s">
        <v>93</v>
      </c>
      <c r="D782" s="8" t="s">
        <v>73</v>
      </c>
      <c r="E782" s="8">
        <v>3.0</v>
      </c>
      <c r="F782" s="8">
        <v>1.0</v>
      </c>
    </row>
    <row r="783" ht="15.75" customHeight="1">
      <c r="C783" s="8" t="s">
        <v>93</v>
      </c>
      <c r="D783" s="8" t="s">
        <v>73</v>
      </c>
      <c r="E783" s="8">
        <v>3.0</v>
      </c>
      <c r="F783" s="8">
        <v>1.0</v>
      </c>
    </row>
    <row r="784" ht="15.75" customHeight="1">
      <c r="C784" s="8" t="s">
        <v>759</v>
      </c>
      <c r="D784" s="8" t="s">
        <v>75</v>
      </c>
      <c r="E784" s="8">
        <v>15.0</v>
      </c>
      <c r="F784" s="8">
        <v>2.0</v>
      </c>
    </row>
    <row r="785" ht="15.75" customHeight="1">
      <c r="C785" s="8" t="s">
        <v>67</v>
      </c>
      <c r="E785" s="8">
        <v>2.0</v>
      </c>
      <c r="F785" s="8">
        <v>1.0</v>
      </c>
    </row>
    <row r="786" ht="15.75" customHeight="1">
      <c r="C786" s="8" t="s">
        <v>93</v>
      </c>
      <c r="E786" s="8">
        <v>15.0</v>
      </c>
      <c r="F786" s="8">
        <v>4.0</v>
      </c>
    </row>
    <row r="787" ht="15.75" customHeight="1">
      <c r="C787" s="8" t="s">
        <v>67</v>
      </c>
      <c r="E787" s="8">
        <v>2.0</v>
      </c>
      <c r="F787" s="8">
        <v>1.0</v>
      </c>
    </row>
    <row r="788" ht="15.75" customHeight="1">
      <c r="C788" s="8" t="s">
        <v>67</v>
      </c>
      <c r="E788" s="8">
        <v>2.0</v>
      </c>
      <c r="F788" s="8">
        <v>1.0</v>
      </c>
    </row>
    <row r="789" ht="15.75" customHeight="1">
      <c r="C789" s="8" t="s">
        <v>759</v>
      </c>
      <c r="D789" s="8" t="s">
        <v>75</v>
      </c>
      <c r="E789" s="8">
        <v>4.0</v>
      </c>
      <c r="F789" s="8">
        <v>1.0</v>
      </c>
    </row>
    <row r="790" ht="15.75" customHeight="1">
      <c r="C790" s="8" t="s">
        <v>781</v>
      </c>
      <c r="D790" s="8" t="s">
        <v>89</v>
      </c>
      <c r="E790" s="8">
        <v>4.0</v>
      </c>
      <c r="F790" s="8">
        <v>1.0</v>
      </c>
    </row>
    <row r="791" ht="15.75" customHeight="1">
      <c r="C791" s="8" t="s">
        <v>63</v>
      </c>
      <c r="E791" s="8">
        <v>3.0</v>
      </c>
      <c r="F791" s="8">
        <v>1.0</v>
      </c>
    </row>
    <row r="792" ht="15.75" customHeight="1">
      <c r="C792" s="8" t="s">
        <v>781</v>
      </c>
      <c r="D792" s="8" t="s">
        <v>89</v>
      </c>
      <c r="E792" s="8">
        <v>2.0</v>
      </c>
      <c r="F792" s="8">
        <v>1.0</v>
      </c>
    </row>
    <row r="793" ht="15.75" customHeight="1">
      <c r="C793" s="8" t="s">
        <v>759</v>
      </c>
      <c r="D793" s="8" t="s">
        <v>75</v>
      </c>
      <c r="E793" s="8">
        <v>2.0</v>
      </c>
      <c r="F793" s="8">
        <v>0.5</v>
      </c>
    </row>
    <row r="794" ht="15.75" customHeight="1">
      <c r="C794" s="8" t="s">
        <v>781</v>
      </c>
      <c r="D794" s="8" t="s">
        <v>89</v>
      </c>
      <c r="E794" s="8">
        <v>2.0</v>
      </c>
      <c r="F794" s="8">
        <v>1.0</v>
      </c>
    </row>
    <row r="795" ht="15.75" customHeight="1">
      <c r="C795" s="8" t="s">
        <v>781</v>
      </c>
      <c r="D795" s="8" t="s">
        <v>89</v>
      </c>
      <c r="E795" s="8">
        <v>3.0</v>
      </c>
      <c r="F795" s="8">
        <v>1.0</v>
      </c>
    </row>
    <row r="796" ht="15.75" customHeight="1">
      <c r="C796" s="8" t="s">
        <v>781</v>
      </c>
      <c r="D796" s="8" t="s">
        <v>89</v>
      </c>
      <c r="E796" s="8">
        <v>2.0</v>
      </c>
      <c r="F796" s="8">
        <v>1.0</v>
      </c>
    </row>
    <row r="797" ht="15.75" customHeight="1">
      <c r="C797" s="8" t="s">
        <v>759</v>
      </c>
      <c r="D797" s="8" t="s">
        <v>75</v>
      </c>
      <c r="E797" s="8">
        <v>13.0</v>
      </c>
      <c r="F797" s="8">
        <v>2.0</v>
      </c>
    </row>
    <row r="798" ht="15.75" customHeight="1">
      <c r="C798" s="8" t="s">
        <v>759</v>
      </c>
      <c r="D798" s="8" t="s">
        <v>75</v>
      </c>
      <c r="E798" s="8">
        <v>15.0</v>
      </c>
      <c r="F798" s="8">
        <v>2.0</v>
      </c>
    </row>
    <row r="799" ht="15.75" customHeight="1">
      <c r="C799" s="8" t="s">
        <v>759</v>
      </c>
      <c r="D799" s="8" t="s">
        <v>75</v>
      </c>
      <c r="E799" s="8">
        <v>12.0</v>
      </c>
      <c r="F799" s="8">
        <v>2.0</v>
      </c>
    </row>
    <row r="800" ht="15.75" customHeight="1">
      <c r="C800" s="8" t="s">
        <v>67</v>
      </c>
      <c r="E800" s="8">
        <v>1.0</v>
      </c>
      <c r="F800" s="8">
        <v>0.5</v>
      </c>
    </row>
    <row r="801" ht="15.75" customHeight="1">
      <c r="C801" s="8" t="s">
        <v>63</v>
      </c>
      <c r="E801" s="8">
        <v>2.0</v>
      </c>
      <c r="F801" s="8">
        <v>1.0</v>
      </c>
    </row>
    <row r="802" ht="15.75" customHeight="1">
      <c r="A802" s="63" t="s">
        <v>11</v>
      </c>
      <c r="B802" s="8" t="s">
        <v>4</v>
      </c>
      <c r="C802" s="8" t="s">
        <v>55</v>
      </c>
      <c r="E802" s="8">
        <v>2.0</v>
      </c>
      <c r="F802" s="8">
        <v>1.0</v>
      </c>
    </row>
    <row r="803" ht="15.75" customHeight="1">
      <c r="C803" s="8" t="s">
        <v>759</v>
      </c>
      <c r="D803" s="8" t="s">
        <v>75</v>
      </c>
      <c r="E803" s="8">
        <v>16.0</v>
      </c>
      <c r="F803" s="8">
        <v>2.0</v>
      </c>
    </row>
    <row r="804" ht="15.75" customHeight="1">
      <c r="C804" s="8" t="s">
        <v>67</v>
      </c>
      <c r="E804" s="8">
        <v>3.0</v>
      </c>
      <c r="F804" s="8">
        <v>1.0</v>
      </c>
    </row>
    <row r="805" ht="15.75" customHeight="1">
      <c r="C805" s="8" t="s">
        <v>67</v>
      </c>
      <c r="E805" s="8">
        <v>2.0</v>
      </c>
      <c r="F805" s="8">
        <v>1.0</v>
      </c>
    </row>
    <row r="806" ht="15.75" customHeight="1">
      <c r="C806" s="8" t="s">
        <v>67</v>
      </c>
      <c r="E806" s="8">
        <v>3.0</v>
      </c>
      <c r="F806" s="8">
        <v>1.0</v>
      </c>
    </row>
    <row r="807" ht="15.75" customHeight="1">
      <c r="C807" s="8" t="s">
        <v>63</v>
      </c>
      <c r="E807" s="8">
        <v>2.0</v>
      </c>
      <c r="F807" s="8">
        <v>1.0</v>
      </c>
    </row>
    <row r="808" ht="15.75" customHeight="1">
      <c r="C808" s="8" t="s">
        <v>63</v>
      </c>
      <c r="E808" s="8">
        <v>2.0</v>
      </c>
      <c r="F808" s="8">
        <v>2.0</v>
      </c>
      <c r="G808" s="8" t="s">
        <v>762</v>
      </c>
    </row>
    <row r="809" ht="15.75" customHeight="1">
      <c r="C809" s="8" t="s">
        <v>63</v>
      </c>
      <c r="E809" s="8">
        <v>3.0</v>
      </c>
      <c r="F809" s="8">
        <v>2.0</v>
      </c>
    </row>
    <row r="810" ht="15.75" customHeight="1">
      <c r="C810" s="8" t="s">
        <v>63</v>
      </c>
      <c r="E810" s="8">
        <v>8.0</v>
      </c>
      <c r="F810" s="8">
        <v>3.0</v>
      </c>
    </row>
    <row r="811" ht="15.75" customHeight="1">
      <c r="C811" s="8" t="s">
        <v>781</v>
      </c>
      <c r="D811" s="8" t="s">
        <v>89</v>
      </c>
      <c r="E811" s="8">
        <v>2.0</v>
      </c>
      <c r="F811" s="8">
        <v>1.0</v>
      </c>
    </row>
    <row r="812" ht="15.75" customHeight="1">
      <c r="C812" s="8" t="s">
        <v>67</v>
      </c>
      <c r="E812" s="8">
        <v>2.0</v>
      </c>
      <c r="F812" s="8">
        <v>0.5</v>
      </c>
    </row>
    <row r="813" ht="15.75" customHeight="1">
      <c r="C813" s="8" t="s">
        <v>63</v>
      </c>
      <c r="D813" s="8" t="s">
        <v>97</v>
      </c>
      <c r="E813" s="8">
        <v>15.0</v>
      </c>
      <c r="F813" s="8">
        <v>3.0</v>
      </c>
    </row>
    <row r="814" ht="15.75" customHeight="1">
      <c r="C814" s="8" t="s">
        <v>63</v>
      </c>
      <c r="D814" s="8" t="s">
        <v>97</v>
      </c>
      <c r="E814" s="8">
        <v>10.0</v>
      </c>
      <c r="F814" s="8">
        <v>2.0</v>
      </c>
    </row>
    <row r="815" ht="15.75" customHeight="1">
      <c r="C815" s="8" t="s">
        <v>759</v>
      </c>
      <c r="D815" s="8" t="s">
        <v>75</v>
      </c>
      <c r="E815" s="8">
        <v>17.0</v>
      </c>
      <c r="F815" s="8">
        <v>2.0</v>
      </c>
    </row>
    <row r="816" ht="15.75" customHeight="1">
      <c r="C816" s="8" t="s">
        <v>781</v>
      </c>
      <c r="D816" s="8" t="s">
        <v>89</v>
      </c>
      <c r="E816" s="8">
        <v>2.0</v>
      </c>
      <c r="F816" s="8">
        <v>1.0</v>
      </c>
    </row>
    <row r="817" ht="15.75" customHeight="1">
      <c r="C817" s="8" t="s">
        <v>67</v>
      </c>
      <c r="E817" s="8">
        <v>3.0</v>
      </c>
      <c r="F817" s="8">
        <v>0.5</v>
      </c>
    </row>
    <row r="818" ht="15.75" customHeight="1">
      <c r="C818" s="8" t="s">
        <v>781</v>
      </c>
      <c r="D818" s="8" t="s">
        <v>89</v>
      </c>
      <c r="E818" s="8">
        <v>4.0</v>
      </c>
      <c r="F818" s="8">
        <v>2.0</v>
      </c>
    </row>
    <row r="819" ht="15.75" customHeight="1">
      <c r="C819" s="8" t="s">
        <v>759</v>
      </c>
      <c r="D819" s="8" t="s">
        <v>75</v>
      </c>
      <c r="E819" s="8">
        <v>7.0</v>
      </c>
      <c r="F819" s="8">
        <v>1.0</v>
      </c>
    </row>
    <row r="820" ht="15.75" customHeight="1">
      <c r="C820" s="8" t="s">
        <v>63</v>
      </c>
      <c r="E820" s="8">
        <v>7.0</v>
      </c>
      <c r="F820" s="8">
        <v>3.0</v>
      </c>
    </row>
    <row r="821" ht="15.75" customHeight="1">
      <c r="C821" s="8" t="s">
        <v>759</v>
      </c>
      <c r="D821" s="8" t="s">
        <v>101</v>
      </c>
      <c r="E821" s="8">
        <v>1.0</v>
      </c>
      <c r="F821" s="8">
        <v>0.5</v>
      </c>
    </row>
    <row r="822" ht="15.75" customHeight="1">
      <c r="C822" s="8" t="s">
        <v>67</v>
      </c>
      <c r="E822" s="8">
        <v>4.0</v>
      </c>
      <c r="F822" s="8">
        <v>1.0</v>
      </c>
    </row>
    <row r="823" ht="15.75" customHeight="1">
      <c r="C823" s="8" t="s">
        <v>926</v>
      </c>
      <c r="D823" s="8" t="s">
        <v>945</v>
      </c>
      <c r="E823" s="8">
        <v>1.0</v>
      </c>
      <c r="F823" s="8">
        <v>1.0</v>
      </c>
    </row>
    <row r="824" ht="15.75" customHeight="1">
      <c r="C824" s="8" t="s">
        <v>63</v>
      </c>
      <c r="E824" s="8">
        <v>3.0</v>
      </c>
      <c r="F824" s="8">
        <v>1.0</v>
      </c>
    </row>
    <row r="825" ht="15.75" customHeight="1">
      <c r="C825" s="8" t="s">
        <v>93</v>
      </c>
      <c r="E825" s="8">
        <v>3.0</v>
      </c>
      <c r="F825" s="8">
        <v>1.0</v>
      </c>
      <c r="G825" s="8" t="s">
        <v>946</v>
      </c>
    </row>
    <row r="826" ht="15.75" customHeight="1">
      <c r="C826" s="8" t="s">
        <v>63</v>
      </c>
      <c r="D826" s="8" t="s">
        <v>97</v>
      </c>
      <c r="E826" s="8">
        <v>9.0</v>
      </c>
      <c r="F826" s="8">
        <v>2.0</v>
      </c>
    </row>
    <row r="827" ht="15.75" customHeight="1">
      <c r="C827" s="8" t="s">
        <v>781</v>
      </c>
      <c r="D827" s="8" t="s">
        <v>89</v>
      </c>
      <c r="E827" s="8">
        <v>7.0</v>
      </c>
      <c r="F827" s="8">
        <v>1.0</v>
      </c>
    </row>
    <row r="828" ht="15.75" customHeight="1">
      <c r="C828" s="8" t="s">
        <v>781</v>
      </c>
      <c r="D828" s="8" t="s">
        <v>89</v>
      </c>
      <c r="E828" s="8">
        <v>2.0</v>
      </c>
      <c r="F828" s="8">
        <v>1.0</v>
      </c>
    </row>
    <row r="829" ht="15.75" customHeight="1">
      <c r="C829" s="8" t="s">
        <v>759</v>
      </c>
      <c r="D829" s="8" t="s">
        <v>75</v>
      </c>
      <c r="E829" s="8">
        <v>3.0</v>
      </c>
      <c r="F829" s="8">
        <v>1.0</v>
      </c>
    </row>
    <row r="830" ht="15.75" customHeight="1">
      <c r="C830" s="8" t="s">
        <v>759</v>
      </c>
      <c r="D830" s="8" t="s">
        <v>101</v>
      </c>
      <c r="E830" s="8">
        <v>3.0</v>
      </c>
      <c r="F830" s="8">
        <v>1.0</v>
      </c>
    </row>
    <row r="831" ht="15.75" customHeight="1">
      <c r="C831" s="8" t="s">
        <v>63</v>
      </c>
      <c r="D831" s="8" t="s">
        <v>85</v>
      </c>
      <c r="E831" s="8">
        <v>14.0</v>
      </c>
      <c r="F831" s="8">
        <v>4.0</v>
      </c>
    </row>
    <row r="832" ht="15.75" customHeight="1">
      <c r="C832" s="8" t="s">
        <v>63</v>
      </c>
      <c r="E832" s="8">
        <v>3.0</v>
      </c>
      <c r="F832" s="8">
        <v>1.0</v>
      </c>
    </row>
    <row r="833" ht="15.75" customHeight="1">
      <c r="C833" s="8" t="s">
        <v>63</v>
      </c>
      <c r="E833" s="8">
        <v>3.0</v>
      </c>
      <c r="F833" s="8">
        <v>1.0</v>
      </c>
    </row>
    <row r="834" ht="15.75" customHeight="1">
      <c r="C834" s="8" t="s">
        <v>63</v>
      </c>
      <c r="E834" s="8">
        <v>9.0</v>
      </c>
      <c r="F834" s="8">
        <v>3.0</v>
      </c>
    </row>
    <row r="835" ht="15.75" customHeight="1">
      <c r="C835" s="8" t="s">
        <v>63</v>
      </c>
      <c r="D835" s="8" t="s">
        <v>97</v>
      </c>
      <c r="E835" s="8">
        <v>15.0</v>
      </c>
      <c r="F835" s="8">
        <v>2.0</v>
      </c>
    </row>
    <row r="836" ht="15.75" customHeight="1">
      <c r="C836" s="8" t="s">
        <v>63</v>
      </c>
      <c r="D836" s="8" t="s">
        <v>97</v>
      </c>
      <c r="E836" s="8">
        <v>6.0</v>
      </c>
      <c r="F836" s="8">
        <v>1.0</v>
      </c>
    </row>
    <row r="837" ht="15.75" customHeight="1">
      <c r="C837" s="8" t="s">
        <v>781</v>
      </c>
      <c r="D837" s="8" t="s">
        <v>89</v>
      </c>
      <c r="E837" s="8">
        <v>2.0</v>
      </c>
      <c r="F837" s="8">
        <v>1.0</v>
      </c>
    </row>
    <row r="838" ht="15.75" customHeight="1">
      <c r="C838" s="8" t="s">
        <v>67</v>
      </c>
      <c r="E838" s="8">
        <v>2.0</v>
      </c>
      <c r="F838" s="8">
        <v>0.5</v>
      </c>
    </row>
    <row r="839" ht="15.75" customHeight="1">
      <c r="C839" s="8" t="s">
        <v>63</v>
      </c>
      <c r="E839" s="8">
        <v>4.0</v>
      </c>
      <c r="F839" s="8">
        <v>2.0</v>
      </c>
    </row>
    <row r="840" ht="15.75" customHeight="1">
      <c r="C840" s="8" t="s">
        <v>63</v>
      </c>
      <c r="E840" s="8">
        <v>7.0</v>
      </c>
      <c r="F840" s="8">
        <v>1.0</v>
      </c>
    </row>
    <row r="841" ht="15.75" customHeight="1">
      <c r="C841" s="8" t="s">
        <v>63</v>
      </c>
      <c r="D841" s="8" t="s">
        <v>97</v>
      </c>
      <c r="E841" s="8">
        <v>15.0</v>
      </c>
      <c r="F841" s="8">
        <v>2.0</v>
      </c>
    </row>
    <row r="842" ht="15.75" customHeight="1">
      <c r="C842" s="8" t="s">
        <v>759</v>
      </c>
      <c r="D842" s="8" t="s">
        <v>75</v>
      </c>
      <c r="E842" s="8">
        <v>7.0</v>
      </c>
      <c r="F842" s="8">
        <v>1.0</v>
      </c>
    </row>
    <row r="843" ht="15.75" customHeight="1">
      <c r="C843" s="8" t="s">
        <v>759</v>
      </c>
      <c r="D843" s="8" t="s">
        <v>75</v>
      </c>
      <c r="E843" s="8">
        <v>3.0</v>
      </c>
      <c r="F843" s="8">
        <v>1.0</v>
      </c>
    </row>
    <row r="844" ht="15.75" customHeight="1">
      <c r="C844" s="8" t="s">
        <v>63</v>
      </c>
      <c r="E844" s="8">
        <v>3.0</v>
      </c>
      <c r="F844" s="8">
        <v>1.0</v>
      </c>
    </row>
    <row r="845" ht="15.75" customHeight="1">
      <c r="C845" s="8" t="s">
        <v>63</v>
      </c>
      <c r="E845" s="8">
        <v>3.0</v>
      </c>
      <c r="F845" s="8">
        <v>1.0</v>
      </c>
    </row>
    <row r="846" ht="15.75" customHeight="1">
      <c r="C846" s="8" t="s">
        <v>63</v>
      </c>
      <c r="D846" s="8" t="s">
        <v>97</v>
      </c>
      <c r="E846" s="8">
        <v>8.0</v>
      </c>
      <c r="F846" s="8">
        <v>1.0</v>
      </c>
    </row>
    <row r="847" ht="15.75" customHeight="1">
      <c r="C847" s="8" t="s">
        <v>63</v>
      </c>
      <c r="E847" s="8">
        <v>3.0</v>
      </c>
      <c r="F847" s="8">
        <v>3.0</v>
      </c>
    </row>
    <row r="848" ht="15.75" customHeight="1">
      <c r="C848" s="8" t="s">
        <v>67</v>
      </c>
      <c r="E848" s="8">
        <v>4.0</v>
      </c>
      <c r="F848" s="8">
        <v>1.0</v>
      </c>
    </row>
    <row r="849" ht="15.75" customHeight="1">
      <c r="C849" s="8" t="s">
        <v>67</v>
      </c>
      <c r="E849" s="8">
        <v>2.0</v>
      </c>
      <c r="F849" s="8">
        <v>0.5</v>
      </c>
    </row>
    <row r="850" ht="15.75" customHeight="1">
      <c r="C850" s="8" t="s">
        <v>63</v>
      </c>
      <c r="E850" s="8">
        <v>3.0</v>
      </c>
      <c r="F850" s="8">
        <v>1.0</v>
      </c>
    </row>
    <row r="851" ht="15.75" customHeight="1">
      <c r="C851" s="8" t="s">
        <v>781</v>
      </c>
      <c r="D851" s="8" t="s">
        <v>89</v>
      </c>
      <c r="E851" s="8">
        <v>2.0</v>
      </c>
      <c r="F851" s="8">
        <v>1.0</v>
      </c>
    </row>
    <row r="852" ht="15.75" customHeight="1">
      <c r="C852" s="8" t="s">
        <v>759</v>
      </c>
      <c r="D852" s="8" t="s">
        <v>75</v>
      </c>
      <c r="E852" s="8">
        <v>4.0</v>
      </c>
      <c r="F852" s="8">
        <v>1.0</v>
      </c>
    </row>
    <row r="853" ht="15.75" customHeight="1">
      <c r="C853" s="8" t="s">
        <v>759</v>
      </c>
      <c r="D853" s="8" t="s">
        <v>75</v>
      </c>
      <c r="E853" s="8">
        <v>15.0</v>
      </c>
      <c r="F853" s="8">
        <v>2.0</v>
      </c>
    </row>
    <row r="854" ht="15.75" customHeight="1">
      <c r="C854" s="8" t="s">
        <v>77</v>
      </c>
      <c r="D854" s="8" t="s">
        <v>931</v>
      </c>
      <c r="E854" s="8">
        <v>5.0</v>
      </c>
      <c r="F854" s="8">
        <v>4.0</v>
      </c>
    </row>
    <row r="855" ht="15.75" customHeight="1">
      <c r="C855" s="8" t="s">
        <v>63</v>
      </c>
      <c r="E855" s="8">
        <v>12.0</v>
      </c>
      <c r="F855" s="8">
        <v>7.0</v>
      </c>
    </row>
    <row r="856" ht="15.75" customHeight="1">
      <c r="C856" s="8" t="s">
        <v>63</v>
      </c>
      <c r="E856" s="8">
        <v>20.0</v>
      </c>
      <c r="F856" s="8">
        <v>8.0</v>
      </c>
    </row>
    <row r="857" ht="15.75" customHeight="1">
      <c r="C857" s="8" t="s">
        <v>93</v>
      </c>
      <c r="E857" s="8">
        <v>15.0</v>
      </c>
      <c r="F857" s="8">
        <v>5.0</v>
      </c>
    </row>
    <row r="858" ht="15.75" customHeight="1">
      <c r="C858" s="8" t="s">
        <v>67</v>
      </c>
      <c r="E858" s="8">
        <v>3.0</v>
      </c>
      <c r="F858" s="8">
        <v>1.0</v>
      </c>
    </row>
    <row r="859" ht="15.75" customHeight="1">
      <c r="C859" s="8" t="s">
        <v>63</v>
      </c>
      <c r="E859" s="8">
        <v>21.0</v>
      </c>
      <c r="F859" s="8">
        <v>10.0</v>
      </c>
    </row>
    <row r="860" ht="15.75" customHeight="1">
      <c r="C860" s="8" t="s">
        <v>63</v>
      </c>
      <c r="E860" s="8">
        <v>13.0</v>
      </c>
      <c r="F860" s="8">
        <v>7.0</v>
      </c>
    </row>
    <row r="861" ht="15.75" customHeight="1">
      <c r="C861" s="8" t="s">
        <v>63</v>
      </c>
      <c r="E861" s="8">
        <v>12.0</v>
      </c>
      <c r="F861" s="8">
        <v>7.0</v>
      </c>
    </row>
    <row r="862" ht="15.75" customHeight="1">
      <c r="C862" s="8" t="s">
        <v>63</v>
      </c>
      <c r="D862" s="8" t="s">
        <v>97</v>
      </c>
      <c r="E862" s="8">
        <v>10.0</v>
      </c>
      <c r="F862" s="8">
        <v>2.0</v>
      </c>
    </row>
    <row r="863" ht="15.75" customHeight="1">
      <c r="C863" s="8" t="s">
        <v>63</v>
      </c>
      <c r="E863" s="8">
        <v>3.0</v>
      </c>
      <c r="F863" s="8">
        <v>1.0</v>
      </c>
    </row>
    <row r="864" ht="15.75" customHeight="1">
      <c r="C864" s="8" t="s">
        <v>63</v>
      </c>
      <c r="D864" s="8" t="s">
        <v>97</v>
      </c>
      <c r="E864" s="8">
        <v>10.0</v>
      </c>
      <c r="F864" s="8">
        <v>2.0</v>
      </c>
    </row>
    <row r="865" ht="15.75" customHeight="1">
      <c r="C865" s="8" t="s">
        <v>63</v>
      </c>
      <c r="D865" s="8" t="s">
        <v>97</v>
      </c>
      <c r="E865" s="8">
        <v>16.0</v>
      </c>
      <c r="F865" s="8">
        <v>2.0</v>
      </c>
    </row>
    <row r="866" ht="15.75" customHeight="1">
      <c r="C866" s="8" t="s">
        <v>759</v>
      </c>
      <c r="D866" s="8" t="s">
        <v>75</v>
      </c>
      <c r="E866" s="8">
        <v>15.0</v>
      </c>
      <c r="F866" s="8">
        <v>2.0</v>
      </c>
    </row>
    <row r="867" ht="15.75" customHeight="1">
      <c r="C867" s="8" t="s">
        <v>67</v>
      </c>
      <c r="E867" s="8">
        <v>2.0</v>
      </c>
      <c r="F867" s="8">
        <v>1.0</v>
      </c>
    </row>
    <row r="868" ht="15.75" customHeight="1">
      <c r="C868" s="8" t="s">
        <v>63</v>
      </c>
      <c r="E868" s="8">
        <v>3.0</v>
      </c>
      <c r="F868" s="8">
        <v>2.0</v>
      </c>
    </row>
    <row r="869" ht="15.75" customHeight="1">
      <c r="C869" s="8" t="s">
        <v>63</v>
      </c>
      <c r="E869" s="8">
        <v>12.0</v>
      </c>
      <c r="F869" s="8">
        <v>4.0</v>
      </c>
    </row>
    <row r="870" ht="15.75" customHeight="1">
      <c r="A870" s="63" t="s">
        <v>35</v>
      </c>
      <c r="B870" s="8" t="s">
        <v>4</v>
      </c>
      <c r="C870" s="8" t="s">
        <v>759</v>
      </c>
      <c r="D870" s="8" t="s">
        <v>75</v>
      </c>
      <c r="E870" s="8">
        <v>7.0</v>
      </c>
      <c r="F870" s="8">
        <v>1.0</v>
      </c>
    </row>
    <row r="871" ht="15.75" customHeight="1">
      <c r="C871" s="8" t="s">
        <v>781</v>
      </c>
      <c r="D871" s="8" t="s">
        <v>89</v>
      </c>
      <c r="E871" s="8">
        <v>2.0</v>
      </c>
      <c r="F871" s="8">
        <v>0.5</v>
      </c>
    </row>
    <row r="872" ht="15.75" customHeight="1">
      <c r="C872" s="8" t="s">
        <v>781</v>
      </c>
      <c r="D872" s="8" t="s">
        <v>89</v>
      </c>
      <c r="E872" s="8">
        <v>2.0</v>
      </c>
      <c r="F872" s="8">
        <v>1.0</v>
      </c>
    </row>
    <row r="873" ht="15.75" customHeight="1">
      <c r="C873" s="8" t="s">
        <v>759</v>
      </c>
      <c r="D873" s="8" t="s">
        <v>75</v>
      </c>
      <c r="E873" s="8">
        <v>7.0</v>
      </c>
      <c r="F873" s="8">
        <v>1.0</v>
      </c>
    </row>
    <row r="874" ht="15.75" customHeight="1">
      <c r="C874" s="8" t="s">
        <v>759</v>
      </c>
      <c r="D874" s="8" t="s">
        <v>75</v>
      </c>
      <c r="E874" s="8">
        <v>3.0</v>
      </c>
      <c r="F874" s="8">
        <v>1.0</v>
      </c>
    </row>
    <row r="875" ht="15.75" customHeight="1">
      <c r="C875" s="8" t="s">
        <v>759</v>
      </c>
      <c r="D875" s="8" t="s">
        <v>75</v>
      </c>
      <c r="E875" s="8">
        <v>5.0</v>
      </c>
      <c r="F875" s="8">
        <v>1.0</v>
      </c>
    </row>
    <row r="876" ht="15.75" customHeight="1">
      <c r="C876" s="8" t="s">
        <v>781</v>
      </c>
      <c r="D876" s="8" t="s">
        <v>89</v>
      </c>
      <c r="E876" s="8">
        <v>2.0</v>
      </c>
      <c r="F876" s="8">
        <v>1.0</v>
      </c>
    </row>
    <row r="877" ht="15.75" customHeight="1">
      <c r="C877" s="8" t="s">
        <v>781</v>
      </c>
      <c r="D877" s="8" t="s">
        <v>89</v>
      </c>
      <c r="E877" s="8">
        <v>3.0</v>
      </c>
      <c r="F877" s="8">
        <v>1.0</v>
      </c>
    </row>
    <row r="878" ht="15.75" customHeight="1">
      <c r="C878" s="8" t="s">
        <v>781</v>
      </c>
      <c r="D878" s="8" t="s">
        <v>89</v>
      </c>
      <c r="E878" s="8">
        <v>2.0</v>
      </c>
      <c r="F878" s="8">
        <v>1.0</v>
      </c>
    </row>
    <row r="879" ht="15.75" customHeight="1">
      <c r="C879" s="8" t="s">
        <v>781</v>
      </c>
      <c r="D879" s="8" t="s">
        <v>89</v>
      </c>
      <c r="E879" s="8">
        <v>3.0</v>
      </c>
      <c r="F879" s="8">
        <v>1.0</v>
      </c>
    </row>
    <row r="880" ht="15.75" customHeight="1">
      <c r="C880" s="8" t="s">
        <v>781</v>
      </c>
      <c r="D880" s="8" t="s">
        <v>89</v>
      </c>
      <c r="E880" s="8">
        <v>2.0</v>
      </c>
      <c r="F880" s="8">
        <v>1.0</v>
      </c>
    </row>
    <row r="881" ht="15.75" customHeight="1">
      <c r="C881" s="8" t="s">
        <v>781</v>
      </c>
      <c r="D881" s="8" t="s">
        <v>89</v>
      </c>
      <c r="E881" s="8">
        <v>2.0</v>
      </c>
      <c r="F881" s="8">
        <v>1.0</v>
      </c>
    </row>
    <row r="882" ht="15.75" customHeight="1">
      <c r="C882" s="8" t="s">
        <v>781</v>
      </c>
      <c r="D882" s="8" t="s">
        <v>89</v>
      </c>
      <c r="E882" s="8">
        <v>2.0</v>
      </c>
      <c r="F882" s="8">
        <v>1.0</v>
      </c>
    </row>
    <row r="883" ht="15.75" customHeight="1">
      <c r="C883" s="8" t="s">
        <v>63</v>
      </c>
      <c r="D883" s="8" t="s">
        <v>97</v>
      </c>
      <c r="E883" s="8">
        <v>3.0</v>
      </c>
      <c r="F883" s="8">
        <v>1.0</v>
      </c>
    </row>
    <row r="884" ht="15.75" customHeight="1">
      <c r="C884" s="8" t="s">
        <v>67</v>
      </c>
      <c r="E884" s="8">
        <v>1.0</v>
      </c>
      <c r="F884" s="8">
        <v>0.5</v>
      </c>
    </row>
    <row r="885" ht="15.75" customHeight="1">
      <c r="C885" s="8" t="s">
        <v>77</v>
      </c>
      <c r="D885" s="8" t="s">
        <v>931</v>
      </c>
      <c r="E885" s="8">
        <v>3.0</v>
      </c>
      <c r="F885" s="8">
        <v>1.0</v>
      </c>
    </row>
    <row r="886" ht="15.75" customHeight="1">
      <c r="C886" s="8" t="s">
        <v>781</v>
      </c>
      <c r="D886" s="8" t="s">
        <v>89</v>
      </c>
      <c r="E886" s="8">
        <v>2.0</v>
      </c>
      <c r="F886" s="8">
        <v>1.0</v>
      </c>
    </row>
    <row r="887" ht="15.75" customHeight="1">
      <c r="C887" s="8" t="s">
        <v>781</v>
      </c>
      <c r="D887" s="8" t="s">
        <v>89</v>
      </c>
      <c r="E887" s="8">
        <v>3.0</v>
      </c>
      <c r="F887" s="8">
        <v>1.0</v>
      </c>
    </row>
    <row r="888" ht="15.75" customHeight="1">
      <c r="C888" s="8" t="s">
        <v>67</v>
      </c>
      <c r="E888" s="8">
        <v>2.0</v>
      </c>
      <c r="F888" s="8">
        <v>0.5</v>
      </c>
    </row>
    <row r="889" ht="15.75" customHeight="1">
      <c r="C889" s="8" t="s">
        <v>67</v>
      </c>
      <c r="E889" s="8">
        <v>3.0</v>
      </c>
      <c r="F889" s="8">
        <v>1.0</v>
      </c>
    </row>
    <row r="890" ht="15.75" customHeight="1">
      <c r="C890" s="8" t="s">
        <v>781</v>
      </c>
      <c r="D890" s="8" t="s">
        <v>89</v>
      </c>
      <c r="E890" s="8">
        <v>2.0</v>
      </c>
      <c r="F890" s="8">
        <v>1.0</v>
      </c>
    </row>
    <row r="891" ht="15.75" customHeight="1">
      <c r="C891" s="8" t="s">
        <v>781</v>
      </c>
      <c r="D891" s="8" t="s">
        <v>89</v>
      </c>
      <c r="E891" s="8">
        <v>2.0</v>
      </c>
      <c r="F891" s="8">
        <v>1.0</v>
      </c>
    </row>
    <row r="892" ht="15.75" customHeight="1">
      <c r="C892" s="8" t="s">
        <v>759</v>
      </c>
      <c r="D892" s="8" t="s">
        <v>75</v>
      </c>
      <c r="E892" s="8">
        <v>7.0</v>
      </c>
      <c r="F892" s="8">
        <v>1.0</v>
      </c>
    </row>
    <row r="893" ht="15.75" customHeight="1">
      <c r="C893" s="8" t="s">
        <v>781</v>
      </c>
      <c r="D893" s="8" t="s">
        <v>89</v>
      </c>
      <c r="E893" s="8">
        <v>2.0</v>
      </c>
      <c r="F893" s="8">
        <v>1.0</v>
      </c>
    </row>
    <row r="894" ht="15.75" customHeight="1">
      <c r="C894" s="8" t="s">
        <v>781</v>
      </c>
      <c r="D894" s="8" t="s">
        <v>89</v>
      </c>
      <c r="E894" s="8">
        <v>1.0</v>
      </c>
      <c r="F894" s="8">
        <v>0.5</v>
      </c>
    </row>
    <row r="895" ht="15.75" customHeight="1">
      <c r="C895" s="8" t="s">
        <v>781</v>
      </c>
      <c r="D895" s="8" t="s">
        <v>89</v>
      </c>
      <c r="E895" s="8">
        <v>2.0</v>
      </c>
      <c r="F895" s="8">
        <v>1.0</v>
      </c>
    </row>
    <row r="896" ht="15.75" customHeight="1">
      <c r="C896" s="8" t="s">
        <v>91</v>
      </c>
      <c r="E896" s="8">
        <v>0.5</v>
      </c>
      <c r="F896" s="8">
        <v>0.5</v>
      </c>
    </row>
    <row r="897" ht="15.75" customHeight="1">
      <c r="C897" s="8" t="s">
        <v>759</v>
      </c>
      <c r="D897" s="8" t="s">
        <v>101</v>
      </c>
      <c r="E897" s="8">
        <v>3.0</v>
      </c>
      <c r="F897" s="8">
        <v>0.5</v>
      </c>
    </row>
    <row r="898" ht="15.75" customHeight="1">
      <c r="C898" s="8" t="s">
        <v>67</v>
      </c>
      <c r="E898" s="8">
        <v>2.0</v>
      </c>
      <c r="F898" s="8">
        <v>1.0</v>
      </c>
    </row>
    <row r="899" ht="15.75" customHeight="1">
      <c r="C899" s="8" t="s">
        <v>781</v>
      </c>
      <c r="D899" s="8" t="s">
        <v>89</v>
      </c>
      <c r="E899" s="8">
        <v>5.0</v>
      </c>
      <c r="F899" s="8">
        <v>2.0</v>
      </c>
    </row>
    <row r="900" ht="15.75" customHeight="1">
      <c r="C900" s="8" t="s">
        <v>781</v>
      </c>
      <c r="D900" s="8" t="s">
        <v>89</v>
      </c>
      <c r="E900" s="8">
        <v>2.0</v>
      </c>
      <c r="F900" s="8">
        <v>1.0</v>
      </c>
    </row>
    <row r="901" ht="15.75" customHeight="1">
      <c r="C901" s="8" t="s">
        <v>781</v>
      </c>
      <c r="D901" s="8" t="s">
        <v>89</v>
      </c>
      <c r="E901" s="8">
        <v>3.0</v>
      </c>
      <c r="F901" s="8">
        <v>1.0</v>
      </c>
    </row>
    <row r="902" ht="15.75" customHeight="1">
      <c r="C902" s="8" t="s">
        <v>781</v>
      </c>
      <c r="D902" s="8" t="s">
        <v>89</v>
      </c>
      <c r="E902" s="8">
        <v>2.0</v>
      </c>
      <c r="F902" s="8">
        <v>1.0</v>
      </c>
    </row>
    <row r="903" ht="15.75" customHeight="1">
      <c r="C903" s="8" t="s">
        <v>59</v>
      </c>
      <c r="D903" s="8" t="s">
        <v>83</v>
      </c>
      <c r="E903" s="8">
        <v>5.0</v>
      </c>
      <c r="F903" s="8">
        <v>1.0</v>
      </c>
      <c r="G903" s="8" t="s">
        <v>947</v>
      </c>
    </row>
    <row r="904" ht="15.75" customHeight="1">
      <c r="C904" s="8" t="s">
        <v>759</v>
      </c>
      <c r="D904" s="8" t="s">
        <v>75</v>
      </c>
      <c r="E904" s="8">
        <v>7.0</v>
      </c>
      <c r="F904" s="8">
        <v>1.0</v>
      </c>
    </row>
    <row r="905" ht="15.75" customHeight="1">
      <c r="C905" s="8" t="s">
        <v>67</v>
      </c>
      <c r="E905" s="8">
        <v>2.0</v>
      </c>
      <c r="F905" s="8">
        <v>0.5</v>
      </c>
    </row>
    <row r="906" ht="15.75" customHeight="1">
      <c r="C906" s="8" t="s">
        <v>781</v>
      </c>
      <c r="D906" s="8" t="s">
        <v>89</v>
      </c>
      <c r="E906" s="8">
        <v>2.0</v>
      </c>
      <c r="F906" s="8">
        <v>1.0</v>
      </c>
    </row>
    <row r="907" ht="15.75" customHeight="1">
      <c r="C907" s="8" t="s">
        <v>781</v>
      </c>
      <c r="D907" s="8" t="s">
        <v>89</v>
      </c>
      <c r="E907" s="8">
        <v>3.0</v>
      </c>
      <c r="F907" s="8">
        <v>1.0</v>
      </c>
    </row>
    <row r="908" ht="15.75" customHeight="1">
      <c r="C908" s="8" t="s">
        <v>781</v>
      </c>
      <c r="D908" s="8" t="s">
        <v>89</v>
      </c>
      <c r="E908" s="8">
        <v>2.0</v>
      </c>
      <c r="F908" s="8">
        <v>1.0</v>
      </c>
    </row>
    <row r="909" ht="15.75" customHeight="1">
      <c r="C909" s="8" t="s">
        <v>781</v>
      </c>
      <c r="D909" s="8" t="s">
        <v>89</v>
      </c>
      <c r="E909" s="8">
        <v>2.0</v>
      </c>
      <c r="F909" s="8">
        <v>1.0</v>
      </c>
    </row>
    <row r="910" ht="15.75" customHeight="1">
      <c r="C910" s="8" t="s">
        <v>781</v>
      </c>
      <c r="D910" s="8" t="s">
        <v>89</v>
      </c>
      <c r="E910" s="8">
        <v>2.0</v>
      </c>
      <c r="F910" s="8">
        <v>1.0</v>
      </c>
    </row>
    <row r="911" ht="15.75" customHeight="1">
      <c r="C911" s="8" t="s">
        <v>781</v>
      </c>
      <c r="D911" s="8" t="s">
        <v>89</v>
      </c>
      <c r="E911" s="8">
        <v>3.0</v>
      </c>
      <c r="F911" s="8">
        <v>1.0</v>
      </c>
    </row>
    <row r="912" ht="15.75" customHeight="1">
      <c r="C912" s="8" t="s">
        <v>948</v>
      </c>
      <c r="E912" s="8">
        <v>3.0</v>
      </c>
      <c r="F912" s="8">
        <v>1.0</v>
      </c>
    </row>
    <row r="913" ht="15.75" customHeight="1">
      <c r="C913" s="8" t="s">
        <v>949</v>
      </c>
      <c r="D913" s="8" t="s">
        <v>89</v>
      </c>
      <c r="E913" s="8">
        <v>2.0</v>
      </c>
      <c r="F913" s="8">
        <v>1.0</v>
      </c>
    </row>
    <row r="914" ht="15.75" customHeight="1">
      <c r="C914" s="8" t="s">
        <v>949</v>
      </c>
      <c r="D914" s="8" t="s">
        <v>89</v>
      </c>
      <c r="E914" s="8">
        <v>1.0</v>
      </c>
      <c r="F914" s="8">
        <v>0.5</v>
      </c>
    </row>
    <row r="915" ht="15.75" customHeight="1">
      <c r="C915" s="8" t="s">
        <v>67</v>
      </c>
      <c r="E915" s="8">
        <v>1.0</v>
      </c>
      <c r="F915" s="8">
        <v>0.5</v>
      </c>
    </row>
    <row r="916" ht="15.75" customHeight="1">
      <c r="C916" s="8" t="s">
        <v>63</v>
      </c>
      <c r="E916" s="8">
        <v>3.0</v>
      </c>
      <c r="F916" s="8">
        <v>1.0</v>
      </c>
    </row>
    <row r="917" ht="15.75" customHeight="1">
      <c r="C917" s="8" t="s">
        <v>781</v>
      </c>
      <c r="D917" s="8" t="s">
        <v>89</v>
      </c>
      <c r="E917" s="8">
        <v>2.0</v>
      </c>
      <c r="F917" s="8">
        <v>0.5</v>
      </c>
    </row>
    <row r="918" ht="15.75" customHeight="1">
      <c r="C918" s="8" t="s">
        <v>63</v>
      </c>
      <c r="D918" s="8" t="s">
        <v>97</v>
      </c>
      <c r="E918" s="8">
        <v>3.0</v>
      </c>
      <c r="F918" s="8">
        <v>1.0</v>
      </c>
    </row>
    <row r="919" ht="15.75" customHeight="1">
      <c r="C919" s="8" t="s">
        <v>781</v>
      </c>
      <c r="D919" s="8" t="s">
        <v>89</v>
      </c>
      <c r="E919" s="8">
        <v>3.0</v>
      </c>
      <c r="F919" s="8">
        <v>1.0</v>
      </c>
    </row>
    <row r="920" ht="15.75" customHeight="1">
      <c r="C920" s="8" t="s">
        <v>67</v>
      </c>
      <c r="E920" s="8">
        <v>2.0</v>
      </c>
      <c r="F920" s="8">
        <v>0.5</v>
      </c>
    </row>
    <row r="921" ht="15.75" customHeight="1">
      <c r="C921" s="8" t="s">
        <v>57</v>
      </c>
      <c r="E921" s="8">
        <v>2.0</v>
      </c>
      <c r="F921" s="8">
        <v>1.0</v>
      </c>
    </row>
    <row r="922" ht="15.75" customHeight="1">
      <c r="C922" s="8" t="s">
        <v>759</v>
      </c>
      <c r="D922" s="8" t="s">
        <v>75</v>
      </c>
      <c r="E922" s="8">
        <v>7.0</v>
      </c>
      <c r="F922" s="8">
        <v>1.0</v>
      </c>
    </row>
    <row r="923" ht="15.75" customHeight="1">
      <c r="C923" s="8" t="s">
        <v>759</v>
      </c>
      <c r="D923" s="8" t="s">
        <v>75</v>
      </c>
      <c r="E923" s="8">
        <v>7.0</v>
      </c>
      <c r="F923" s="8">
        <v>1.0</v>
      </c>
    </row>
    <row r="924" ht="15.75" customHeight="1">
      <c r="C924" s="8" t="s">
        <v>759</v>
      </c>
      <c r="D924" s="8" t="s">
        <v>75</v>
      </c>
      <c r="E924" s="8">
        <v>5.0</v>
      </c>
      <c r="F924" s="8">
        <v>1.0</v>
      </c>
    </row>
    <row r="925" ht="15.75" customHeight="1">
      <c r="C925" s="8" t="s">
        <v>781</v>
      </c>
      <c r="D925" s="8" t="s">
        <v>924</v>
      </c>
      <c r="E925" s="8">
        <v>1.0</v>
      </c>
      <c r="F925" s="8">
        <v>0.5</v>
      </c>
    </row>
    <row r="926" ht="15.75" customHeight="1">
      <c r="C926" s="8" t="s">
        <v>781</v>
      </c>
      <c r="D926" s="8" t="s">
        <v>89</v>
      </c>
      <c r="E926" s="8">
        <v>2.0</v>
      </c>
      <c r="F926" s="8">
        <v>1.0</v>
      </c>
    </row>
    <row r="927" ht="15.75" customHeight="1">
      <c r="C927" s="8" t="s">
        <v>781</v>
      </c>
      <c r="D927" s="8" t="s">
        <v>89</v>
      </c>
      <c r="E927" s="8">
        <v>2.0</v>
      </c>
      <c r="F927" s="8">
        <v>1.0</v>
      </c>
    </row>
    <row r="928" ht="15.75" customHeight="1">
      <c r="C928" s="8" t="s">
        <v>781</v>
      </c>
      <c r="D928" s="8" t="s">
        <v>89</v>
      </c>
      <c r="E928" s="8">
        <v>2.0</v>
      </c>
      <c r="F928" s="8">
        <v>1.0</v>
      </c>
    </row>
    <row r="929" ht="15.75" customHeight="1">
      <c r="C929" s="8" t="s">
        <v>781</v>
      </c>
      <c r="D929" s="8" t="s">
        <v>89</v>
      </c>
      <c r="E929" s="8">
        <v>3.0</v>
      </c>
      <c r="F929" s="8">
        <v>1.0</v>
      </c>
    </row>
    <row r="930" ht="15.75" customHeight="1">
      <c r="C930" s="8" t="s">
        <v>781</v>
      </c>
      <c r="D930" s="8" t="s">
        <v>89</v>
      </c>
      <c r="E930" s="8">
        <v>3.0</v>
      </c>
      <c r="F930" s="8">
        <v>1.0</v>
      </c>
    </row>
    <row r="931" ht="15.75" customHeight="1">
      <c r="C931" s="8" t="s">
        <v>781</v>
      </c>
      <c r="D931" s="8" t="s">
        <v>89</v>
      </c>
      <c r="E931" s="8">
        <v>3.0</v>
      </c>
      <c r="F931" s="8">
        <v>1.0</v>
      </c>
    </row>
    <row r="932" ht="15.75" customHeight="1">
      <c r="C932" s="8" t="s">
        <v>63</v>
      </c>
      <c r="E932" s="8">
        <v>1.0</v>
      </c>
      <c r="F932" s="8">
        <v>1.0</v>
      </c>
    </row>
    <row r="933" ht="15.75" customHeight="1">
      <c r="C933" s="8" t="s">
        <v>67</v>
      </c>
      <c r="E933" s="8">
        <v>3.0</v>
      </c>
      <c r="F933" s="8">
        <v>1.0</v>
      </c>
    </row>
    <row r="934" ht="15.75" customHeight="1">
      <c r="C934" s="8" t="s">
        <v>759</v>
      </c>
      <c r="D934" s="8" t="s">
        <v>75</v>
      </c>
      <c r="E934" s="8">
        <v>7.0</v>
      </c>
      <c r="F934" s="8">
        <v>1.0</v>
      </c>
    </row>
    <row r="935" ht="15.75" customHeight="1">
      <c r="C935" s="8" t="s">
        <v>781</v>
      </c>
      <c r="D935" s="8" t="s">
        <v>89</v>
      </c>
      <c r="E935" s="8">
        <v>2.0</v>
      </c>
      <c r="F935" s="8">
        <v>1.0</v>
      </c>
    </row>
    <row r="936" ht="15.75" customHeight="1">
      <c r="C936" s="8" t="s">
        <v>781</v>
      </c>
      <c r="D936" s="8" t="s">
        <v>89</v>
      </c>
      <c r="E936" s="8">
        <v>3.0</v>
      </c>
      <c r="F936" s="8">
        <v>1.0</v>
      </c>
    </row>
    <row r="937" ht="15.75" customHeight="1">
      <c r="C937" s="8" t="s">
        <v>781</v>
      </c>
      <c r="D937" s="8" t="s">
        <v>89</v>
      </c>
      <c r="E937" s="8">
        <v>3.0</v>
      </c>
      <c r="F937" s="8">
        <v>1.0</v>
      </c>
    </row>
    <row r="938" ht="15.75" customHeight="1">
      <c r="C938" s="8" t="s">
        <v>67</v>
      </c>
      <c r="E938" s="8">
        <v>3.0</v>
      </c>
      <c r="F938" s="8">
        <v>1.0</v>
      </c>
    </row>
    <row r="939" ht="15.75" customHeight="1">
      <c r="C939" s="8" t="s">
        <v>77</v>
      </c>
      <c r="D939" s="8" t="s">
        <v>931</v>
      </c>
      <c r="E939" s="8">
        <v>2.0</v>
      </c>
      <c r="F939" s="8">
        <v>0.5</v>
      </c>
    </row>
    <row r="940" ht="15.75" customHeight="1">
      <c r="C940" s="8" t="s">
        <v>59</v>
      </c>
      <c r="D940" s="8" t="s">
        <v>59</v>
      </c>
      <c r="E940" s="8">
        <v>10.0</v>
      </c>
      <c r="F940" s="8">
        <v>4.0</v>
      </c>
      <c r="G940" s="8" t="s">
        <v>836</v>
      </c>
    </row>
    <row r="941" ht="15.75" customHeight="1">
      <c r="C941" s="8" t="s">
        <v>781</v>
      </c>
      <c r="D941" s="8" t="s">
        <v>89</v>
      </c>
      <c r="E941" s="8">
        <v>2.0</v>
      </c>
      <c r="F941" s="8">
        <v>1.0</v>
      </c>
    </row>
    <row r="942" ht="15.75" customHeight="1">
      <c r="C942" s="8" t="s">
        <v>59</v>
      </c>
      <c r="D942" s="8" t="s">
        <v>83</v>
      </c>
      <c r="E942" s="8">
        <v>5.0</v>
      </c>
      <c r="F942" s="8">
        <v>1.0</v>
      </c>
      <c r="G942" s="8" t="s">
        <v>947</v>
      </c>
    </row>
    <row r="943" ht="15.75" customHeight="1">
      <c r="C943" s="8" t="s">
        <v>67</v>
      </c>
      <c r="E943" s="8">
        <v>3.0</v>
      </c>
      <c r="F943" s="8">
        <v>1.0</v>
      </c>
    </row>
    <row r="944" ht="15.75" customHeight="1">
      <c r="C944" s="8" t="s">
        <v>67</v>
      </c>
      <c r="E944" s="8">
        <v>2.0</v>
      </c>
      <c r="F944" s="8">
        <v>0.5</v>
      </c>
    </row>
    <row r="945" ht="15.75" customHeight="1">
      <c r="C945" s="8" t="s">
        <v>67</v>
      </c>
      <c r="E945" s="8">
        <v>2.0</v>
      </c>
      <c r="F945" s="8">
        <v>0.5</v>
      </c>
    </row>
    <row r="946" ht="15.75" customHeight="1">
      <c r="C946" s="8" t="s">
        <v>781</v>
      </c>
      <c r="D946" s="8" t="s">
        <v>89</v>
      </c>
      <c r="E946" s="8">
        <v>2.0</v>
      </c>
      <c r="F946" s="8">
        <v>1.0</v>
      </c>
    </row>
    <row r="947" ht="15.75" customHeight="1">
      <c r="C947" s="8" t="s">
        <v>759</v>
      </c>
      <c r="D947" s="8" t="s">
        <v>75</v>
      </c>
      <c r="E947" s="8">
        <v>5.0</v>
      </c>
      <c r="F947" s="8">
        <v>1.0</v>
      </c>
    </row>
    <row r="948" ht="15.75" customHeight="1">
      <c r="C948" s="8" t="s">
        <v>63</v>
      </c>
      <c r="E948" s="8">
        <v>2.0</v>
      </c>
      <c r="F948" s="8">
        <v>1.0</v>
      </c>
    </row>
    <row r="949" ht="15.75" customHeight="1">
      <c r="C949" s="8" t="s">
        <v>759</v>
      </c>
      <c r="D949" s="8" t="s">
        <v>101</v>
      </c>
      <c r="E949" s="8">
        <v>2.0</v>
      </c>
      <c r="F949" s="8">
        <v>0.5</v>
      </c>
    </row>
    <row r="950" ht="15.75" customHeight="1">
      <c r="C950" s="8" t="s">
        <v>781</v>
      </c>
      <c r="D950" s="8" t="s">
        <v>89</v>
      </c>
      <c r="E950" s="8">
        <v>2.0</v>
      </c>
      <c r="F950" s="8">
        <v>1.0</v>
      </c>
    </row>
    <row r="951" ht="15.75" customHeight="1">
      <c r="C951" s="8" t="s">
        <v>781</v>
      </c>
      <c r="D951" s="8" t="s">
        <v>89</v>
      </c>
      <c r="E951" s="8">
        <v>2.0</v>
      </c>
      <c r="F951" s="8">
        <v>1.0</v>
      </c>
    </row>
    <row r="952" ht="15.75" customHeight="1">
      <c r="C952" s="8" t="s">
        <v>781</v>
      </c>
      <c r="D952" s="8" t="s">
        <v>89</v>
      </c>
      <c r="E952" s="8">
        <v>2.0</v>
      </c>
      <c r="F952" s="8">
        <v>1.0</v>
      </c>
    </row>
    <row r="953" ht="15.75" customHeight="1">
      <c r="C953" s="8" t="s">
        <v>63</v>
      </c>
      <c r="E953" s="8">
        <v>3.0</v>
      </c>
      <c r="F953" s="8">
        <v>2.0</v>
      </c>
    </row>
    <row r="954" ht="15.75" customHeight="1">
      <c r="C954" s="8" t="s">
        <v>781</v>
      </c>
      <c r="D954" s="8" t="s">
        <v>924</v>
      </c>
      <c r="E954" s="8">
        <v>2.0</v>
      </c>
      <c r="F954" s="8">
        <v>1.0</v>
      </c>
    </row>
    <row r="955" ht="15.75" customHeight="1">
      <c r="A955" s="63" t="s">
        <v>38</v>
      </c>
      <c r="B955" s="8" t="s">
        <v>4</v>
      </c>
      <c r="C955" s="8" t="s">
        <v>69</v>
      </c>
      <c r="E955" s="8">
        <v>13.0</v>
      </c>
      <c r="F955" s="8">
        <v>2.0</v>
      </c>
    </row>
    <row r="956" ht="15.75" customHeight="1">
      <c r="C956" s="8" t="s">
        <v>69</v>
      </c>
      <c r="E956" s="8">
        <v>11.0</v>
      </c>
      <c r="F956" s="8">
        <v>2.0</v>
      </c>
    </row>
    <row r="957" ht="15.75" customHeight="1">
      <c r="C957" s="8" t="s">
        <v>759</v>
      </c>
      <c r="D957" s="8" t="s">
        <v>101</v>
      </c>
      <c r="E957" s="8">
        <v>19.0</v>
      </c>
      <c r="F957" s="8">
        <v>2.0</v>
      </c>
    </row>
    <row r="958" ht="15.75" customHeight="1">
      <c r="C958" s="8" t="s">
        <v>91</v>
      </c>
      <c r="E958" s="8">
        <v>3.0</v>
      </c>
      <c r="F958" s="8">
        <v>2.0</v>
      </c>
    </row>
    <row r="959" ht="15.75" customHeight="1">
      <c r="C959" s="8" t="s">
        <v>766</v>
      </c>
      <c r="D959" s="8" t="s">
        <v>85</v>
      </c>
      <c r="E959" s="8">
        <v>13.0</v>
      </c>
      <c r="F959" s="8">
        <v>1.0</v>
      </c>
    </row>
    <row r="960" ht="15.75" customHeight="1">
      <c r="C960" s="8" t="s">
        <v>759</v>
      </c>
      <c r="D960" s="8" t="s">
        <v>75</v>
      </c>
      <c r="E960" s="8">
        <v>2.0</v>
      </c>
      <c r="F960" s="8">
        <v>1.0</v>
      </c>
    </row>
    <row r="961" ht="15.75" customHeight="1">
      <c r="C961" s="8" t="s">
        <v>759</v>
      </c>
      <c r="D961" s="8" t="s">
        <v>75</v>
      </c>
      <c r="E961" s="8">
        <v>13.0</v>
      </c>
      <c r="F961" s="8">
        <v>2.0</v>
      </c>
    </row>
    <row r="962" ht="15.75" customHeight="1">
      <c r="C962" s="8" t="s">
        <v>759</v>
      </c>
      <c r="D962" s="8" t="s">
        <v>75</v>
      </c>
      <c r="E962" s="8">
        <v>15.0</v>
      </c>
      <c r="F962" s="8">
        <v>2.0</v>
      </c>
    </row>
    <row r="963" ht="15.75" customHeight="1">
      <c r="C963" s="8" t="s">
        <v>63</v>
      </c>
      <c r="E963" s="8">
        <v>3.0</v>
      </c>
      <c r="F963" s="8">
        <v>1.0</v>
      </c>
    </row>
    <row r="964" ht="15.75" customHeight="1">
      <c r="C964" s="8" t="s">
        <v>63</v>
      </c>
      <c r="D964" s="8" t="s">
        <v>85</v>
      </c>
      <c r="E964" s="8">
        <v>6.0</v>
      </c>
      <c r="F964" s="8">
        <v>2.0</v>
      </c>
    </row>
    <row r="965" ht="15.75" customHeight="1">
      <c r="C965" s="8" t="s">
        <v>91</v>
      </c>
      <c r="E965" s="8">
        <v>3.0</v>
      </c>
      <c r="F965" s="8">
        <v>2.0</v>
      </c>
    </row>
    <row r="966" ht="15.75" customHeight="1">
      <c r="C966" s="8" t="s">
        <v>781</v>
      </c>
      <c r="D966" s="8" t="s">
        <v>924</v>
      </c>
      <c r="E966" s="8">
        <v>3.0</v>
      </c>
      <c r="F966" s="8">
        <v>0.5</v>
      </c>
    </row>
    <row r="967" ht="15.75" customHeight="1">
      <c r="C967" s="8" t="s">
        <v>759</v>
      </c>
      <c r="D967" s="8" t="s">
        <v>75</v>
      </c>
      <c r="E967" s="8">
        <v>5.0</v>
      </c>
      <c r="F967" s="8">
        <v>1.0</v>
      </c>
    </row>
    <row r="968" ht="15.75" customHeight="1">
      <c r="C968" s="8" t="s">
        <v>759</v>
      </c>
      <c r="D968" s="8" t="s">
        <v>75</v>
      </c>
      <c r="E968" s="8">
        <v>15.0</v>
      </c>
      <c r="F968" s="8">
        <v>2.0</v>
      </c>
    </row>
    <row r="969" ht="15.75" customHeight="1">
      <c r="C969" s="8" t="s">
        <v>63</v>
      </c>
      <c r="E969" s="8">
        <v>2.0</v>
      </c>
      <c r="F969" s="8">
        <v>1.0</v>
      </c>
    </row>
    <row r="970" ht="15.75" customHeight="1">
      <c r="C970" s="8" t="s">
        <v>781</v>
      </c>
      <c r="D970" s="8" t="s">
        <v>89</v>
      </c>
      <c r="E970" s="8">
        <v>3.0</v>
      </c>
      <c r="F970" s="8">
        <v>1.0</v>
      </c>
    </row>
    <row r="971" ht="15.75" customHeight="1">
      <c r="C971" s="8" t="s">
        <v>759</v>
      </c>
      <c r="D971" s="8" t="s">
        <v>75</v>
      </c>
      <c r="E971" s="8">
        <v>5.0</v>
      </c>
      <c r="F971" s="8">
        <v>1.0</v>
      </c>
    </row>
    <row r="972" ht="15.75" customHeight="1">
      <c r="C972" s="8" t="s">
        <v>766</v>
      </c>
      <c r="E972" s="8">
        <v>3.0</v>
      </c>
      <c r="F972" s="8">
        <v>1.0</v>
      </c>
    </row>
    <row r="973" ht="15.75" customHeight="1">
      <c r="C973" s="8" t="s">
        <v>93</v>
      </c>
      <c r="E973" s="8">
        <v>5.0</v>
      </c>
      <c r="F973" s="8">
        <v>2.0</v>
      </c>
    </row>
    <row r="974" ht="15.75" customHeight="1">
      <c r="C974" s="8" t="s">
        <v>63</v>
      </c>
      <c r="E974" s="8">
        <v>2.0</v>
      </c>
      <c r="F974" s="8">
        <v>1.0</v>
      </c>
    </row>
    <row r="975" ht="15.75" customHeight="1">
      <c r="C975" s="8" t="s">
        <v>93</v>
      </c>
      <c r="D975" s="8" t="s">
        <v>73</v>
      </c>
      <c r="E975" s="8">
        <v>14.0</v>
      </c>
      <c r="F975" s="8">
        <v>3.0</v>
      </c>
    </row>
    <row r="976" ht="15.75" customHeight="1">
      <c r="C976" s="8" t="s">
        <v>63</v>
      </c>
      <c r="D976" s="8" t="s">
        <v>97</v>
      </c>
      <c r="E976" s="8">
        <v>10.0</v>
      </c>
      <c r="F976" s="8">
        <v>2.0</v>
      </c>
    </row>
    <row r="977" ht="15.75" customHeight="1">
      <c r="C977" s="8" t="s">
        <v>93</v>
      </c>
      <c r="E977" s="8">
        <v>5.0</v>
      </c>
      <c r="F977" s="8">
        <v>2.0</v>
      </c>
    </row>
    <row r="978" ht="15.75" customHeight="1">
      <c r="C978" s="8" t="s">
        <v>69</v>
      </c>
      <c r="E978" s="8">
        <v>12.0</v>
      </c>
      <c r="F978" s="8">
        <v>2.0</v>
      </c>
    </row>
    <row r="979" ht="15.75" customHeight="1">
      <c r="C979" s="8" t="s">
        <v>759</v>
      </c>
      <c r="D979" s="8" t="s">
        <v>75</v>
      </c>
      <c r="E979" s="8">
        <v>5.0</v>
      </c>
      <c r="F979" s="8">
        <v>1.0</v>
      </c>
    </row>
    <row r="980" ht="15.75" customHeight="1">
      <c r="C980" s="8" t="s">
        <v>63</v>
      </c>
      <c r="E980" s="8">
        <v>2.0</v>
      </c>
      <c r="F980" s="8">
        <v>0.5</v>
      </c>
    </row>
    <row r="981" ht="15.75" customHeight="1">
      <c r="C981" s="8" t="s">
        <v>59</v>
      </c>
      <c r="E981" s="8">
        <v>15.0</v>
      </c>
      <c r="F981" s="8">
        <v>8.0</v>
      </c>
    </row>
    <row r="982" ht="15.75" customHeight="1">
      <c r="C982" s="8" t="s">
        <v>67</v>
      </c>
      <c r="E982" s="8">
        <v>3.0</v>
      </c>
      <c r="F982" s="8">
        <v>1.0</v>
      </c>
    </row>
    <row r="983" ht="15.75" customHeight="1">
      <c r="C983" s="8" t="s">
        <v>63</v>
      </c>
      <c r="E983" s="8">
        <v>3.0</v>
      </c>
      <c r="F983" s="8">
        <v>1.0</v>
      </c>
    </row>
    <row r="984" ht="15.75" customHeight="1">
      <c r="C984" s="8" t="s">
        <v>63</v>
      </c>
      <c r="E984" s="8">
        <v>1.0</v>
      </c>
      <c r="F984" s="8">
        <v>0.5</v>
      </c>
    </row>
    <row r="985" ht="15.75" customHeight="1">
      <c r="C985" s="8" t="s">
        <v>781</v>
      </c>
      <c r="D985" s="8" t="s">
        <v>89</v>
      </c>
      <c r="E985" s="8">
        <v>2.0</v>
      </c>
      <c r="F985" s="8">
        <v>1.0</v>
      </c>
    </row>
    <row r="986" ht="15.75" customHeight="1">
      <c r="C986" s="8" t="s">
        <v>781</v>
      </c>
      <c r="D986" s="8" t="s">
        <v>89</v>
      </c>
      <c r="E986" s="8">
        <v>2.0</v>
      </c>
      <c r="F986" s="8">
        <v>1.0</v>
      </c>
    </row>
    <row r="987" ht="15.75" customHeight="1">
      <c r="C987" s="8" t="s">
        <v>781</v>
      </c>
      <c r="D987" s="8" t="s">
        <v>89</v>
      </c>
      <c r="E987" s="8">
        <v>2.0</v>
      </c>
      <c r="F987" s="8">
        <v>1.0</v>
      </c>
    </row>
    <row r="988" ht="15.75" customHeight="1">
      <c r="C988" s="8" t="s">
        <v>759</v>
      </c>
      <c r="D988" s="8" t="s">
        <v>75</v>
      </c>
      <c r="E988" s="8">
        <v>15.0</v>
      </c>
      <c r="F988" s="8">
        <v>1.0</v>
      </c>
    </row>
    <row r="989" ht="15.75" customHeight="1">
      <c r="C989" s="8" t="s">
        <v>759</v>
      </c>
      <c r="D989" s="8" t="s">
        <v>75</v>
      </c>
      <c r="E989" s="8">
        <v>5.0</v>
      </c>
      <c r="F989" s="8">
        <v>1.0</v>
      </c>
    </row>
    <row r="990" ht="15.75" customHeight="1">
      <c r="C990" s="8" t="s">
        <v>93</v>
      </c>
      <c r="E990" s="8">
        <v>5.0</v>
      </c>
      <c r="F990" s="8">
        <v>2.0</v>
      </c>
    </row>
    <row r="991" ht="15.75" customHeight="1">
      <c r="C991" s="8" t="s">
        <v>63</v>
      </c>
      <c r="D991" s="8" t="s">
        <v>85</v>
      </c>
      <c r="E991" s="8">
        <v>8.0</v>
      </c>
      <c r="F991" s="8">
        <v>2.0</v>
      </c>
    </row>
    <row r="992" ht="15.75" customHeight="1">
      <c r="C992" s="8" t="s">
        <v>63</v>
      </c>
      <c r="D992" s="8" t="s">
        <v>85</v>
      </c>
      <c r="E992" s="8">
        <v>3.0</v>
      </c>
      <c r="F992" s="8">
        <v>0.5</v>
      </c>
    </row>
    <row r="993" ht="15.75" customHeight="1">
      <c r="C993" s="8" t="s">
        <v>781</v>
      </c>
      <c r="D993" s="8" t="s">
        <v>89</v>
      </c>
      <c r="E993" s="8">
        <v>2.0</v>
      </c>
      <c r="F993" s="8">
        <v>1.0</v>
      </c>
    </row>
    <row r="994" ht="15.75" customHeight="1">
      <c r="C994" s="8" t="s">
        <v>63</v>
      </c>
      <c r="D994" s="8" t="s">
        <v>85</v>
      </c>
      <c r="E994" s="8">
        <v>2.0</v>
      </c>
      <c r="F994" s="8">
        <v>1.0</v>
      </c>
    </row>
    <row r="995" ht="15.75" customHeight="1">
      <c r="C995" s="8" t="s">
        <v>759</v>
      </c>
      <c r="D995" s="8" t="s">
        <v>75</v>
      </c>
      <c r="E995" s="8">
        <v>5.0</v>
      </c>
      <c r="F995" s="8">
        <v>1.0</v>
      </c>
    </row>
    <row r="996" ht="15.75" customHeight="1">
      <c r="C996" s="8" t="s">
        <v>63</v>
      </c>
      <c r="D996" s="8" t="s">
        <v>85</v>
      </c>
      <c r="E996" s="8">
        <v>6.0</v>
      </c>
      <c r="F996" s="8">
        <v>2.0</v>
      </c>
    </row>
    <row r="997" ht="15.75" customHeight="1">
      <c r="C997" s="8" t="s">
        <v>759</v>
      </c>
      <c r="D997" s="8" t="s">
        <v>75</v>
      </c>
      <c r="E997" s="8">
        <v>5.0</v>
      </c>
      <c r="F997" s="8">
        <v>1.0</v>
      </c>
    </row>
    <row r="998" ht="15.75" customHeight="1">
      <c r="C998" s="8" t="s">
        <v>63</v>
      </c>
      <c r="D998" s="8" t="s">
        <v>85</v>
      </c>
      <c r="E998" s="8">
        <v>4.0</v>
      </c>
      <c r="F998" s="8">
        <v>1.0</v>
      </c>
    </row>
    <row r="999" ht="15.75" customHeight="1">
      <c r="C999" s="8" t="s">
        <v>63</v>
      </c>
      <c r="E999" s="8">
        <v>15.0</v>
      </c>
      <c r="F999" s="8">
        <v>9.0</v>
      </c>
    </row>
    <row r="1000" ht="15.75" customHeight="1">
      <c r="C1000" s="8" t="s">
        <v>63</v>
      </c>
      <c r="E1000" s="8">
        <v>12.0</v>
      </c>
      <c r="F1000" s="8">
        <v>6.0</v>
      </c>
    </row>
    <row r="1001" ht="15.75" customHeight="1">
      <c r="C1001" s="8" t="s">
        <v>57</v>
      </c>
      <c r="E1001" s="8">
        <v>2.0</v>
      </c>
      <c r="F1001" s="8">
        <v>1.0</v>
      </c>
    </row>
    <row r="1002" ht="15.75" customHeight="1">
      <c r="C1002" s="8" t="s">
        <v>69</v>
      </c>
      <c r="E1002" s="8">
        <v>10.0</v>
      </c>
      <c r="F1002" s="8">
        <v>2.0</v>
      </c>
    </row>
    <row r="1003" ht="15.75" customHeight="1">
      <c r="C1003" s="8" t="s">
        <v>63</v>
      </c>
      <c r="D1003" s="8" t="s">
        <v>85</v>
      </c>
      <c r="E1003" s="8">
        <v>3.0</v>
      </c>
      <c r="F1003" s="8">
        <v>1.0</v>
      </c>
    </row>
    <row r="1004" ht="15.75" customHeight="1">
      <c r="C1004" s="8" t="s">
        <v>63</v>
      </c>
      <c r="D1004" s="8" t="s">
        <v>85</v>
      </c>
      <c r="E1004" s="8">
        <v>9.0</v>
      </c>
      <c r="F1004" s="8">
        <v>1.0</v>
      </c>
    </row>
    <row r="1005" ht="15.75" customHeight="1">
      <c r="C1005" s="8" t="s">
        <v>93</v>
      </c>
      <c r="D1005" s="8" t="s">
        <v>73</v>
      </c>
      <c r="E1005" s="8">
        <v>7.0</v>
      </c>
      <c r="F1005" s="8">
        <v>2.0</v>
      </c>
    </row>
    <row r="1006" ht="15.75" customHeight="1">
      <c r="C1006" s="8" t="s">
        <v>63</v>
      </c>
      <c r="D1006" s="8" t="s">
        <v>85</v>
      </c>
      <c r="E1006" s="8">
        <v>7.0</v>
      </c>
      <c r="F1006" s="8">
        <v>2.0</v>
      </c>
    </row>
    <row r="1007" ht="15.75" customHeight="1">
      <c r="C1007" s="8" t="s">
        <v>781</v>
      </c>
      <c r="D1007" s="8" t="s">
        <v>924</v>
      </c>
      <c r="E1007" s="8">
        <v>2.0</v>
      </c>
      <c r="F1007" s="8">
        <v>0.5</v>
      </c>
    </row>
    <row r="1008" ht="15.75" customHeight="1">
      <c r="C1008" s="8" t="s">
        <v>759</v>
      </c>
      <c r="D1008" s="8" t="s">
        <v>75</v>
      </c>
      <c r="E1008" s="8">
        <v>5.0</v>
      </c>
      <c r="F1008" s="8">
        <v>1.0</v>
      </c>
    </row>
    <row r="1009" ht="15.75" customHeight="1">
      <c r="C1009" s="8" t="s">
        <v>63</v>
      </c>
      <c r="E1009" s="8">
        <v>3.0</v>
      </c>
      <c r="F1009" s="8">
        <v>1.0</v>
      </c>
    </row>
    <row r="1010" ht="15.75" customHeight="1">
      <c r="C1010" s="8" t="s">
        <v>93</v>
      </c>
      <c r="E1010" s="8">
        <v>2.0</v>
      </c>
      <c r="F1010" s="8">
        <v>1.0</v>
      </c>
    </row>
    <row r="1011" ht="15.75" customHeight="1">
      <c r="C1011" s="8" t="s">
        <v>759</v>
      </c>
      <c r="D1011" s="8" t="s">
        <v>75</v>
      </c>
      <c r="E1011" s="8">
        <v>4.0</v>
      </c>
      <c r="F1011" s="8">
        <v>1.0</v>
      </c>
    </row>
    <row r="1012" ht="15.75" customHeight="1">
      <c r="C1012" s="8" t="s">
        <v>781</v>
      </c>
      <c r="D1012" s="8" t="s">
        <v>89</v>
      </c>
      <c r="E1012" s="8">
        <v>2.0</v>
      </c>
      <c r="F1012" s="8">
        <v>0.5</v>
      </c>
    </row>
    <row r="1013" ht="15.75" customHeight="1">
      <c r="C1013" s="8" t="s">
        <v>63</v>
      </c>
      <c r="D1013" s="8" t="s">
        <v>85</v>
      </c>
      <c r="E1013" s="8">
        <v>3.0</v>
      </c>
      <c r="F1013" s="8">
        <v>1.0</v>
      </c>
    </row>
    <row r="1014" ht="15.75" customHeight="1">
      <c r="C1014" s="8" t="s">
        <v>63</v>
      </c>
      <c r="D1014" s="8" t="s">
        <v>85</v>
      </c>
      <c r="E1014" s="8">
        <v>3.0</v>
      </c>
      <c r="F1014" s="8">
        <v>1.0</v>
      </c>
    </row>
    <row r="1015" ht="15.75" customHeight="1">
      <c r="C1015" s="8" t="s">
        <v>69</v>
      </c>
      <c r="E1015" s="8">
        <v>12.0</v>
      </c>
      <c r="F1015" s="8">
        <v>2.0</v>
      </c>
    </row>
    <row r="1016" ht="15.75" customHeight="1">
      <c r="C1016" s="8" t="s">
        <v>781</v>
      </c>
      <c r="D1016" s="8" t="s">
        <v>89</v>
      </c>
      <c r="E1016" s="8">
        <v>0.5</v>
      </c>
      <c r="F1016" s="8">
        <v>0.5</v>
      </c>
      <c r="G1016" s="8" t="s">
        <v>950</v>
      </c>
    </row>
    <row r="1017" ht="15.75" customHeight="1">
      <c r="C1017" s="8" t="s">
        <v>93</v>
      </c>
      <c r="E1017" s="8">
        <v>12.0</v>
      </c>
      <c r="F1017" s="8">
        <v>5.0</v>
      </c>
    </row>
    <row r="1018" ht="15.75" customHeight="1">
      <c r="C1018" s="8" t="s">
        <v>63</v>
      </c>
      <c r="D1018" s="8" t="s">
        <v>97</v>
      </c>
      <c r="E1018" s="8">
        <v>3.0</v>
      </c>
      <c r="F1018" s="8">
        <v>1.0</v>
      </c>
    </row>
    <row r="1019" ht="15.75" customHeight="1">
      <c r="C1019" s="8" t="s">
        <v>781</v>
      </c>
      <c r="D1019" s="8" t="s">
        <v>89</v>
      </c>
      <c r="E1019" s="8">
        <v>2.0</v>
      </c>
      <c r="F1019" s="8">
        <v>1.0</v>
      </c>
    </row>
    <row r="1020" ht="15.75" customHeight="1">
      <c r="C1020" s="8" t="s">
        <v>57</v>
      </c>
      <c r="E1020" s="8">
        <v>2.0</v>
      </c>
      <c r="F1020" s="8">
        <v>1.0</v>
      </c>
    </row>
    <row r="1021" ht="15.75" customHeight="1">
      <c r="C1021" s="8" t="s">
        <v>63</v>
      </c>
      <c r="D1021" s="8" t="s">
        <v>85</v>
      </c>
      <c r="E1021" s="8">
        <v>4.0</v>
      </c>
      <c r="F1021" s="8">
        <v>1.0</v>
      </c>
    </row>
    <row r="1022" ht="15.75" customHeight="1">
      <c r="C1022" s="8" t="s">
        <v>63</v>
      </c>
      <c r="D1022" s="8" t="s">
        <v>85</v>
      </c>
      <c r="E1022" s="8">
        <v>3.0</v>
      </c>
      <c r="F1022" s="8">
        <v>1.0</v>
      </c>
    </row>
    <row r="1023" ht="15.75" customHeight="1">
      <c r="C1023" s="8" t="s">
        <v>766</v>
      </c>
      <c r="E1023" s="8">
        <v>3.0</v>
      </c>
      <c r="F1023" s="8">
        <v>1.0</v>
      </c>
    </row>
    <row r="1024" ht="15.75" customHeight="1">
      <c r="C1024" s="8" t="s">
        <v>759</v>
      </c>
      <c r="D1024" s="8" t="s">
        <v>75</v>
      </c>
      <c r="E1024" s="8">
        <v>5.0</v>
      </c>
      <c r="F1024" s="8">
        <v>1.0</v>
      </c>
    </row>
    <row r="1025" ht="15.75" customHeight="1">
      <c r="C1025" s="8" t="s">
        <v>57</v>
      </c>
      <c r="E1025" s="8">
        <v>4.0</v>
      </c>
      <c r="F1025" s="8">
        <v>1.0</v>
      </c>
    </row>
    <row r="1026" ht="15.75" customHeight="1">
      <c r="C1026" s="8" t="s">
        <v>759</v>
      </c>
      <c r="D1026" s="8" t="s">
        <v>75</v>
      </c>
      <c r="E1026" s="8">
        <v>2.0</v>
      </c>
      <c r="F1026" s="8">
        <v>1.0</v>
      </c>
    </row>
    <row r="1027" ht="15.75" customHeight="1">
      <c r="C1027" s="8" t="s">
        <v>759</v>
      </c>
      <c r="D1027" s="8" t="s">
        <v>75</v>
      </c>
      <c r="E1027" s="8">
        <v>13.0</v>
      </c>
      <c r="F1027" s="8">
        <v>1.0</v>
      </c>
    </row>
    <row r="1028" ht="15.75" customHeight="1">
      <c r="C1028" s="8" t="s">
        <v>67</v>
      </c>
      <c r="E1028" s="8">
        <v>3.0</v>
      </c>
      <c r="F1028" s="8">
        <v>2.0</v>
      </c>
    </row>
    <row r="1029" ht="15.75" customHeight="1">
      <c r="C1029" s="8" t="s">
        <v>63</v>
      </c>
      <c r="E1029" s="8">
        <v>14.0</v>
      </c>
      <c r="F1029" s="8">
        <v>8.0</v>
      </c>
    </row>
    <row r="1030" ht="15.75" customHeight="1">
      <c r="C1030" s="8" t="s">
        <v>69</v>
      </c>
      <c r="E1030" s="8">
        <v>9.0</v>
      </c>
      <c r="F1030" s="8">
        <v>2.0</v>
      </c>
    </row>
    <row r="1031" ht="15.75" customHeight="1">
      <c r="C1031" s="8" t="s">
        <v>63</v>
      </c>
      <c r="D1031" s="8" t="s">
        <v>85</v>
      </c>
      <c r="E1031" s="8">
        <v>3.0</v>
      </c>
      <c r="F1031" s="8">
        <v>1.0</v>
      </c>
    </row>
    <row r="1032" ht="15.75" customHeight="1">
      <c r="C1032" s="8" t="s">
        <v>781</v>
      </c>
      <c r="D1032" s="8" t="s">
        <v>89</v>
      </c>
      <c r="E1032" s="8">
        <v>1.0</v>
      </c>
      <c r="F1032" s="8">
        <v>0.5</v>
      </c>
    </row>
    <row r="1033" ht="15.75" customHeight="1">
      <c r="C1033" s="8" t="s">
        <v>63</v>
      </c>
      <c r="D1033" s="8" t="s">
        <v>97</v>
      </c>
      <c r="E1033" s="8">
        <v>10.0</v>
      </c>
      <c r="F1033" s="8">
        <v>2.0</v>
      </c>
    </row>
    <row r="1034" ht="15.75" customHeight="1">
      <c r="C1034" s="8" t="s">
        <v>759</v>
      </c>
      <c r="D1034" s="8" t="s">
        <v>75</v>
      </c>
      <c r="E1034" s="8">
        <v>15.0</v>
      </c>
      <c r="F1034" s="8">
        <v>2.0</v>
      </c>
    </row>
    <row r="1035" ht="15.75" customHeight="1">
      <c r="C1035" s="8" t="s">
        <v>759</v>
      </c>
      <c r="D1035" s="8" t="s">
        <v>75</v>
      </c>
      <c r="E1035" s="8">
        <v>4.0</v>
      </c>
      <c r="F1035" s="8">
        <v>1.0</v>
      </c>
    </row>
    <row r="1036" ht="15.75" customHeight="1">
      <c r="C1036" s="8" t="s">
        <v>69</v>
      </c>
      <c r="E1036" s="8">
        <v>10.0</v>
      </c>
      <c r="F1036" s="8">
        <v>2.0</v>
      </c>
    </row>
    <row r="1037" ht="15.75" customHeight="1">
      <c r="C1037" s="8" t="s">
        <v>69</v>
      </c>
      <c r="E1037" s="8">
        <v>10.0</v>
      </c>
      <c r="F1037" s="8">
        <v>2.0</v>
      </c>
    </row>
    <row r="1038" ht="15.75" customHeight="1">
      <c r="C1038" s="8" t="s">
        <v>59</v>
      </c>
      <c r="D1038" s="8" t="s">
        <v>83</v>
      </c>
      <c r="E1038" s="8">
        <v>3.0</v>
      </c>
      <c r="F1038" s="8">
        <v>1.0</v>
      </c>
    </row>
    <row r="1039" ht="15.75" customHeight="1">
      <c r="C1039" s="8" t="s">
        <v>67</v>
      </c>
      <c r="E1039" s="8">
        <v>2.0</v>
      </c>
      <c r="F1039" s="8">
        <v>0.5</v>
      </c>
    </row>
    <row r="1040" ht="15.75" customHeight="1">
      <c r="C1040" s="8" t="s">
        <v>63</v>
      </c>
      <c r="D1040" s="8" t="s">
        <v>97</v>
      </c>
      <c r="E1040" s="8">
        <v>5.0</v>
      </c>
      <c r="F1040" s="8">
        <v>1.0</v>
      </c>
    </row>
    <row r="1041" ht="15.75" customHeight="1">
      <c r="C1041" s="8" t="s">
        <v>781</v>
      </c>
      <c r="D1041" s="8" t="s">
        <v>89</v>
      </c>
      <c r="E1041" s="8">
        <v>2.0</v>
      </c>
      <c r="F1041" s="8">
        <v>1.0</v>
      </c>
    </row>
    <row r="1042" ht="15.75" customHeight="1">
      <c r="C1042" s="8" t="s">
        <v>63</v>
      </c>
      <c r="E1042" s="8">
        <v>5.0</v>
      </c>
      <c r="F1042" s="8">
        <v>4.0</v>
      </c>
    </row>
    <row r="1043" ht="15.75" customHeight="1">
      <c r="C1043" s="8" t="s">
        <v>781</v>
      </c>
      <c r="D1043" s="8" t="s">
        <v>89</v>
      </c>
      <c r="E1043" s="8">
        <v>2.0</v>
      </c>
      <c r="F1043" s="8">
        <v>1.0</v>
      </c>
    </row>
    <row r="1044" ht="15.75" customHeight="1">
      <c r="C1044" s="8" t="s">
        <v>759</v>
      </c>
      <c r="D1044" s="8" t="s">
        <v>75</v>
      </c>
      <c r="E1044" s="8">
        <v>5.0</v>
      </c>
      <c r="F1044" s="8">
        <v>1.0</v>
      </c>
    </row>
    <row r="1045" ht="15.75" customHeight="1">
      <c r="C1045" s="8" t="s">
        <v>93</v>
      </c>
      <c r="D1045" s="8" t="s">
        <v>73</v>
      </c>
      <c r="E1045" s="8">
        <v>6.0</v>
      </c>
      <c r="F1045" s="8">
        <v>2.0</v>
      </c>
    </row>
    <row r="1046" ht="15.75" customHeight="1">
      <c r="A1046" s="63" t="s">
        <v>15</v>
      </c>
      <c r="B1046" s="8" t="s">
        <v>4</v>
      </c>
      <c r="C1046" s="8" t="s">
        <v>93</v>
      </c>
      <c r="D1046" s="8" t="s">
        <v>73</v>
      </c>
      <c r="E1046" s="8">
        <v>10.0</v>
      </c>
      <c r="F1046" s="8">
        <v>3.0</v>
      </c>
    </row>
    <row r="1047" ht="15.75" customHeight="1">
      <c r="C1047" s="8" t="s">
        <v>63</v>
      </c>
      <c r="E1047" s="8">
        <v>3.0</v>
      </c>
      <c r="F1047" s="8">
        <v>1.0</v>
      </c>
    </row>
    <row r="1048" ht="15.75" customHeight="1">
      <c r="C1048" s="8" t="s">
        <v>781</v>
      </c>
      <c r="D1048" s="8" t="s">
        <v>89</v>
      </c>
      <c r="E1048" s="8">
        <v>2.0</v>
      </c>
      <c r="F1048" s="8">
        <v>1.0</v>
      </c>
    </row>
    <row r="1049" ht="15.75" customHeight="1">
      <c r="C1049" s="8" t="s">
        <v>63</v>
      </c>
      <c r="D1049" s="8" t="s">
        <v>97</v>
      </c>
      <c r="E1049" s="8">
        <v>17.0</v>
      </c>
      <c r="F1049" s="8">
        <v>2.0</v>
      </c>
    </row>
    <row r="1050" ht="15.75" customHeight="1">
      <c r="C1050" s="8" t="s">
        <v>781</v>
      </c>
      <c r="D1050" s="8" t="s">
        <v>89</v>
      </c>
      <c r="E1050" s="8">
        <v>3.0</v>
      </c>
      <c r="F1050" s="8">
        <v>1.0</v>
      </c>
    </row>
    <row r="1051" ht="15.75" customHeight="1">
      <c r="C1051" s="8" t="s">
        <v>57</v>
      </c>
      <c r="E1051" s="8">
        <v>9.0</v>
      </c>
      <c r="F1051" s="8">
        <v>3.0</v>
      </c>
    </row>
    <row r="1052" ht="15.75" customHeight="1">
      <c r="C1052" s="8" t="s">
        <v>781</v>
      </c>
      <c r="D1052" s="8" t="s">
        <v>89</v>
      </c>
      <c r="E1052" s="8">
        <v>2.0</v>
      </c>
      <c r="F1052" s="8">
        <v>1.0</v>
      </c>
    </row>
    <row r="1053" ht="15.75" customHeight="1">
      <c r="C1053" s="8" t="s">
        <v>63</v>
      </c>
      <c r="D1053" s="8" t="s">
        <v>97</v>
      </c>
      <c r="E1053" s="8">
        <v>13.0</v>
      </c>
      <c r="F1053" s="8">
        <v>2.0</v>
      </c>
    </row>
    <row r="1054" ht="15.75" customHeight="1">
      <c r="C1054" s="8" t="s">
        <v>781</v>
      </c>
      <c r="D1054" s="8" t="s">
        <v>89</v>
      </c>
      <c r="E1054" s="8">
        <v>2.0</v>
      </c>
      <c r="F1054" s="8">
        <v>1.0</v>
      </c>
    </row>
    <row r="1055" ht="15.75" customHeight="1">
      <c r="C1055" s="8" t="s">
        <v>781</v>
      </c>
      <c r="D1055" s="8" t="s">
        <v>89</v>
      </c>
      <c r="E1055" s="8">
        <v>2.0</v>
      </c>
      <c r="F1055" s="8">
        <v>1.0</v>
      </c>
    </row>
    <row r="1056" ht="15.75" customHeight="1">
      <c r="C1056" s="8" t="s">
        <v>781</v>
      </c>
      <c r="D1056" s="8" t="s">
        <v>89</v>
      </c>
      <c r="E1056" s="8">
        <v>2.0</v>
      </c>
      <c r="F1056" s="8">
        <v>1.0</v>
      </c>
    </row>
    <row r="1057" ht="15.75" customHeight="1">
      <c r="C1057" s="8" t="s">
        <v>781</v>
      </c>
      <c r="D1057" s="8" t="s">
        <v>89</v>
      </c>
      <c r="E1057" s="8">
        <v>3.0</v>
      </c>
      <c r="F1057" s="8">
        <v>1.0</v>
      </c>
    </row>
    <row r="1058" ht="15.75" customHeight="1">
      <c r="C1058" s="8" t="s">
        <v>781</v>
      </c>
      <c r="D1058" s="8" t="s">
        <v>89</v>
      </c>
      <c r="E1058" s="8">
        <v>2.0</v>
      </c>
      <c r="F1058" s="8">
        <v>1.0</v>
      </c>
    </row>
    <row r="1059" ht="15.75" customHeight="1">
      <c r="C1059" s="8" t="s">
        <v>781</v>
      </c>
      <c r="D1059" s="8" t="s">
        <v>89</v>
      </c>
      <c r="E1059" s="8">
        <v>3.0</v>
      </c>
      <c r="F1059" s="8">
        <v>1.0</v>
      </c>
    </row>
    <row r="1060" ht="15.75" customHeight="1">
      <c r="C1060" s="8" t="s">
        <v>781</v>
      </c>
      <c r="D1060" s="8" t="s">
        <v>89</v>
      </c>
      <c r="E1060" s="8">
        <v>2.0</v>
      </c>
      <c r="F1060" s="8">
        <v>1.0</v>
      </c>
    </row>
    <row r="1061" ht="15.75" customHeight="1">
      <c r="C1061" s="8" t="s">
        <v>781</v>
      </c>
      <c r="D1061" s="8" t="s">
        <v>89</v>
      </c>
      <c r="E1061" s="8">
        <v>3.0</v>
      </c>
      <c r="F1061" s="8">
        <v>1.0</v>
      </c>
    </row>
    <row r="1062" ht="15.75" customHeight="1">
      <c r="C1062" s="8" t="s">
        <v>781</v>
      </c>
      <c r="D1062" s="8" t="s">
        <v>89</v>
      </c>
      <c r="E1062" s="8">
        <v>2.0</v>
      </c>
      <c r="F1062" s="8">
        <v>1.0</v>
      </c>
    </row>
    <row r="1063" ht="15.75" customHeight="1">
      <c r="C1063" s="8" t="s">
        <v>781</v>
      </c>
      <c r="D1063" s="8" t="s">
        <v>89</v>
      </c>
      <c r="E1063" s="8">
        <v>2.0</v>
      </c>
      <c r="F1063" s="8">
        <v>1.0</v>
      </c>
    </row>
    <row r="1064" ht="15.75" customHeight="1">
      <c r="C1064" s="8" t="s">
        <v>781</v>
      </c>
      <c r="D1064" s="8" t="s">
        <v>89</v>
      </c>
      <c r="E1064" s="8">
        <v>2.0</v>
      </c>
      <c r="F1064" s="8">
        <v>1.0</v>
      </c>
    </row>
    <row r="1065" ht="15.75" customHeight="1">
      <c r="C1065" s="8" t="s">
        <v>781</v>
      </c>
      <c r="D1065" s="8" t="s">
        <v>89</v>
      </c>
      <c r="E1065" s="8">
        <v>2.0</v>
      </c>
      <c r="F1065" s="8">
        <v>1.0</v>
      </c>
    </row>
    <row r="1066" ht="15.75" customHeight="1">
      <c r="C1066" s="8" t="s">
        <v>781</v>
      </c>
      <c r="D1066" s="8" t="s">
        <v>89</v>
      </c>
      <c r="E1066" s="8">
        <v>2.0</v>
      </c>
      <c r="F1066" s="8">
        <v>1.0</v>
      </c>
    </row>
    <row r="1067" ht="15.75" customHeight="1">
      <c r="C1067" s="8" t="s">
        <v>781</v>
      </c>
      <c r="D1067" s="8" t="s">
        <v>89</v>
      </c>
      <c r="E1067" s="8">
        <v>4.0</v>
      </c>
      <c r="F1067" s="8">
        <v>1.0</v>
      </c>
    </row>
    <row r="1068" ht="15.75" customHeight="1">
      <c r="C1068" s="8" t="s">
        <v>63</v>
      </c>
      <c r="E1068" s="8">
        <v>2.0</v>
      </c>
      <c r="F1068" s="8">
        <v>1.0</v>
      </c>
    </row>
    <row r="1069" ht="15.75" customHeight="1">
      <c r="C1069" s="8" t="s">
        <v>63</v>
      </c>
      <c r="E1069" s="8">
        <v>3.0</v>
      </c>
      <c r="F1069" s="8">
        <v>2.0</v>
      </c>
    </row>
    <row r="1070" ht="15.75" customHeight="1">
      <c r="C1070" s="8" t="s">
        <v>781</v>
      </c>
      <c r="D1070" s="8" t="s">
        <v>89</v>
      </c>
      <c r="E1070" s="8">
        <v>3.0</v>
      </c>
      <c r="F1070" s="8">
        <v>1.0</v>
      </c>
    </row>
    <row r="1071" ht="15.75" customHeight="1">
      <c r="C1071" s="8" t="s">
        <v>63</v>
      </c>
      <c r="E1071" s="8">
        <v>7.0</v>
      </c>
      <c r="F1071" s="8">
        <v>4.0</v>
      </c>
    </row>
    <row r="1072" ht="15.75" customHeight="1">
      <c r="C1072" s="8" t="s">
        <v>63</v>
      </c>
      <c r="E1072" s="8">
        <v>3.0</v>
      </c>
      <c r="F1072" s="8">
        <v>1.0</v>
      </c>
    </row>
    <row r="1073" ht="15.75" customHeight="1">
      <c r="C1073" s="8" t="s">
        <v>63</v>
      </c>
      <c r="E1073" s="8">
        <v>1.0</v>
      </c>
      <c r="F1073" s="8">
        <v>0.5</v>
      </c>
    </row>
    <row r="1074" ht="15.75" customHeight="1">
      <c r="C1074" s="8" t="s">
        <v>759</v>
      </c>
      <c r="D1074" s="8" t="s">
        <v>75</v>
      </c>
      <c r="E1074" s="8">
        <v>4.0</v>
      </c>
      <c r="F1074" s="8">
        <v>1.0</v>
      </c>
    </row>
    <row r="1075" ht="15.75" customHeight="1">
      <c r="C1075" s="8" t="s">
        <v>781</v>
      </c>
      <c r="D1075" s="8" t="s">
        <v>89</v>
      </c>
      <c r="E1075" s="8">
        <v>2.0</v>
      </c>
      <c r="F1075" s="8">
        <v>1.0</v>
      </c>
    </row>
    <row r="1076" ht="15.75" customHeight="1">
      <c r="C1076" s="8" t="s">
        <v>781</v>
      </c>
      <c r="D1076" s="8" t="s">
        <v>89</v>
      </c>
      <c r="E1076" s="8">
        <v>3.0</v>
      </c>
      <c r="F1076" s="8">
        <v>1.0</v>
      </c>
    </row>
    <row r="1077" ht="15.75" customHeight="1">
      <c r="C1077" s="8" t="s">
        <v>759</v>
      </c>
      <c r="D1077" s="8" t="s">
        <v>75</v>
      </c>
      <c r="E1077" s="8">
        <v>2.0</v>
      </c>
      <c r="F1077" s="8">
        <v>1.0</v>
      </c>
    </row>
    <row r="1078" ht="15.75" customHeight="1">
      <c r="C1078" s="8" t="s">
        <v>63</v>
      </c>
      <c r="D1078" s="8" t="s">
        <v>97</v>
      </c>
      <c r="E1078" s="8">
        <v>11.0</v>
      </c>
      <c r="F1078" s="8">
        <v>2.0</v>
      </c>
    </row>
    <row r="1079" ht="15.75" customHeight="1">
      <c r="C1079" s="8" t="s">
        <v>781</v>
      </c>
      <c r="D1079" s="8" t="s">
        <v>89</v>
      </c>
      <c r="E1079" s="8">
        <v>2.0</v>
      </c>
      <c r="F1079" s="8">
        <v>1.0</v>
      </c>
    </row>
    <row r="1080" ht="15.75" customHeight="1">
      <c r="C1080" s="8" t="s">
        <v>63</v>
      </c>
      <c r="E1080" s="8">
        <v>3.0</v>
      </c>
      <c r="F1080" s="8">
        <v>2.0</v>
      </c>
    </row>
    <row r="1081" ht="15.75" customHeight="1">
      <c r="C1081" s="8" t="s">
        <v>781</v>
      </c>
      <c r="D1081" s="8" t="s">
        <v>89</v>
      </c>
      <c r="E1081" s="8">
        <v>3.0</v>
      </c>
      <c r="F1081" s="8">
        <v>1.0</v>
      </c>
    </row>
    <row r="1082" ht="15.75" customHeight="1">
      <c r="C1082" s="8" t="s">
        <v>781</v>
      </c>
      <c r="D1082" s="8" t="s">
        <v>89</v>
      </c>
      <c r="E1082" s="8">
        <v>2.0</v>
      </c>
      <c r="F1082" s="8">
        <v>1.0</v>
      </c>
    </row>
    <row r="1083" ht="15.75" customHeight="1">
      <c r="C1083" s="8" t="s">
        <v>63</v>
      </c>
      <c r="D1083" s="8" t="s">
        <v>97</v>
      </c>
      <c r="E1083" s="8">
        <v>10.0</v>
      </c>
      <c r="F1083" s="8">
        <v>2.0</v>
      </c>
    </row>
    <row r="1084" ht="15.75" customHeight="1">
      <c r="C1084" s="8" t="s">
        <v>63</v>
      </c>
      <c r="D1084" s="8" t="s">
        <v>97</v>
      </c>
      <c r="E1084" s="8">
        <v>10.0</v>
      </c>
      <c r="F1084" s="8">
        <v>2.0</v>
      </c>
    </row>
    <row r="1085" ht="15.75" customHeight="1">
      <c r="C1085" s="8" t="s">
        <v>759</v>
      </c>
      <c r="D1085" s="8" t="s">
        <v>75</v>
      </c>
      <c r="E1085" s="8">
        <v>5.0</v>
      </c>
      <c r="F1085" s="8">
        <v>1.0</v>
      </c>
    </row>
    <row r="1086" ht="15.75" customHeight="1">
      <c r="C1086" s="8" t="s">
        <v>63</v>
      </c>
      <c r="E1086" s="8">
        <v>3.0</v>
      </c>
      <c r="F1086" s="8">
        <v>2.0</v>
      </c>
    </row>
    <row r="1087" ht="15.75" customHeight="1">
      <c r="C1087" s="8" t="s">
        <v>781</v>
      </c>
      <c r="D1087" s="8" t="s">
        <v>89</v>
      </c>
      <c r="E1087" s="8">
        <v>2.0</v>
      </c>
      <c r="F1087" s="8">
        <v>1.0</v>
      </c>
    </row>
    <row r="1088" ht="15.75" customHeight="1">
      <c r="C1088" s="8" t="s">
        <v>781</v>
      </c>
      <c r="D1088" s="8" t="s">
        <v>89</v>
      </c>
      <c r="E1088" s="8">
        <v>2.0</v>
      </c>
      <c r="F1088" s="8">
        <v>1.0</v>
      </c>
    </row>
    <row r="1089" ht="15.75" customHeight="1">
      <c r="C1089" s="8" t="s">
        <v>781</v>
      </c>
      <c r="D1089" s="8" t="s">
        <v>89</v>
      </c>
      <c r="E1089" s="8">
        <v>3.0</v>
      </c>
      <c r="F1089" s="8">
        <v>1.0</v>
      </c>
    </row>
    <row r="1090" ht="15.75" customHeight="1">
      <c r="C1090" s="8" t="s">
        <v>781</v>
      </c>
      <c r="D1090" s="8" t="s">
        <v>89</v>
      </c>
      <c r="E1090" s="8">
        <v>3.0</v>
      </c>
      <c r="F1090" s="8">
        <v>1.0</v>
      </c>
    </row>
    <row r="1091" ht="15.75" customHeight="1">
      <c r="C1091" s="8" t="s">
        <v>781</v>
      </c>
      <c r="D1091" s="8" t="s">
        <v>89</v>
      </c>
      <c r="E1091" s="8">
        <v>2.0</v>
      </c>
      <c r="F1091" s="8">
        <v>1.0</v>
      </c>
    </row>
    <row r="1092" ht="15.75" customHeight="1">
      <c r="C1092" s="8" t="s">
        <v>759</v>
      </c>
      <c r="D1092" s="8" t="s">
        <v>101</v>
      </c>
      <c r="E1092" s="8">
        <v>3.0</v>
      </c>
      <c r="F1092" s="8">
        <v>1.0</v>
      </c>
    </row>
    <row r="1093" ht="15.75" customHeight="1">
      <c r="C1093" s="8" t="s">
        <v>63</v>
      </c>
      <c r="D1093" s="8" t="s">
        <v>85</v>
      </c>
      <c r="E1093" s="8">
        <v>3.0</v>
      </c>
      <c r="F1093" s="8">
        <v>1.0</v>
      </c>
    </row>
    <row r="1094" ht="15.75" customHeight="1">
      <c r="C1094" s="8" t="s">
        <v>63</v>
      </c>
      <c r="D1094" s="8" t="s">
        <v>97</v>
      </c>
      <c r="E1094" s="8">
        <v>4.0</v>
      </c>
      <c r="F1094" s="8">
        <v>1.0</v>
      </c>
    </row>
    <row r="1095" ht="15.75" customHeight="1">
      <c r="C1095" s="8" t="s">
        <v>781</v>
      </c>
      <c r="D1095" s="8" t="s">
        <v>89</v>
      </c>
      <c r="E1095" s="8">
        <v>2.0</v>
      </c>
      <c r="F1095" s="8">
        <v>1.0</v>
      </c>
    </row>
    <row r="1096" ht="15.75" customHeight="1">
      <c r="C1096" s="8" t="s">
        <v>781</v>
      </c>
      <c r="D1096" s="8" t="s">
        <v>89</v>
      </c>
      <c r="E1096" s="8">
        <v>2.0</v>
      </c>
      <c r="F1096" s="8">
        <v>1.0</v>
      </c>
    </row>
    <row r="1097" ht="15.75" customHeight="1">
      <c r="C1097" s="8" t="s">
        <v>67</v>
      </c>
      <c r="E1097" s="8">
        <v>3.0</v>
      </c>
      <c r="F1097" s="8">
        <v>1.0</v>
      </c>
    </row>
    <row r="1098" ht="15.75" customHeight="1">
      <c r="C1098" s="8" t="s">
        <v>781</v>
      </c>
      <c r="D1098" s="8" t="s">
        <v>89</v>
      </c>
      <c r="E1098" s="8">
        <v>2.0</v>
      </c>
      <c r="F1098" s="8">
        <v>1.0</v>
      </c>
    </row>
    <row r="1099" ht="15.75" customHeight="1">
      <c r="C1099" s="8" t="s">
        <v>781</v>
      </c>
      <c r="D1099" s="8" t="s">
        <v>924</v>
      </c>
      <c r="E1099" s="8">
        <v>1.0</v>
      </c>
      <c r="F1099" s="8">
        <v>0.5</v>
      </c>
    </row>
    <row r="1100" ht="15.75" customHeight="1">
      <c r="C1100" s="8" t="s">
        <v>781</v>
      </c>
      <c r="D1100" s="8" t="s">
        <v>924</v>
      </c>
      <c r="E1100" s="8">
        <v>3.0</v>
      </c>
      <c r="F1100" s="8">
        <v>0.5</v>
      </c>
    </row>
    <row r="1101" ht="15.75" customHeight="1">
      <c r="C1101" s="8" t="s">
        <v>77</v>
      </c>
      <c r="D1101" s="8" t="s">
        <v>931</v>
      </c>
      <c r="E1101" s="8">
        <v>2.0</v>
      </c>
      <c r="F1101" s="8">
        <v>0.5</v>
      </c>
    </row>
    <row r="1102" ht="15.75" customHeight="1">
      <c r="C1102" s="8" t="s">
        <v>781</v>
      </c>
      <c r="D1102" s="8" t="s">
        <v>89</v>
      </c>
      <c r="E1102" s="8">
        <v>2.0</v>
      </c>
      <c r="F1102" s="8">
        <v>1.0</v>
      </c>
    </row>
    <row r="1103" ht="15.75" customHeight="1">
      <c r="C1103" s="8" t="s">
        <v>63</v>
      </c>
      <c r="E1103" s="8">
        <v>5.0</v>
      </c>
      <c r="F1103" s="8">
        <v>3.0</v>
      </c>
    </row>
    <row r="1104" ht="15.75" customHeight="1">
      <c r="C1104" s="8" t="s">
        <v>63</v>
      </c>
      <c r="E1104" s="8">
        <v>5.0</v>
      </c>
      <c r="F1104" s="8">
        <v>3.0</v>
      </c>
    </row>
    <row r="1105" ht="15.75" customHeight="1">
      <c r="C1105" s="8" t="s">
        <v>781</v>
      </c>
      <c r="D1105" s="8" t="s">
        <v>89</v>
      </c>
      <c r="E1105" s="8">
        <v>3.0</v>
      </c>
      <c r="F1105" s="8">
        <v>1.0</v>
      </c>
    </row>
    <row r="1106" ht="15.75" customHeight="1">
      <c r="C1106" s="8" t="s">
        <v>63</v>
      </c>
      <c r="E1106" s="8">
        <v>3.0</v>
      </c>
      <c r="F1106" s="8">
        <v>2.0</v>
      </c>
    </row>
    <row r="1107" ht="15.75" customHeight="1">
      <c r="C1107" s="8" t="s">
        <v>63</v>
      </c>
      <c r="D1107" s="8" t="s">
        <v>85</v>
      </c>
      <c r="E1107" s="8">
        <v>6.0</v>
      </c>
      <c r="F1107" s="8">
        <v>1.0</v>
      </c>
    </row>
    <row r="1108" ht="15.75" customHeight="1">
      <c r="C1108" s="8" t="s">
        <v>67</v>
      </c>
      <c r="E1108" s="8">
        <v>4.0</v>
      </c>
      <c r="F1108" s="8">
        <v>1.0</v>
      </c>
    </row>
    <row r="1109" ht="15.75" customHeight="1">
      <c r="C1109" s="8" t="s">
        <v>63</v>
      </c>
      <c r="E1109" s="8">
        <v>2.0</v>
      </c>
      <c r="F1109" s="8">
        <v>1.0</v>
      </c>
    </row>
    <row r="1110" ht="15.75" customHeight="1">
      <c r="C1110" s="8" t="s">
        <v>91</v>
      </c>
      <c r="E1110" s="8">
        <v>11.0</v>
      </c>
      <c r="F1110" s="8">
        <v>10.0</v>
      </c>
    </row>
    <row r="1111" ht="15.75" customHeight="1">
      <c r="C1111" s="8" t="s">
        <v>781</v>
      </c>
      <c r="D1111" s="8" t="s">
        <v>89</v>
      </c>
      <c r="E1111" s="8">
        <v>1.0</v>
      </c>
      <c r="F1111" s="8">
        <v>0.5</v>
      </c>
    </row>
    <row r="1112" ht="15.75" customHeight="1">
      <c r="C1112" s="8" t="s">
        <v>781</v>
      </c>
      <c r="D1112" s="8" t="s">
        <v>89</v>
      </c>
      <c r="E1112" s="8">
        <v>2.0</v>
      </c>
      <c r="F1112" s="8">
        <v>1.0</v>
      </c>
    </row>
    <row r="1113" ht="15.75" customHeight="1">
      <c r="C1113" s="8" t="s">
        <v>781</v>
      </c>
      <c r="D1113" s="8" t="s">
        <v>89</v>
      </c>
      <c r="E1113" s="8">
        <v>2.0</v>
      </c>
      <c r="F1113" s="8">
        <v>1.0</v>
      </c>
    </row>
    <row r="1114" ht="15.75" customHeight="1">
      <c r="C1114" s="8" t="s">
        <v>781</v>
      </c>
      <c r="D1114" s="8" t="s">
        <v>89</v>
      </c>
      <c r="E1114" s="8">
        <v>2.0</v>
      </c>
      <c r="F1114" s="8">
        <v>1.0</v>
      </c>
    </row>
    <row r="1115" ht="15.75" customHeight="1">
      <c r="C1115" s="8" t="s">
        <v>781</v>
      </c>
      <c r="D1115" s="8" t="s">
        <v>89</v>
      </c>
      <c r="E1115" s="8">
        <v>2.0</v>
      </c>
      <c r="F1115" s="8">
        <v>1.0</v>
      </c>
    </row>
    <row r="1116" ht="15.75" customHeight="1">
      <c r="C1116" s="8" t="s">
        <v>67</v>
      </c>
      <c r="E1116" s="8">
        <v>1.0</v>
      </c>
      <c r="F1116" s="8">
        <v>0.5</v>
      </c>
    </row>
    <row r="1117" ht="15.75" customHeight="1">
      <c r="C1117" s="8" t="s">
        <v>951</v>
      </c>
      <c r="D1117" s="8" t="s">
        <v>945</v>
      </c>
      <c r="E1117" s="8">
        <v>2.0</v>
      </c>
      <c r="F1117" s="8">
        <v>2.0</v>
      </c>
    </row>
    <row r="1118" ht="15.75" customHeight="1">
      <c r="C1118" s="8" t="s">
        <v>63</v>
      </c>
      <c r="D1118" s="8" t="s">
        <v>97</v>
      </c>
      <c r="E1118" s="8">
        <v>2.0</v>
      </c>
      <c r="F1118" s="8">
        <v>0.5</v>
      </c>
    </row>
    <row r="1119" ht="15.75" customHeight="1">
      <c r="C1119" s="8" t="s">
        <v>77</v>
      </c>
      <c r="D1119" s="8" t="s">
        <v>931</v>
      </c>
      <c r="E1119" s="8">
        <v>1.0</v>
      </c>
      <c r="F1119" s="8">
        <v>0.5</v>
      </c>
    </row>
    <row r="1120" ht="15.75" customHeight="1">
      <c r="C1120" s="8" t="s">
        <v>781</v>
      </c>
      <c r="D1120" s="8" t="s">
        <v>89</v>
      </c>
      <c r="E1120" s="8">
        <v>3.0</v>
      </c>
      <c r="F1120" s="8">
        <v>1.0</v>
      </c>
    </row>
    <row r="1121" ht="15.75" customHeight="1">
      <c r="C1121" s="8" t="s">
        <v>781</v>
      </c>
      <c r="D1121" s="8" t="s">
        <v>89</v>
      </c>
      <c r="E1121" s="8">
        <v>0.5</v>
      </c>
      <c r="F1121" s="8">
        <v>0.5</v>
      </c>
    </row>
    <row r="1122" ht="15.75" customHeight="1">
      <c r="C1122" s="8" t="s">
        <v>57</v>
      </c>
      <c r="E1122" s="8">
        <v>2.0</v>
      </c>
      <c r="F1122" s="8">
        <v>1.0</v>
      </c>
    </row>
    <row r="1123" ht="15.75" customHeight="1">
      <c r="C1123" s="8" t="s">
        <v>781</v>
      </c>
      <c r="D1123" s="8" t="s">
        <v>89</v>
      </c>
      <c r="E1123" s="8">
        <v>2.0</v>
      </c>
      <c r="F1123" s="8">
        <v>1.0</v>
      </c>
    </row>
    <row r="1124" ht="15.75" customHeight="1">
      <c r="C1124" s="8" t="s">
        <v>57</v>
      </c>
      <c r="E1124" s="8">
        <v>2.0</v>
      </c>
      <c r="F1124" s="8">
        <v>1.0</v>
      </c>
    </row>
    <row r="1125" ht="15.75" customHeight="1">
      <c r="C1125" s="8" t="s">
        <v>781</v>
      </c>
      <c r="D1125" s="8" t="s">
        <v>89</v>
      </c>
      <c r="E1125" s="8">
        <v>2.0</v>
      </c>
      <c r="F1125" s="8">
        <v>1.0</v>
      </c>
    </row>
    <row r="1126" ht="15.75" customHeight="1">
      <c r="C1126" s="8" t="s">
        <v>781</v>
      </c>
      <c r="D1126" s="8" t="s">
        <v>89</v>
      </c>
      <c r="E1126" s="8">
        <v>1.0</v>
      </c>
      <c r="F1126" s="8">
        <v>0.5</v>
      </c>
    </row>
    <row r="1127" ht="15.75" customHeight="1">
      <c r="C1127" s="8" t="s">
        <v>781</v>
      </c>
      <c r="D1127" s="8" t="s">
        <v>89</v>
      </c>
      <c r="E1127" s="8">
        <v>2.0</v>
      </c>
      <c r="F1127" s="8">
        <v>1.0</v>
      </c>
    </row>
    <row r="1128" ht="15.75" customHeight="1">
      <c r="C1128" s="8" t="s">
        <v>781</v>
      </c>
      <c r="D1128" s="8" t="s">
        <v>89</v>
      </c>
      <c r="E1128" s="8">
        <v>2.0</v>
      </c>
      <c r="F1128" s="8">
        <v>1.0</v>
      </c>
    </row>
    <row r="1129" ht="15.75" customHeight="1">
      <c r="C1129" s="8" t="s">
        <v>781</v>
      </c>
      <c r="D1129" s="8" t="s">
        <v>89</v>
      </c>
      <c r="E1129" s="8">
        <v>2.0</v>
      </c>
      <c r="F1129" s="8">
        <v>1.0</v>
      </c>
    </row>
    <row r="1130" ht="15.75" customHeight="1">
      <c r="C1130" s="8" t="s">
        <v>781</v>
      </c>
      <c r="D1130" s="8" t="s">
        <v>89</v>
      </c>
      <c r="E1130" s="8">
        <v>2.0</v>
      </c>
      <c r="F1130" s="8">
        <v>1.0</v>
      </c>
    </row>
    <row r="1131" ht="15.75" customHeight="1">
      <c r="C1131" s="8" t="s">
        <v>781</v>
      </c>
      <c r="D1131" s="8" t="s">
        <v>89</v>
      </c>
      <c r="E1131" s="8">
        <v>2.0</v>
      </c>
      <c r="F1131" s="8">
        <v>1.0</v>
      </c>
    </row>
    <row r="1132" ht="15.75" customHeight="1">
      <c r="C1132" s="8" t="s">
        <v>781</v>
      </c>
      <c r="D1132" s="8" t="s">
        <v>89</v>
      </c>
      <c r="E1132" s="8">
        <v>2.0</v>
      </c>
      <c r="F1132" s="8">
        <v>1.0</v>
      </c>
    </row>
    <row r="1133" ht="15.75" customHeight="1">
      <c r="C1133" s="8" t="s">
        <v>781</v>
      </c>
      <c r="D1133" s="8" t="s">
        <v>89</v>
      </c>
      <c r="E1133" s="8">
        <v>2.0</v>
      </c>
      <c r="F1133" s="8">
        <v>1.0</v>
      </c>
    </row>
    <row r="1134" ht="15.75" customHeight="1">
      <c r="C1134" s="8" t="s">
        <v>67</v>
      </c>
      <c r="E1134" s="8">
        <v>2.0</v>
      </c>
      <c r="F1134" s="8">
        <v>1.0</v>
      </c>
    </row>
    <row r="1135" ht="15.75" customHeight="1">
      <c r="C1135" s="8" t="s">
        <v>930</v>
      </c>
      <c r="E1135" s="8">
        <v>3.0</v>
      </c>
      <c r="F1135" s="8">
        <v>1.0</v>
      </c>
    </row>
    <row r="1136" ht="15.75" customHeight="1">
      <c r="C1136" s="8" t="s">
        <v>781</v>
      </c>
      <c r="D1136" s="8" t="s">
        <v>924</v>
      </c>
      <c r="E1136" s="8">
        <v>2.0</v>
      </c>
      <c r="F1136" s="8">
        <v>0.5</v>
      </c>
    </row>
    <row r="1137" ht="15.75" customHeight="1">
      <c r="C1137" s="8" t="s">
        <v>67</v>
      </c>
      <c r="E1137" s="8">
        <v>0.5</v>
      </c>
      <c r="F1137" s="8">
        <v>0.5</v>
      </c>
    </row>
    <row r="1138" ht="15.75" customHeight="1">
      <c r="C1138" s="8" t="s">
        <v>77</v>
      </c>
      <c r="D1138" s="8" t="s">
        <v>931</v>
      </c>
      <c r="E1138" s="8">
        <v>3.0</v>
      </c>
      <c r="F1138" s="8">
        <v>1.0</v>
      </c>
    </row>
    <row r="1139" ht="15.75" customHeight="1">
      <c r="C1139" s="8" t="s">
        <v>67</v>
      </c>
      <c r="E1139" s="8">
        <v>2.0</v>
      </c>
      <c r="F1139" s="8">
        <v>0.5</v>
      </c>
    </row>
    <row r="1140" ht="15.75" customHeight="1">
      <c r="C1140" s="8" t="s">
        <v>63</v>
      </c>
      <c r="E1140" s="8">
        <v>6.0</v>
      </c>
      <c r="F1140" s="8">
        <v>3.0</v>
      </c>
    </row>
    <row r="1141" ht="15.75" customHeight="1">
      <c r="C1141" s="8" t="s">
        <v>930</v>
      </c>
      <c r="E1141" s="8">
        <v>2.0</v>
      </c>
      <c r="F1141" s="8">
        <v>1.0</v>
      </c>
    </row>
    <row r="1142" ht="15.75" customHeight="1">
      <c r="C1142" s="8" t="s">
        <v>63</v>
      </c>
      <c r="D1142" s="8" t="s">
        <v>97</v>
      </c>
      <c r="E1142" s="8">
        <v>10.0</v>
      </c>
      <c r="F1142" s="8">
        <v>2.0</v>
      </c>
    </row>
    <row r="1143" ht="15.75" customHeight="1">
      <c r="C1143" s="8" t="s">
        <v>781</v>
      </c>
      <c r="D1143" s="8" t="s">
        <v>89</v>
      </c>
      <c r="E1143" s="8">
        <v>2.0</v>
      </c>
      <c r="F1143" s="8">
        <v>1.0</v>
      </c>
    </row>
    <row r="1144" ht="15.75" customHeight="1">
      <c r="C1144" s="8" t="s">
        <v>781</v>
      </c>
      <c r="D1144" s="8" t="s">
        <v>89</v>
      </c>
      <c r="E1144" s="8">
        <v>2.0</v>
      </c>
      <c r="F1144" s="8">
        <v>1.0</v>
      </c>
    </row>
    <row r="1145" ht="15.75" customHeight="1">
      <c r="C1145" s="8" t="s">
        <v>781</v>
      </c>
      <c r="D1145" s="8" t="s">
        <v>89</v>
      </c>
      <c r="E1145" s="8">
        <v>3.0</v>
      </c>
      <c r="F1145" s="8">
        <v>1.0</v>
      </c>
    </row>
    <row r="1146" ht="15.75" customHeight="1">
      <c r="C1146" s="8" t="s">
        <v>67</v>
      </c>
      <c r="E1146" s="8">
        <v>2.0</v>
      </c>
      <c r="F1146" s="8">
        <v>0.5</v>
      </c>
    </row>
    <row r="1147" ht="15.75" customHeight="1">
      <c r="C1147" s="8" t="s">
        <v>781</v>
      </c>
      <c r="D1147" s="8" t="s">
        <v>89</v>
      </c>
      <c r="E1147" s="8">
        <v>2.0</v>
      </c>
      <c r="F1147" s="8">
        <v>1.0</v>
      </c>
    </row>
    <row r="1148" ht="15.75" customHeight="1">
      <c r="C1148" s="8" t="s">
        <v>67</v>
      </c>
      <c r="E1148" s="8">
        <v>2.0</v>
      </c>
      <c r="F1148" s="8">
        <v>0.5</v>
      </c>
    </row>
    <row r="1149" ht="15.75" customHeight="1">
      <c r="C1149" s="8" t="s">
        <v>67</v>
      </c>
      <c r="E1149" s="8">
        <v>1.0</v>
      </c>
      <c r="F1149" s="8">
        <v>0.5</v>
      </c>
    </row>
    <row r="1150" ht="15.75" customHeight="1">
      <c r="C1150" s="8" t="s">
        <v>57</v>
      </c>
      <c r="E1150" s="8">
        <v>2.0</v>
      </c>
      <c r="F1150" s="8">
        <v>1.0</v>
      </c>
    </row>
    <row r="1151" ht="15.75" customHeight="1">
      <c r="C1151" s="8" t="s">
        <v>781</v>
      </c>
      <c r="D1151" s="8" t="s">
        <v>89</v>
      </c>
      <c r="E1151" s="8">
        <v>2.0</v>
      </c>
      <c r="F1151" s="8">
        <v>1.0</v>
      </c>
    </row>
    <row r="1152" ht="15.75" customHeight="1">
      <c r="C1152" s="8" t="s">
        <v>781</v>
      </c>
      <c r="D1152" s="8" t="s">
        <v>89</v>
      </c>
      <c r="E1152" s="8">
        <v>2.0</v>
      </c>
      <c r="F1152" s="8">
        <v>1.0</v>
      </c>
    </row>
    <row r="1153" ht="15.75" customHeight="1">
      <c r="C1153" s="8" t="s">
        <v>781</v>
      </c>
      <c r="D1153" s="8" t="s">
        <v>89</v>
      </c>
      <c r="E1153" s="8">
        <v>2.0</v>
      </c>
      <c r="F1153" s="8">
        <v>1.0</v>
      </c>
    </row>
    <row r="1154" ht="15.75" customHeight="1">
      <c r="C1154" s="8" t="s">
        <v>781</v>
      </c>
      <c r="D1154" s="8" t="s">
        <v>89</v>
      </c>
      <c r="E1154" s="8">
        <v>2.0</v>
      </c>
      <c r="F1154" s="8">
        <v>1.0</v>
      </c>
    </row>
    <row r="1155" ht="15.75" customHeight="1">
      <c r="C1155" s="8" t="s">
        <v>781</v>
      </c>
      <c r="D1155" s="8" t="s">
        <v>89</v>
      </c>
      <c r="E1155" s="8">
        <v>2.0</v>
      </c>
      <c r="F1155" s="8">
        <v>1.0</v>
      </c>
    </row>
    <row r="1156" ht="15.75" customHeight="1">
      <c r="C1156" s="8" t="s">
        <v>781</v>
      </c>
      <c r="D1156" s="8" t="s">
        <v>924</v>
      </c>
      <c r="E1156" s="8">
        <v>2.0</v>
      </c>
      <c r="F1156" s="8">
        <v>1.0</v>
      </c>
    </row>
    <row r="1157" ht="15.75" customHeight="1">
      <c r="C1157" s="8" t="s">
        <v>781</v>
      </c>
      <c r="D1157" s="8" t="s">
        <v>89</v>
      </c>
      <c r="E1157" s="8">
        <v>3.0</v>
      </c>
      <c r="F1157" s="8">
        <v>1.0</v>
      </c>
    </row>
    <row r="1158" ht="15.75" customHeight="1">
      <c r="C1158" s="8" t="s">
        <v>781</v>
      </c>
      <c r="D1158" s="8" t="s">
        <v>89</v>
      </c>
      <c r="E1158" s="8">
        <v>3.0</v>
      </c>
      <c r="F1158" s="8">
        <v>1.0</v>
      </c>
    </row>
    <row r="1159" ht="15.75" customHeight="1">
      <c r="C1159" s="8" t="s">
        <v>67</v>
      </c>
      <c r="E1159" s="8">
        <v>3.0</v>
      </c>
      <c r="F1159" s="8">
        <v>1.0</v>
      </c>
    </row>
    <row r="1160" ht="15.75" customHeight="1">
      <c r="C1160" s="8" t="s">
        <v>781</v>
      </c>
      <c r="D1160" s="8" t="s">
        <v>89</v>
      </c>
      <c r="E1160" s="8">
        <v>2.0</v>
      </c>
      <c r="F1160" s="8">
        <v>1.0</v>
      </c>
    </row>
    <row r="1161" ht="15.75" customHeight="1">
      <c r="C1161" s="8" t="s">
        <v>77</v>
      </c>
      <c r="D1161" s="8" t="s">
        <v>931</v>
      </c>
      <c r="E1161" s="8">
        <v>2.0</v>
      </c>
      <c r="F1161" s="8">
        <v>0.5</v>
      </c>
    </row>
    <row r="1162" ht="15.75" customHeight="1">
      <c r="C1162" s="8" t="s">
        <v>781</v>
      </c>
      <c r="D1162" s="8" t="s">
        <v>89</v>
      </c>
      <c r="E1162" s="8">
        <v>2.0</v>
      </c>
      <c r="F1162" s="8">
        <v>1.0</v>
      </c>
    </row>
    <row r="1163" ht="15.75" customHeight="1">
      <c r="C1163" s="8" t="s">
        <v>63</v>
      </c>
      <c r="E1163" s="8">
        <v>2.0</v>
      </c>
      <c r="F1163" s="8">
        <v>1.0</v>
      </c>
    </row>
    <row r="1164" ht="15.75" customHeight="1">
      <c r="C1164" s="8" t="s">
        <v>781</v>
      </c>
      <c r="D1164" s="8" t="s">
        <v>89</v>
      </c>
      <c r="E1164" s="8">
        <v>2.0</v>
      </c>
      <c r="F1164" s="8">
        <v>1.0</v>
      </c>
    </row>
    <row r="1165" ht="15.75" customHeight="1">
      <c r="C1165" s="8" t="s">
        <v>57</v>
      </c>
      <c r="E1165" s="8">
        <v>2.0</v>
      </c>
      <c r="F1165" s="8">
        <v>1.0</v>
      </c>
    </row>
    <row r="1166" ht="15.75" customHeight="1">
      <c r="C1166" s="8" t="s">
        <v>77</v>
      </c>
      <c r="D1166" s="8" t="s">
        <v>931</v>
      </c>
      <c r="E1166" s="8">
        <v>4.0</v>
      </c>
      <c r="F1166" s="8">
        <v>1.0</v>
      </c>
    </row>
    <row r="1167" ht="15.75" customHeight="1">
      <c r="C1167" s="8" t="s">
        <v>781</v>
      </c>
      <c r="D1167" s="8" t="s">
        <v>89</v>
      </c>
      <c r="E1167" s="8">
        <v>2.0</v>
      </c>
      <c r="F1167" s="8">
        <v>1.0</v>
      </c>
    </row>
    <row r="1168" ht="15.75" customHeight="1">
      <c r="C1168" s="8" t="s">
        <v>952</v>
      </c>
      <c r="D1168" s="8" t="s">
        <v>953</v>
      </c>
      <c r="E1168" s="8">
        <v>4.0</v>
      </c>
      <c r="F1168" s="8">
        <v>1.0</v>
      </c>
    </row>
    <row r="1169" ht="15.75" customHeight="1">
      <c r="C1169" s="8" t="s">
        <v>63</v>
      </c>
      <c r="E1169" s="8">
        <v>9.0</v>
      </c>
      <c r="F1169" s="8">
        <v>3.0</v>
      </c>
    </row>
    <row r="1170" ht="15.75" customHeight="1">
      <c r="C1170" s="8" t="s">
        <v>57</v>
      </c>
      <c r="E1170" s="8">
        <v>2.0</v>
      </c>
      <c r="F1170" s="8">
        <v>1.0</v>
      </c>
    </row>
    <row r="1171" ht="15.75" customHeight="1">
      <c r="C1171" s="8" t="s">
        <v>781</v>
      </c>
      <c r="D1171" s="8" t="s">
        <v>89</v>
      </c>
      <c r="E1171" s="8">
        <v>2.0</v>
      </c>
      <c r="F1171" s="8">
        <v>1.0</v>
      </c>
    </row>
    <row r="1172" ht="15.75" customHeight="1">
      <c r="C1172" s="8" t="s">
        <v>781</v>
      </c>
      <c r="D1172" s="8" t="s">
        <v>89</v>
      </c>
      <c r="E1172" s="8">
        <v>2.0</v>
      </c>
      <c r="F1172" s="8">
        <v>1.0</v>
      </c>
    </row>
    <row r="1173" ht="15.75" customHeight="1">
      <c r="C1173" s="8" t="s">
        <v>781</v>
      </c>
      <c r="D1173" s="8" t="s">
        <v>89</v>
      </c>
      <c r="E1173" s="8">
        <v>2.0</v>
      </c>
      <c r="F1173" s="8">
        <v>1.0</v>
      </c>
    </row>
    <row r="1174" ht="15.75" customHeight="1">
      <c r="A1174" s="63" t="s">
        <v>19</v>
      </c>
      <c r="B1174" s="8" t="s">
        <v>4</v>
      </c>
      <c r="C1174" s="8" t="s">
        <v>954</v>
      </c>
      <c r="D1174" s="8" t="s">
        <v>938</v>
      </c>
      <c r="E1174" s="8">
        <v>45.0</v>
      </c>
      <c r="F1174" s="8">
        <v>28.0</v>
      </c>
    </row>
    <row r="1175" ht="15.75" customHeight="1">
      <c r="C1175" s="8" t="s">
        <v>93</v>
      </c>
      <c r="D1175" s="8" t="s">
        <v>73</v>
      </c>
      <c r="E1175" s="8">
        <v>27.0</v>
      </c>
      <c r="F1175" s="8">
        <v>5.0</v>
      </c>
    </row>
    <row r="1176" ht="15.75" customHeight="1">
      <c r="C1176" s="8" t="s">
        <v>759</v>
      </c>
      <c r="D1176" s="8" t="s">
        <v>75</v>
      </c>
      <c r="E1176" s="8">
        <v>5.0</v>
      </c>
      <c r="F1176" s="8">
        <v>1.0</v>
      </c>
    </row>
    <row r="1177" ht="15.75" customHeight="1">
      <c r="C1177" s="8" t="s">
        <v>759</v>
      </c>
      <c r="D1177" s="8" t="s">
        <v>75</v>
      </c>
      <c r="E1177" s="8">
        <v>5.0</v>
      </c>
      <c r="F1177" s="8">
        <v>1.0</v>
      </c>
    </row>
    <row r="1178" ht="15.75" customHeight="1">
      <c r="C1178" s="8" t="s">
        <v>781</v>
      </c>
      <c r="D1178" s="8" t="s">
        <v>89</v>
      </c>
      <c r="E1178" s="8">
        <v>3.0</v>
      </c>
      <c r="F1178" s="8">
        <v>1.0</v>
      </c>
    </row>
    <row r="1179" ht="15.75" customHeight="1">
      <c r="C1179" s="8" t="s">
        <v>759</v>
      </c>
      <c r="D1179" s="8" t="s">
        <v>75</v>
      </c>
      <c r="E1179" s="8">
        <v>9.0</v>
      </c>
      <c r="F1179" s="8">
        <v>1.0</v>
      </c>
    </row>
    <row r="1180" ht="15.75" customHeight="1">
      <c r="C1180" s="8" t="s">
        <v>93</v>
      </c>
      <c r="D1180" s="8" t="s">
        <v>73</v>
      </c>
      <c r="E1180" s="8">
        <v>8.0</v>
      </c>
      <c r="F1180" s="8">
        <v>3.0</v>
      </c>
    </row>
    <row r="1181" ht="15.75" customHeight="1">
      <c r="C1181" s="8" t="s">
        <v>63</v>
      </c>
      <c r="E1181" s="8">
        <v>10.0</v>
      </c>
      <c r="F1181" s="8">
        <v>5.0</v>
      </c>
    </row>
    <row r="1182" ht="15.75" customHeight="1">
      <c r="C1182" s="8" t="s">
        <v>759</v>
      </c>
      <c r="D1182" s="8" t="s">
        <v>75</v>
      </c>
      <c r="E1182" s="8">
        <v>17.0</v>
      </c>
      <c r="F1182" s="8">
        <v>2.0</v>
      </c>
    </row>
    <row r="1183" ht="15.75" customHeight="1">
      <c r="C1183" s="8" t="s">
        <v>57</v>
      </c>
      <c r="E1183" s="8">
        <v>9.0</v>
      </c>
      <c r="F1183" s="8">
        <v>4.0</v>
      </c>
    </row>
    <row r="1184" ht="15.75" customHeight="1">
      <c r="C1184" s="8" t="s">
        <v>63</v>
      </c>
      <c r="D1184" s="8" t="s">
        <v>85</v>
      </c>
      <c r="E1184" s="8">
        <v>5.0</v>
      </c>
      <c r="F1184" s="8">
        <v>1.0</v>
      </c>
    </row>
    <row r="1185" ht="15.75" customHeight="1">
      <c r="C1185" s="8" t="s">
        <v>781</v>
      </c>
      <c r="D1185" s="8" t="s">
        <v>89</v>
      </c>
      <c r="E1185" s="8">
        <v>2.0</v>
      </c>
      <c r="F1185" s="8">
        <v>1.0</v>
      </c>
    </row>
    <row r="1186" ht="15.75" customHeight="1">
      <c r="C1186" s="8" t="s">
        <v>781</v>
      </c>
      <c r="D1186" s="8" t="s">
        <v>89</v>
      </c>
      <c r="E1186" s="8">
        <v>4.0</v>
      </c>
      <c r="F1186" s="8">
        <v>1.0</v>
      </c>
    </row>
    <row r="1187" ht="15.75" customHeight="1">
      <c r="C1187" s="8" t="s">
        <v>781</v>
      </c>
      <c r="D1187" s="8" t="s">
        <v>924</v>
      </c>
      <c r="E1187" s="8">
        <v>0.5</v>
      </c>
      <c r="F1187" s="8">
        <v>0.5</v>
      </c>
      <c r="G1187" s="8" t="s">
        <v>762</v>
      </c>
    </row>
    <row r="1188" ht="15.75" customHeight="1">
      <c r="C1188" s="8" t="s">
        <v>63</v>
      </c>
      <c r="D1188" s="8" t="s">
        <v>85</v>
      </c>
      <c r="E1188" s="8">
        <v>8.0</v>
      </c>
      <c r="F1188" s="8">
        <v>1.0</v>
      </c>
    </row>
    <row r="1189" ht="15.75" customHeight="1">
      <c r="C1189" s="8" t="s">
        <v>63</v>
      </c>
      <c r="D1189" s="8" t="s">
        <v>85</v>
      </c>
      <c r="E1189" s="8">
        <v>8.0</v>
      </c>
      <c r="F1189" s="8">
        <v>1.0</v>
      </c>
    </row>
    <row r="1190" ht="15.75" customHeight="1">
      <c r="C1190" s="8" t="s">
        <v>759</v>
      </c>
      <c r="D1190" s="8" t="s">
        <v>75</v>
      </c>
      <c r="E1190" s="8">
        <v>5.0</v>
      </c>
      <c r="F1190" s="8">
        <v>1.0</v>
      </c>
    </row>
    <row r="1191" ht="15.75" customHeight="1">
      <c r="C1191" s="8" t="s">
        <v>781</v>
      </c>
      <c r="D1191" s="8" t="s">
        <v>89</v>
      </c>
      <c r="E1191" s="8">
        <v>2.0</v>
      </c>
      <c r="F1191" s="8">
        <v>1.0</v>
      </c>
    </row>
    <row r="1192" ht="15.75" customHeight="1">
      <c r="C1192" s="8" t="s">
        <v>63</v>
      </c>
      <c r="D1192" s="8" t="s">
        <v>85</v>
      </c>
      <c r="E1192" s="8">
        <v>5.0</v>
      </c>
      <c r="F1192" s="8">
        <v>1.0</v>
      </c>
    </row>
    <row r="1193" ht="15.75" customHeight="1">
      <c r="C1193" s="8" t="s">
        <v>63</v>
      </c>
      <c r="D1193" s="8" t="s">
        <v>85</v>
      </c>
      <c r="E1193" s="8">
        <v>8.0</v>
      </c>
      <c r="F1193" s="8">
        <v>1.0</v>
      </c>
    </row>
    <row r="1194" ht="15.75" customHeight="1">
      <c r="C1194" s="8" t="s">
        <v>67</v>
      </c>
      <c r="E1194" s="8">
        <v>3.0</v>
      </c>
      <c r="F1194" s="8">
        <v>1.0</v>
      </c>
    </row>
    <row r="1195" ht="15.75" customHeight="1">
      <c r="C1195" s="8" t="s">
        <v>63</v>
      </c>
      <c r="E1195" s="8">
        <v>4.0</v>
      </c>
      <c r="F1195" s="8">
        <v>1.0</v>
      </c>
    </row>
    <row r="1196" ht="15.75" customHeight="1">
      <c r="C1196" s="8" t="s">
        <v>63</v>
      </c>
      <c r="D1196" s="8" t="s">
        <v>85</v>
      </c>
      <c r="E1196" s="8">
        <v>8.0</v>
      </c>
      <c r="F1196" s="8">
        <v>1.0</v>
      </c>
    </row>
    <row r="1197" ht="15.75" customHeight="1">
      <c r="C1197" s="8" t="s">
        <v>781</v>
      </c>
      <c r="D1197" s="8" t="s">
        <v>89</v>
      </c>
      <c r="E1197" s="8">
        <v>2.0</v>
      </c>
      <c r="F1197" s="8">
        <v>1.0</v>
      </c>
    </row>
    <row r="1198" ht="15.75" customHeight="1">
      <c r="C1198" s="8" t="s">
        <v>781</v>
      </c>
      <c r="D1198" s="8" t="s">
        <v>89</v>
      </c>
      <c r="E1198" s="8">
        <v>2.0</v>
      </c>
      <c r="F1198" s="8">
        <v>1.0</v>
      </c>
    </row>
    <row r="1199" ht="15.75" customHeight="1">
      <c r="C1199" s="8" t="s">
        <v>67</v>
      </c>
      <c r="E1199" s="8">
        <v>1.0</v>
      </c>
      <c r="F1199" s="8">
        <v>0.5</v>
      </c>
    </row>
    <row r="1200" ht="15.75" customHeight="1">
      <c r="C1200" s="8" t="s">
        <v>67</v>
      </c>
      <c r="E1200" s="8">
        <v>0.5</v>
      </c>
      <c r="F1200" s="8">
        <v>0.5</v>
      </c>
    </row>
    <row r="1201" ht="15.75" customHeight="1">
      <c r="C1201" s="8" t="s">
        <v>67</v>
      </c>
      <c r="E1201" s="8">
        <v>1.0</v>
      </c>
      <c r="F1201" s="8">
        <v>0.5</v>
      </c>
    </row>
    <row r="1202" ht="15.75" customHeight="1">
      <c r="C1202" s="8" t="s">
        <v>63</v>
      </c>
      <c r="D1202" s="8" t="s">
        <v>85</v>
      </c>
      <c r="E1202" s="8">
        <v>2.0</v>
      </c>
      <c r="F1202" s="8">
        <v>0.5</v>
      </c>
    </row>
    <row r="1203" ht="15.75" customHeight="1">
      <c r="C1203" s="8" t="s">
        <v>63</v>
      </c>
      <c r="D1203" s="8" t="s">
        <v>85</v>
      </c>
      <c r="E1203" s="8">
        <v>8.0</v>
      </c>
      <c r="F1203" s="8">
        <v>1.0</v>
      </c>
    </row>
    <row r="1204" ht="15.75" customHeight="1">
      <c r="C1204" s="8" t="s">
        <v>781</v>
      </c>
      <c r="D1204" s="8" t="s">
        <v>89</v>
      </c>
      <c r="E1204" s="8">
        <v>3.0</v>
      </c>
      <c r="F1204" s="8">
        <v>1.0</v>
      </c>
    </row>
    <row r="1205" ht="15.75" customHeight="1">
      <c r="C1205" s="8" t="s">
        <v>781</v>
      </c>
      <c r="D1205" s="8" t="s">
        <v>89</v>
      </c>
      <c r="E1205" s="8">
        <v>3.0</v>
      </c>
      <c r="F1205" s="8">
        <v>1.0</v>
      </c>
    </row>
    <row r="1206" ht="15.75" customHeight="1">
      <c r="C1206" s="8" t="s">
        <v>759</v>
      </c>
      <c r="D1206" s="8" t="s">
        <v>75</v>
      </c>
      <c r="E1206" s="8">
        <v>5.0</v>
      </c>
      <c r="F1206" s="8">
        <v>1.0</v>
      </c>
    </row>
    <row r="1207" ht="15.75" customHeight="1">
      <c r="C1207" s="8" t="s">
        <v>781</v>
      </c>
      <c r="D1207" s="8" t="s">
        <v>89</v>
      </c>
      <c r="E1207" s="8">
        <v>2.0</v>
      </c>
      <c r="F1207" s="8">
        <v>1.0</v>
      </c>
    </row>
    <row r="1208" ht="15.75" customHeight="1">
      <c r="C1208" s="8" t="s">
        <v>93</v>
      </c>
      <c r="D1208" s="8" t="s">
        <v>939</v>
      </c>
      <c r="E1208" s="8">
        <v>3.0</v>
      </c>
      <c r="F1208" s="8">
        <v>1.0</v>
      </c>
    </row>
    <row r="1209" ht="15.75" customHeight="1">
      <c r="C1209" s="8" t="s">
        <v>77</v>
      </c>
      <c r="D1209" s="8" t="s">
        <v>79</v>
      </c>
      <c r="E1209" s="8">
        <v>2.0</v>
      </c>
      <c r="F1209" s="8">
        <v>1.0</v>
      </c>
    </row>
    <row r="1210" ht="15.75" customHeight="1">
      <c r="C1210" s="8" t="s">
        <v>63</v>
      </c>
      <c r="D1210" s="8" t="s">
        <v>85</v>
      </c>
      <c r="E1210" s="8">
        <v>5.0</v>
      </c>
      <c r="F1210" s="8">
        <v>1.0</v>
      </c>
    </row>
    <row r="1211" ht="15.75" customHeight="1">
      <c r="C1211" s="8" t="s">
        <v>63</v>
      </c>
      <c r="D1211" s="8" t="s">
        <v>85</v>
      </c>
      <c r="E1211" s="8">
        <v>4.0</v>
      </c>
      <c r="F1211" s="8">
        <v>1.0</v>
      </c>
    </row>
    <row r="1212" ht="15.75" customHeight="1">
      <c r="C1212" s="8" t="s">
        <v>63</v>
      </c>
      <c r="E1212" s="8">
        <v>4.0</v>
      </c>
      <c r="F1212" s="8">
        <v>1.0</v>
      </c>
    </row>
    <row r="1213" ht="15.75" customHeight="1">
      <c r="C1213" s="8" t="s">
        <v>67</v>
      </c>
      <c r="E1213" s="8">
        <v>3.0</v>
      </c>
      <c r="F1213" s="8">
        <v>1.0</v>
      </c>
    </row>
    <row r="1214" ht="15.75" customHeight="1">
      <c r="C1214" s="8" t="s">
        <v>63</v>
      </c>
      <c r="D1214" s="8" t="s">
        <v>97</v>
      </c>
      <c r="E1214" s="8">
        <v>3.0</v>
      </c>
      <c r="F1214" s="8">
        <v>1.0</v>
      </c>
    </row>
    <row r="1215" ht="15.75" customHeight="1">
      <c r="C1215" s="8" t="s">
        <v>781</v>
      </c>
      <c r="D1215" s="8" t="s">
        <v>89</v>
      </c>
      <c r="E1215" s="8">
        <v>3.0</v>
      </c>
      <c r="F1215" s="8">
        <v>1.0</v>
      </c>
    </row>
    <row r="1216" ht="15.75" customHeight="1">
      <c r="C1216" s="8" t="s">
        <v>781</v>
      </c>
      <c r="D1216" s="8" t="s">
        <v>89</v>
      </c>
      <c r="E1216" s="8">
        <v>3.0</v>
      </c>
      <c r="F1216" s="8">
        <v>1.0</v>
      </c>
    </row>
    <row r="1217" ht="15.75" customHeight="1">
      <c r="C1217" s="8" t="s">
        <v>759</v>
      </c>
      <c r="D1217" s="8" t="s">
        <v>75</v>
      </c>
      <c r="E1217" s="8">
        <v>6.0</v>
      </c>
      <c r="F1217" s="8">
        <v>1.0</v>
      </c>
    </row>
    <row r="1218" ht="15.75" customHeight="1">
      <c r="C1218" s="8" t="s">
        <v>63</v>
      </c>
      <c r="E1218" s="8">
        <v>3.0</v>
      </c>
      <c r="F1218" s="8">
        <v>1.0</v>
      </c>
    </row>
    <row r="1219" ht="15.75" customHeight="1">
      <c r="C1219" s="8" t="s">
        <v>63</v>
      </c>
      <c r="D1219" s="8" t="s">
        <v>85</v>
      </c>
      <c r="E1219" s="8">
        <v>8.0</v>
      </c>
      <c r="F1219" s="8">
        <v>1.0</v>
      </c>
    </row>
    <row r="1220" ht="15.75" customHeight="1">
      <c r="C1220" s="8" t="s">
        <v>67</v>
      </c>
      <c r="E1220" s="8">
        <v>3.0</v>
      </c>
      <c r="F1220" s="8">
        <v>1.0</v>
      </c>
    </row>
    <row r="1221" ht="15.75" customHeight="1">
      <c r="C1221" s="8" t="s">
        <v>759</v>
      </c>
      <c r="D1221" s="8" t="s">
        <v>75</v>
      </c>
      <c r="E1221" s="8">
        <v>4.0</v>
      </c>
      <c r="F1221" s="8">
        <v>1.0</v>
      </c>
    </row>
    <row r="1222" ht="15.75" customHeight="1">
      <c r="C1222" s="8" t="s">
        <v>63</v>
      </c>
      <c r="E1222" s="8">
        <v>8.0</v>
      </c>
      <c r="F1222" s="8">
        <v>1.0</v>
      </c>
    </row>
    <row r="1223" ht="15.75" customHeight="1">
      <c r="C1223" s="8" t="s">
        <v>781</v>
      </c>
      <c r="D1223" s="8" t="s">
        <v>89</v>
      </c>
      <c r="E1223" s="8">
        <v>3.0</v>
      </c>
      <c r="F1223" s="8">
        <v>1.0</v>
      </c>
    </row>
    <row r="1224" ht="15.75" customHeight="1">
      <c r="C1224" s="8" t="s">
        <v>63</v>
      </c>
      <c r="D1224" s="8" t="s">
        <v>85</v>
      </c>
      <c r="E1224" s="8">
        <v>7.0</v>
      </c>
      <c r="F1224" s="8">
        <v>1.0</v>
      </c>
    </row>
    <row r="1225" ht="15.75" customHeight="1">
      <c r="C1225" s="8" t="s">
        <v>781</v>
      </c>
      <c r="D1225" s="8" t="s">
        <v>89</v>
      </c>
      <c r="E1225" s="8">
        <v>7.0</v>
      </c>
      <c r="F1225" s="8">
        <v>3.0</v>
      </c>
    </row>
    <row r="1226" ht="15.75" customHeight="1">
      <c r="C1226" s="8" t="s">
        <v>781</v>
      </c>
      <c r="D1226" s="8" t="s">
        <v>89</v>
      </c>
      <c r="E1226" s="8">
        <v>2.0</v>
      </c>
      <c r="F1226" s="8">
        <v>0.5</v>
      </c>
    </row>
    <row r="1227" ht="15.75" customHeight="1">
      <c r="C1227" s="8" t="s">
        <v>63</v>
      </c>
      <c r="D1227" s="8" t="s">
        <v>85</v>
      </c>
      <c r="E1227" s="8">
        <v>4.0</v>
      </c>
      <c r="F1227" s="8">
        <v>1.0</v>
      </c>
    </row>
    <row r="1228" ht="15.75" customHeight="1">
      <c r="C1228" s="8" t="s">
        <v>93</v>
      </c>
      <c r="D1228" s="8" t="s">
        <v>73</v>
      </c>
      <c r="E1228" s="8">
        <v>3.0</v>
      </c>
      <c r="F1228" s="8">
        <v>1.0</v>
      </c>
    </row>
    <row r="1229" ht="15.75" customHeight="1">
      <c r="C1229" s="8" t="s">
        <v>63</v>
      </c>
      <c r="E1229" s="8">
        <v>7.0</v>
      </c>
      <c r="F1229" s="8">
        <v>1.0</v>
      </c>
    </row>
    <row r="1230" ht="15.75" customHeight="1">
      <c r="C1230" s="8" t="s">
        <v>63</v>
      </c>
      <c r="D1230" s="8" t="s">
        <v>85</v>
      </c>
      <c r="E1230" s="8">
        <v>7.0</v>
      </c>
      <c r="F1230" s="8">
        <v>1.0</v>
      </c>
    </row>
    <row r="1231" ht="15.75" customHeight="1">
      <c r="C1231" s="8" t="s">
        <v>759</v>
      </c>
      <c r="D1231" s="8" t="s">
        <v>75</v>
      </c>
      <c r="E1231" s="8">
        <v>5.0</v>
      </c>
      <c r="F1231" s="8">
        <v>1.0</v>
      </c>
    </row>
    <row r="1232" ht="15.75" customHeight="1">
      <c r="C1232" s="8" t="s">
        <v>63</v>
      </c>
      <c r="E1232" s="8">
        <v>6.0</v>
      </c>
      <c r="F1232" s="8">
        <v>3.0</v>
      </c>
    </row>
    <row r="1233" ht="15.75" customHeight="1">
      <c r="C1233" s="8" t="s">
        <v>759</v>
      </c>
      <c r="D1233" s="8" t="s">
        <v>75</v>
      </c>
      <c r="E1233" s="8">
        <v>4.0</v>
      </c>
      <c r="F1233" s="8">
        <v>1.0</v>
      </c>
    </row>
    <row r="1234" ht="15.75" customHeight="1">
      <c r="C1234" s="8" t="s">
        <v>759</v>
      </c>
      <c r="D1234" s="8" t="s">
        <v>101</v>
      </c>
      <c r="E1234" s="8">
        <v>5.0</v>
      </c>
      <c r="F1234" s="8">
        <v>1.0</v>
      </c>
    </row>
    <row r="1235" ht="15.75" customHeight="1">
      <c r="C1235" s="8" t="s">
        <v>781</v>
      </c>
      <c r="D1235" s="8" t="s">
        <v>924</v>
      </c>
      <c r="E1235" s="8">
        <v>2.0</v>
      </c>
      <c r="F1235" s="8">
        <v>0.5</v>
      </c>
    </row>
    <row r="1236" ht="15.75" customHeight="1">
      <c r="C1236" s="8" t="s">
        <v>759</v>
      </c>
      <c r="D1236" s="8" t="s">
        <v>75</v>
      </c>
      <c r="E1236" s="8">
        <v>6.0</v>
      </c>
      <c r="F1236" s="8">
        <v>1.0</v>
      </c>
    </row>
    <row r="1237" ht="15.75" customHeight="1">
      <c r="C1237" s="8" t="s">
        <v>759</v>
      </c>
      <c r="D1237" s="8" t="s">
        <v>75</v>
      </c>
      <c r="E1237" s="8">
        <v>5.0</v>
      </c>
      <c r="F1237" s="8">
        <v>1.0</v>
      </c>
    </row>
    <row r="1238" ht="15.75" customHeight="1">
      <c r="C1238" s="8" t="s">
        <v>63</v>
      </c>
      <c r="D1238" s="8" t="s">
        <v>85</v>
      </c>
      <c r="E1238" s="8">
        <v>7.0</v>
      </c>
      <c r="F1238" s="8">
        <v>1.0</v>
      </c>
    </row>
    <row r="1239" ht="15.75" customHeight="1">
      <c r="C1239" s="8" t="s">
        <v>759</v>
      </c>
      <c r="D1239" s="8" t="s">
        <v>75</v>
      </c>
      <c r="E1239" s="8">
        <v>5.0</v>
      </c>
      <c r="F1239" s="8">
        <v>1.0</v>
      </c>
    </row>
    <row r="1240" ht="15.75" customHeight="1">
      <c r="C1240" s="8" t="s">
        <v>69</v>
      </c>
      <c r="E1240" s="8">
        <v>13.0</v>
      </c>
      <c r="F1240" s="8">
        <v>2.0</v>
      </c>
    </row>
    <row r="1241" ht="15.75" customHeight="1">
      <c r="C1241" s="8" t="s">
        <v>781</v>
      </c>
      <c r="D1241" s="8" t="s">
        <v>89</v>
      </c>
      <c r="E1241" s="8">
        <v>3.0</v>
      </c>
      <c r="F1241" s="8">
        <v>1.0</v>
      </c>
    </row>
    <row r="1242" ht="15.75" customHeight="1">
      <c r="C1242" s="8" t="s">
        <v>63</v>
      </c>
      <c r="D1242" s="8" t="s">
        <v>85</v>
      </c>
      <c r="E1242" s="8">
        <v>2.0</v>
      </c>
      <c r="F1242" s="8">
        <v>0.5</v>
      </c>
    </row>
    <row r="1243" ht="15.75" customHeight="1">
      <c r="C1243" s="8" t="s">
        <v>759</v>
      </c>
      <c r="D1243" s="8" t="s">
        <v>75</v>
      </c>
      <c r="E1243" s="8">
        <v>6.0</v>
      </c>
      <c r="F1243" s="8">
        <v>1.0</v>
      </c>
    </row>
    <row r="1244" ht="15.75" customHeight="1">
      <c r="C1244" s="8" t="s">
        <v>759</v>
      </c>
      <c r="D1244" s="8" t="s">
        <v>75</v>
      </c>
      <c r="E1244" s="8">
        <v>4.0</v>
      </c>
      <c r="F1244" s="8">
        <v>1.0</v>
      </c>
    </row>
    <row r="1245" ht="15.75" customHeight="1">
      <c r="C1245" s="8" t="s">
        <v>781</v>
      </c>
      <c r="D1245" s="8" t="s">
        <v>89</v>
      </c>
      <c r="E1245" s="8">
        <v>2.0</v>
      </c>
      <c r="F1245" s="8">
        <v>1.0</v>
      </c>
    </row>
    <row r="1246" ht="15.75" customHeight="1">
      <c r="C1246" s="8" t="s">
        <v>759</v>
      </c>
      <c r="D1246" s="8" t="s">
        <v>75</v>
      </c>
      <c r="E1246" s="8">
        <v>4.0</v>
      </c>
      <c r="F1246" s="8">
        <v>1.0</v>
      </c>
    </row>
    <row r="1247" ht="15.75" customHeight="1">
      <c r="C1247" s="8" t="s">
        <v>63</v>
      </c>
      <c r="D1247" s="8" t="s">
        <v>97</v>
      </c>
      <c r="E1247" s="8">
        <v>4.0</v>
      </c>
      <c r="F1247" s="8">
        <v>1.0</v>
      </c>
    </row>
    <row r="1248" ht="15.75" customHeight="1">
      <c r="C1248" s="8" t="s">
        <v>63</v>
      </c>
      <c r="E1248" s="8">
        <v>8.0</v>
      </c>
      <c r="F1248" s="8">
        <v>1.0</v>
      </c>
    </row>
    <row r="1249" ht="15.75" customHeight="1">
      <c r="C1249" s="8" t="s">
        <v>63</v>
      </c>
      <c r="E1249" s="8">
        <v>8.0</v>
      </c>
      <c r="F1249" s="8">
        <v>1.0</v>
      </c>
    </row>
    <row r="1250" ht="15.75" customHeight="1">
      <c r="C1250" s="8" t="s">
        <v>63</v>
      </c>
      <c r="D1250" s="8" t="s">
        <v>85</v>
      </c>
      <c r="E1250" s="8">
        <v>4.0</v>
      </c>
      <c r="F1250" s="8">
        <v>1.0</v>
      </c>
    </row>
    <row r="1251" ht="15.75" customHeight="1">
      <c r="C1251" s="8" t="s">
        <v>63</v>
      </c>
      <c r="D1251" s="8" t="s">
        <v>85</v>
      </c>
      <c r="E1251" s="8">
        <v>2.0</v>
      </c>
      <c r="F1251" s="8">
        <v>1.0</v>
      </c>
    </row>
    <row r="1252" ht="15.75" customHeight="1">
      <c r="C1252" s="8" t="s">
        <v>63</v>
      </c>
      <c r="D1252" s="8" t="s">
        <v>85</v>
      </c>
      <c r="E1252" s="8">
        <v>2.0</v>
      </c>
      <c r="F1252" s="8">
        <v>1.0</v>
      </c>
    </row>
    <row r="1253" ht="15.75" customHeight="1">
      <c r="C1253" s="8" t="s">
        <v>63</v>
      </c>
      <c r="D1253" s="8" t="s">
        <v>85</v>
      </c>
      <c r="E1253" s="8">
        <v>4.0</v>
      </c>
      <c r="F1253" s="8">
        <v>1.0</v>
      </c>
    </row>
    <row r="1254" ht="15.75" customHeight="1">
      <c r="C1254" s="8" t="s">
        <v>63</v>
      </c>
      <c r="D1254" s="8" t="s">
        <v>97</v>
      </c>
      <c r="E1254" s="8">
        <v>3.0</v>
      </c>
      <c r="F1254" s="8">
        <v>1.0</v>
      </c>
    </row>
    <row r="1255" ht="15.75" customHeight="1">
      <c r="C1255" s="8" t="s">
        <v>63</v>
      </c>
      <c r="D1255" s="8" t="s">
        <v>97</v>
      </c>
      <c r="E1255" s="8">
        <v>4.0</v>
      </c>
      <c r="F1255" s="8">
        <v>1.0</v>
      </c>
    </row>
    <row r="1256" ht="15.75" customHeight="1">
      <c r="C1256" s="8" t="s">
        <v>63</v>
      </c>
      <c r="E1256" s="8">
        <v>3.0</v>
      </c>
      <c r="F1256" s="8">
        <v>1.0</v>
      </c>
    </row>
    <row r="1257" ht="15.75" customHeight="1">
      <c r="C1257" s="8" t="s">
        <v>63</v>
      </c>
      <c r="D1257" s="8" t="s">
        <v>85</v>
      </c>
      <c r="E1257" s="8">
        <v>7.0</v>
      </c>
      <c r="F1257" s="8">
        <v>1.0</v>
      </c>
    </row>
    <row r="1258" ht="15.75" customHeight="1">
      <c r="C1258" s="8" t="s">
        <v>781</v>
      </c>
      <c r="D1258" s="8" t="s">
        <v>89</v>
      </c>
      <c r="E1258" s="8">
        <v>4.0</v>
      </c>
      <c r="F1258" s="8">
        <v>1.0</v>
      </c>
    </row>
    <row r="1259" ht="15.75" customHeight="1">
      <c r="C1259" s="8" t="s">
        <v>781</v>
      </c>
      <c r="D1259" s="8" t="s">
        <v>89</v>
      </c>
      <c r="E1259" s="8">
        <v>2.0</v>
      </c>
      <c r="F1259" s="8">
        <v>1.0</v>
      </c>
    </row>
    <row r="1260" ht="15.75" customHeight="1">
      <c r="C1260" s="8" t="s">
        <v>781</v>
      </c>
      <c r="D1260" s="8" t="s">
        <v>89</v>
      </c>
      <c r="E1260" s="8">
        <v>3.0</v>
      </c>
      <c r="F1260" s="8">
        <v>1.0</v>
      </c>
    </row>
    <row r="1261" ht="15.75" customHeight="1">
      <c r="C1261" s="8" t="s">
        <v>781</v>
      </c>
      <c r="D1261" s="8" t="s">
        <v>89</v>
      </c>
      <c r="E1261" s="8">
        <v>3.0</v>
      </c>
      <c r="F1261" s="8">
        <v>1.0</v>
      </c>
    </row>
    <row r="1262" ht="15.75" customHeight="1">
      <c r="C1262" s="8" t="s">
        <v>759</v>
      </c>
      <c r="D1262" s="8" t="s">
        <v>75</v>
      </c>
      <c r="E1262" s="8">
        <v>5.0</v>
      </c>
      <c r="F1262" s="8">
        <v>1.0</v>
      </c>
    </row>
    <row r="1263" ht="15.75" customHeight="1">
      <c r="C1263" s="8" t="s">
        <v>759</v>
      </c>
      <c r="D1263" s="8" t="s">
        <v>75</v>
      </c>
      <c r="E1263" s="8">
        <v>5.0</v>
      </c>
      <c r="F1263" s="8">
        <v>1.0</v>
      </c>
    </row>
    <row r="1264" ht="15.75" customHeight="1">
      <c r="C1264" s="8" t="s">
        <v>781</v>
      </c>
      <c r="D1264" s="8" t="s">
        <v>89</v>
      </c>
      <c r="E1264" s="8">
        <v>2.0</v>
      </c>
      <c r="F1264" s="8">
        <v>1.0</v>
      </c>
    </row>
    <row r="1265" ht="15.75" customHeight="1">
      <c r="C1265" s="8" t="s">
        <v>781</v>
      </c>
      <c r="D1265" s="8" t="s">
        <v>89</v>
      </c>
      <c r="E1265" s="8">
        <v>2.0</v>
      </c>
      <c r="F1265" s="8">
        <v>1.0</v>
      </c>
    </row>
    <row r="1266" ht="15.75" customHeight="1">
      <c r="C1266" s="8" t="s">
        <v>63</v>
      </c>
      <c r="D1266" s="8" t="s">
        <v>97</v>
      </c>
      <c r="E1266" s="8">
        <v>2.0</v>
      </c>
      <c r="F1266" s="8">
        <v>0.5</v>
      </c>
    </row>
    <row r="1267" ht="15.75" customHeight="1">
      <c r="C1267" s="8" t="s">
        <v>63</v>
      </c>
      <c r="E1267" s="8">
        <v>9.0</v>
      </c>
      <c r="F1267" s="8">
        <v>3.0</v>
      </c>
    </row>
    <row r="1268" ht="15.75" customHeight="1">
      <c r="C1268" s="8" t="s">
        <v>63</v>
      </c>
      <c r="D1268" s="8" t="s">
        <v>85</v>
      </c>
      <c r="E1268" s="8">
        <v>5.0</v>
      </c>
      <c r="F1268" s="8">
        <v>1.0</v>
      </c>
    </row>
    <row r="1269" ht="15.75" customHeight="1">
      <c r="C1269" s="8" t="s">
        <v>63</v>
      </c>
      <c r="D1269" s="8" t="s">
        <v>85</v>
      </c>
      <c r="E1269" s="8">
        <v>8.0</v>
      </c>
      <c r="F1269" s="8">
        <v>1.0</v>
      </c>
    </row>
    <row r="1270" ht="15.75" customHeight="1">
      <c r="C1270" s="8" t="s">
        <v>759</v>
      </c>
      <c r="D1270" s="8" t="s">
        <v>75</v>
      </c>
      <c r="E1270" s="8">
        <v>5.0</v>
      </c>
      <c r="F1270" s="8">
        <v>1.0</v>
      </c>
    </row>
    <row r="1271" ht="15.75" customHeight="1">
      <c r="C1271" s="8" t="s">
        <v>63</v>
      </c>
      <c r="D1271" s="8" t="s">
        <v>85</v>
      </c>
      <c r="E1271" s="8">
        <v>3.0</v>
      </c>
      <c r="F1271" s="8">
        <v>0.5</v>
      </c>
    </row>
    <row r="1272" ht="15.75" customHeight="1">
      <c r="C1272" s="8" t="s">
        <v>759</v>
      </c>
      <c r="D1272" s="8" t="s">
        <v>75</v>
      </c>
      <c r="E1272" s="8">
        <v>5.0</v>
      </c>
      <c r="F1272" s="8">
        <v>1.0</v>
      </c>
    </row>
    <row r="1273" ht="15.75" customHeight="1">
      <c r="C1273" s="8" t="s">
        <v>759</v>
      </c>
      <c r="D1273" s="8" t="s">
        <v>75</v>
      </c>
      <c r="E1273" s="8">
        <v>3.0</v>
      </c>
      <c r="F1273" s="8">
        <v>1.0</v>
      </c>
    </row>
    <row r="1274" ht="15.75" customHeight="1">
      <c r="C1274" s="8" t="s">
        <v>63</v>
      </c>
      <c r="D1274" s="8" t="s">
        <v>85</v>
      </c>
      <c r="E1274" s="8">
        <v>3.0</v>
      </c>
      <c r="F1274" s="8">
        <v>1.0</v>
      </c>
    </row>
    <row r="1275" ht="15.75" customHeight="1">
      <c r="C1275" s="8" t="s">
        <v>781</v>
      </c>
      <c r="D1275" s="8" t="s">
        <v>89</v>
      </c>
      <c r="E1275" s="8">
        <v>2.0</v>
      </c>
      <c r="F1275" s="8">
        <v>1.0</v>
      </c>
    </row>
    <row r="1276" ht="15.75" customHeight="1">
      <c r="C1276" s="8" t="s">
        <v>759</v>
      </c>
      <c r="D1276" s="8" t="s">
        <v>75</v>
      </c>
      <c r="E1276" s="8">
        <v>6.0</v>
      </c>
      <c r="F1276" s="8">
        <v>1.0</v>
      </c>
    </row>
    <row r="1277" ht="15.75" customHeight="1">
      <c r="C1277" s="8" t="s">
        <v>63</v>
      </c>
      <c r="D1277" s="8" t="s">
        <v>85</v>
      </c>
      <c r="E1277" s="8">
        <v>7.0</v>
      </c>
      <c r="F1277" s="8">
        <v>1.0</v>
      </c>
    </row>
    <row r="1278" ht="15.75" customHeight="1">
      <c r="C1278" s="8" t="s">
        <v>63</v>
      </c>
      <c r="D1278" s="8" t="s">
        <v>97</v>
      </c>
      <c r="E1278" s="8">
        <v>4.0</v>
      </c>
      <c r="F1278" s="8">
        <v>1.0</v>
      </c>
    </row>
    <row r="1279" ht="15.75" customHeight="1">
      <c r="C1279" s="8" t="s">
        <v>759</v>
      </c>
      <c r="D1279" s="8" t="s">
        <v>75</v>
      </c>
      <c r="E1279" s="8">
        <v>3.0</v>
      </c>
      <c r="F1279" s="8">
        <v>1.0</v>
      </c>
    </row>
    <row r="1280" ht="15.75" customHeight="1">
      <c r="C1280" s="8" t="s">
        <v>759</v>
      </c>
      <c r="D1280" s="8" t="s">
        <v>75</v>
      </c>
      <c r="E1280" s="8">
        <v>5.0</v>
      </c>
      <c r="F1280" s="8">
        <v>1.0</v>
      </c>
    </row>
    <row r="1281" ht="15.75" customHeight="1">
      <c r="C1281" s="8" t="s">
        <v>759</v>
      </c>
      <c r="D1281" s="8" t="s">
        <v>75</v>
      </c>
      <c r="E1281" s="8">
        <v>5.0</v>
      </c>
      <c r="F1281" s="8">
        <v>1.0</v>
      </c>
    </row>
    <row r="1282" ht="15.75" customHeight="1">
      <c r="C1282" s="8" t="s">
        <v>781</v>
      </c>
      <c r="D1282" s="8" t="s">
        <v>89</v>
      </c>
      <c r="E1282" s="8">
        <v>2.0</v>
      </c>
      <c r="F1282" s="8">
        <v>1.0</v>
      </c>
    </row>
    <row r="1283" ht="15.75" customHeight="1">
      <c r="C1283" s="8" t="s">
        <v>759</v>
      </c>
      <c r="D1283" s="8" t="s">
        <v>75</v>
      </c>
      <c r="E1283" s="8">
        <v>4.0</v>
      </c>
      <c r="F1283" s="8">
        <v>1.0</v>
      </c>
    </row>
    <row r="1284" ht="15.75" customHeight="1">
      <c r="C1284" s="8" t="s">
        <v>759</v>
      </c>
      <c r="D1284" s="8" t="s">
        <v>75</v>
      </c>
      <c r="E1284" s="8">
        <v>6.0</v>
      </c>
      <c r="F1284" s="8">
        <v>1.0</v>
      </c>
    </row>
    <row r="1285" ht="15.75" customHeight="1">
      <c r="C1285" s="8" t="s">
        <v>63</v>
      </c>
      <c r="D1285" s="8" t="s">
        <v>97</v>
      </c>
      <c r="E1285" s="8">
        <v>4.0</v>
      </c>
      <c r="F1285" s="8">
        <v>1.0</v>
      </c>
    </row>
    <row r="1286" ht="15.75" customHeight="1">
      <c r="C1286" s="8" t="s">
        <v>63</v>
      </c>
      <c r="D1286" s="8" t="s">
        <v>97</v>
      </c>
      <c r="E1286" s="8">
        <v>4.0</v>
      </c>
      <c r="F1286" s="8">
        <v>1.0</v>
      </c>
    </row>
    <row r="1287" ht="15.75" customHeight="1">
      <c r="C1287" s="8" t="s">
        <v>781</v>
      </c>
      <c r="D1287" s="8" t="s">
        <v>89</v>
      </c>
      <c r="E1287" s="8">
        <v>2.0</v>
      </c>
      <c r="F1287" s="8">
        <v>1.0</v>
      </c>
    </row>
    <row r="1288" ht="15.75" customHeight="1">
      <c r="C1288" s="8" t="s">
        <v>63</v>
      </c>
      <c r="D1288" s="8" t="s">
        <v>85</v>
      </c>
      <c r="E1288" s="8">
        <v>5.0</v>
      </c>
      <c r="F1288" s="8">
        <v>1.0</v>
      </c>
    </row>
    <row r="1289" ht="15.75" customHeight="1">
      <c r="C1289" s="8" t="s">
        <v>63</v>
      </c>
      <c r="E1289" s="8">
        <v>8.0</v>
      </c>
      <c r="F1289" s="8">
        <v>1.0</v>
      </c>
    </row>
    <row r="1290" ht="15.75" customHeight="1">
      <c r="C1290" s="8" t="s">
        <v>63</v>
      </c>
      <c r="E1290" s="8">
        <v>5.0</v>
      </c>
      <c r="F1290" s="8">
        <v>1.0</v>
      </c>
    </row>
    <row r="1291" ht="15.75" customHeight="1">
      <c r="C1291" s="8" t="s">
        <v>67</v>
      </c>
      <c r="E1291" s="8">
        <v>2.0</v>
      </c>
      <c r="F1291" s="8">
        <v>1.0</v>
      </c>
    </row>
    <row r="1292" ht="15.75" customHeight="1">
      <c r="C1292" s="8" t="s">
        <v>63</v>
      </c>
      <c r="D1292" s="8" t="s">
        <v>85</v>
      </c>
      <c r="E1292" s="8">
        <v>4.0</v>
      </c>
      <c r="F1292" s="8">
        <v>1.0</v>
      </c>
    </row>
    <row r="1293" ht="15.75" customHeight="1">
      <c r="C1293" s="8" t="s">
        <v>759</v>
      </c>
      <c r="D1293" s="8" t="s">
        <v>75</v>
      </c>
      <c r="E1293" s="8">
        <v>3.0</v>
      </c>
      <c r="F1293" s="8">
        <v>1.0</v>
      </c>
    </row>
    <row r="1294" ht="15.75" customHeight="1">
      <c r="C1294" s="8" t="s">
        <v>63</v>
      </c>
      <c r="E1294" s="8">
        <v>8.0</v>
      </c>
      <c r="F1294" s="8">
        <v>1.0</v>
      </c>
    </row>
    <row r="1295" ht="15.75" customHeight="1">
      <c r="C1295" s="8" t="s">
        <v>781</v>
      </c>
      <c r="D1295" s="8" t="s">
        <v>89</v>
      </c>
      <c r="E1295" s="8">
        <v>4.0</v>
      </c>
      <c r="F1295" s="8">
        <v>2.0</v>
      </c>
    </row>
    <row r="1296" ht="15.75" customHeight="1">
      <c r="C1296" s="8" t="s">
        <v>63</v>
      </c>
      <c r="D1296" s="8" t="s">
        <v>97</v>
      </c>
      <c r="E1296" s="8">
        <v>3.0</v>
      </c>
      <c r="F1296" s="8">
        <v>1.0</v>
      </c>
    </row>
    <row r="1297" ht="15.75" customHeight="1">
      <c r="C1297" s="8" t="s">
        <v>781</v>
      </c>
      <c r="D1297" s="8" t="s">
        <v>89</v>
      </c>
      <c r="E1297" s="8">
        <v>2.0</v>
      </c>
      <c r="F1297" s="8">
        <v>1.0</v>
      </c>
    </row>
    <row r="1298" ht="15.75" customHeight="1">
      <c r="C1298" s="8" t="s">
        <v>63</v>
      </c>
      <c r="D1298" s="8" t="s">
        <v>97</v>
      </c>
      <c r="E1298" s="8">
        <v>3.0</v>
      </c>
      <c r="F1298" s="8">
        <v>1.0</v>
      </c>
    </row>
    <row r="1299" ht="15.75" customHeight="1">
      <c r="C1299" s="8" t="s">
        <v>63</v>
      </c>
      <c r="D1299" s="8" t="s">
        <v>85</v>
      </c>
      <c r="E1299" s="8">
        <v>8.0</v>
      </c>
      <c r="F1299" s="8">
        <v>1.0</v>
      </c>
    </row>
    <row r="1300" ht="15.75" customHeight="1">
      <c r="C1300" s="8" t="s">
        <v>759</v>
      </c>
      <c r="D1300" s="8" t="s">
        <v>75</v>
      </c>
      <c r="E1300" s="8">
        <v>5.0</v>
      </c>
      <c r="F1300" s="8">
        <v>1.0</v>
      </c>
    </row>
    <row r="1301" ht="15.75" customHeight="1">
      <c r="C1301" s="8" t="s">
        <v>759</v>
      </c>
      <c r="D1301" s="8" t="s">
        <v>75</v>
      </c>
      <c r="E1301" s="8">
        <v>5.0</v>
      </c>
      <c r="F1301" s="8">
        <v>1.0</v>
      </c>
    </row>
    <row r="1302" ht="15.75" customHeight="1">
      <c r="C1302" s="8" t="s">
        <v>63</v>
      </c>
      <c r="D1302" s="8" t="s">
        <v>85</v>
      </c>
      <c r="E1302" s="8">
        <v>4.0</v>
      </c>
      <c r="F1302" s="8">
        <v>1.0</v>
      </c>
    </row>
    <row r="1303" ht="15.75" customHeight="1">
      <c r="C1303" s="8" t="s">
        <v>759</v>
      </c>
      <c r="D1303" s="8" t="s">
        <v>75</v>
      </c>
      <c r="E1303" s="8">
        <v>5.0</v>
      </c>
      <c r="F1303" s="8">
        <v>1.0</v>
      </c>
    </row>
    <row r="1304" ht="15.75" customHeight="1">
      <c r="C1304" s="8" t="s">
        <v>781</v>
      </c>
      <c r="D1304" s="8" t="s">
        <v>89</v>
      </c>
      <c r="E1304" s="8">
        <v>3.0</v>
      </c>
      <c r="F1304" s="8">
        <v>1.0</v>
      </c>
    </row>
    <row r="1305" ht="15.75" customHeight="1">
      <c r="C1305" s="8" t="s">
        <v>759</v>
      </c>
      <c r="D1305" s="8" t="s">
        <v>75</v>
      </c>
      <c r="E1305" s="8">
        <v>5.0</v>
      </c>
      <c r="F1305" s="8">
        <v>1.0</v>
      </c>
    </row>
    <row r="1306" ht="15.75" customHeight="1">
      <c r="C1306" s="8" t="s">
        <v>63</v>
      </c>
      <c r="D1306" s="8" t="s">
        <v>85</v>
      </c>
      <c r="E1306" s="8">
        <v>4.0</v>
      </c>
      <c r="F1306" s="8">
        <v>1.0</v>
      </c>
    </row>
    <row r="1307" ht="15.75" customHeight="1">
      <c r="C1307" s="8" t="s">
        <v>93</v>
      </c>
      <c r="D1307" s="8" t="s">
        <v>73</v>
      </c>
      <c r="E1307" s="8">
        <v>9.0</v>
      </c>
      <c r="F1307" s="8">
        <v>2.0</v>
      </c>
    </row>
    <row r="1308" ht="15.75" customHeight="1">
      <c r="C1308" s="8" t="s">
        <v>63</v>
      </c>
      <c r="D1308" s="8" t="s">
        <v>85</v>
      </c>
      <c r="E1308" s="8">
        <v>3.0</v>
      </c>
      <c r="F1308" s="8">
        <v>0.5</v>
      </c>
    </row>
    <row r="1309" ht="15.75" customHeight="1">
      <c r="C1309" s="8" t="s">
        <v>781</v>
      </c>
      <c r="D1309" s="8" t="s">
        <v>89</v>
      </c>
      <c r="E1309" s="8">
        <v>2.0</v>
      </c>
      <c r="F1309" s="8">
        <v>1.0</v>
      </c>
    </row>
    <row r="1310" ht="15.75" customHeight="1">
      <c r="C1310" s="8" t="s">
        <v>63</v>
      </c>
      <c r="D1310" s="8" t="s">
        <v>85</v>
      </c>
      <c r="E1310" s="8">
        <v>6.0</v>
      </c>
      <c r="F1310" s="8">
        <v>1.0</v>
      </c>
    </row>
    <row r="1311" ht="15.75" customHeight="1">
      <c r="C1311" s="8" t="s">
        <v>63</v>
      </c>
      <c r="D1311" s="8" t="s">
        <v>85</v>
      </c>
      <c r="E1311" s="8">
        <v>8.0</v>
      </c>
      <c r="F1311" s="8">
        <v>1.0</v>
      </c>
    </row>
    <row r="1312" ht="15.75" customHeight="1">
      <c r="C1312" s="8" t="s">
        <v>781</v>
      </c>
      <c r="D1312" s="8" t="s">
        <v>89</v>
      </c>
      <c r="E1312" s="8">
        <v>2.0</v>
      </c>
      <c r="F1312" s="8">
        <v>1.0</v>
      </c>
    </row>
    <row r="1313" ht="15.75" customHeight="1">
      <c r="C1313" s="8" t="s">
        <v>781</v>
      </c>
      <c r="D1313" s="8" t="s">
        <v>89</v>
      </c>
    </row>
    <row r="1314" ht="15.75" customHeight="1">
      <c r="C1314" s="8" t="s">
        <v>63</v>
      </c>
      <c r="D1314" s="8" t="s">
        <v>85</v>
      </c>
      <c r="E1314" s="8">
        <v>5.0</v>
      </c>
      <c r="F1314" s="8">
        <v>1.0</v>
      </c>
    </row>
    <row r="1315" ht="15.75" customHeight="1">
      <c r="C1315" s="8" t="s">
        <v>63</v>
      </c>
      <c r="D1315" s="8" t="s">
        <v>97</v>
      </c>
      <c r="E1315" s="8">
        <v>3.0</v>
      </c>
      <c r="F1315" s="8">
        <v>1.0</v>
      </c>
    </row>
    <row r="1316" ht="15.75" customHeight="1">
      <c r="C1316" s="8" t="s">
        <v>63</v>
      </c>
      <c r="D1316" s="8" t="s">
        <v>97</v>
      </c>
      <c r="E1316" s="8">
        <v>8.0</v>
      </c>
      <c r="F1316" s="8">
        <v>1.0</v>
      </c>
    </row>
    <row r="1317" ht="15.75" customHeight="1">
      <c r="C1317" s="8" t="s">
        <v>67</v>
      </c>
      <c r="E1317" s="8">
        <v>2.0</v>
      </c>
      <c r="F1317" s="8">
        <v>0.5</v>
      </c>
    </row>
    <row r="1318" ht="15.75" customHeight="1">
      <c r="C1318" s="8" t="s">
        <v>67</v>
      </c>
      <c r="E1318" s="8">
        <v>2.0</v>
      </c>
      <c r="F1318" s="8">
        <v>0.5</v>
      </c>
    </row>
    <row r="1319" ht="15.75" customHeight="1">
      <c r="C1319" s="8" t="s">
        <v>67</v>
      </c>
      <c r="E1319" s="8">
        <v>2.0</v>
      </c>
      <c r="F1319" s="8">
        <v>0.5</v>
      </c>
    </row>
    <row r="1320" ht="15.75" customHeight="1">
      <c r="C1320" s="8" t="s">
        <v>63</v>
      </c>
      <c r="E1320" s="8">
        <v>2.0</v>
      </c>
      <c r="F1320" s="8">
        <v>1.0</v>
      </c>
      <c r="G1320" s="8" t="s">
        <v>762</v>
      </c>
    </row>
    <row r="1321" ht="15.75" customHeight="1">
      <c r="C1321" s="8" t="s">
        <v>781</v>
      </c>
      <c r="D1321" s="8" t="s">
        <v>89</v>
      </c>
      <c r="E1321" s="8">
        <v>2.0</v>
      </c>
      <c r="F1321" s="8">
        <v>1.0</v>
      </c>
    </row>
    <row r="1322" ht="15.75" customHeight="1">
      <c r="C1322" s="8" t="s">
        <v>759</v>
      </c>
      <c r="D1322" s="8" t="s">
        <v>75</v>
      </c>
      <c r="E1322" s="8">
        <v>4.0</v>
      </c>
      <c r="F1322" s="8">
        <v>1.0</v>
      </c>
    </row>
    <row r="1323" ht="15.75" customHeight="1">
      <c r="C1323" s="8" t="s">
        <v>759</v>
      </c>
      <c r="D1323" s="8" t="s">
        <v>75</v>
      </c>
      <c r="E1323" s="8">
        <v>4.0</v>
      </c>
      <c r="F1323" s="8">
        <v>1.0</v>
      </c>
    </row>
    <row r="1324" ht="15.75" customHeight="1">
      <c r="C1324" s="8" t="s">
        <v>759</v>
      </c>
      <c r="D1324" s="8" t="s">
        <v>75</v>
      </c>
      <c r="E1324" s="8">
        <v>4.0</v>
      </c>
      <c r="F1324" s="8">
        <v>1.0</v>
      </c>
    </row>
    <row r="1325" ht="15.75" customHeight="1">
      <c r="C1325" s="8" t="s">
        <v>759</v>
      </c>
      <c r="D1325" s="8" t="s">
        <v>75</v>
      </c>
      <c r="E1325" s="8">
        <v>4.0</v>
      </c>
      <c r="F1325" s="8">
        <v>1.0</v>
      </c>
    </row>
    <row r="1326" ht="15.75" customHeight="1">
      <c r="C1326" s="8" t="s">
        <v>759</v>
      </c>
      <c r="D1326" s="8" t="s">
        <v>75</v>
      </c>
      <c r="E1326" s="8">
        <v>4.0</v>
      </c>
      <c r="F1326" s="8">
        <v>1.0</v>
      </c>
    </row>
    <row r="1327" ht="15.75" customHeight="1">
      <c r="C1327" s="8" t="s">
        <v>759</v>
      </c>
      <c r="D1327" s="8" t="s">
        <v>75</v>
      </c>
      <c r="E1327" s="8">
        <v>4.0</v>
      </c>
      <c r="F1327" s="8">
        <v>1.0</v>
      </c>
    </row>
    <row r="1328" ht="15.75" customHeight="1">
      <c r="C1328" s="8" t="s">
        <v>759</v>
      </c>
      <c r="D1328" s="8" t="s">
        <v>75</v>
      </c>
      <c r="E1328" s="8">
        <v>4.0</v>
      </c>
      <c r="F1328" s="8">
        <v>1.0</v>
      </c>
    </row>
    <row r="1329" ht="15.75" customHeight="1">
      <c r="C1329" s="8" t="s">
        <v>759</v>
      </c>
      <c r="D1329" s="8" t="s">
        <v>75</v>
      </c>
      <c r="E1329" s="8">
        <v>4.0</v>
      </c>
      <c r="F1329" s="8">
        <v>1.0</v>
      </c>
    </row>
    <row r="1330" ht="15.75" customHeight="1">
      <c r="C1330" s="8" t="s">
        <v>759</v>
      </c>
      <c r="D1330" s="8" t="s">
        <v>75</v>
      </c>
      <c r="E1330" s="8">
        <v>4.0</v>
      </c>
      <c r="F1330" s="8">
        <v>1.0</v>
      </c>
    </row>
    <row r="1331" ht="15.75" customHeight="1">
      <c r="C1331" s="8" t="s">
        <v>759</v>
      </c>
      <c r="D1331" s="8" t="s">
        <v>75</v>
      </c>
      <c r="E1331" s="8">
        <v>4.0</v>
      </c>
      <c r="F1331" s="8">
        <v>1.0</v>
      </c>
    </row>
    <row r="1332" ht="15.75" customHeight="1">
      <c r="C1332" s="8" t="s">
        <v>759</v>
      </c>
      <c r="D1332" s="8" t="s">
        <v>75</v>
      </c>
      <c r="E1332" s="8">
        <v>4.0</v>
      </c>
      <c r="F1332" s="8">
        <v>1.0</v>
      </c>
    </row>
    <row r="1333" ht="15.75" customHeight="1">
      <c r="C1333" s="8" t="s">
        <v>759</v>
      </c>
      <c r="D1333" s="8" t="s">
        <v>75</v>
      </c>
      <c r="E1333" s="8">
        <v>4.0</v>
      </c>
      <c r="F1333" s="8">
        <v>1.0</v>
      </c>
    </row>
    <row r="1334" ht="15.75" customHeight="1">
      <c r="C1334" s="8" t="s">
        <v>759</v>
      </c>
      <c r="D1334" s="8" t="s">
        <v>75</v>
      </c>
      <c r="E1334" s="8">
        <v>4.0</v>
      </c>
      <c r="F1334" s="8">
        <v>1.0</v>
      </c>
    </row>
    <row r="1335" ht="15.75" customHeight="1">
      <c r="C1335" s="8" t="s">
        <v>759</v>
      </c>
      <c r="D1335" s="8" t="s">
        <v>75</v>
      </c>
      <c r="E1335" s="8">
        <v>5.0</v>
      </c>
      <c r="F1335" s="8">
        <v>1.0</v>
      </c>
    </row>
    <row r="1336" ht="15.75" customHeight="1">
      <c r="C1336" s="8" t="s">
        <v>759</v>
      </c>
      <c r="D1336" s="8" t="s">
        <v>75</v>
      </c>
      <c r="E1336" s="8">
        <v>5.0</v>
      </c>
      <c r="F1336" s="8">
        <v>1.0</v>
      </c>
    </row>
    <row r="1337" ht="15.75" customHeight="1">
      <c r="C1337" s="8" t="s">
        <v>781</v>
      </c>
      <c r="D1337" s="8" t="s">
        <v>89</v>
      </c>
      <c r="E1337" s="8">
        <v>3.0</v>
      </c>
      <c r="F1337" s="8">
        <v>1.0</v>
      </c>
    </row>
    <row r="1338" ht="15.75" customHeight="1">
      <c r="C1338" s="8" t="s">
        <v>759</v>
      </c>
      <c r="D1338" s="8" t="s">
        <v>75</v>
      </c>
      <c r="E1338" s="8">
        <v>5.0</v>
      </c>
      <c r="F1338" s="8">
        <v>1.0</v>
      </c>
    </row>
    <row r="1339" ht="15.75" customHeight="1">
      <c r="C1339" s="8" t="s">
        <v>759</v>
      </c>
      <c r="D1339" s="8" t="s">
        <v>75</v>
      </c>
      <c r="E1339" s="8">
        <v>5.0</v>
      </c>
      <c r="F1339" s="8">
        <v>1.0</v>
      </c>
    </row>
    <row r="1340" ht="15.75" customHeight="1">
      <c r="C1340" s="8" t="s">
        <v>759</v>
      </c>
      <c r="D1340" s="8" t="s">
        <v>75</v>
      </c>
      <c r="E1340" s="8">
        <v>5.0</v>
      </c>
      <c r="F1340" s="8">
        <v>1.0</v>
      </c>
    </row>
    <row r="1341" ht="15.75" customHeight="1">
      <c r="C1341" s="8" t="s">
        <v>93</v>
      </c>
      <c r="D1341" s="8" t="s">
        <v>73</v>
      </c>
      <c r="E1341" s="8">
        <v>8.0</v>
      </c>
      <c r="F1341" s="8">
        <v>2.0</v>
      </c>
    </row>
    <row r="1342" ht="15.75" customHeight="1">
      <c r="C1342" s="8" t="s">
        <v>63</v>
      </c>
      <c r="E1342" s="8">
        <v>2.0</v>
      </c>
      <c r="F1342" s="8">
        <v>1.0</v>
      </c>
    </row>
    <row r="1343" ht="15.75" customHeight="1">
      <c r="C1343" s="8" t="s">
        <v>759</v>
      </c>
      <c r="D1343" s="8" t="s">
        <v>75</v>
      </c>
      <c r="E1343" s="8">
        <v>4.0</v>
      </c>
      <c r="F1343" s="8">
        <v>1.0</v>
      </c>
    </row>
    <row r="1344" ht="15.75" customHeight="1">
      <c r="C1344" s="8" t="s">
        <v>67</v>
      </c>
      <c r="E1344" s="8">
        <v>3.0</v>
      </c>
      <c r="F1344" s="8">
        <v>1.0</v>
      </c>
    </row>
    <row r="1345" ht="15.75" customHeight="1">
      <c r="C1345" s="8" t="s">
        <v>759</v>
      </c>
      <c r="D1345" s="8" t="s">
        <v>75</v>
      </c>
      <c r="E1345" s="8">
        <v>5.0</v>
      </c>
      <c r="F1345" s="8">
        <v>1.0</v>
      </c>
    </row>
    <row r="1346" ht="15.75" customHeight="1">
      <c r="C1346" s="8" t="s">
        <v>759</v>
      </c>
      <c r="D1346" s="8" t="s">
        <v>75</v>
      </c>
      <c r="E1346" s="8">
        <v>5.0</v>
      </c>
      <c r="F1346" s="8">
        <v>1.0</v>
      </c>
    </row>
    <row r="1347" ht="15.75" customHeight="1">
      <c r="C1347" s="8" t="s">
        <v>759</v>
      </c>
      <c r="D1347" s="8" t="s">
        <v>75</v>
      </c>
      <c r="E1347" s="8">
        <v>5.0</v>
      </c>
      <c r="F1347" s="8">
        <v>1.0</v>
      </c>
    </row>
    <row r="1348" ht="15.75" customHeight="1">
      <c r="C1348" s="8" t="s">
        <v>63</v>
      </c>
      <c r="D1348" s="8" t="s">
        <v>955</v>
      </c>
      <c r="E1348" s="8">
        <v>3.0</v>
      </c>
      <c r="F1348" s="8">
        <v>0.5</v>
      </c>
    </row>
    <row r="1349" ht="15.75" customHeight="1">
      <c r="C1349" s="8" t="s">
        <v>63</v>
      </c>
      <c r="D1349" s="8" t="s">
        <v>85</v>
      </c>
      <c r="E1349" s="8">
        <v>8.0</v>
      </c>
      <c r="F1349" s="8">
        <v>1.0</v>
      </c>
    </row>
    <row r="1350" ht="15.75" customHeight="1">
      <c r="C1350" s="8" t="s">
        <v>63</v>
      </c>
      <c r="D1350" s="8" t="s">
        <v>85</v>
      </c>
      <c r="E1350" s="8">
        <v>7.0</v>
      </c>
      <c r="F1350" s="8">
        <v>1.0</v>
      </c>
    </row>
    <row r="1351" ht="15.75" customHeight="1">
      <c r="C1351" s="8" t="s">
        <v>781</v>
      </c>
      <c r="D1351" s="8" t="s">
        <v>924</v>
      </c>
      <c r="E1351" s="8">
        <v>5.0</v>
      </c>
      <c r="F1351" s="8">
        <v>1.0</v>
      </c>
    </row>
    <row r="1352" ht="15.75" customHeight="1">
      <c r="C1352" s="8" t="s">
        <v>63</v>
      </c>
      <c r="E1352" s="8">
        <v>7.0</v>
      </c>
      <c r="F1352" s="8">
        <v>1.0</v>
      </c>
    </row>
    <row r="1353" ht="15.75" customHeight="1">
      <c r="C1353" s="8" t="s">
        <v>63</v>
      </c>
      <c r="E1353" s="8">
        <v>4.0</v>
      </c>
      <c r="F1353" s="8">
        <v>1.0</v>
      </c>
    </row>
    <row r="1354" ht="15.75" customHeight="1">
      <c r="C1354" s="8" t="s">
        <v>781</v>
      </c>
      <c r="D1354" s="8" t="s">
        <v>89</v>
      </c>
      <c r="E1354" s="8">
        <v>2.0</v>
      </c>
      <c r="F1354" s="8">
        <v>1.0</v>
      </c>
    </row>
    <row r="1355" ht="15.75" customHeight="1">
      <c r="C1355" s="8" t="s">
        <v>781</v>
      </c>
      <c r="D1355" s="8" t="s">
        <v>89</v>
      </c>
      <c r="E1355" s="8">
        <v>2.0</v>
      </c>
      <c r="F1355" s="8">
        <v>1.0</v>
      </c>
    </row>
    <row r="1356" ht="15.75" customHeight="1">
      <c r="C1356" s="8" t="s">
        <v>57</v>
      </c>
      <c r="E1356" s="8">
        <v>5.0</v>
      </c>
      <c r="F1356" s="8">
        <v>4.0</v>
      </c>
      <c r="G1356" s="8" t="s">
        <v>956</v>
      </c>
    </row>
    <row r="1357" ht="15.75" customHeight="1">
      <c r="C1357" s="8" t="s">
        <v>63</v>
      </c>
      <c r="D1357" s="8" t="s">
        <v>85</v>
      </c>
      <c r="E1357" s="8">
        <v>8.0</v>
      </c>
      <c r="F1357" s="8">
        <v>1.0</v>
      </c>
    </row>
    <row r="1358" ht="15.75" customHeight="1">
      <c r="C1358" s="8" t="s">
        <v>63</v>
      </c>
      <c r="D1358" s="8" t="s">
        <v>85</v>
      </c>
      <c r="E1358" s="8">
        <v>7.0</v>
      </c>
      <c r="F1358" s="8">
        <v>1.0</v>
      </c>
    </row>
    <row r="1359" ht="15.75" customHeight="1">
      <c r="C1359" s="8" t="s">
        <v>63</v>
      </c>
      <c r="D1359" s="8" t="s">
        <v>85</v>
      </c>
      <c r="E1359" s="8">
        <v>4.0</v>
      </c>
      <c r="F1359" s="8">
        <v>1.0</v>
      </c>
    </row>
    <row r="1360" ht="15.75" customHeight="1">
      <c r="C1360" s="8" t="s">
        <v>781</v>
      </c>
      <c r="D1360" s="8" t="s">
        <v>89</v>
      </c>
      <c r="E1360" s="8">
        <v>2.0</v>
      </c>
      <c r="F1360" s="8">
        <v>1.0</v>
      </c>
    </row>
    <row r="1361" ht="15.75" customHeight="1">
      <c r="C1361" s="8" t="s">
        <v>781</v>
      </c>
      <c r="D1361" s="8" t="s">
        <v>89</v>
      </c>
      <c r="E1361" s="8">
        <v>2.0</v>
      </c>
      <c r="F1361" s="8">
        <v>1.0</v>
      </c>
    </row>
    <row r="1362" ht="15.75" customHeight="1">
      <c r="C1362" s="8" t="s">
        <v>759</v>
      </c>
      <c r="D1362" s="8" t="s">
        <v>75</v>
      </c>
      <c r="E1362" s="8">
        <v>8.0</v>
      </c>
      <c r="F1362" s="8">
        <v>1.0</v>
      </c>
    </row>
    <row r="1363" ht="15.75" customHeight="1">
      <c r="C1363" s="8" t="s">
        <v>781</v>
      </c>
      <c r="D1363" s="8" t="s">
        <v>89</v>
      </c>
      <c r="E1363" s="8">
        <v>3.0</v>
      </c>
      <c r="F1363" s="8">
        <v>1.0</v>
      </c>
    </row>
    <row r="1364" ht="15.75" customHeight="1">
      <c r="C1364" s="8" t="s">
        <v>781</v>
      </c>
      <c r="D1364" s="8" t="s">
        <v>89</v>
      </c>
      <c r="E1364" s="8">
        <v>3.0</v>
      </c>
      <c r="F1364" s="8">
        <v>1.0</v>
      </c>
    </row>
    <row r="1365" ht="15.75" customHeight="1">
      <c r="C1365" s="8" t="s">
        <v>759</v>
      </c>
      <c r="D1365" s="8" t="s">
        <v>75</v>
      </c>
      <c r="E1365" s="8">
        <v>4.0</v>
      </c>
      <c r="F1365" s="8">
        <v>1.0</v>
      </c>
    </row>
    <row r="1366" ht="15.75" customHeight="1">
      <c r="C1366" s="8" t="s">
        <v>759</v>
      </c>
      <c r="D1366" s="8" t="s">
        <v>75</v>
      </c>
      <c r="E1366" s="8">
        <v>4.0</v>
      </c>
      <c r="F1366" s="8">
        <v>1.0</v>
      </c>
    </row>
    <row r="1367" ht="15.75" customHeight="1">
      <c r="C1367" s="8" t="s">
        <v>63</v>
      </c>
      <c r="D1367" s="8" t="s">
        <v>85</v>
      </c>
      <c r="E1367" s="8">
        <v>7.0</v>
      </c>
      <c r="F1367" s="8">
        <v>1.0</v>
      </c>
    </row>
    <row r="1368" ht="15.75" customHeight="1">
      <c r="C1368" s="8" t="s">
        <v>759</v>
      </c>
      <c r="D1368" s="8" t="s">
        <v>75</v>
      </c>
      <c r="E1368" s="8">
        <v>7.0</v>
      </c>
      <c r="F1368" s="8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1" width="9.88"/>
    <col customWidth="1" hidden="1" min="2" max="2" width="20.75"/>
    <col customWidth="1" min="3" max="3" width="23.25"/>
    <col customWidth="1" min="4" max="5" width="10.88"/>
    <col customWidth="1" min="6" max="6" width="7.75"/>
  </cols>
  <sheetData>
    <row r="1">
      <c r="A1" s="18" t="s">
        <v>103</v>
      </c>
      <c r="B1" s="12" t="s">
        <v>105</v>
      </c>
      <c r="C1" s="101" t="s">
        <v>108</v>
      </c>
      <c r="D1" s="101" t="s">
        <v>104</v>
      </c>
      <c r="E1" s="102" t="s">
        <v>747</v>
      </c>
      <c r="F1" s="101" t="s">
        <v>109</v>
      </c>
      <c r="G1" s="101" t="s">
        <v>112</v>
      </c>
      <c r="H1" s="101" t="s">
        <v>113</v>
      </c>
      <c r="I1" s="101" t="s">
        <v>114</v>
      </c>
    </row>
    <row r="2">
      <c r="A2" s="19">
        <v>43375.0</v>
      </c>
      <c r="B2" s="7" t="s">
        <v>490</v>
      </c>
      <c r="C2" s="103" t="s">
        <v>491</v>
      </c>
      <c r="D2" s="103" t="s">
        <v>489</v>
      </c>
      <c r="E2" s="104" t="s">
        <v>760</v>
      </c>
      <c r="F2" s="103" t="s">
        <v>120</v>
      </c>
      <c r="G2" s="103" t="s">
        <v>393</v>
      </c>
      <c r="H2" s="103"/>
      <c r="I2" s="103" t="s">
        <v>121</v>
      </c>
    </row>
    <row r="3">
      <c r="A3" s="20">
        <v>43404.0</v>
      </c>
      <c r="B3" s="7" t="s">
        <v>213</v>
      </c>
      <c r="C3" s="103" t="s">
        <v>343</v>
      </c>
      <c r="D3" s="103" t="s">
        <v>492</v>
      </c>
      <c r="E3" s="104" t="s">
        <v>760</v>
      </c>
      <c r="F3" s="103" t="s">
        <v>120</v>
      </c>
      <c r="G3" s="103"/>
      <c r="H3" s="103"/>
      <c r="I3" s="103" t="s">
        <v>121</v>
      </c>
    </row>
    <row r="4">
      <c r="A4" s="19">
        <v>43405.0</v>
      </c>
      <c r="B4" s="7" t="s">
        <v>124</v>
      </c>
      <c r="C4" s="103" t="s">
        <v>305</v>
      </c>
      <c r="D4" s="103" t="s">
        <v>424</v>
      </c>
      <c r="E4" s="104" t="s">
        <v>755</v>
      </c>
      <c r="F4" s="103" t="s">
        <v>120</v>
      </c>
      <c r="G4" s="103" t="s">
        <v>425</v>
      </c>
      <c r="H4" s="103"/>
      <c r="I4" s="103" t="s">
        <v>121</v>
      </c>
    </row>
    <row r="5">
      <c r="A5" s="19">
        <v>43405.0</v>
      </c>
      <c r="B5" s="7" t="s">
        <v>124</v>
      </c>
      <c r="C5" s="103" t="s">
        <v>305</v>
      </c>
      <c r="D5" s="103" t="s">
        <v>427</v>
      </c>
      <c r="E5" s="104" t="s">
        <v>755</v>
      </c>
      <c r="F5" s="103" t="s">
        <v>120</v>
      </c>
      <c r="G5" s="103" t="s">
        <v>425</v>
      </c>
      <c r="H5" s="103"/>
      <c r="I5" s="103" t="s">
        <v>121</v>
      </c>
    </row>
    <row r="6">
      <c r="A6" s="19">
        <v>43405.0</v>
      </c>
      <c r="B6" s="7" t="s">
        <v>124</v>
      </c>
      <c r="C6" s="103" t="s">
        <v>305</v>
      </c>
      <c r="D6" s="103" t="s">
        <v>428</v>
      </c>
      <c r="E6" s="104" t="s">
        <v>755</v>
      </c>
      <c r="F6" s="103" t="s">
        <v>120</v>
      </c>
      <c r="G6" s="103" t="s">
        <v>425</v>
      </c>
      <c r="H6" s="103"/>
      <c r="I6" s="103" t="s">
        <v>121</v>
      </c>
    </row>
    <row r="7">
      <c r="A7" s="19">
        <v>43443.0</v>
      </c>
      <c r="B7" s="7" t="s">
        <v>117</v>
      </c>
      <c r="C7" s="105" t="s">
        <v>119</v>
      </c>
      <c r="D7" s="103" t="s">
        <v>116</v>
      </c>
      <c r="E7" s="104" t="s">
        <v>754</v>
      </c>
      <c r="F7" s="103" t="s">
        <v>120</v>
      </c>
      <c r="G7" s="103"/>
      <c r="H7" s="103"/>
      <c r="I7" s="103" t="s">
        <v>121</v>
      </c>
    </row>
    <row r="8">
      <c r="A8" s="19">
        <v>43443.0</v>
      </c>
      <c r="B8" s="7" t="s">
        <v>124</v>
      </c>
      <c r="C8" s="103" t="s">
        <v>126</v>
      </c>
      <c r="D8" s="103" t="s">
        <v>123</v>
      </c>
      <c r="E8" s="104" t="s">
        <v>755</v>
      </c>
      <c r="F8" s="103" t="s">
        <v>120</v>
      </c>
      <c r="G8" s="103"/>
      <c r="H8" s="103"/>
      <c r="I8" s="103" t="s">
        <v>121</v>
      </c>
    </row>
    <row r="9">
      <c r="A9" s="19">
        <v>43443.0</v>
      </c>
      <c r="B9" s="7" t="s">
        <v>124</v>
      </c>
      <c r="C9" s="103" t="s">
        <v>170</v>
      </c>
      <c r="D9" s="103" t="s">
        <v>493</v>
      </c>
      <c r="E9" s="104" t="s">
        <v>755</v>
      </c>
      <c r="F9" s="103" t="s">
        <v>120</v>
      </c>
      <c r="G9" s="103"/>
      <c r="H9" s="103"/>
      <c r="I9" s="103" t="s">
        <v>121</v>
      </c>
    </row>
    <row r="10">
      <c r="A10" s="20">
        <v>43444.0</v>
      </c>
      <c r="B10" s="7" t="s">
        <v>23</v>
      </c>
      <c r="C10" s="103" t="s">
        <v>129</v>
      </c>
      <c r="D10" s="103" t="s">
        <v>127</v>
      </c>
      <c r="E10" s="104" t="s">
        <v>755</v>
      </c>
      <c r="F10" s="103" t="s">
        <v>120</v>
      </c>
      <c r="G10" s="103"/>
      <c r="H10" s="103"/>
      <c r="I10" s="103" t="s">
        <v>121</v>
      </c>
    </row>
    <row r="11">
      <c r="A11" s="20">
        <v>43446.0</v>
      </c>
      <c r="B11" s="7" t="s">
        <v>117</v>
      </c>
      <c r="C11" s="103" t="s">
        <v>137</v>
      </c>
      <c r="D11" s="103" t="s">
        <v>135</v>
      </c>
      <c r="E11" s="104" t="s">
        <v>754</v>
      </c>
      <c r="F11" s="103" t="s">
        <v>120</v>
      </c>
      <c r="G11" s="103"/>
      <c r="H11" s="103"/>
      <c r="I11" s="103"/>
    </row>
    <row r="12">
      <c r="A12" s="20">
        <v>43448.0</v>
      </c>
      <c r="B12" s="7" t="s">
        <v>132</v>
      </c>
      <c r="C12" s="103" t="s">
        <v>134</v>
      </c>
      <c r="D12" s="103" t="s">
        <v>131</v>
      </c>
      <c r="E12" s="104" t="s">
        <v>755</v>
      </c>
      <c r="F12" s="103" t="s">
        <v>120</v>
      </c>
      <c r="G12" s="103"/>
      <c r="H12" s="103"/>
      <c r="I12" s="103" t="s">
        <v>121</v>
      </c>
    </row>
    <row r="13">
      <c r="A13" s="19">
        <v>43473.0</v>
      </c>
      <c r="B13" s="7" t="s">
        <v>139</v>
      </c>
      <c r="C13" s="103" t="s">
        <v>145</v>
      </c>
      <c r="D13" s="103" t="s">
        <v>143</v>
      </c>
      <c r="E13" s="104" t="s">
        <v>754</v>
      </c>
      <c r="F13" s="103" t="s">
        <v>120</v>
      </c>
      <c r="G13" s="103" t="s">
        <v>141</v>
      </c>
      <c r="H13" s="103"/>
      <c r="I13" s="103" t="s">
        <v>121</v>
      </c>
    </row>
    <row r="14">
      <c r="A14" s="19">
        <v>43473.0</v>
      </c>
      <c r="B14" s="7" t="s">
        <v>139</v>
      </c>
      <c r="C14" s="103" t="s">
        <v>137</v>
      </c>
      <c r="D14" s="103" t="s">
        <v>138</v>
      </c>
      <c r="E14" s="104" t="s">
        <v>754</v>
      </c>
      <c r="F14" s="103" t="s">
        <v>120</v>
      </c>
      <c r="G14" s="103" t="s">
        <v>141</v>
      </c>
      <c r="H14" s="103"/>
      <c r="I14" s="103"/>
    </row>
    <row r="15">
      <c r="A15" s="19">
        <v>43474.0</v>
      </c>
      <c r="B15" s="7" t="s">
        <v>148</v>
      </c>
      <c r="C15" s="103" t="s">
        <v>150</v>
      </c>
      <c r="D15" s="103" t="s">
        <v>147</v>
      </c>
      <c r="E15" s="104" t="s">
        <v>760</v>
      </c>
      <c r="F15" s="103" t="s">
        <v>120</v>
      </c>
      <c r="G15" s="103" t="s">
        <v>151</v>
      </c>
      <c r="H15" s="103"/>
      <c r="I15" s="103" t="s">
        <v>121</v>
      </c>
    </row>
    <row r="16">
      <c r="A16" s="19">
        <v>43474.0</v>
      </c>
      <c r="B16" s="7" t="s">
        <v>148</v>
      </c>
      <c r="C16" s="103" t="s">
        <v>154</v>
      </c>
      <c r="D16" s="103" t="s">
        <v>152</v>
      </c>
      <c r="E16" s="104" t="s">
        <v>760</v>
      </c>
      <c r="F16" s="103" t="s">
        <v>120</v>
      </c>
      <c r="G16" s="103" t="s">
        <v>155</v>
      </c>
      <c r="H16" s="103"/>
      <c r="I16" s="103" t="s">
        <v>121</v>
      </c>
    </row>
    <row r="17">
      <c r="A17" s="19">
        <v>43474.0</v>
      </c>
      <c r="B17" s="7" t="s">
        <v>148</v>
      </c>
      <c r="C17" s="103" t="s">
        <v>158</v>
      </c>
      <c r="D17" s="103" t="s">
        <v>156</v>
      </c>
      <c r="E17" s="104" t="s">
        <v>760</v>
      </c>
      <c r="F17" s="103" t="s">
        <v>120</v>
      </c>
      <c r="G17" s="103" t="s">
        <v>159</v>
      </c>
      <c r="H17" s="103"/>
      <c r="I17" s="103" t="s">
        <v>121</v>
      </c>
    </row>
    <row r="18">
      <c r="A18" s="19">
        <v>43474.0</v>
      </c>
      <c r="B18" s="7" t="s">
        <v>148</v>
      </c>
      <c r="C18" s="103" t="s">
        <v>162</v>
      </c>
      <c r="D18" s="103" t="s">
        <v>160</v>
      </c>
      <c r="E18" s="104" t="s">
        <v>760</v>
      </c>
      <c r="F18" s="103" t="s">
        <v>120</v>
      </c>
      <c r="G18" s="103" t="s">
        <v>141</v>
      </c>
      <c r="H18" s="103"/>
      <c r="I18" s="103" t="s">
        <v>121</v>
      </c>
    </row>
    <row r="19">
      <c r="A19" s="19">
        <v>43474.0</v>
      </c>
      <c r="B19" s="7" t="s">
        <v>148</v>
      </c>
      <c r="C19" s="103" t="s">
        <v>165</v>
      </c>
      <c r="D19" s="103" t="s">
        <v>163</v>
      </c>
      <c r="E19" s="104" t="s">
        <v>760</v>
      </c>
      <c r="F19" s="103" t="s">
        <v>120</v>
      </c>
      <c r="G19" s="103" t="s">
        <v>141</v>
      </c>
      <c r="H19" s="103"/>
      <c r="I19" s="103" t="s">
        <v>121</v>
      </c>
    </row>
    <row r="20">
      <c r="A20" s="19">
        <v>43475.0</v>
      </c>
      <c r="B20" s="7" t="s">
        <v>168</v>
      </c>
      <c r="C20" s="103" t="s">
        <v>170</v>
      </c>
      <c r="D20" s="103" t="s">
        <v>167</v>
      </c>
      <c r="E20" s="104" t="s">
        <v>755</v>
      </c>
      <c r="F20" s="103" t="s">
        <v>120</v>
      </c>
      <c r="G20" s="103" t="s">
        <v>171</v>
      </c>
      <c r="H20" s="103"/>
      <c r="I20" s="103" t="s">
        <v>121</v>
      </c>
    </row>
    <row r="21">
      <c r="A21" s="19">
        <v>43475.0</v>
      </c>
      <c r="B21" s="7" t="s">
        <v>173</v>
      </c>
      <c r="C21" s="103" t="s">
        <v>175</v>
      </c>
      <c r="D21" s="103" t="s">
        <v>172</v>
      </c>
      <c r="E21" s="104" t="s">
        <v>760</v>
      </c>
      <c r="F21" s="103" t="s">
        <v>120</v>
      </c>
      <c r="G21" s="103" t="s">
        <v>141</v>
      </c>
      <c r="H21" s="103" t="s">
        <v>176</v>
      </c>
      <c r="I21" s="103" t="s">
        <v>121</v>
      </c>
    </row>
    <row r="22">
      <c r="A22" s="19">
        <v>43475.0</v>
      </c>
      <c r="B22" s="7" t="s">
        <v>179</v>
      </c>
      <c r="C22" s="103" t="s">
        <v>158</v>
      </c>
      <c r="D22" s="103" t="s">
        <v>178</v>
      </c>
      <c r="E22" s="104" t="s">
        <v>754</v>
      </c>
      <c r="F22" s="103" t="s">
        <v>120</v>
      </c>
      <c r="G22" s="103" t="s">
        <v>180</v>
      </c>
      <c r="H22" s="103" t="s">
        <v>181</v>
      </c>
      <c r="I22" s="103" t="s">
        <v>121</v>
      </c>
    </row>
    <row r="23">
      <c r="A23" s="19">
        <v>43476.0</v>
      </c>
      <c r="B23" s="7" t="s">
        <v>132</v>
      </c>
      <c r="C23" s="103" t="s">
        <v>129</v>
      </c>
      <c r="D23" s="103" t="s">
        <v>183</v>
      </c>
      <c r="E23" s="104" t="s">
        <v>755</v>
      </c>
      <c r="F23" s="103" t="s">
        <v>120</v>
      </c>
      <c r="G23" s="103" t="s">
        <v>171</v>
      </c>
      <c r="H23" s="103"/>
      <c r="I23" s="103" t="s">
        <v>121</v>
      </c>
    </row>
    <row r="24">
      <c r="A24" s="19">
        <v>43477.0</v>
      </c>
      <c r="B24" s="7" t="s">
        <v>117</v>
      </c>
      <c r="C24" s="103" t="s">
        <v>119</v>
      </c>
      <c r="D24" s="103" t="s">
        <v>185</v>
      </c>
      <c r="E24" s="104" t="s">
        <v>754</v>
      </c>
      <c r="F24" s="103" t="s">
        <v>120</v>
      </c>
      <c r="G24" s="103" t="s">
        <v>141</v>
      </c>
      <c r="H24" s="103"/>
      <c r="I24" s="103" t="s">
        <v>121</v>
      </c>
    </row>
    <row r="25">
      <c r="A25" s="19">
        <v>43477.0</v>
      </c>
      <c r="B25" s="7" t="s">
        <v>117</v>
      </c>
      <c r="C25" s="103" t="s">
        <v>137</v>
      </c>
      <c r="D25" s="103" t="s">
        <v>187</v>
      </c>
      <c r="E25" s="104" t="s">
        <v>754</v>
      </c>
      <c r="F25" s="103" t="s">
        <v>120</v>
      </c>
      <c r="G25" s="103" t="s">
        <v>141</v>
      </c>
      <c r="H25" s="103" t="s">
        <v>189</v>
      </c>
      <c r="I25" s="103" t="s">
        <v>121</v>
      </c>
    </row>
    <row r="26">
      <c r="A26" s="19">
        <v>43477.0</v>
      </c>
      <c r="B26" s="7" t="s">
        <v>191</v>
      </c>
      <c r="C26" s="103" t="s">
        <v>137</v>
      </c>
      <c r="D26" s="103" t="s">
        <v>190</v>
      </c>
      <c r="E26" s="104" t="s">
        <v>754</v>
      </c>
      <c r="F26" s="103" t="s">
        <v>120</v>
      </c>
      <c r="G26" s="103" t="s">
        <v>141</v>
      </c>
      <c r="H26" s="103"/>
      <c r="I26" s="103"/>
    </row>
    <row r="27">
      <c r="A27" s="19">
        <v>43477.0</v>
      </c>
      <c r="B27" s="7" t="s">
        <v>191</v>
      </c>
      <c r="C27" s="103" t="s">
        <v>137</v>
      </c>
      <c r="D27" s="103" t="s">
        <v>194</v>
      </c>
      <c r="E27" s="104" t="s">
        <v>754</v>
      </c>
      <c r="F27" s="103" t="s">
        <v>120</v>
      </c>
      <c r="G27" s="103" t="s">
        <v>141</v>
      </c>
      <c r="H27" s="103"/>
      <c r="I27" s="103" t="s">
        <v>121</v>
      </c>
    </row>
    <row r="28">
      <c r="A28" s="19">
        <v>43477.0</v>
      </c>
      <c r="B28" s="7" t="s">
        <v>191</v>
      </c>
      <c r="C28" s="103" t="s">
        <v>175</v>
      </c>
      <c r="D28" s="103" t="s">
        <v>195</v>
      </c>
      <c r="E28" s="104" t="s">
        <v>754</v>
      </c>
      <c r="F28" s="103" t="s">
        <v>120</v>
      </c>
      <c r="G28" s="103" t="s">
        <v>197</v>
      </c>
      <c r="H28" s="103"/>
      <c r="I28" s="103" t="s">
        <v>121</v>
      </c>
    </row>
    <row r="29">
      <c r="A29" s="19">
        <v>43478.0</v>
      </c>
      <c r="B29" s="7" t="s">
        <v>13</v>
      </c>
      <c r="C29" s="103" t="s">
        <v>145</v>
      </c>
      <c r="D29" s="103" t="s">
        <v>198</v>
      </c>
      <c r="E29" s="104" t="s">
        <v>754</v>
      </c>
      <c r="F29" s="103" t="s">
        <v>120</v>
      </c>
      <c r="G29" s="103" t="s">
        <v>141</v>
      </c>
      <c r="H29" s="103"/>
      <c r="I29" s="103" t="s">
        <v>121</v>
      </c>
    </row>
    <row r="30">
      <c r="A30" s="19">
        <v>43478.0</v>
      </c>
      <c r="B30" s="7" t="s">
        <v>213</v>
      </c>
      <c r="C30" s="103" t="s">
        <v>214</v>
      </c>
      <c r="D30" s="103" t="s">
        <v>212</v>
      </c>
      <c r="E30" s="104" t="s">
        <v>760</v>
      </c>
      <c r="F30" s="103" t="s">
        <v>120</v>
      </c>
      <c r="G30" s="103" t="s">
        <v>151</v>
      </c>
      <c r="H30" s="103"/>
      <c r="I30" s="103" t="s">
        <v>121</v>
      </c>
    </row>
    <row r="31">
      <c r="A31" s="19">
        <v>43478.0</v>
      </c>
      <c r="B31" s="7" t="s">
        <v>15</v>
      </c>
      <c r="C31" s="103" t="s">
        <v>137</v>
      </c>
      <c r="D31" s="103" t="s">
        <v>216</v>
      </c>
      <c r="E31" s="104" t="s">
        <v>755</v>
      </c>
      <c r="F31" s="103" t="s">
        <v>120</v>
      </c>
      <c r="G31" s="103" t="s">
        <v>141</v>
      </c>
      <c r="H31" s="103"/>
      <c r="I31" s="103" t="s">
        <v>121</v>
      </c>
    </row>
    <row r="32">
      <c r="A32" s="19">
        <v>43478.0</v>
      </c>
      <c r="B32" s="7" t="s">
        <v>15</v>
      </c>
      <c r="C32" s="103" t="s">
        <v>175</v>
      </c>
      <c r="D32" s="103" t="s">
        <v>203</v>
      </c>
      <c r="E32" s="104" t="s">
        <v>755</v>
      </c>
      <c r="F32" s="103" t="s">
        <v>120</v>
      </c>
      <c r="G32" s="103" t="s">
        <v>202</v>
      </c>
      <c r="H32" s="103"/>
      <c r="I32" s="103" t="s">
        <v>121</v>
      </c>
    </row>
    <row r="33">
      <c r="A33" s="19">
        <v>43478.0</v>
      </c>
      <c r="B33" s="7" t="s">
        <v>15</v>
      </c>
      <c r="C33" s="103" t="s">
        <v>137</v>
      </c>
      <c r="D33" s="103" t="s">
        <v>217</v>
      </c>
      <c r="E33" s="104" t="s">
        <v>755</v>
      </c>
      <c r="F33" s="103" t="s">
        <v>219</v>
      </c>
      <c r="G33" s="103" t="s">
        <v>141</v>
      </c>
      <c r="H33" s="103"/>
      <c r="I33" s="103"/>
    </row>
    <row r="34">
      <c r="A34" s="19">
        <v>43478.0</v>
      </c>
      <c r="B34" s="7" t="s">
        <v>15</v>
      </c>
      <c r="C34" s="103" t="s">
        <v>170</v>
      </c>
      <c r="D34" s="103" t="s">
        <v>200</v>
      </c>
      <c r="E34" s="104" t="s">
        <v>755</v>
      </c>
      <c r="F34" s="103" t="s">
        <v>120</v>
      </c>
      <c r="G34" s="103" t="s">
        <v>202</v>
      </c>
      <c r="H34" s="103"/>
      <c r="I34" s="103" t="s">
        <v>121</v>
      </c>
    </row>
    <row r="35">
      <c r="A35" s="19">
        <v>43479.0</v>
      </c>
      <c r="B35" s="7" t="s">
        <v>148</v>
      </c>
      <c r="C35" s="103" t="s">
        <v>207</v>
      </c>
      <c r="D35" s="103" t="s">
        <v>205</v>
      </c>
      <c r="E35" s="104" t="s">
        <v>760</v>
      </c>
      <c r="F35" s="103" t="s">
        <v>120</v>
      </c>
      <c r="G35" s="103" t="s">
        <v>141</v>
      </c>
      <c r="H35" s="103"/>
      <c r="I35" s="103" t="s">
        <v>121</v>
      </c>
    </row>
    <row r="36">
      <c r="A36" s="19">
        <v>43479.0</v>
      </c>
      <c r="B36" s="7" t="s">
        <v>148</v>
      </c>
      <c r="C36" s="103" t="s">
        <v>207</v>
      </c>
      <c r="D36" s="103" t="s">
        <v>211</v>
      </c>
      <c r="E36" s="104" t="s">
        <v>760</v>
      </c>
      <c r="F36" s="103" t="s">
        <v>120</v>
      </c>
      <c r="G36" s="103" t="s">
        <v>141</v>
      </c>
      <c r="H36" s="103"/>
      <c r="I36" s="103" t="s">
        <v>121</v>
      </c>
    </row>
    <row r="37">
      <c r="A37" s="19">
        <v>43479.0</v>
      </c>
      <c r="B37" s="7" t="s">
        <v>148</v>
      </c>
      <c r="C37" s="103" t="s">
        <v>207</v>
      </c>
      <c r="D37" s="103" t="s">
        <v>215</v>
      </c>
      <c r="E37" s="104" t="s">
        <v>760</v>
      </c>
      <c r="F37" s="103" t="s">
        <v>120</v>
      </c>
      <c r="G37" s="103" t="s">
        <v>141</v>
      </c>
      <c r="H37" s="103" t="s">
        <v>181</v>
      </c>
      <c r="I37" s="103" t="s">
        <v>121</v>
      </c>
    </row>
    <row r="38">
      <c r="A38" s="19">
        <v>43480.0</v>
      </c>
      <c r="B38" s="7" t="s">
        <v>23</v>
      </c>
      <c r="C38" s="103" t="s">
        <v>210</v>
      </c>
      <c r="D38" s="103" t="s">
        <v>208</v>
      </c>
      <c r="E38" s="104" t="s">
        <v>755</v>
      </c>
      <c r="F38" s="103" t="s">
        <v>120</v>
      </c>
      <c r="G38" s="103" t="s">
        <v>141</v>
      </c>
      <c r="H38" s="103" t="s">
        <v>181</v>
      </c>
      <c r="I38" s="103" t="s">
        <v>121</v>
      </c>
    </row>
    <row r="39">
      <c r="A39" s="19">
        <v>43480.0</v>
      </c>
      <c r="B39" s="7" t="s">
        <v>23</v>
      </c>
      <c r="C39" s="103" t="s">
        <v>207</v>
      </c>
      <c r="D39" s="103" t="s">
        <v>224</v>
      </c>
      <c r="E39" s="104" t="s">
        <v>755</v>
      </c>
      <c r="F39" s="103" t="s">
        <v>120</v>
      </c>
      <c r="G39" s="103" t="s">
        <v>141</v>
      </c>
      <c r="H39" s="103"/>
      <c r="I39" s="103" t="s">
        <v>121</v>
      </c>
    </row>
    <row r="40">
      <c r="A40" s="19">
        <v>43481.0</v>
      </c>
      <c r="B40" s="7" t="s">
        <v>221</v>
      </c>
      <c r="C40" s="103" t="s">
        <v>145</v>
      </c>
      <c r="D40" s="103" t="s">
        <v>220</v>
      </c>
      <c r="E40" s="104" t="s">
        <v>754</v>
      </c>
      <c r="F40" s="103" t="s">
        <v>120</v>
      </c>
      <c r="G40" s="103" t="s">
        <v>141</v>
      </c>
      <c r="H40" s="103"/>
      <c r="I40" s="103" t="s">
        <v>121</v>
      </c>
    </row>
    <row r="41">
      <c r="A41" s="19">
        <v>43482.0</v>
      </c>
      <c r="B41" s="7" t="s">
        <v>221</v>
      </c>
      <c r="C41" s="103" t="s">
        <v>145</v>
      </c>
      <c r="D41" s="103" t="s">
        <v>227</v>
      </c>
      <c r="E41" s="104" t="s">
        <v>754</v>
      </c>
      <c r="F41" s="103" t="s">
        <v>219</v>
      </c>
      <c r="G41" s="103" t="s">
        <v>141</v>
      </c>
      <c r="H41" s="103"/>
      <c r="I41" s="103" t="s">
        <v>121</v>
      </c>
    </row>
    <row r="42">
      <c r="A42" s="19">
        <v>43482.0</v>
      </c>
      <c r="B42" s="7" t="s">
        <v>221</v>
      </c>
      <c r="C42" s="103" t="s">
        <v>145</v>
      </c>
      <c r="D42" s="103" t="s">
        <v>229</v>
      </c>
      <c r="E42" s="104" t="s">
        <v>754</v>
      </c>
      <c r="F42" s="103" t="s">
        <v>120</v>
      </c>
      <c r="G42" s="103" t="s">
        <v>141</v>
      </c>
      <c r="H42" s="103"/>
      <c r="I42" s="103" t="s">
        <v>121</v>
      </c>
    </row>
    <row r="43">
      <c r="A43" s="19">
        <v>43483.0</v>
      </c>
      <c r="B43" s="7" t="s">
        <v>179</v>
      </c>
      <c r="C43" s="103" t="s">
        <v>119</v>
      </c>
      <c r="D43" s="103" t="s">
        <v>231</v>
      </c>
      <c r="E43" s="104" t="s">
        <v>754</v>
      </c>
      <c r="F43" s="103" t="s">
        <v>120</v>
      </c>
      <c r="G43" s="103" t="s">
        <v>141</v>
      </c>
      <c r="H43" s="103"/>
      <c r="I43" s="103" t="s">
        <v>121</v>
      </c>
    </row>
    <row r="44">
      <c r="A44" s="19">
        <v>43484.0</v>
      </c>
      <c r="B44" s="7" t="s">
        <v>148</v>
      </c>
      <c r="C44" s="103" t="s">
        <v>158</v>
      </c>
      <c r="D44" s="103" t="s">
        <v>233</v>
      </c>
      <c r="E44" s="104" t="s">
        <v>760</v>
      </c>
      <c r="F44" s="103" t="s">
        <v>120</v>
      </c>
      <c r="G44" s="103" t="s">
        <v>159</v>
      </c>
      <c r="H44" s="103" t="s">
        <v>235</v>
      </c>
      <c r="I44" s="103" t="s">
        <v>121</v>
      </c>
    </row>
    <row r="45">
      <c r="A45" s="19">
        <v>43484.0</v>
      </c>
      <c r="B45" s="7" t="s">
        <v>148</v>
      </c>
      <c r="C45" s="103" t="s">
        <v>126</v>
      </c>
      <c r="D45" s="103" t="s">
        <v>238</v>
      </c>
      <c r="E45" s="104" t="s">
        <v>760</v>
      </c>
      <c r="F45" s="103" t="s">
        <v>120</v>
      </c>
      <c r="G45" s="103" t="s">
        <v>240</v>
      </c>
      <c r="H45" s="103"/>
      <c r="I45" s="103" t="s">
        <v>121</v>
      </c>
    </row>
    <row r="46">
      <c r="A46" s="19">
        <v>43484.0</v>
      </c>
      <c r="B46" s="7" t="s">
        <v>148</v>
      </c>
      <c r="C46" s="103" t="s">
        <v>154</v>
      </c>
      <c r="D46" s="103" t="s">
        <v>243</v>
      </c>
      <c r="E46" s="104" t="s">
        <v>760</v>
      </c>
      <c r="F46" s="103" t="s">
        <v>120</v>
      </c>
      <c r="G46" s="103" t="s">
        <v>240</v>
      </c>
      <c r="H46" s="103" t="s">
        <v>235</v>
      </c>
      <c r="I46" s="103" t="s">
        <v>121</v>
      </c>
    </row>
    <row r="47">
      <c r="A47" s="19">
        <v>43484.0</v>
      </c>
      <c r="B47" s="7" t="s">
        <v>124</v>
      </c>
      <c r="C47" s="103" t="s">
        <v>150</v>
      </c>
      <c r="D47" s="103" t="s">
        <v>236</v>
      </c>
      <c r="E47" s="104" t="s">
        <v>755</v>
      </c>
      <c r="F47" s="103" t="s">
        <v>120</v>
      </c>
      <c r="G47" s="103" t="s">
        <v>202</v>
      </c>
      <c r="H47" s="103"/>
      <c r="I47" s="103" t="s">
        <v>121</v>
      </c>
    </row>
    <row r="48">
      <c r="A48" s="19">
        <v>43485.0</v>
      </c>
      <c r="B48" s="7" t="s">
        <v>19</v>
      </c>
      <c r="C48" s="103" t="s">
        <v>175</v>
      </c>
      <c r="D48" s="103" t="s">
        <v>245</v>
      </c>
      <c r="E48" s="104" t="s">
        <v>755</v>
      </c>
      <c r="F48" s="103" t="s">
        <v>120</v>
      </c>
      <c r="G48" s="103" t="s">
        <v>202</v>
      </c>
      <c r="H48" s="103"/>
      <c r="I48" s="103" t="s">
        <v>121</v>
      </c>
    </row>
    <row r="49">
      <c r="A49" s="19">
        <v>43485.0</v>
      </c>
      <c r="B49" s="7" t="s">
        <v>32</v>
      </c>
      <c r="C49" s="103" t="s">
        <v>129</v>
      </c>
      <c r="D49" s="103" t="s">
        <v>247</v>
      </c>
      <c r="E49" s="104" t="s">
        <v>755</v>
      </c>
      <c r="F49" s="103" t="s">
        <v>120</v>
      </c>
      <c r="G49" s="103" t="s">
        <v>202</v>
      </c>
      <c r="H49" s="103"/>
      <c r="I49" s="103" t="s">
        <v>121</v>
      </c>
    </row>
    <row r="50">
      <c r="A50" s="19">
        <v>43485.0</v>
      </c>
      <c r="B50" s="7" t="s">
        <v>32</v>
      </c>
      <c r="C50" s="103" t="s">
        <v>175</v>
      </c>
      <c r="D50" s="103" t="s">
        <v>249</v>
      </c>
      <c r="E50" s="104" t="s">
        <v>755</v>
      </c>
      <c r="F50" s="103" t="s">
        <v>120</v>
      </c>
      <c r="G50" s="103" t="s">
        <v>202</v>
      </c>
      <c r="H50" s="103"/>
      <c r="I50" s="103" t="s">
        <v>121</v>
      </c>
    </row>
    <row r="51">
      <c r="A51" s="19">
        <v>43485.0</v>
      </c>
      <c r="B51" s="7" t="s">
        <v>32</v>
      </c>
      <c r="C51" s="103" t="s">
        <v>129</v>
      </c>
      <c r="D51" s="103" t="s">
        <v>251</v>
      </c>
      <c r="E51" s="104" t="s">
        <v>755</v>
      </c>
      <c r="F51" s="103" t="s">
        <v>120</v>
      </c>
      <c r="G51" s="103" t="s">
        <v>202</v>
      </c>
      <c r="H51" s="103"/>
      <c r="I51" s="103" t="s">
        <v>121</v>
      </c>
    </row>
    <row r="52">
      <c r="A52" s="19">
        <v>43485.0</v>
      </c>
      <c r="B52" s="7" t="s">
        <v>32</v>
      </c>
      <c r="C52" s="103" t="s">
        <v>207</v>
      </c>
      <c r="D52" s="103" t="s">
        <v>241</v>
      </c>
      <c r="E52" s="104" t="s">
        <v>755</v>
      </c>
      <c r="F52" s="103" t="s">
        <v>120</v>
      </c>
      <c r="G52" s="103" t="s">
        <v>141</v>
      </c>
      <c r="H52" s="103"/>
      <c r="I52" s="103" t="s">
        <v>121</v>
      </c>
    </row>
    <row r="53">
      <c r="A53" s="19">
        <v>43486.0</v>
      </c>
      <c r="B53" s="7" t="s">
        <v>254</v>
      </c>
      <c r="C53" s="103" t="s">
        <v>145</v>
      </c>
      <c r="D53" s="103" t="s">
        <v>253</v>
      </c>
      <c r="E53" s="104" t="s">
        <v>760</v>
      </c>
      <c r="F53" s="103" t="s">
        <v>120</v>
      </c>
      <c r="G53" s="103" t="s">
        <v>141</v>
      </c>
      <c r="H53" s="103"/>
      <c r="I53" s="103" t="s">
        <v>121</v>
      </c>
    </row>
    <row r="54">
      <c r="A54" s="19">
        <v>43486.0</v>
      </c>
      <c r="B54" s="7" t="s">
        <v>23</v>
      </c>
      <c r="C54" s="103" t="s">
        <v>150</v>
      </c>
      <c r="D54" s="103" t="s">
        <v>259</v>
      </c>
      <c r="E54" s="104" t="s">
        <v>755</v>
      </c>
      <c r="F54" s="103" t="s">
        <v>120</v>
      </c>
      <c r="G54" s="103" t="s">
        <v>151</v>
      </c>
      <c r="H54" s="103"/>
      <c r="I54" s="103" t="s">
        <v>121</v>
      </c>
    </row>
    <row r="55">
      <c r="A55" s="19">
        <v>43486.0</v>
      </c>
      <c r="B55" s="7" t="s">
        <v>23</v>
      </c>
      <c r="C55" s="103" t="s">
        <v>129</v>
      </c>
      <c r="D55" s="103" t="s">
        <v>258</v>
      </c>
      <c r="E55" s="104" t="s">
        <v>755</v>
      </c>
      <c r="F55" s="103" t="s">
        <v>120</v>
      </c>
      <c r="G55" s="103" t="s">
        <v>151</v>
      </c>
      <c r="H55" s="103"/>
      <c r="I55" s="103" t="s">
        <v>121</v>
      </c>
    </row>
    <row r="56">
      <c r="A56" s="19">
        <v>43486.0</v>
      </c>
      <c r="B56" s="7" t="s">
        <v>23</v>
      </c>
      <c r="C56" s="103" t="s">
        <v>150</v>
      </c>
      <c r="D56" s="103" t="s">
        <v>261</v>
      </c>
      <c r="E56" s="104" t="s">
        <v>755</v>
      </c>
      <c r="F56" s="103" t="s">
        <v>120</v>
      </c>
      <c r="G56" s="103" t="s">
        <v>202</v>
      </c>
      <c r="H56" s="103"/>
      <c r="I56" s="103" t="s">
        <v>121</v>
      </c>
    </row>
    <row r="57">
      <c r="A57" s="19">
        <v>43486.0</v>
      </c>
      <c r="B57" s="7" t="s">
        <v>23</v>
      </c>
      <c r="C57" s="103" t="s">
        <v>170</v>
      </c>
      <c r="D57" s="103" t="s">
        <v>256</v>
      </c>
      <c r="E57" s="104" t="s">
        <v>755</v>
      </c>
      <c r="F57" s="103" t="s">
        <v>120</v>
      </c>
      <c r="G57" s="103" t="s">
        <v>240</v>
      </c>
      <c r="H57" s="103"/>
      <c r="I57" s="103" t="s">
        <v>121</v>
      </c>
    </row>
    <row r="58">
      <c r="A58" s="19">
        <v>43487.0</v>
      </c>
      <c r="B58" s="7" t="s">
        <v>29</v>
      </c>
      <c r="C58" s="103" t="s">
        <v>175</v>
      </c>
      <c r="D58" s="103" t="s">
        <v>262</v>
      </c>
      <c r="E58" s="104" t="s">
        <v>755</v>
      </c>
      <c r="F58" s="103" t="s">
        <v>120</v>
      </c>
      <c r="G58" s="103" t="s">
        <v>264</v>
      </c>
      <c r="H58" s="103"/>
      <c r="I58" s="103" t="s">
        <v>121</v>
      </c>
    </row>
    <row r="59">
      <c r="A59" s="19">
        <v>43487.0</v>
      </c>
      <c r="B59" s="7" t="s">
        <v>29</v>
      </c>
      <c r="C59" s="103" t="s">
        <v>129</v>
      </c>
      <c r="D59" s="103" t="s">
        <v>265</v>
      </c>
      <c r="E59" s="104" t="s">
        <v>755</v>
      </c>
      <c r="F59" s="103" t="s">
        <v>120</v>
      </c>
      <c r="G59" s="103" t="s">
        <v>264</v>
      </c>
      <c r="H59" s="103"/>
      <c r="I59" s="103" t="s">
        <v>121</v>
      </c>
    </row>
    <row r="60">
      <c r="A60" s="19">
        <v>43487.0</v>
      </c>
      <c r="B60" s="7" t="s">
        <v>29</v>
      </c>
      <c r="C60" s="103" t="s">
        <v>145</v>
      </c>
      <c r="D60" s="103" t="s">
        <v>266</v>
      </c>
      <c r="E60" s="104" t="s">
        <v>755</v>
      </c>
      <c r="F60" s="103" t="s">
        <v>219</v>
      </c>
      <c r="G60" s="103" t="s">
        <v>151</v>
      </c>
      <c r="H60" s="103"/>
      <c r="I60" s="103" t="s">
        <v>121</v>
      </c>
    </row>
    <row r="61">
      <c r="A61" s="19">
        <v>43488.0</v>
      </c>
      <c r="B61" s="7" t="s">
        <v>117</v>
      </c>
      <c r="C61" s="103" t="s">
        <v>119</v>
      </c>
      <c r="D61" s="103" t="s">
        <v>267</v>
      </c>
      <c r="E61" s="104" t="s">
        <v>754</v>
      </c>
      <c r="F61" s="103" t="s">
        <v>120</v>
      </c>
      <c r="G61" s="103" t="s">
        <v>141</v>
      </c>
      <c r="H61" s="103"/>
      <c r="I61" s="103" t="s">
        <v>121</v>
      </c>
    </row>
    <row r="62">
      <c r="A62" s="19">
        <v>43488.0</v>
      </c>
      <c r="B62" s="7" t="s">
        <v>13</v>
      </c>
      <c r="C62" s="103" t="s">
        <v>119</v>
      </c>
      <c r="D62" s="103" t="s">
        <v>269</v>
      </c>
      <c r="E62" s="104" t="s">
        <v>754</v>
      </c>
      <c r="F62" s="103" t="s">
        <v>120</v>
      </c>
      <c r="G62" s="103" t="s">
        <v>141</v>
      </c>
      <c r="H62" s="103"/>
      <c r="I62" s="103" t="s">
        <v>121</v>
      </c>
    </row>
    <row r="63">
      <c r="A63" s="19">
        <v>43489.0</v>
      </c>
      <c r="B63" s="7" t="s">
        <v>132</v>
      </c>
      <c r="C63" s="103" t="s">
        <v>134</v>
      </c>
      <c r="D63" s="103" t="s">
        <v>271</v>
      </c>
      <c r="E63" s="104" t="s">
        <v>755</v>
      </c>
      <c r="F63" s="103" t="s">
        <v>120</v>
      </c>
      <c r="G63" s="103" t="s">
        <v>141</v>
      </c>
      <c r="H63" s="103"/>
      <c r="I63" s="103" t="s">
        <v>121</v>
      </c>
    </row>
    <row r="64">
      <c r="A64" s="19">
        <v>43489.0</v>
      </c>
      <c r="B64" s="7" t="s">
        <v>132</v>
      </c>
      <c r="C64" s="103" t="s">
        <v>170</v>
      </c>
      <c r="D64" s="103" t="s">
        <v>273</v>
      </c>
      <c r="E64" s="104" t="s">
        <v>755</v>
      </c>
      <c r="F64" s="103" t="s">
        <v>120</v>
      </c>
      <c r="G64" s="103" t="s">
        <v>275</v>
      </c>
      <c r="H64" s="103"/>
      <c r="I64" s="103" t="s">
        <v>121</v>
      </c>
    </row>
    <row r="65">
      <c r="A65" s="19">
        <v>43489.0</v>
      </c>
      <c r="B65" s="7" t="s">
        <v>132</v>
      </c>
      <c r="C65" s="103" t="s">
        <v>134</v>
      </c>
      <c r="D65" s="103" t="s">
        <v>276</v>
      </c>
      <c r="E65" s="104" t="s">
        <v>755</v>
      </c>
      <c r="F65" s="103" t="s">
        <v>120</v>
      </c>
      <c r="G65" s="103" t="s">
        <v>240</v>
      </c>
      <c r="H65" s="103"/>
      <c r="I65" s="103" t="s">
        <v>121</v>
      </c>
    </row>
    <row r="66">
      <c r="A66" s="19">
        <v>43489.0</v>
      </c>
      <c r="B66" s="7" t="s">
        <v>132</v>
      </c>
      <c r="C66" s="103" t="s">
        <v>134</v>
      </c>
      <c r="D66" s="103" t="s">
        <v>278</v>
      </c>
      <c r="E66" s="104" t="s">
        <v>755</v>
      </c>
      <c r="F66" s="103" t="s">
        <v>120</v>
      </c>
      <c r="G66" s="103" t="s">
        <v>141</v>
      </c>
      <c r="H66" s="103"/>
      <c r="I66" s="103" t="s">
        <v>121</v>
      </c>
    </row>
    <row r="67">
      <c r="A67" s="19">
        <v>43489.0</v>
      </c>
      <c r="B67" s="7" t="s">
        <v>281</v>
      </c>
      <c r="C67" s="103" t="s">
        <v>175</v>
      </c>
      <c r="D67" s="103" t="s">
        <v>280</v>
      </c>
      <c r="E67" s="104" t="s">
        <v>754</v>
      </c>
      <c r="F67" s="103" t="s">
        <v>120</v>
      </c>
      <c r="G67" s="103" t="s">
        <v>240</v>
      </c>
      <c r="H67" s="103"/>
      <c r="I67" s="103" t="s">
        <v>121</v>
      </c>
    </row>
    <row r="68">
      <c r="A68" s="19">
        <v>43490.0</v>
      </c>
      <c r="B68" s="7" t="s">
        <v>27</v>
      </c>
      <c r="C68" s="103" t="s">
        <v>210</v>
      </c>
      <c r="D68" s="103" t="s">
        <v>285</v>
      </c>
      <c r="E68" s="104" t="s">
        <v>755</v>
      </c>
      <c r="F68" s="103" t="s">
        <v>120</v>
      </c>
      <c r="G68" s="103" t="s">
        <v>141</v>
      </c>
      <c r="H68" s="103" t="s">
        <v>181</v>
      </c>
      <c r="I68" s="103" t="s">
        <v>121</v>
      </c>
    </row>
    <row r="69">
      <c r="A69" s="19">
        <v>43490.0</v>
      </c>
      <c r="B69" s="7" t="s">
        <v>27</v>
      </c>
      <c r="C69" s="103" t="s">
        <v>119</v>
      </c>
      <c r="D69" s="103" t="s">
        <v>283</v>
      </c>
      <c r="E69" s="104" t="s">
        <v>755</v>
      </c>
      <c r="F69" s="103" t="s">
        <v>120</v>
      </c>
      <c r="G69" s="103" t="s">
        <v>141</v>
      </c>
      <c r="H69" s="103"/>
      <c r="I69" s="103" t="s">
        <v>121</v>
      </c>
    </row>
    <row r="70">
      <c r="A70" s="19">
        <v>43494.0</v>
      </c>
      <c r="B70" s="7" t="s">
        <v>288</v>
      </c>
      <c r="C70" s="103" t="s">
        <v>145</v>
      </c>
      <c r="D70" s="103" t="s">
        <v>287</v>
      </c>
      <c r="E70" s="104" t="s">
        <v>754</v>
      </c>
      <c r="F70" s="103" t="s">
        <v>120</v>
      </c>
      <c r="G70" s="103" t="s">
        <v>141</v>
      </c>
      <c r="H70" s="103"/>
      <c r="I70" s="103" t="s">
        <v>121</v>
      </c>
    </row>
    <row r="71">
      <c r="A71" s="19">
        <v>43495.0</v>
      </c>
      <c r="B71" s="7" t="s">
        <v>179</v>
      </c>
      <c r="C71" s="103" t="s">
        <v>119</v>
      </c>
      <c r="D71" s="103" t="s">
        <v>290</v>
      </c>
      <c r="E71" s="104" t="s">
        <v>754</v>
      </c>
      <c r="F71" s="103" t="s">
        <v>120</v>
      </c>
      <c r="G71" s="103" t="s">
        <v>141</v>
      </c>
      <c r="H71" s="103"/>
      <c r="I71" s="103" t="s">
        <v>121</v>
      </c>
    </row>
    <row r="72">
      <c r="A72" s="19">
        <v>43495.0</v>
      </c>
      <c r="B72" s="7" t="s">
        <v>179</v>
      </c>
      <c r="C72" s="103" t="s">
        <v>119</v>
      </c>
      <c r="D72" s="103" t="s">
        <v>292</v>
      </c>
      <c r="E72" s="104" t="s">
        <v>754</v>
      </c>
      <c r="F72" s="103" t="s">
        <v>120</v>
      </c>
      <c r="G72" s="103" t="s">
        <v>141</v>
      </c>
      <c r="H72" s="103"/>
      <c r="I72" s="103" t="s">
        <v>121</v>
      </c>
    </row>
    <row r="73">
      <c r="A73" s="19">
        <v>43495.0</v>
      </c>
      <c r="B73" s="7" t="s">
        <v>139</v>
      </c>
      <c r="C73" s="103" t="s">
        <v>145</v>
      </c>
      <c r="D73" s="103" t="s">
        <v>294</v>
      </c>
      <c r="E73" s="104" t="s">
        <v>754</v>
      </c>
      <c r="F73" s="103" t="s">
        <v>120</v>
      </c>
      <c r="G73" s="103" t="s">
        <v>141</v>
      </c>
      <c r="H73" s="103"/>
      <c r="I73" s="103" t="s">
        <v>121</v>
      </c>
    </row>
    <row r="74">
      <c r="A74" s="19">
        <v>43497.0</v>
      </c>
      <c r="B74" s="7" t="s">
        <v>191</v>
      </c>
      <c r="C74" s="103" t="s">
        <v>145</v>
      </c>
      <c r="D74" s="103" t="s">
        <v>301</v>
      </c>
      <c r="E74" s="104" t="s">
        <v>754</v>
      </c>
      <c r="F74" s="103" t="s">
        <v>120</v>
      </c>
      <c r="G74" s="103" t="s">
        <v>141</v>
      </c>
      <c r="H74" s="103"/>
      <c r="I74" s="103" t="s">
        <v>121</v>
      </c>
    </row>
    <row r="75">
      <c r="A75" s="19">
        <v>43497.0</v>
      </c>
      <c r="B75" s="7" t="s">
        <v>191</v>
      </c>
      <c r="C75" s="103" t="s">
        <v>137</v>
      </c>
      <c r="D75" s="103" t="s">
        <v>300</v>
      </c>
      <c r="E75" s="104" t="s">
        <v>754</v>
      </c>
      <c r="F75" s="103" t="s">
        <v>120</v>
      </c>
      <c r="G75" s="103" t="s">
        <v>141</v>
      </c>
      <c r="H75" s="103"/>
      <c r="I75" s="103"/>
    </row>
    <row r="76">
      <c r="A76" s="19">
        <v>43497.0</v>
      </c>
      <c r="B76" s="7" t="s">
        <v>191</v>
      </c>
      <c r="C76" s="103" t="s">
        <v>119</v>
      </c>
      <c r="D76" s="103" t="s">
        <v>302</v>
      </c>
      <c r="E76" s="104" t="s">
        <v>754</v>
      </c>
      <c r="F76" s="103" t="s">
        <v>120</v>
      </c>
      <c r="G76" s="103" t="s">
        <v>141</v>
      </c>
      <c r="H76" s="103"/>
      <c r="I76" s="103" t="s">
        <v>121</v>
      </c>
    </row>
    <row r="77">
      <c r="A77" s="19">
        <v>43498.0</v>
      </c>
      <c r="B77" s="7" t="s">
        <v>124</v>
      </c>
      <c r="C77" s="103" t="s">
        <v>210</v>
      </c>
      <c r="D77" s="103" t="s">
        <v>296</v>
      </c>
      <c r="E77" s="104" t="s">
        <v>755</v>
      </c>
      <c r="F77" s="103" t="s">
        <v>120</v>
      </c>
      <c r="G77" s="103" t="s">
        <v>298</v>
      </c>
      <c r="H77" s="103" t="s">
        <v>299</v>
      </c>
      <c r="I77" s="103" t="s">
        <v>121</v>
      </c>
    </row>
    <row r="78">
      <c r="A78" s="19">
        <v>43498.0</v>
      </c>
      <c r="B78" s="7" t="s">
        <v>124</v>
      </c>
      <c r="C78" s="103" t="s">
        <v>305</v>
      </c>
      <c r="D78" s="103" t="s">
        <v>303</v>
      </c>
      <c r="E78" s="104" t="s">
        <v>755</v>
      </c>
      <c r="F78" s="103" t="s">
        <v>120</v>
      </c>
      <c r="G78" s="103" t="s">
        <v>306</v>
      </c>
      <c r="H78" s="103" t="s">
        <v>307</v>
      </c>
      <c r="I78" s="103" t="s">
        <v>121</v>
      </c>
    </row>
    <row r="79">
      <c r="A79" s="19">
        <v>43498.0</v>
      </c>
      <c r="B79" s="7" t="s">
        <v>124</v>
      </c>
      <c r="C79" s="103" t="s">
        <v>305</v>
      </c>
      <c r="D79" s="103" t="s">
        <v>308</v>
      </c>
      <c r="E79" s="104" t="s">
        <v>755</v>
      </c>
      <c r="F79" s="103" t="s">
        <v>120</v>
      </c>
      <c r="G79" s="103" t="s">
        <v>306</v>
      </c>
      <c r="H79" s="103" t="s">
        <v>299</v>
      </c>
      <c r="I79" s="103" t="s">
        <v>121</v>
      </c>
    </row>
    <row r="80">
      <c r="A80" s="19">
        <v>43499.0</v>
      </c>
      <c r="B80" s="7" t="s">
        <v>311</v>
      </c>
      <c r="C80" s="103" t="s">
        <v>119</v>
      </c>
      <c r="D80" s="103" t="s">
        <v>310</v>
      </c>
      <c r="E80" s="104" t="s">
        <v>754</v>
      </c>
      <c r="F80" s="103" t="s">
        <v>120</v>
      </c>
      <c r="G80" s="103" t="s">
        <v>141</v>
      </c>
      <c r="H80" s="103"/>
      <c r="I80" s="103" t="s">
        <v>121</v>
      </c>
    </row>
    <row r="81">
      <c r="A81" s="19">
        <v>43499.0</v>
      </c>
      <c r="B81" s="7" t="s">
        <v>311</v>
      </c>
      <c r="C81" s="103" t="s">
        <v>175</v>
      </c>
      <c r="D81" s="103" t="s">
        <v>312</v>
      </c>
      <c r="E81" s="104" t="s">
        <v>754</v>
      </c>
      <c r="F81" s="103" t="s">
        <v>120</v>
      </c>
      <c r="G81" s="103" t="s">
        <v>314</v>
      </c>
      <c r="H81" s="103"/>
      <c r="I81" s="103" t="s">
        <v>121</v>
      </c>
    </row>
    <row r="82">
      <c r="A82" s="19">
        <v>43500.0</v>
      </c>
      <c r="B82" s="7" t="s">
        <v>15</v>
      </c>
      <c r="C82" s="103" t="s">
        <v>137</v>
      </c>
      <c r="D82" s="103" t="s">
        <v>495</v>
      </c>
      <c r="E82" s="104" t="s">
        <v>755</v>
      </c>
      <c r="F82" s="103" t="s">
        <v>219</v>
      </c>
      <c r="G82" s="103" t="s">
        <v>141</v>
      </c>
      <c r="H82" s="103"/>
      <c r="I82" s="103"/>
    </row>
    <row r="83">
      <c r="A83" s="19">
        <v>43500.0</v>
      </c>
      <c r="B83" s="7" t="s">
        <v>15</v>
      </c>
      <c r="C83" s="103" t="s">
        <v>129</v>
      </c>
      <c r="D83" s="103" t="s">
        <v>496</v>
      </c>
      <c r="E83" s="104" t="s">
        <v>755</v>
      </c>
      <c r="F83" s="103" t="s">
        <v>120</v>
      </c>
      <c r="G83" s="103" t="s">
        <v>240</v>
      </c>
      <c r="H83" s="103"/>
      <c r="I83" s="103" t="s">
        <v>121</v>
      </c>
    </row>
    <row r="84">
      <c r="A84" s="19">
        <v>43500.0</v>
      </c>
      <c r="B84" s="7" t="s">
        <v>15</v>
      </c>
      <c r="C84" s="103" t="s">
        <v>129</v>
      </c>
      <c r="D84" s="103" t="s">
        <v>497</v>
      </c>
      <c r="E84" s="104" t="s">
        <v>755</v>
      </c>
      <c r="F84" s="103" t="s">
        <v>120</v>
      </c>
      <c r="G84" s="103" t="s">
        <v>240</v>
      </c>
      <c r="H84" s="103" t="s">
        <v>498</v>
      </c>
      <c r="I84" s="103" t="s">
        <v>121</v>
      </c>
    </row>
    <row r="85">
      <c r="A85" s="19">
        <v>43500.0</v>
      </c>
      <c r="B85" s="7" t="s">
        <v>15</v>
      </c>
      <c r="C85" s="103" t="s">
        <v>175</v>
      </c>
      <c r="D85" s="103" t="s">
        <v>499</v>
      </c>
      <c r="E85" s="104" t="s">
        <v>755</v>
      </c>
      <c r="F85" s="103" t="s">
        <v>120</v>
      </c>
      <c r="G85" s="103" t="s">
        <v>240</v>
      </c>
      <c r="H85" s="103"/>
      <c r="I85" s="103" t="s">
        <v>500</v>
      </c>
    </row>
    <row r="86">
      <c r="A86" s="19">
        <v>43522.0</v>
      </c>
      <c r="B86" s="7" t="s">
        <v>316</v>
      </c>
      <c r="C86" s="103" t="s">
        <v>318</v>
      </c>
      <c r="D86" s="103" t="s">
        <v>315</v>
      </c>
      <c r="E86" s="104" t="s">
        <v>760</v>
      </c>
      <c r="F86" s="103" t="s">
        <v>120</v>
      </c>
      <c r="G86" s="103" t="s">
        <v>319</v>
      </c>
      <c r="H86" s="103" t="s">
        <v>181</v>
      </c>
      <c r="I86" s="103" t="s">
        <v>121</v>
      </c>
    </row>
    <row r="87">
      <c r="A87" s="19">
        <v>43523.0</v>
      </c>
      <c r="B87" s="7" t="s">
        <v>168</v>
      </c>
      <c r="C87" s="103" t="s">
        <v>170</v>
      </c>
      <c r="D87" s="103" t="s">
        <v>320</v>
      </c>
      <c r="E87" s="104" t="s">
        <v>755</v>
      </c>
      <c r="F87" s="103" t="s">
        <v>120</v>
      </c>
      <c r="G87" s="103" t="s">
        <v>321</v>
      </c>
      <c r="H87" s="103" t="s">
        <v>235</v>
      </c>
      <c r="I87" s="103" t="s">
        <v>121</v>
      </c>
    </row>
    <row r="88">
      <c r="A88" s="19">
        <v>43523.0</v>
      </c>
      <c r="B88" s="7" t="s">
        <v>168</v>
      </c>
      <c r="C88" s="103" t="s">
        <v>170</v>
      </c>
      <c r="D88" s="103" t="s">
        <v>323</v>
      </c>
      <c r="E88" s="104" t="s">
        <v>755</v>
      </c>
      <c r="F88" s="103" t="s">
        <v>120</v>
      </c>
      <c r="G88" s="103" t="s">
        <v>321</v>
      </c>
      <c r="H88" s="103" t="s">
        <v>235</v>
      </c>
      <c r="I88" s="103" t="s">
        <v>121</v>
      </c>
    </row>
    <row r="89">
      <c r="A89" s="19">
        <v>43523.0</v>
      </c>
      <c r="B89" s="7" t="s">
        <v>179</v>
      </c>
      <c r="C89" s="103" t="s">
        <v>137</v>
      </c>
      <c r="D89" s="103" t="s">
        <v>324</v>
      </c>
      <c r="E89" s="104" t="s">
        <v>754</v>
      </c>
      <c r="F89" s="103" t="s">
        <v>120</v>
      </c>
      <c r="G89" s="103" t="s">
        <v>141</v>
      </c>
      <c r="H89" s="103"/>
      <c r="I89" s="103" t="s">
        <v>121</v>
      </c>
    </row>
    <row r="90">
      <c r="A90" s="19">
        <v>43523.0</v>
      </c>
      <c r="B90" s="7" t="s">
        <v>179</v>
      </c>
      <c r="C90" s="103" t="s">
        <v>134</v>
      </c>
      <c r="D90" s="103" t="s">
        <v>325</v>
      </c>
      <c r="E90" s="104" t="s">
        <v>754</v>
      </c>
      <c r="F90" s="103" t="s">
        <v>120</v>
      </c>
      <c r="G90" s="103" t="s">
        <v>327</v>
      </c>
      <c r="H90" s="103"/>
      <c r="I90" s="103" t="s">
        <v>121</v>
      </c>
    </row>
    <row r="91">
      <c r="A91" s="19">
        <v>43524.0</v>
      </c>
      <c r="B91" s="7" t="s">
        <v>13</v>
      </c>
      <c r="C91" s="103" t="s">
        <v>145</v>
      </c>
      <c r="D91" s="103" t="s">
        <v>328</v>
      </c>
      <c r="E91" s="104" t="s">
        <v>754</v>
      </c>
      <c r="F91" s="103" t="s">
        <v>120</v>
      </c>
      <c r="G91" s="103" t="s">
        <v>141</v>
      </c>
      <c r="H91" s="103" t="s">
        <v>330</v>
      </c>
      <c r="I91" s="103" t="s">
        <v>121</v>
      </c>
    </row>
    <row r="92">
      <c r="A92" s="19">
        <v>43546.0</v>
      </c>
      <c r="B92" s="7" t="s">
        <v>15</v>
      </c>
      <c r="C92" s="103" t="s">
        <v>129</v>
      </c>
      <c r="D92" s="103" t="s">
        <v>337</v>
      </c>
      <c r="E92" s="104" t="s">
        <v>755</v>
      </c>
      <c r="F92" s="103" t="s">
        <v>120</v>
      </c>
      <c r="G92" s="103" t="s">
        <v>151</v>
      </c>
      <c r="H92" s="103"/>
      <c r="I92" s="103" t="s">
        <v>121</v>
      </c>
    </row>
    <row r="93">
      <c r="A93" s="19">
        <v>43547.0</v>
      </c>
      <c r="B93" s="7" t="s">
        <v>29</v>
      </c>
      <c r="C93" s="103" t="s">
        <v>150</v>
      </c>
      <c r="D93" s="103" t="s">
        <v>331</v>
      </c>
      <c r="E93" s="104" t="s">
        <v>755</v>
      </c>
      <c r="F93" s="103" t="s">
        <v>219</v>
      </c>
      <c r="G93" s="103"/>
      <c r="H93" s="103" t="s">
        <v>333</v>
      </c>
      <c r="I93" s="103" t="s">
        <v>121</v>
      </c>
    </row>
    <row r="94">
      <c r="A94" s="19">
        <v>43547.0</v>
      </c>
      <c r="B94" s="7" t="s">
        <v>29</v>
      </c>
      <c r="C94" s="103" t="s">
        <v>207</v>
      </c>
      <c r="D94" s="103" t="s">
        <v>339</v>
      </c>
      <c r="E94" s="104" t="s">
        <v>755</v>
      </c>
      <c r="F94" s="103" t="s">
        <v>219</v>
      </c>
      <c r="G94" s="103" t="s">
        <v>141</v>
      </c>
      <c r="H94" s="103"/>
      <c r="I94" s="103" t="s">
        <v>121</v>
      </c>
    </row>
    <row r="95">
      <c r="A95" s="19">
        <v>43547.0</v>
      </c>
      <c r="B95" s="7" t="s">
        <v>29</v>
      </c>
      <c r="C95" s="103" t="s">
        <v>207</v>
      </c>
      <c r="D95" s="103" t="s">
        <v>334</v>
      </c>
      <c r="E95" s="104" t="s">
        <v>755</v>
      </c>
      <c r="F95" s="103" t="s">
        <v>219</v>
      </c>
      <c r="G95" s="103" t="s">
        <v>141</v>
      </c>
      <c r="H95" s="103"/>
      <c r="I95" s="103" t="s">
        <v>121</v>
      </c>
    </row>
    <row r="96">
      <c r="A96" s="19">
        <v>43547.0</v>
      </c>
      <c r="B96" s="7" t="s">
        <v>29</v>
      </c>
      <c r="C96" s="103" t="s">
        <v>343</v>
      </c>
      <c r="D96" s="103" t="s">
        <v>341</v>
      </c>
      <c r="E96" s="104" t="s">
        <v>755</v>
      </c>
      <c r="F96" s="103" t="s">
        <v>120</v>
      </c>
      <c r="G96" s="103" t="s">
        <v>141</v>
      </c>
      <c r="H96" s="103"/>
      <c r="I96" s="103" t="s">
        <v>121</v>
      </c>
    </row>
    <row r="97">
      <c r="A97" s="19">
        <v>43547.0</v>
      </c>
      <c r="B97" s="7" t="s">
        <v>29</v>
      </c>
      <c r="C97" s="103" t="s">
        <v>150</v>
      </c>
      <c r="D97" s="103" t="s">
        <v>344</v>
      </c>
      <c r="E97" s="104" t="s">
        <v>755</v>
      </c>
      <c r="F97" s="103" t="s">
        <v>120</v>
      </c>
      <c r="G97" s="103" t="s">
        <v>151</v>
      </c>
      <c r="H97" s="103"/>
      <c r="I97" s="103" t="s">
        <v>121</v>
      </c>
    </row>
    <row r="98">
      <c r="A98" s="19">
        <v>43547.0</v>
      </c>
      <c r="B98" s="7" t="s">
        <v>32</v>
      </c>
      <c r="C98" s="103" t="s">
        <v>129</v>
      </c>
      <c r="D98" s="103" t="s">
        <v>345</v>
      </c>
      <c r="E98" s="104" t="s">
        <v>755</v>
      </c>
      <c r="F98" s="103" t="s">
        <v>120</v>
      </c>
      <c r="G98" s="103" t="s">
        <v>264</v>
      </c>
      <c r="H98" s="103"/>
      <c r="I98" s="103" t="s">
        <v>121</v>
      </c>
    </row>
    <row r="99">
      <c r="A99" s="19">
        <v>43548.0</v>
      </c>
      <c r="B99" s="7" t="s">
        <v>19</v>
      </c>
      <c r="C99" s="103" t="s">
        <v>349</v>
      </c>
      <c r="D99" s="103" t="s">
        <v>347</v>
      </c>
      <c r="E99" s="104" t="s">
        <v>755</v>
      </c>
      <c r="F99" s="103" t="s">
        <v>219</v>
      </c>
      <c r="G99" s="103" t="s">
        <v>141</v>
      </c>
      <c r="H99" s="103"/>
      <c r="I99" s="103" t="s">
        <v>121</v>
      </c>
    </row>
    <row r="100">
      <c r="A100" s="19">
        <v>43738.0</v>
      </c>
      <c r="B100" s="7" t="s">
        <v>168</v>
      </c>
      <c r="C100" s="103" t="s">
        <v>210</v>
      </c>
      <c r="D100" s="103" t="s">
        <v>350</v>
      </c>
      <c r="E100" s="104" t="s">
        <v>755</v>
      </c>
      <c r="F100" s="103" t="s">
        <v>120</v>
      </c>
      <c r="G100" s="103" t="s">
        <v>141</v>
      </c>
      <c r="H100" s="103" t="s">
        <v>299</v>
      </c>
      <c r="I100" s="103" t="s">
        <v>121</v>
      </c>
    </row>
    <row r="101">
      <c r="A101" s="19">
        <v>43738.0</v>
      </c>
      <c r="B101" s="7" t="s">
        <v>179</v>
      </c>
      <c r="C101" s="103" t="s">
        <v>119</v>
      </c>
      <c r="D101" s="103" t="s">
        <v>356</v>
      </c>
      <c r="E101" s="104" t="s">
        <v>754</v>
      </c>
      <c r="F101" s="103" t="s">
        <v>120</v>
      </c>
      <c r="G101" s="103" t="s">
        <v>358</v>
      </c>
      <c r="H101" s="103"/>
      <c r="I101" s="103" t="s">
        <v>121</v>
      </c>
    </row>
    <row r="102">
      <c r="A102" s="19">
        <v>43738.0</v>
      </c>
      <c r="B102" s="7" t="s">
        <v>179</v>
      </c>
      <c r="C102" s="103" t="s">
        <v>360</v>
      </c>
      <c r="D102" s="103" t="s">
        <v>359</v>
      </c>
      <c r="E102" s="104" t="s">
        <v>754</v>
      </c>
      <c r="F102" s="103" t="s">
        <v>219</v>
      </c>
      <c r="G102" s="103" t="s">
        <v>141</v>
      </c>
      <c r="H102" s="103"/>
      <c r="I102" s="103" t="s">
        <v>121</v>
      </c>
    </row>
    <row r="103">
      <c r="A103" s="19">
        <v>43739.0</v>
      </c>
      <c r="B103" s="7" t="s">
        <v>15</v>
      </c>
      <c r="C103" s="103" t="s">
        <v>134</v>
      </c>
      <c r="D103" s="103" t="s">
        <v>353</v>
      </c>
      <c r="E103" s="104" t="s">
        <v>755</v>
      </c>
      <c r="F103" s="103" t="s">
        <v>120</v>
      </c>
      <c r="G103" s="103" t="s">
        <v>141</v>
      </c>
      <c r="H103" s="103"/>
      <c r="I103" s="103" t="s">
        <v>121</v>
      </c>
    </row>
    <row r="104">
      <c r="A104" s="19">
        <v>43739.0</v>
      </c>
      <c r="B104" s="7" t="s">
        <v>19</v>
      </c>
      <c r="C104" s="103" t="s">
        <v>129</v>
      </c>
      <c r="D104" s="103" t="s">
        <v>361</v>
      </c>
      <c r="E104" s="104" t="s">
        <v>755</v>
      </c>
      <c r="F104" s="103" t="s">
        <v>120</v>
      </c>
      <c r="G104" s="103" t="s">
        <v>151</v>
      </c>
      <c r="H104" s="103" t="s">
        <v>181</v>
      </c>
      <c r="I104" s="103" t="s">
        <v>121</v>
      </c>
    </row>
    <row r="105">
      <c r="A105" s="19">
        <v>43739.0</v>
      </c>
      <c r="B105" s="7" t="s">
        <v>15</v>
      </c>
      <c r="C105" s="103" t="s">
        <v>175</v>
      </c>
      <c r="D105" s="103" t="s">
        <v>363</v>
      </c>
      <c r="E105" s="104" t="s">
        <v>755</v>
      </c>
      <c r="F105" s="103" t="s">
        <v>120</v>
      </c>
      <c r="G105" s="103" t="s">
        <v>365</v>
      </c>
      <c r="H105" s="103"/>
      <c r="I105" s="103" t="s">
        <v>121</v>
      </c>
    </row>
    <row r="106">
      <c r="A106" s="19">
        <v>43739.0</v>
      </c>
      <c r="B106" s="7" t="s">
        <v>15</v>
      </c>
      <c r="C106" s="103" t="s">
        <v>129</v>
      </c>
      <c r="D106" s="103" t="s">
        <v>366</v>
      </c>
      <c r="E106" s="104" t="s">
        <v>755</v>
      </c>
      <c r="F106" s="103" t="s">
        <v>120</v>
      </c>
      <c r="G106" s="103" t="s">
        <v>151</v>
      </c>
      <c r="H106" s="103" t="s">
        <v>181</v>
      </c>
      <c r="I106" s="103" t="s">
        <v>121</v>
      </c>
    </row>
    <row r="107">
      <c r="A107" s="19">
        <v>43741.0</v>
      </c>
      <c r="B107" s="7" t="s">
        <v>124</v>
      </c>
      <c r="C107" s="103" t="s">
        <v>145</v>
      </c>
      <c r="D107" s="103" t="s">
        <v>368</v>
      </c>
      <c r="E107" s="104" t="s">
        <v>755</v>
      </c>
      <c r="F107" s="103" t="s">
        <v>120</v>
      </c>
      <c r="G107" s="103" t="s">
        <v>370</v>
      </c>
      <c r="H107" s="103"/>
      <c r="I107" s="103" t="s">
        <v>121</v>
      </c>
    </row>
    <row r="108">
      <c r="A108" s="19">
        <v>43741.0</v>
      </c>
      <c r="B108" s="7" t="s">
        <v>124</v>
      </c>
      <c r="C108" s="103" t="s">
        <v>129</v>
      </c>
      <c r="D108" s="103" t="s">
        <v>371</v>
      </c>
      <c r="E108" s="104" t="s">
        <v>755</v>
      </c>
      <c r="F108" s="103" t="s">
        <v>120</v>
      </c>
      <c r="G108" s="103" t="s">
        <v>151</v>
      </c>
      <c r="H108" s="103"/>
      <c r="I108" s="103" t="s">
        <v>121</v>
      </c>
    </row>
    <row r="109">
      <c r="A109" s="19">
        <v>43741.0</v>
      </c>
      <c r="B109" s="7" t="s">
        <v>124</v>
      </c>
      <c r="C109" s="103" t="s">
        <v>170</v>
      </c>
      <c r="D109" s="103" t="s">
        <v>373</v>
      </c>
      <c r="E109" s="104" t="s">
        <v>755</v>
      </c>
      <c r="F109" s="103" t="s">
        <v>120</v>
      </c>
      <c r="G109" s="103" t="s">
        <v>151</v>
      </c>
      <c r="H109" s="103" t="s">
        <v>181</v>
      </c>
      <c r="I109" s="103" t="s">
        <v>121</v>
      </c>
    </row>
    <row r="110">
      <c r="A110" s="19">
        <v>43741.0</v>
      </c>
      <c r="B110" s="7" t="s">
        <v>124</v>
      </c>
      <c r="C110" s="103" t="s">
        <v>145</v>
      </c>
      <c r="D110" s="103" t="s">
        <v>375</v>
      </c>
      <c r="E110" s="104" t="s">
        <v>755</v>
      </c>
      <c r="F110" s="103" t="s">
        <v>120</v>
      </c>
      <c r="G110" s="103" t="s">
        <v>141</v>
      </c>
      <c r="H110" s="103"/>
      <c r="I110" s="103" t="s">
        <v>121</v>
      </c>
    </row>
    <row r="111">
      <c r="A111" s="19">
        <v>43741.0</v>
      </c>
      <c r="B111" s="7" t="s">
        <v>378</v>
      </c>
      <c r="C111" s="103" t="s">
        <v>360</v>
      </c>
      <c r="D111" s="103" t="s">
        <v>377</v>
      </c>
      <c r="E111" s="104" t="s">
        <v>760</v>
      </c>
      <c r="F111" s="103" t="s">
        <v>120</v>
      </c>
      <c r="G111" s="103" t="s">
        <v>380</v>
      </c>
      <c r="H111" s="103"/>
      <c r="I111" s="103" t="s">
        <v>121</v>
      </c>
    </row>
    <row r="112">
      <c r="A112" s="20">
        <v>43763.0</v>
      </c>
      <c r="B112" s="7" t="s">
        <v>148</v>
      </c>
      <c r="C112" s="103" t="s">
        <v>388</v>
      </c>
      <c r="D112" s="103" t="s">
        <v>386</v>
      </c>
      <c r="E112" s="104" t="s">
        <v>760</v>
      </c>
      <c r="F112" s="103" t="s">
        <v>120</v>
      </c>
      <c r="G112" s="103" t="s">
        <v>264</v>
      </c>
      <c r="H112" s="103"/>
      <c r="I112" s="103" t="s">
        <v>121</v>
      </c>
    </row>
    <row r="113">
      <c r="A113" s="20">
        <v>43763.0</v>
      </c>
      <c r="B113" s="7" t="s">
        <v>378</v>
      </c>
      <c r="C113" s="103" t="s">
        <v>388</v>
      </c>
      <c r="D113" s="103" t="s">
        <v>394</v>
      </c>
      <c r="E113" s="104" t="s">
        <v>760</v>
      </c>
      <c r="F113" s="103" t="s">
        <v>120</v>
      </c>
      <c r="G113" s="103" t="s">
        <v>240</v>
      </c>
      <c r="H113" s="103"/>
      <c r="I113" s="103" t="s">
        <v>121</v>
      </c>
    </row>
    <row r="114">
      <c r="A114" s="20">
        <v>43763.0</v>
      </c>
      <c r="B114" s="7" t="s">
        <v>124</v>
      </c>
      <c r="C114" s="103" t="s">
        <v>126</v>
      </c>
      <c r="D114" s="103" t="s">
        <v>389</v>
      </c>
      <c r="E114" s="104" t="s">
        <v>755</v>
      </c>
      <c r="F114" s="103" t="s">
        <v>120</v>
      </c>
      <c r="G114" s="103" t="s">
        <v>264</v>
      </c>
      <c r="H114" s="103"/>
      <c r="I114" s="103" t="s">
        <v>121</v>
      </c>
    </row>
    <row r="115">
      <c r="A115" s="20">
        <v>43763.0</v>
      </c>
      <c r="B115" s="7" t="s">
        <v>124</v>
      </c>
      <c r="C115" s="103" t="s">
        <v>126</v>
      </c>
      <c r="D115" s="103" t="s">
        <v>392</v>
      </c>
      <c r="E115" s="104" t="s">
        <v>755</v>
      </c>
      <c r="F115" s="103" t="s">
        <v>120</v>
      </c>
      <c r="G115" s="103" t="s">
        <v>393</v>
      </c>
      <c r="H115" s="103"/>
      <c r="I115" s="103" t="s">
        <v>121</v>
      </c>
    </row>
    <row r="116">
      <c r="A116" s="20">
        <v>43763.0</v>
      </c>
      <c r="B116" s="7" t="s">
        <v>124</v>
      </c>
      <c r="C116" s="103" t="s">
        <v>145</v>
      </c>
      <c r="D116" s="103" t="s">
        <v>395</v>
      </c>
      <c r="E116" s="104" t="s">
        <v>755</v>
      </c>
      <c r="F116" s="103" t="s">
        <v>120</v>
      </c>
      <c r="G116" s="103" t="s">
        <v>393</v>
      </c>
      <c r="H116" s="103"/>
      <c r="I116" s="103" t="s">
        <v>121</v>
      </c>
    </row>
    <row r="117">
      <c r="A117" s="20">
        <v>43764.0</v>
      </c>
      <c r="B117" s="7" t="s">
        <v>382</v>
      </c>
      <c r="C117" s="103" t="s">
        <v>170</v>
      </c>
      <c r="D117" s="103" t="s">
        <v>381</v>
      </c>
      <c r="E117" s="104" t="s">
        <v>755</v>
      </c>
      <c r="F117" s="103" t="s">
        <v>120</v>
      </c>
      <c r="G117" s="103" t="s">
        <v>384</v>
      </c>
      <c r="H117" s="103" t="s">
        <v>385</v>
      </c>
      <c r="I117" s="103" t="s">
        <v>121</v>
      </c>
    </row>
    <row r="118">
      <c r="A118" s="20">
        <v>43764.0</v>
      </c>
      <c r="B118" s="7" t="s">
        <v>311</v>
      </c>
      <c r="C118" s="103" t="s">
        <v>210</v>
      </c>
      <c r="D118" s="103" t="s">
        <v>397</v>
      </c>
      <c r="E118" s="104" t="s">
        <v>754</v>
      </c>
      <c r="F118" s="103" t="s">
        <v>120</v>
      </c>
      <c r="G118" s="103" t="s">
        <v>141</v>
      </c>
      <c r="H118" s="103" t="s">
        <v>307</v>
      </c>
      <c r="I118" s="103" t="s">
        <v>121</v>
      </c>
    </row>
    <row r="119">
      <c r="A119" s="20">
        <v>43765.0</v>
      </c>
      <c r="B119" s="7" t="s">
        <v>132</v>
      </c>
      <c r="C119" s="103" t="s">
        <v>134</v>
      </c>
      <c r="D119" s="103" t="s">
        <v>401</v>
      </c>
      <c r="E119" s="104" t="s">
        <v>755</v>
      </c>
      <c r="F119" s="103" t="s">
        <v>120</v>
      </c>
      <c r="G119" s="103" t="s">
        <v>141</v>
      </c>
      <c r="H119" s="103"/>
      <c r="I119" s="103" t="s">
        <v>121</v>
      </c>
    </row>
    <row r="120">
      <c r="A120" s="20">
        <v>43765.0</v>
      </c>
      <c r="B120" s="7" t="s">
        <v>132</v>
      </c>
      <c r="C120" s="103" t="s">
        <v>175</v>
      </c>
      <c r="D120" s="103" t="s">
        <v>399</v>
      </c>
      <c r="E120" s="104" t="s">
        <v>755</v>
      </c>
      <c r="F120" s="103" t="s">
        <v>120</v>
      </c>
      <c r="G120" s="103" t="s">
        <v>151</v>
      </c>
      <c r="H120" s="103" t="s">
        <v>307</v>
      </c>
      <c r="I120" s="103" t="s">
        <v>121</v>
      </c>
    </row>
    <row r="121">
      <c r="A121" s="20">
        <v>43766.0</v>
      </c>
      <c r="B121" s="7" t="s">
        <v>191</v>
      </c>
      <c r="C121" s="103" t="s">
        <v>119</v>
      </c>
      <c r="D121" s="103" t="s">
        <v>403</v>
      </c>
      <c r="E121" s="104" t="s">
        <v>754</v>
      </c>
      <c r="F121" s="103" t="s">
        <v>120</v>
      </c>
      <c r="G121" s="103" t="s">
        <v>405</v>
      </c>
      <c r="H121" s="103"/>
      <c r="I121" s="103" t="s">
        <v>121</v>
      </c>
    </row>
    <row r="122">
      <c r="A122" s="20">
        <v>43766.0</v>
      </c>
      <c r="B122" s="7" t="s">
        <v>117</v>
      </c>
      <c r="C122" s="103" t="s">
        <v>137</v>
      </c>
      <c r="D122" s="103" t="s">
        <v>406</v>
      </c>
      <c r="E122" s="104" t="s">
        <v>754</v>
      </c>
      <c r="F122" s="103" t="s">
        <v>120</v>
      </c>
      <c r="G122" s="103" t="s">
        <v>141</v>
      </c>
      <c r="H122" s="103"/>
      <c r="I122" s="103" t="s">
        <v>121</v>
      </c>
    </row>
    <row r="123">
      <c r="A123" s="20">
        <v>43766.0</v>
      </c>
      <c r="B123" s="7" t="s">
        <v>117</v>
      </c>
      <c r="C123" s="103" t="s">
        <v>145</v>
      </c>
      <c r="D123" s="103" t="s">
        <v>408</v>
      </c>
      <c r="E123" s="104" t="s">
        <v>754</v>
      </c>
      <c r="F123" s="103" t="s">
        <v>120</v>
      </c>
      <c r="G123" s="103" t="s">
        <v>410</v>
      </c>
      <c r="H123" s="103"/>
      <c r="I123" s="103" t="s">
        <v>121</v>
      </c>
    </row>
    <row r="124">
      <c r="A124" s="20">
        <v>43766.0</v>
      </c>
      <c r="B124" s="7" t="s">
        <v>117</v>
      </c>
      <c r="C124" s="103" t="s">
        <v>137</v>
      </c>
      <c r="D124" s="103" t="s">
        <v>411</v>
      </c>
      <c r="E124" s="104" t="s">
        <v>754</v>
      </c>
      <c r="F124" s="103" t="s">
        <v>120</v>
      </c>
      <c r="G124" s="103" t="s">
        <v>141</v>
      </c>
      <c r="H124" s="103" t="s">
        <v>181</v>
      </c>
      <c r="I124" s="103" t="s">
        <v>121</v>
      </c>
    </row>
    <row r="125">
      <c r="A125" s="20">
        <v>43766.0</v>
      </c>
      <c r="B125" s="7" t="s">
        <v>191</v>
      </c>
      <c r="C125" s="103" t="s">
        <v>137</v>
      </c>
      <c r="D125" s="103" t="s">
        <v>413</v>
      </c>
      <c r="E125" s="104" t="s">
        <v>754</v>
      </c>
      <c r="F125" s="103" t="s">
        <v>120</v>
      </c>
      <c r="G125" s="103" t="s">
        <v>141</v>
      </c>
      <c r="H125" s="103" t="s">
        <v>181</v>
      </c>
      <c r="I125" s="103" t="s">
        <v>121</v>
      </c>
    </row>
    <row r="126">
      <c r="A126" s="20">
        <v>43766.0</v>
      </c>
      <c r="B126" s="7" t="s">
        <v>191</v>
      </c>
      <c r="C126" s="103" t="s">
        <v>119</v>
      </c>
      <c r="D126" s="103" t="s">
        <v>415</v>
      </c>
      <c r="E126" s="104" t="s">
        <v>754</v>
      </c>
      <c r="F126" s="103" t="s">
        <v>120</v>
      </c>
      <c r="G126" s="103" t="s">
        <v>405</v>
      </c>
      <c r="H126" s="103" t="s">
        <v>417</v>
      </c>
      <c r="I126" s="103" t="s">
        <v>121</v>
      </c>
    </row>
    <row r="127">
      <c r="A127" s="20">
        <v>43766.0</v>
      </c>
      <c r="B127" s="7" t="s">
        <v>191</v>
      </c>
      <c r="C127" s="103" t="s">
        <v>119</v>
      </c>
      <c r="D127" s="103" t="s">
        <v>418</v>
      </c>
      <c r="E127" s="104" t="s">
        <v>754</v>
      </c>
      <c r="F127" s="103" t="s">
        <v>120</v>
      </c>
      <c r="G127" s="103" t="s">
        <v>405</v>
      </c>
      <c r="H127" s="103" t="s">
        <v>419</v>
      </c>
      <c r="I127" s="103" t="s">
        <v>121</v>
      </c>
    </row>
    <row r="128">
      <c r="A128" s="20">
        <v>43766.0</v>
      </c>
      <c r="B128" s="7" t="s">
        <v>191</v>
      </c>
      <c r="C128" s="103" t="s">
        <v>137</v>
      </c>
      <c r="D128" s="103" t="s">
        <v>420</v>
      </c>
      <c r="E128" s="104" t="s">
        <v>754</v>
      </c>
      <c r="F128" s="103" t="s">
        <v>120</v>
      </c>
      <c r="G128" s="103" t="s">
        <v>141</v>
      </c>
      <c r="H128" s="103"/>
      <c r="I128" s="103" t="s">
        <v>121</v>
      </c>
    </row>
    <row r="129">
      <c r="A129" s="20">
        <v>43766.0</v>
      </c>
      <c r="B129" s="7" t="s">
        <v>191</v>
      </c>
      <c r="C129" s="103" t="s">
        <v>129</v>
      </c>
      <c r="D129" s="103" t="s">
        <v>421</v>
      </c>
      <c r="E129" s="104" t="s">
        <v>754</v>
      </c>
      <c r="F129" s="103" t="s">
        <v>120</v>
      </c>
      <c r="G129" s="103" t="s">
        <v>423</v>
      </c>
      <c r="H129" s="103" t="s">
        <v>181</v>
      </c>
      <c r="I129" s="103" t="s">
        <v>122</v>
      </c>
    </row>
    <row r="130">
      <c r="A130" s="20">
        <v>43767.0</v>
      </c>
      <c r="B130" s="7" t="s">
        <v>17</v>
      </c>
      <c r="C130" s="103" t="s">
        <v>145</v>
      </c>
      <c r="D130" s="103" t="s">
        <v>593</v>
      </c>
      <c r="E130" s="104" t="s">
        <v>754</v>
      </c>
      <c r="F130" s="103" t="s">
        <v>120</v>
      </c>
      <c r="G130" s="103" t="s">
        <v>141</v>
      </c>
      <c r="H130" s="103"/>
      <c r="I130" s="103" t="s">
        <v>121</v>
      </c>
    </row>
    <row r="131">
      <c r="A131" s="20">
        <v>43767.0</v>
      </c>
      <c r="B131" s="7" t="s">
        <v>17</v>
      </c>
      <c r="C131" s="103" t="s">
        <v>119</v>
      </c>
      <c r="D131" s="103" t="s">
        <v>595</v>
      </c>
      <c r="E131" s="104" t="s">
        <v>754</v>
      </c>
      <c r="F131" s="103" t="s">
        <v>120</v>
      </c>
      <c r="G131" s="103" t="s">
        <v>141</v>
      </c>
      <c r="H131" s="103" t="s">
        <v>307</v>
      </c>
      <c r="I131" s="103" t="s">
        <v>121</v>
      </c>
    </row>
    <row r="132">
      <c r="A132" s="20">
        <v>43767.0</v>
      </c>
      <c r="B132" s="7" t="s">
        <v>378</v>
      </c>
      <c r="C132" s="103" t="s">
        <v>318</v>
      </c>
      <c r="D132" s="103" t="s">
        <v>598</v>
      </c>
      <c r="E132" s="104" t="s">
        <v>760</v>
      </c>
      <c r="F132" s="103" t="s">
        <v>120</v>
      </c>
      <c r="G132" s="103" t="s">
        <v>599</v>
      </c>
      <c r="H132" s="103"/>
      <c r="I132" s="103" t="s">
        <v>121</v>
      </c>
    </row>
    <row r="133">
      <c r="A133" s="20">
        <v>43767.0</v>
      </c>
      <c r="B133" s="7" t="s">
        <v>17</v>
      </c>
      <c r="C133" s="103" t="s">
        <v>119</v>
      </c>
      <c r="D133" s="103" t="s">
        <v>597</v>
      </c>
      <c r="E133" s="104" t="s">
        <v>754</v>
      </c>
      <c r="F133" s="103" t="s">
        <v>120</v>
      </c>
      <c r="G133" s="103" t="s">
        <v>141</v>
      </c>
      <c r="H133" s="103"/>
      <c r="I133" s="103" t="s">
        <v>121</v>
      </c>
    </row>
    <row r="134">
      <c r="A134" s="20">
        <v>43768.0</v>
      </c>
      <c r="B134" s="7" t="s">
        <v>29</v>
      </c>
      <c r="C134" s="103" t="s">
        <v>214</v>
      </c>
      <c r="D134" s="103" t="s">
        <v>588</v>
      </c>
      <c r="E134" s="104" t="s">
        <v>755</v>
      </c>
      <c r="F134" s="103" t="s">
        <v>120</v>
      </c>
      <c r="G134" s="103" t="s">
        <v>589</v>
      </c>
      <c r="H134" s="103" t="s">
        <v>235</v>
      </c>
      <c r="I134" s="103" t="s">
        <v>121</v>
      </c>
    </row>
    <row r="135">
      <c r="A135" s="20">
        <v>43768.0</v>
      </c>
      <c r="B135" s="7" t="s">
        <v>29</v>
      </c>
      <c r="C135" s="103" t="s">
        <v>207</v>
      </c>
      <c r="D135" s="103" t="s">
        <v>590</v>
      </c>
      <c r="E135" s="104" t="s">
        <v>755</v>
      </c>
      <c r="F135" s="103" t="s">
        <v>120</v>
      </c>
      <c r="G135" s="103" t="s">
        <v>592</v>
      </c>
      <c r="H135" s="103" t="s">
        <v>299</v>
      </c>
      <c r="I135" s="103" t="s">
        <v>121</v>
      </c>
    </row>
    <row r="136">
      <c r="A136" s="20">
        <v>43769.0</v>
      </c>
      <c r="B136" s="7" t="s">
        <v>132</v>
      </c>
      <c r="C136" s="103" t="s">
        <v>150</v>
      </c>
      <c r="D136" s="103" t="s">
        <v>585</v>
      </c>
      <c r="E136" s="104" t="s">
        <v>755</v>
      </c>
      <c r="F136" s="103" t="s">
        <v>219</v>
      </c>
      <c r="G136" s="103" t="s">
        <v>202</v>
      </c>
      <c r="H136" s="103"/>
      <c r="I136" s="103" t="s">
        <v>121</v>
      </c>
    </row>
    <row r="137">
      <c r="A137" s="20">
        <v>43769.0</v>
      </c>
      <c r="B137" s="7" t="s">
        <v>132</v>
      </c>
      <c r="C137" s="103" t="s">
        <v>175</v>
      </c>
      <c r="D137" s="103" t="s">
        <v>587</v>
      </c>
      <c r="E137" s="104" t="s">
        <v>755</v>
      </c>
      <c r="F137" s="103" t="s">
        <v>219</v>
      </c>
      <c r="G137" s="103" t="s">
        <v>202</v>
      </c>
      <c r="H137" s="103"/>
      <c r="I137" s="103" t="s">
        <v>121</v>
      </c>
    </row>
    <row r="138">
      <c r="A138" s="19">
        <v>43771.0</v>
      </c>
      <c r="B138" s="7" t="s">
        <v>580</v>
      </c>
      <c r="C138" s="103" t="s">
        <v>349</v>
      </c>
      <c r="D138" s="103" t="s">
        <v>579</v>
      </c>
      <c r="E138" s="104" t="s">
        <v>760</v>
      </c>
      <c r="F138" s="103" t="s">
        <v>120</v>
      </c>
      <c r="G138" s="103" t="s">
        <v>581</v>
      </c>
      <c r="H138" s="103"/>
      <c r="I138" s="103" t="s">
        <v>121</v>
      </c>
    </row>
    <row r="139">
      <c r="A139" s="19">
        <v>43771.0</v>
      </c>
      <c r="B139" s="7" t="s">
        <v>576</v>
      </c>
      <c r="C139" s="103" t="s">
        <v>360</v>
      </c>
      <c r="D139" s="103" t="s">
        <v>575</v>
      </c>
      <c r="E139" s="104" t="s">
        <v>754</v>
      </c>
      <c r="F139" s="103" t="s">
        <v>120</v>
      </c>
      <c r="G139" s="103" t="s">
        <v>578</v>
      </c>
      <c r="H139" s="103"/>
      <c r="I139" s="103" t="s">
        <v>121</v>
      </c>
    </row>
    <row r="140">
      <c r="A140" s="19">
        <v>43772.0</v>
      </c>
      <c r="B140" s="7" t="s">
        <v>124</v>
      </c>
      <c r="C140" s="103" t="s">
        <v>441</v>
      </c>
      <c r="D140" s="103" t="s">
        <v>582</v>
      </c>
      <c r="E140" s="104" t="s">
        <v>755</v>
      </c>
      <c r="F140" s="103" t="s">
        <v>120</v>
      </c>
      <c r="G140" s="103" t="s">
        <v>141</v>
      </c>
      <c r="H140" s="103"/>
      <c r="I140" s="103" t="s">
        <v>121</v>
      </c>
    </row>
    <row r="141">
      <c r="A141" s="19">
        <v>43772.0</v>
      </c>
      <c r="B141" s="7" t="s">
        <v>311</v>
      </c>
      <c r="C141" s="103" t="s">
        <v>210</v>
      </c>
      <c r="D141" s="103" t="s">
        <v>572</v>
      </c>
      <c r="E141" s="104" t="s">
        <v>754</v>
      </c>
      <c r="F141" s="103" t="s">
        <v>120</v>
      </c>
      <c r="G141" s="103" t="s">
        <v>141</v>
      </c>
      <c r="H141" s="103" t="s">
        <v>307</v>
      </c>
      <c r="I141" s="103" t="s">
        <v>121</v>
      </c>
    </row>
    <row r="142">
      <c r="A142" s="19">
        <v>43774.0</v>
      </c>
      <c r="B142" s="7" t="s">
        <v>139</v>
      </c>
      <c r="C142" s="103" t="s">
        <v>175</v>
      </c>
      <c r="D142" s="103" t="s">
        <v>568</v>
      </c>
      <c r="E142" s="104" t="s">
        <v>754</v>
      </c>
      <c r="F142" s="103" t="s">
        <v>120</v>
      </c>
      <c r="G142" s="103" t="s">
        <v>423</v>
      </c>
      <c r="H142" s="103" t="s">
        <v>181</v>
      </c>
      <c r="I142" s="103" t="s">
        <v>121</v>
      </c>
    </row>
    <row r="143">
      <c r="A143" s="19">
        <v>43774.0</v>
      </c>
      <c r="B143" s="7" t="s">
        <v>139</v>
      </c>
      <c r="C143" s="103" t="s">
        <v>137</v>
      </c>
      <c r="D143" s="103" t="s">
        <v>570</v>
      </c>
      <c r="E143" s="104" t="s">
        <v>754</v>
      </c>
      <c r="F143" s="103" t="s">
        <v>120</v>
      </c>
      <c r="G143" s="103" t="s">
        <v>141</v>
      </c>
      <c r="H143" s="103"/>
      <c r="I143" s="103" t="s">
        <v>121</v>
      </c>
    </row>
    <row r="144">
      <c r="A144" s="19">
        <v>43774.0</v>
      </c>
      <c r="B144" s="7" t="s">
        <v>139</v>
      </c>
      <c r="C144" s="103" t="s">
        <v>129</v>
      </c>
      <c r="D144" s="103" t="s">
        <v>566</v>
      </c>
      <c r="E144" s="104" t="s">
        <v>754</v>
      </c>
      <c r="F144" s="103" t="s">
        <v>120</v>
      </c>
      <c r="G144" s="103" t="s">
        <v>423</v>
      </c>
      <c r="H144" s="103"/>
      <c r="I144" s="103" t="s">
        <v>121</v>
      </c>
    </row>
    <row r="145">
      <c r="A145" s="19">
        <v>43775.0</v>
      </c>
      <c r="B145" s="7" t="s">
        <v>27</v>
      </c>
      <c r="C145" s="103" t="s">
        <v>210</v>
      </c>
      <c r="D145" s="103" t="s">
        <v>564</v>
      </c>
      <c r="E145" s="104" t="s">
        <v>755</v>
      </c>
      <c r="F145" s="103" t="s">
        <v>120</v>
      </c>
      <c r="G145" s="103" t="s">
        <v>141</v>
      </c>
      <c r="H145" s="103" t="s">
        <v>307</v>
      </c>
      <c r="I145" s="103" t="s">
        <v>121</v>
      </c>
    </row>
    <row r="146">
      <c r="A146" s="19">
        <v>43775.0</v>
      </c>
      <c r="B146" s="7" t="s">
        <v>563</v>
      </c>
      <c r="C146" s="103" t="s">
        <v>145</v>
      </c>
      <c r="D146" s="103" t="s">
        <v>562</v>
      </c>
      <c r="E146" s="104" t="s">
        <v>760</v>
      </c>
      <c r="F146" s="103" t="s">
        <v>120</v>
      </c>
      <c r="G146" s="103" t="s">
        <v>141</v>
      </c>
      <c r="H146" s="103"/>
      <c r="I146" s="103" t="s">
        <v>121</v>
      </c>
    </row>
    <row r="147">
      <c r="A147" s="19">
        <v>43776.0</v>
      </c>
      <c r="B147" s="7" t="s">
        <v>29</v>
      </c>
      <c r="C147" s="103" t="s">
        <v>207</v>
      </c>
      <c r="D147" s="103" t="s">
        <v>549</v>
      </c>
      <c r="E147" s="104" t="s">
        <v>755</v>
      </c>
      <c r="F147" s="103" t="s">
        <v>120</v>
      </c>
      <c r="G147" s="103" t="s">
        <v>551</v>
      </c>
      <c r="H147" s="103"/>
      <c r="I147" s="103" t="s">
        <v>121</v>
      </c>
    </row>
    <row r="148">
      <c r="A148" s="19">
        <v>43776.0</v>
      </c>
      <c r="B148" s="7" t="s">
        <v>29</v>
      </c>
      <c r="C148" s="103" t="s">
        <v>170</v>
      </c>
      <c r="D148" s="103" t="s">
        <v>553</v>
      </c>
      <c r="E148" s="104" t="s">
        <v>755</v>
      </c>
      <c r="F148" s="103" t="s">
        <v>120</v>
      </c>
      <c r="G148" s="103" t="s">
        <v>202</v>
      </c>
      <c r="H148" s="103"/>
      <c r="I148" s="103" t="s">
        <v>121</v>
      </c>
    </row>
    <row r="149">
      <c r="A149" s="19">
        <v>43776.0</v>
      </c>
      <c r="B149" s="7" t="s">
        <v>29</v>
      </c>
      <c r="C149" s="103" t="s">
        <v>150</v>
      </c>
      <c r="D149" s="103" t="s">
        <v>555</v>
      </c>
      <c r="E149" s="104" t="s">
        <v>755</v>
      </c>
      <c r="F149" s="103" t="s">
        <v>120</v>
      </c>
      <c r="G149" s="103" t="s">
        <v>159</v>
      </c>
      <c r="H149" s="103" t="s">
        <v>307</v>
      </c>
      <c r="I149" s="103" t="s">
        <v>121</v>
      </c>
    </row>
    <row r="150">
      <c r="A150" s="19">
        <v>43776.0</v>
      </c>
      <c r="B150" s="7" t="s">
        <v>29</v>
      </c>
      <c r="C150" s="103" t="s">
        <v>129</v>
      </c>
      <c r="D150" s="103" t="s">
        <v>557</v>
      </c>
      <c r="E150" s="104" t="s">
        <v>755</v>
      </c>
      <c r="F150" s="103" t="s">
        <v>120</v>
      </c>
      <c r="G150" s="103" t="s">
        <v>159</v>
      </c>
      <c r="H150" s="103"/>
      <c r="I150" s="103" t="s">
        <v>121</v>
      </c>
    </row>
    <row r="151">
      <c r="A151" s="19">
        <v>43778.0</v>
      </c>
      <c r="B151" s="7" t="s">
        <v>132</v>
      </c>
      <c r="C151" s="103" t="s">
        <v>207</v>
      </c>
      <c r="D151" s="103" t="s">
        <v>558</v>
      </c>
      <c r="E151" s="104" t="s">
        <v>755</v>
      </c>
      <c r="F151" s="103" t="s">
        <v>120</v>
      </c>
      <c r="G151" s="103" t="s">
        <v>141</v>
      </c>
      <c r="H151" s="103" t="s">
        <v>181</v>
      </c>
      <c r="I151" s="103" t="s">
        <v>121</v>
      </c>
    </row>
    <row r="152">
      <c r="A152" s="19">
        <v>43778.0</v>
      </c>
      <c r="B152" s="7" t="s">
        <v>132</v>
      </c>
      <c r="C152" s="103" t="s">
        <v>150</v>
      </c>
      <c r="D152" s="103" t="s">
        <v>560</v>
      </c>
      <c r="E152" s="104" t="s">
        <v>755</v>
      </c>
      <c r="F152" s="103" t="s">
        <v>120</v>
      </c>
      <c r="G152" s="103" t="s">
        <v>561</v>
      </c>
      <c r="H152" s="103"/>
      <c r="I152" s="103" t="s">
        <v>121</v>
      </c>
    </row>
    <row r="153">
      <c r="A153" s="20">
        <v>43779.0</v>
      </c>
      <c r="B153" s="7" t="s">
        <v>132</v>
      </c>
      <c r="C153" s="103" t="s">
        <v>175</v>
      </c>
      <c r="D153" s="103" t="s">
        <v>547</v>
      </c>
      <c r="E153" s="104" t="s">
        <v>755</v>
      </c>
      <c r="F153" s="103" t="s">
        <v>120</v>
      </c>
      <c r="G153" s="103" t="s">
        <v>151</v>
      </c>
      <c r="H153" s="103" t="s">
        <v>181</v>
      </c>
      <c r="I153" s="103" t="s">
        <v>121</v>
      </c>
    </row>
    <row r="154">
      <c r="A154" s="20">
        <v>43779.0</v>
      </c>
      <c r="B154" s="7" t="s">
        <v>213</v>
      </c>
      <c r="C154" s="103" t="s">
        <v>214</v>
      </c>
      <c r="D154" s="103" t="s">
        <v>540</v>
      </c>
      <c r="E154" s="104" t="s">
        <v>760</v>
      </c>
      <c r="F154" s="103" t="s">
        <v>120</v>
      </c>
      <c r="G154" s="103" t="s">
        <v>445</v>
      </c>
      <c r="H154" s="103"/>
      <c r="I154" s="103" t="s">
        <v>121</v>
      </c>
    </row>
    <row r="155">
      <c r="A155" s="20">
        <v>43779.0</v>
      </c>
      <c r="B155" s="7" t="s">
        <v>15</v>
      </c>
      <c r="C155" s="103" t="s">
        <v>170</v>
      </c>
      <c r="D155" s="103" t="s">
        <v>543</v>
      </c>
      <c r="E155" s="104" t="s">
        <v>755</v>
      </c>
      <c r="F155" s="103" t="s">
        <v>120</v>
      </c>
      <c r="G155" s="103" t="s">
        <v>240</v>
      </c>
      <c r="H155" s="103"/>
      <c r="I155" s="103" t="s">
        <v>121</v>
      </c>
    </row>
    <row r="156">
      <c r="A156" s="20">
        <v>43779.0</v>
      </c>
      <c r="B156" s="7" t="s">
        <v>15</v>
      </c>
      <c r="C156" s="103" t="s">
        <v>150</v>
      </c>
      <c r="D156" s="103" t="s">
        <v>545</v>
      </c>
      <c r="E156" s="104" t="s">
        <v>755</v>
      </c>
      <c r="F156" s="103" t="s">
        <v>219</v>
      </c>
      <c r="G156" s="103" t="s">
        <v>151</v>
      </c>
      <c r="H156" s="103" t="s">
        <v>181</v>
      </c>
      <c r="I156" s="103" t="s">
        <v>121</v>
      </c>
    </row>
    <row r="157">
      <c r="A157" s="19">
        <v>43808.0</v>
      </c>
      <c r="B157" s="7" t="s">
        <v>179</v>
      </c>
      <c r="C157" s="103" t="s">
        <v>119</v>
      </c>
      <c r="D157" s="103" t="s">
        <v>538</v>
      </c>
      <c r="E157" s="104" t="s">
        <v>754</v>
      </c>
      <c r="F157" s="103" t="s">
        <v>120</v>
      </c>
      <c r="G157" s="103" t="s">
        <v>141</v>
      </c>
      <c r="H157" s="103"/>
      <c r="I157" s="103" t="s">
        <v>121</v>
      </c>
    </row>
    <row r="158">
      <c r="A158" s="19">
        <v>43808.0</v>
      </c>
      <c r="B158" s="7" t="s">
        <v>281</v>
      </c>
      <c r="C158" s="103" t="s">
        <v>119</v>
      </c>
      <c r="D158" s="103" t="s">
        <v>532</v>
      </c>
      <c r="E158" s="104" t="s">
        <v>754</v>
      </c>
      <c r="F158" s="103" t="s">
        <v>120</v>
      </c>
      <c r="G158" s="103" t="s">
        <v>141</v>
      </c>
      <c r="H158" s="103"/>
      <c r="I158" s="103" t="s">
        <v>121</v>
      </c>
    </row>
    <row r="159">
      <c r="A159" s="19">
        <v>43808.0</v>
      </c>
      <c r="B159" s="7" t="s">
        <v>132</v>
      </c>
      <c r="C159" s="103" t="s">
        <v>170</v>
      </c>
      <c r="D159" s="103" t="s">
        <v>533</v>
      </c>
      <c r="E159" s="104" t="s">
        <v>755</v>
      </c>
      <c r="F159" s="103" t="s">
        <v>120</v>
      </c>
      <c r="G159" s="103" t="s">
        <v>240</v>
      </c>
      <c r="H159" s="103"/>
      <c r="I159" s="103" t="s">
        <v>121</v>
      </c>
    </row>
    <row r="160">
      <c r="A160" s="19">
        <v>43808.0</v>
      </c>
      <c r="B160" s="7" t="s">
        <v>132</v>
      </c>
      <c r="C160" s="103" t="s">
        <v>207</v>
      </c>
      <c r="D160" s="103" t="s">
        <v>534</v>
      </c>
      <c r="E160" s="104" t="s">
        <v>755</v>
      </c>
      <c r="F160" s="103" t="s">
        <v>120</v>
      </c>
      <c r="G160" s="103" t="s">
        <v>141</v>
      </c>
      <c r="H160" s="103"/>
      <c r="I160" s="103" t="s">
        <v>121</v>
      </c>
    </row>
    <row r="161">
      <c r="A161" s="19">
        <v>43808.0</v>
      </c>
      <c r="B161" s="7" t="s">
        <v>132</v>
      </c>
      <c r="C161" s="103" t="s">
        <v>129</v>
      </c>
      <c r="D161" s="103" t="s">
        <v>536</v>
      </c>
      <c r="E161" s="104" t="s">
        <v>755</v>
      </c>
      <c r="F161" s="103" t="s">
        <v>120</v>
      </c>
      <c r="G161" s="103" t="s">
        <v>240</v>
      </c>
      <c r="H161" s="103"/>
      <c r="I161" s="103" t="s">
        <v>121</v>
      </c>
    </row>
    <row r="162">
      <c r="A162" s="20">
        <v>43811.0</v>
      </c>
      <c r="B162" s="7" t="s">
        <v>17</v>
      </c>
      <c r="C162" s="103" t="s">
        <v>145</v>
      </c>
      <c r="D162" s="103" t="s">
        <v>501</v>
      </c>
      <c r="E162" s="104" t="s">
        <v>754</v>
      </c>
      <c r="F162" s="103" t="s">
        <v>120</v>
      </c>
      <c r="G162" s="103" t="s">
        <v>141</v>
      </c>
      <c r="H162" s="103"/>
      <c r="I162" s="103" t="s">
        <v>121</v>
      </c>
    </row>
    <row r="163">
      <c r="A163" s="20">
        <v>43811.0</v>
      </c>
      <c r="B163" s="7" t="s">
        <v>17</v>
      </c>
      <c r="C163" s="103" t="s">
        <v>119</v>
      </c>
      <c r="D163" s="103" t="s">
        <v>504</v>
      </c>
      <c r="E163" s="104" t="s">
        <v>754</v>
      </c>
      <c r="F163" s="103" t="s">
        <v>120</v>
      </c>
      <c r="G163" s="103" t="s">
        <v>141</v>
      </c>
      <c r="H163" s="103"/>
      <c r="I163" s="103" t="s">
        <v>121</v>
      </c>
    </row>
    <row r="164">
      <c r="A164" s="20">
        <v>43811.0</v>
      </c>
      <c r="B164" s="7" t="s">
        <v>17</v>
      </c>
      <c r="C164" s="103" t="s">
        <v>119</v>
      </c>
      <c r="D164" s="103" t="s">
        <v>506</v>
      </c>
      <c r="E164" s="104" t="s">
        <v>754</v>
      </c>
      <c r="F164" s="103" t="s">
        <v>120</v>
      </c>
      <c r="G164" s="103" t="s">
        <v>141</v>
      </c>
      <c r="H164" s="103"/>
      <c r="I164" s="103" t="s">
        <v>121</v>
      </c>
    </row>
    <row r="165">
      <c r="A165" s="20">
        <v>43812.0</v>
      </c>
      <c r="B165" s="7" t="s">
        <v>139</v>
      </c>
      <c r="C165" s="103" t="s">
        <v>134</v>
      </c>
      <c r="D165" s="103" t="s">
        <v>508</v>
      </c>
      <c r="E165" s="104" t="s">
        <v>754</v>
      </c>
      <c r="F165" s="103" t="s">
        <v>120</v>
      </c>
      <c r="G165" s="103" t="s">
        <v>141</v>
      </c>
      <c r="H165" s="103" t="s">
        <v>181</v>
      </c>
      <c r="I165" s="103" t="s">
        <v>121</v>
      </c>
    </row>
    <row r="166">
      <c r="A166" s="20">
        <v>43812.0</v>
      </c>
      <c r="B166" s="7" t="s">
        <v>139</v>
      </c>
      <c r="C166" s="103" t="s">
        <v>137</v>
      </c>
      <c r="D166" s="103" t="s">
        <v>511</v>
      </c>
      <c r="E166" s="104" t="s">
        <v>754</v>
      </c>
      <c r="F166" s="103" t="s">
        <v>120</v>
      </c>
      <c r="G166" s="103" t="s">
        <v>141</v>
      </c>
      <c r="H166" s="103"/>
      <c r="I166" s="103" t="s">
        <v>121</v>
      </c>
    </row>
    <row r="167">
      <c r="A167" s="20">
        <v>43813.0</v>
      </c>
      <c r="B167" s="7" t="s">
        <v>124</v>
      </c>
      <c r="C167" s="103" t="s">
        <v>126</v>
      </c>
      <c r="D167" s="103" t="s">
        <v>513</v>
      </c>
      <c r="E167" s="104" t="s">
        <v>755</v>
      </c>
      <c r="F167" s="103" t="s">
        <v>120</v>
      </c>
      <c r="G167" s="103" t="s">
        <v>141</v>
      </c>
      <c r="H167" s="103" t="s">
        <v>181</v>
      </c>
      <c r="I167" s="103" t="s">
        <v>121</v>
      </c>
    </row>
    <row r="168">
      <c r="A168" s="20">
        <v>43813.0</v>
      </c>
      <c r="B168" s="7" t="s">
        <v>191</v>
      </c>
      <c r="C168" s="103" t="s">
        <v>145</v>
      </c>
      <c r="D168" s="103" t="s">
        <v>520</v>
      </c>
      <c r="E168" s="104" t="s">
        <v>754</v>
      </c>
      <c r="F168" s="103" t="s">
        <v>120</v>
      </c>
      <c r="G168" s="103"/>
      <c r="H168" s="103"/>
      <c r="I168" s="103" t="s">
        <v>121</v>
      </c>
    </row>
    <row r="169">
      <c r="A169" s="20">
        <v>43813.0</v>
      </c>
      <c r="B169" s="7" t="s">
        <v>191</v>
      </c>
      <c r="C169" s="103" t="s">
        <v>145</v>
      </c>
      <c r="D169" s="103" t="s">
        <v>523</v>
      </c>
      <c r="E169" s="104" t="s">
        <v>754</v>
      </c>
      <c r="F169" s="103" t="s">
        <v>120</v>
      </c>
      <c r="G169" s="103"/>
      <c r="H169" s="103" t="s">
        <v>181</v>
      </c>
      <c r="I169" s="103" t="s">
        <v>121</v>
      </c>
    </row>
    <row r="170">
      <c r="A170" s="20">
        <v>43813.0</v>
      </c>
      <c r="B170" s="7" t="s">
        <v>117</v>
      </c>
      <c r="C170" s="103" t="s">
        <v>137</v>
      </c>
      <c r="D170" s="103" t="s">
        <v>517</v>
      </c>
      <c r="E170" s="104" t="s">
        <v>754</v>
      </c>
      <c r="F170" s="103" t="s">
        <v>120</v>
      </c>
      <c r="G170" s="103" t="s">
        <v>141</v>
      </c>
      <c r="H170" s="103" t="s">
        <v>181</v>
      </c>
      <c r="I170" s="103" t="s">
        <v>121</v>
      </c>
    </row>
    <row r="171">
      <c r="A171" s="20">
        <v>43813.0</v>
      </c>
      <c r="B171" s="7" t="s">
        <v>117</v>
      </c>
      <c r="C171" s="103" t="s">
        <v>207</v>
      </c>
      <c r="D171" s="103" t="s">
        <v>515</v>
      </c>
      <c r="E171" s="104" t="s">
        <v>754</v>
      </c>
      <c r="F171" s="103" t="s">
        <v>120</v>
      </c>
      <c r="G171" s="103" t="s">
        <v>141</v>
      </c>
      <c r="H171" s="103"/>
      <c r="I171" s="103" t="s">
        <v>121</v>
      </c>
    </row>
    <row r="172">
      <c r="A172" s="20">
        <v>43813.0</v>
      </c>
      <c r="B172" s="7" t="s">
        <v>117</v>
      </c>
      <c r="C172" s="103" t="s">
        <v>137</v>
      </c>
      <c r="D172" s="103" t="s">
        <v>519</v>
      </c>
      <c r="E172" s="104" t="s">
        <v>754</v>
      </c>
      <c r="F172" s="103" t="s">
        <v>120</v>
      </c>
      <c r="G172" s="103" t="s">
        <v>141</v>
      </c>
      <c r="H172" s="103"/>
      <c r="I172" s="103" t="s">
        <v>121</v>
      </c>
    </row>
    <row r="173">
      <c r="A173" s="20">
        <v>43814.0</v>
      </c>
      <c r="B173" s="7" t="s">
        <v>117</v>
      </c>
      <c r="C173" s="103" t="s">
        <v>150</v>
      </c>
      <c r="D173" s="103" t="s">
        <v>521</v>
      </c>
      <c r="E173" s="104" t="s">
        <v>754</v>
      </c>
      <c r="F173" s="103" t="s">
        <v>219</v>
      </c>
      <c r="G173" s="103" t="s">
        <v>141</v>
      </c>
      <c r="H173" s="103"/>
      <c r="I173" s="103" t="s">
        <v>121</v>
      </c>
    </row>
    <row r="174">
      <c r="A174" s="20">
        <v>43814.0</v>
      </c>
      <c r="B174" s="7" t="s">
        <v>168</v>
      </c>
      <c r="C174" s="103" t="s">
        <v>175</v>
      </c>
      <c r="D174" s="103" t="s">
        <v>524</v>
      </c>
      <c r="E174" s="104" t="s">
        <v>755</v>
      </c>
      <c r="F174" s="103" t="s">
        <v>120</v>
      </c>
      <c r="G174" s="103" t="s">
        <v>526</v>
      </c>
      <c r="H174" s="103"/>
      <c r="I174" s="103" t="s">
        <v>121</v>
      </c>
    </row>
    <row r="175">
      <c r="A175" s="20">
        <v>43814.0</v>
      </c>
      <c r="B175" s="7" t="s">
        <v>179</v>
      </c>
      <c r="C175" s="103" t="s">
        <v>137</v>
      </c>
      <c r="D175" s="103" t="s">
        <v>603</v>
      </c>
      <c r="E175" s="104" t="s">
        <v>754</v>
      </c>
      <c r="F175" s="103" t="s">
        <v>120</v>
      </c>
      <c r="G175" s="103" t="s">
        <v>141</v>
      </c>
      <c r="H175" s="103"/>
      <c r="I175" s="103" t="s">
        <v>121</v>
      </c>
    </row>
    <row r="176">
      <c r="A176" s="20">
        <v>43815.0</v>
      </c>
      <c r="B176" s="7" t="s">
        <v>601</v>
      </c>
      <c r="C176" s="103" t="s">
        <v>349</v>
      </c>
      <c r="D176" s="103" t="s">
        <v>600</v>
      </c>
      <c r="E176" s="104" t="s">
        <v>755</v>
      </c>
      <c r="F176" s="103" t="s">
        <v>120</v>
      </c>
      <c r="G176" s="103" t="s">
        <v>602</v>
      </c>
      <c r="H176" s="103"/>
      <c r="I176" s="103" t="s">
        <v>121</v>
      </c>
    </row>
    <row r="177">
      <c r="A177" s="20">
        <v>43815.0</v>
      </c>
      <c r="B177" s="7" t="s">
        <v>124</v>
      </c>
      <c r="C177" s="103" t="s">
        <v>210</v>
      </c>
      <c r="D177" s="103" t="s">
        <v>527</v>
      </c>
      <c r="E177" s="104" t="s">
        <v>755</v>
      </c>
      <c r="F177" s="103" t="s">
        <v>120</v>
      </c>
      <c r="G177" s="103" t="s">
        <v>141</v>
      </c>
      <c r="H177" s="103" t="s">
        <v>307</v>
      </c>
      <c r="I177" s="103" t="s">
        <v>121</v>
      </c>
    </row>
    <row r="178">
      <c r="A178" s="20">
        <v>43815.0</v>
      </c>
      <c r="B178" s="7" t="s">
        <v>529</v>
      </c>
      <c r="C178" s="103" t="s">
        <v>531</v>
      </c>
      <c r="D178" s="103" t="s">
        <v>528</v>
      </c>
      <c r="E178" s="104" t="s">
        <v>755</v>
      </c>
      <c r="F178" s="103" t="s">
        <v>120</v>
      </c>
      <c r="G178" s="103" t="s">
        <v>442</v>
      </c>
      <c r="H178" s="103"/>
      <c r="I178" s="103" t="s">
        <v>121</v>
      </c>
    </row>
    <row r="179">
      <c r="A179" s="20">
        <v>43816.0</v>
      </c>
      <c r="B179" s="7" t="s">
        <v>606</v>
      </c>
      <c r="C179" s="103" t="s">
        <v>491</v>
      </c>
      <c r="D179" s="103" t="s">
        <v>605</v>
      </c>
      <c r="E179" s="104" t="s">
        <v>760</v>
      </c>
      <c r="F179" s="103" t="s">
        <v>120</v>
      </c>
      <c r="G179" s="103" t="s">
        <v>141</v>
      </c>
      <c r="H179" s="103"/>
      <c r="I179" s="103" t="s">
        <v>121</v>
      </c>
    </row>
    <row r="180">
      <c r="A180" s="20">
        <v>43816.0</v>
      </c>
      <c r="B180" s="7" t="s">
        <v>23</v>
      </c>
      <c r="C180" s="103" t="s">
        <v>150</v>
      </c>
      <c r="D180" s="103" t="s">
        <v>604</v>
      </c>
      <c r="E180" s="104" t="s">
        <v>755</v>
      </c>
      <c r="F180" s="103" t="s">
        <v>120</v>
      </c>
      <c r="G180" s="103" t="s">
        <v>151</v>
      </c>
      <c r="H180" s="103"/>
      <c r="I180" s="103" t="s">
        <v>121</v>
      </c>
    </row>
    <row r="181">
      <c r="A181" s="20">
        <v>43817.0</v>
      </c>
      <c r="B181" s="7" t="s">
        <v>19</v>
      </c>
      <c r="C181" s="103" t="s">
        <v>145</v>
      </c>
      <c r="D181" s="103" t="s">
        <v>688</v>
      </c>
      <c r="E181" s="104" t="s">
        <v>755</v>
      </c>
      <c r="F181" s="103" t="s">
        <v>120</v>
      </c>
      <c r="G181" s="103" t="s">
        <v>690</v>
      </c>
      <c r="H181" s="103"/>
      <c r="I181" s="103" t="s">
        <v>121</v>
      </c>
    </row>
    <row r="182">
      <c r="A182" s="19">
        <v>43840.0</v>
      </c>
      <c r="B182" s="7" t="s">
        <v>17</v>
      </c>
      <c r="C182" s="103" t="s">
        <v>134</v>
      </c>
      <c r="D182" s="103" t="s">
        <v>608</v>
      </c>
      <c r="E182" s="104" t="s">
        <v>754</v>
      </c>
      <c r="F182" s="103" t="s">
        <v>120</v>
      </c>
      <c r="G182" s="103" t="s">
        <v>141</v>
      </c>
      <c r="H182" s="103"/>
      <c r="I182" s="103" t="s">
        <v>121</v>
      </c>
    </row>
    <row r="183">
      <c r="A183" s="19">
        <v>43841.0</v>
      </c>
      <c r="B183" s="7" t="s">
        <v>124</v>
      </c>
      <c r="C183" s="103" t="s">
        <v>150</v>
      </c>
      <c r="D183" s="103" t="s">
        <v>610</v>
      </c>
      <c r="E183" s="104" t="s">
        <v>755</v>
      </c>
      <c r="F183" s="103" t="s">
        <v>120</v>
      </c>
      <c r="G183" s="103" t="s">
        <v>611</v>
      </c>
      <c r="H183" s="103"/>
      <c r="I183" s="103" t="s">
        <v>121</v>
      </c>
    </row>
    <row r="184">
      <c r="A184" s="19">
        <v>43841.0</v>
      </c>
      <c r="B184" s="7" t="s">
        <v>311</v>
      </c>
      <c r="C184" s="103" t="s">
        <v>158</v>
      </c>
      <c r="D184" s="103" t="s">
        <v>613</v>
      </c>
      <c r="E184" s="104" t="s">
        <v>754</v>
      </c>
      <c r="F184" s="103" t="s">
        <v>219</v>
      </c>
      <c r="G184" s="103" t="s">
        <v>615</v>
      </c>
      <c r="H184" s="103"/>
      <c r="I184" s="103" t="s">
        <v>121</v>
      </c>
    </row>
    <row r="185">
      <c r="A185" s="19">
        <v>43842.0</v>
      </c>
      <c r="B185" s="7" t="s">
        <v>132</v>
      </c>
      <c r="C185" s="103" t="s">
        <v>207</v>
      </c>
      <c r="D185" s="103" t="s">
        <v>621</v>
      </c>
      <c r="E185" s="104" t="s">
        <v>755</v>
      </c>
      <c r="F185" s="103" t="s">
        <v>120</v>
      </c>
      <c r="G185" s="103" t="s">
        <v>141</v>
      </c>
      <c r="H185" s="103"/>
      <c r="I185" s="103" t="s">
        <v>121</v>
      </c>
    </row>
    <row r="186">
      <c r="A186" s="19">
        <v>43842.0</v>
      </c>
      <c r="B186" s="7" t="s">
        <v>132</v>
      </c>
      <c r="C186" s="103" t="s">
        <v>150</v>
      </c>
      <c r="D186" s="103" t="s">
        <v>617</v>
      </c>
      <c r="E186" s="104" t="s">
        <v>755</v>
      </c>
      <c r="F186" s="103" t="s">
        <v>219</v>
      </c>
      <c r="G186" s="103" t="s">
        <v>240</v>
      </c>
      <c r="H186" s="103"/>
      <c r="I186" s="103" t="s">
        <v>121</v>
      </c>
    </row>
    <row r="187">
      <c r="A187" s="19">
        <v>43842.0</v>
      </c>
      <c r="B187" s="7" t="s">
        <v>132</v>
      </c>
      <c r="C187" s="103" t="s">
        <v>175</v>
      </c>
      <c r="D187" s="103" t="s">
        <v>616</v>
      </c>
      <c r="E187" s="104" t="s">
        <v>755</v>
      </c>
      <c r="F187" s="103" t="s">
        <v>120</v>
      </c>
      <c r="G187" s="103" t="s">
        <v>240</v>
      </c>
      <c r="H187" s="103"/>
      <c r="I187" s="103" t="s">
        <v>121</v>
      </c>
    </row>
    <row r="188">
      <c r="A188" s="19">
        <v>43842.0</v>
      </c>
      <c r="B188" s="7" t="s">
        <v>132</v>
      </c>
      <c r="C188" s="103" t="s">
        <v>170</v>
      </c>
      <c r="D188" s="103" t="s">
        <v>620</v>
      </c>
      <c r="E188" s="104" t="s">
        <v>755</v>
      </c>
      <c r="F188" s="103" t="s">
        <v>120</v>
      </c>
      <c r="G188" s="103" t="s">
        <v>445</v>
      </c>
      <c r="H188" s="103"/>
      <c r="I188" s="103" t="s">
        <v>121</v>
      </c>
    </row>
    <row r="189">
      <c r="A189" s="19">
        <v>43842.0</v>
      </c>
      <c r="B189" s="7" t="s">
        <v>132</v>
      </c>
      <c r="C189" s="103" t="s">
        <v>210</v>
      </c>
      <c r="D189" s="103" t="s">
        <v>622</v>
      </c>
      <c r="E189" s="104" t="s">
        <v>755</v>
      </c>
      <c r="F189" s="103" t="s">
        <v>120</v>
      </c>
      <c r="G189" s="103" t="s">
        <v>141</v>
      </c>
      <c r="H189" s="103" t="s">
        <v>623</v>
      </c>
      <c r="I189" s="103" t="s">
        <v>121</v>
      </c>
    </row>
    <row r="190">
      <c r="A190" s="19">
        <v>43842.0</v>
      </c>
      <c r="B190" s="7" t="s">
        <v>132</v>
      </c>
      <c r="C190" s="103" t="s">
        <v>175</v>
      </c>
      <c r="D190" s="103" t="s">
        <v>618</v>
      </c>
      <c r="E190" s="104" t="s">
        <v>755</v>
      </c>
      <c r="F190" s="103" t="s">
        <v>120</v>
      </c>
      <c r="G190" s="103" t="s">
        <v>240</v>
      </c>
      <c r="H190" s="103"/>
      <c r="I190" s="103" t="s">
        <v>121</v>
      </c>
    </row>
    <row r="191">
      <c r="A191" s="19">
        <v>43843.0</v>
      </c>
      <c r="B191" s="7" t="s">
        <v>625</v>
      </c>
      <c r="C191" s="103" t="s">
        <v>162</v>
      </c>
      <c r="D191" s="103" t="s">
        <v>624</v>
      </c>
      <c r="E191" s="104" t="s">
        <v>760</v>
      </c>
      <c r="F191" s="103" t="s">
        <v>120</v>
      </c>
      <c r="G191" s="103" t="s">
        <v>627</v>
      </c>
      <c r="H191" s="103"/>
      <c r="I191" s="103" t="s">
        <v>121</v>
      </c>
    </row>
    <row r="192">
      <c r="A192" s="19">
        <v>43843.0</v>
      </c>
      <c r="B192" s="7" t="s">
        <v>29</v>
      </c>
      <c r="C192" s="103" t="s">
        <v>129</v>
      </c>
      <c r="D192" s="103" t="s">
        <v>629</v>
      </c>
      <c r="E192" s="104" t="s">
        <v>755</v>
      </c>
      <c r="F192" s="103" t="s">
        <v>120</v>
      </c>
      <c r="G192" s="103" t="s">
        <v>445</v>
      </c>
      <c r="H192" s="103"/>
      <c r="I192" s="103" t="s">
        <v>121</v>
      </c>
    </row>
    <row r="193">
      <c r="A193" s="19">
        <v>43843.0</v>
      </c>
      <c r="B193" s="7" t="s">
        <v>29</v>
      </c>
      <c r="C193" s="103" t="s">
        <v>150</v>
      </c>
      <c r="D193" s="103" t="s">
        <v>628</v>
      </c>
      <c r="E193" s="104" t="s">
        <v>755</v>
      </c>
      <c r="F193" s="103" t="s">
        <v>120</v>
      </c>
      <c r="G193" s="103" t="s">
        <v>561</v>
      </c>
      <c r="H193" s="103" t="s">
        <v>181</v>
      </c>
      <c r="I193" s="103" t="s">
        <v>121</v>
      </c>
    </row>
    <row r="194">
      <c r="A194" s="19">
        <v>43843.0</v>
      </c>
      <c r="B194" s="7" t="s">
        <v>29</v>
      </c>
      <c r="C194" s="103" t="s">
        <v>119</v>
      </c>
      <c r="D194" s="103" t="s">
        <v>630</v>
      </c>
      <c r="E194" s="104" t="s">
        <v>755</v>
      </c>
      <c r="F194" s="103" t="s">
        <v>120</v>
      </c>
      <c r="G194" s="103" t="s">
        <v>240</v>
      </c>
      <c r="H194" s="103"/>
      <c r="I194" s="103" t="s">
        <v>121</v>
      </c>
    </row>
    <row r="195">
      <c r="A195" s="19">
        <v>43844.0</v>
      </c>
      <c r="B195" s="7" t="s">
        <v>168</v>
      </c>
      <c r="C195" s="103" t="s">
        <v>129</v>
      </c>
      <c r="D195" s="103" t="s">
        <v>631</v>
      </c>
      <c r="E195" s="104" t="s">
        <v>755</v>
      </c>
      <c r="F195" s="103" t="s">
        <v>120</v>
      </c>
      <c r="G195" s="103" t="s">
        <v>240</v>
      </c>
      <c r="H195" s="103"/>
      <c r="I195" s="103" t="s">
        <v>121</v>
      </c>
    </row>
    <row r="196">
      <c r="A196" s="19">
        <v>43844.0</v>
      </c>
      <c r="B196" s="7" t="s">
        <v>179</v>
      </c>
      <c r="C196" s="103" t="s">
        <v>137</v>
      </c>
      <c r="D196" s="103" t="s">
        <v>632</v>
      </c>
      <c r="E196" s="104" t="s">
        <v>754</v>
      </c>
      <c r="F196" s="103" t="s">
        <v>120</v>
      </c>
      <c r="G196" s="103" t="s">
        <v>141</v>
      </c>
      <c r="H196" s="103"/>
      <c r="I196" s="103" t="s">
        <v>121</v>
      </c>
    </row>
    <row r="197">
      <c r="A197" s="19">
        <v>43845.0</v>
      </c>
      <c r="B197" s="7" t="s">
        <v>23</v>
      </c>
      <c r="C197" s="103" t="s">
        <v>343</v>
      </c>
      <c r="D197" s="103" t="s">
        <v>635</v>
      </c>
      <c r="E197" s="104" t="s">
        <v>755</v>
      </c>
      <c r="F197" s="103" t="s">
        <v>219</v>
      </c>
      <c r="G197" s="103" t="s">
        <v>141</v>
      </c>
      <c r="H197" s="103"/>
      <c r="I197" s="103" t="s">
        <v>121</v>
      </c>
    </row>
    <row r="198">
      <c r="A198" s="19">
        <v>43845.0</v>
      </c>
      <c r="B198" s="7" t="s">
        <v>27</v>
      </c>
      <c r="C198" s="103" t="s">
        <v>434</v>
      </c>
      <c r="D198" s="103" t="s">
        <v>633</v>
      </c>
      <c r="E198" s="104" t="s">
        <v>755</v>
      </c>
      <c r="F198" s="103" t="s">
        <v>120</v>
      </c>
      <c r="G198" s="103" t="s">
        <v>141</v>
      </c>
      <c r="H198" s="103"/>
      <c r="I198" s="103" t="s">
        <v>121</v>
      </c>
    </row>
    <row r="199">
      <c r="A199" s="19">
        <v>43845.0</v>
      </c>
      <c r="B199" s="7" t="s">
        <v>27</v>
      </c>
      <c r="C199" s="103" t="s">
        <v>137</v>
      </c>
      <c r="D199" s="103" t="s">
        <v>637</v>
      </c>
      <c r="E199" s="104" t="s">
        <v>755</v>
      </c>
      <c r="F199" s="103" t="s">
        <v>120</v>
      </c>
      <c r="G199" s="103" t="s">
        <v>639</v>
      </c>
      <c r="H199" s="103"/>
      <c r="I199" s="103" t="s">
        <v>121</v>
      </c>
    </row>
    <row r="200">
      <c r="A200" s="19">
        <v>43846.0</v>
      </c>
      <c r="B200" s="7" t="s">
        <v>382</v>
      </c>
      <c r="C200" s="103" t="s">
        <v>137</v>
      </c>
      <c r="D200" s="103" t="s">
        <v>640</v>
      </c>
      <c r="E200" s="104" t="s">
        <v>754</v>
      </c>
      <c r="F200" s="103" t="s">
        <v>120</v>
      </c>
      <c r="G200" s="103" t="s">
        <v>141</v>
      </c>
      <c r="H200" s="103" t="s">
        <v>181</v>
      </c>
      <c r="I200" s="103" t="s">
        <v>121</v>
      </c>
    </row>
    <row r="201">
      <c r="A201" s="19">
        <v>43846.0</v>
      </c>
      <c r="B201" s="7" t="s">
        <v>139</v>
      </c>
      <c r="C201" s="103" t="s">
        <v>207</v>
      </c>
      <c r="D201" s="103" t="s">
        <v>641</v>
      </c>
      <c r="E201" s="104" t="s">
        <v>755</v>
      </c>
      <c r="F201" s="103" t="s">
        <v>120</v>
      </c>
      <c r="G201" s="103" t="s">
        <v>141</v>
      </c>
      <c r="H201" s="103" t="s">
        <v>181</v>
      </c>
      <c r="I201" s="103" t="s">
        <v>121</v>
      </c>
    </row>
    <row r="202">
      <c r="A202" s="19">
        <v>43847.0</v>
      </c>
      <c r="B202" s="7" t="s">
        <v>15</v>
      </c>
      <c r="C202" s="103" t="s">
        <v>129</v>
      </c>
      <c r="D202" s="103" t="s">
        <v>643</v>
      </c>
      <c r="E202" s="104" t="s">
        <v>755</v>
      </c>
      <c r="F202" s="103" t="s">
        <v>120</v>
      </c>
      <c r="G202" s="103" t="s">
        <v>240</v>
      </c>
      <c r="H202" s="103"/>
      <c r="I202" s="103" t="s">
        <v>121</v>
      </c>
    </row>
    <row r="203">
      <c r="A203" s="19">
        <v>43847.0</v>
      </c>
      <c r="B203" s="7" t="s">
        <v>19</v>
      </c>
      <c r="C203" s="103" t="s">
        <v>170</v>
      </c>
      <c r="D203" s="103" t="s">
        <v>645</v>
      </c>
      <c r="E203" s="104" t="s">
        <v>755</v>
      </c>
      <c r="F203" s="103" t="s">
        <v>120</v>
      </c>
      <c r="G203" s="103" t="s">
        <v>151</v>
      </c>
      <c r="H203" s="103"/>
      <c r="I203" s="103" t="s">
        <v>121</v>
      </c>
    </row>
    <row r="204">
      <c r="A204" s="19">
        <v>43847.0</v>
      </c>
      <c r="B204" s="7" t="s">
        <v>19</v>
      </c>
      <c r="C204" s="103" t="s">
        <v>129</v>
      </c>
      <c r="D204" s="103" t="s">
        <v>647</v>
      </c>
      <c r="E204" s="104" t="s">
        <v>755</v>
      </c>
      <c r="F204" s="103" t="s">
        <v>120</v>
      </c>
      <c r="G204" s="103" t="s">
        <v>240</v>
      </c>
      <c r="H204" s="103"/>
      <c r="I204" s="103" t="s">
        <v>121</v>
      </c>
    </row>
    <row r="205">
      <c r="A205" s="19">
        <v>43847.0</v>
      </c>
      <c r="B205" s="7" t="s">
        <v>19</v>
      </c>
      <c r="C205" s="103" t="s">
        <v>154</v>
      </c>
      <c r="D205" s="103" t="s">
        <v>648</v>
      </c>
      <c r="E205" s="104" t="s">
        <v>755</v>
      </c>
      <c r="F205" s="103" t="s">
        <v>120</v>
      </c>
      <c r="G205" s="103" t="s">
        <v>240</v>
      </c>
      <c r="H205" s="103"/>
      <c r="I205" s="103" t="s">
        <v>121</v>
      </c>
    </row>
    <row r="206">
      <c r="A206" s="19">
        <v>43847.0</v>
      </c>
      <c r="B206" s="7" t="s">
        <v>19</v>
      </c>
      <c r="C206" s="103" t="s">
        <v>129</v>
      </c>
      <c r="D206" s="103" t="s">
        <v>649</v>
      </c>
      <c r="E206" s="104" t="s">
        <v>755</v>
      </c>
      <c r="F206" s="103" t="s">
        <v>219</v>
      </c>
      <c r="G206" s="103" t="s">
        <v>639</v>
      </c>
      <c r="H206" s="103"/>
      <c r="I206" s="103" t="s">
        <v>121</v>
      </c>
    </row>
    <row r="207">
      <c r="A207" s="19">
        <v>43847.0</v>
      </c>
      <c r="B207" s="7" t="s">
        <v>15</v>
      </c>
      <c r="C207" s="103" t="s">
        <v>170</v>
      </c>
      <c r="D207" s="103" t="s">
        <v>650</v>
      </c>
      <c r="E207" s="104" t="s">
        <v>755</v>
      </c>
      <c r="F207" s="103" t="s">
        <v>120</v>
      </c>
      <c r="G207" s="103" t="s">
        <v>202</v>
      </c>
      <c r="H207" s="103"/>
      <c r="I207" s="103" t="s">
        <v>121</v>
      </c>
    </row>
    <row r="208">
      <c r="A208" s="19">
        <v>43847.0</v>
      </c>
      <c r="B208" s="7" t="s">
        <v>15</v>
      </c>
      <c r="C208" s="103" t="s">
        <v>207</v>
      </c>
      <c r="D208" s="103" t="s">
        <v>652</v>
      </c>
      <c r="E208" s="104" t="s">
        <v>754</v>
      </c>
      <c r="F208" s="103" t="s">
        <v>120</v>
      </c>
      <c r="G208" s="103" t="s">
        <v>141</v>
      </c>
      <c r="H208" s="103"/>
      <c r="I208" s="103" t="s">
        <v>121</v>
      </c>
    </row>
    <row r="209">
      <c r="A209" s="19">
        <v>43848.0</v>
      </c>
      <c r="B209" s="7" t="s">
        <v>221</v>
      </c>
      <c r="C209" s="103" t="s">
        <v>305</v>
      </c>
      <c r="D209" s="103" t="s">
        <v>654</v>
      </c>
      <c r="E209" s="104" t="s">
        <v>754</v>
      </c>
      <c r="F209" s="103" t="s">
        <v>120</v>
      </c>
      <c r="G209" s="103" t="s">
        <v>141</v>
      </c>
      <c r="H209" s="103"/>
      <c r="I209" s="103" t="s">
        <v>121</v>
      </c>
    </row>
    <row r="210">
      <c r="A210" s="19">
        <v>43848.0</v>
      </c>
      <c r="B210" s="7" t="s">
        <v>221</v>
      </c>
      <c r="C210" s="103" t="s">
        <v>170</v>
      </c>
      <c r="D210" s="103" t="s">
        <v>657</v>
      </c>
      <c r="E210" s="104" t="s">
        <v>755</v>
      </c>
      <c r="F210" s="103" t="s">
        <v>120</v>
      </c>
      <c r="G210" s="103" t="s">
        <v>240</v>
      </c>
      <c r="H210" s="103"/>
      <c r="I210" s="103" t="s">
        <v>121</v>
      </c>
    </row>
    <row r="211">
      <c r="A211" s="19">
        <v>43849.0</v>
      </c>
      <c r="B211" s="7" t="s">
        <v>32</v>
      </c>
      <c r="C211" s="103" t="s">
        <v>150</v>
      </c>
      <c r="D211" s="103" t="s">
        <v>659</v>
      </c>
      <c r="E211" s="104" t="s">
        <v>755</v>
      </c>
      <c r="F211" s="103" t="s">
        <v>120</v>
      </c>
      <c r="G211" s="103" t="s">
        <v>240</v>
      </c>
      <c r="H211" s="103"/>
      <c r="I211" s="103" t="s">
        <v>121</v>
      </c>
    </row>
    <row r="212">
      <c r="A212" s="19">
        <v>43849.0</v>
      </c>
      <c r="B212" s="7" t="s">
        <v>32</v>
      </c>
      <c r="C212" s="103" t="s">
        <v>129</v>
      </c>
      <c r="D212" s="103" t="s">
        <v>660</v>
      </c>
      <c r="E212" s="104" t="s">
        <v>754</v>
      </c>
      <c r="F212" s="103" t="s">
        <v>120</v>
      </c>
      <c r="G212" s="103" t="s">
        <v>393</v>
      </c>
      <c r="H212" s="103"/>
      <c r="I212" s="103" t="s">
        <v>121</v>
      </c>
    </row>
    <row r="213">
      <c r="A213" s="19">
        <v>43850.0</v>
      </c>
      <c r="B213" s="7" t="s">
        <v>191</v>
      </c>
      <c r="C213" s="103" t="s">
        <v>137</v>
      </c>
      <c r="D213" s="103" t="s">
        <v>662</v>
      </c>
      <c r="E213" s="104" t="s">
        <v>754</v>
      </c>
      <c r="F213" s="103" t="s">
        <v>120</v>
      </c>
      <c r="G213" s="103" t="s">
        <v>141</v>
      </c>
      <c r="H213" s="103"/>
      <c r="I213" s="103" t="s">
        <v>121</v>
      </c>
    </row>
    <row r="214">
      <c r="A214" s="19">
        <v>43850.0</v>
      </c>
      <c r="B214" s="7" t="s">
        <v>117</v>
      </c>
      <c r="C214" s="103" t="s">
        <v>343</v>
      </c>
      <c r="D214" s="103" t="s">
        <v>683</v>
      </c>
      <c r="E214" s="104" t="s">
        <v>755</v>
      </c>
      <c r="F214" s="103" t="s">
        <v>219</v>
      </c>
      <c r="G214" s="103" t="s">
        <v>141</v>
      </c>
      <c r="H214" s="103"/>
      <c r="I214" s="103" t="s">
        <v>121</v>
      </c>
    </row>
    <row r="215">
      <c r="A215" s="19">
        <v>43877.0</v>
      </c>
      <c r="B215" s="7" t="s">
        <v>168</v>
      </c>
      <c r="C215" s="103" t="s">
        <v>305</v>
      </c>
      <c r="D215" s="103" t="s">
        <v>685</v>
      </c>
      <c r="E215" s="104" t="s">
        <v>755</v>
      </c>
      <c r="F215" s="103" t="s">
        <v>120</v>
      </c>
      <c r="G215" s="103" t="s">
        <v>240</v>
      </c>
      <c r="H215" s="103"/>
      <c r="I215" s="103" t="s">
        <v>121</v>
      </c>
    </row>
    <row r="216">
      <c r="A216" s="19">
        <v>43877.0</v>
      </c>
      <c r="B216" s="7" t="s">
        <v>168</v>
      </c>
      <c r="C216" s="103" t="s">
        <v>175</v>
      </c>
      <c r="D216" s="103" t="s">
        <v>686</v>
      </c>
      <c r="E216" s="104" t="s">
        <v>755</v>
      </c>
      <c r="F216" s="103" t="s">
        <v>219</v>
      </c>
      <c r="G216" s="103" t="s">
        <v>240</v>
      </c>
      <c r="H216" s="103"/>
      <c r="I216" s="103" t="s">
        <v>121</v>
      </c>
    </row>
    <row r="217">
      <c r="A217" s="19">
        <v>43877.0</v>
      </c>
      <c r="B217" s="7" t="s">
        <v>168</v>
      </c>
      <c r="C217" s="103" t="s">
        <v>343</v>
      </c>
      <c r="D217" s="103" t="s">
        <v>679</v>
      </c>
      <c r="E217" s="104" t="s">
        <v>755</v>
      </c>
      <c r="F217" s="103" t="s">
        <v>219</v>
      </c>
      <c r="G217" s="103" t="s">
        <v>141</v>
      </c>
      <c r="H217" s="103"/>
      <c r="I217" s="103" t="s">
        <v>121</v>
      </c>
    </row>
    <row r="218">
      <c r="A218" s="19">
        <v>43879.0</v>
      </c>
      <c r="B218" s="7" t="s">
        <v>168</v>
      </c>
      <c r="C218" s="103" t="s">
        <v>175</v>
      </c>
      <c r="D218" s="103" t="s">
        <v>677</v>
      </c>
      <c r="E218" s="104" t="s">
        <v>755</v>
      </c>
      <c r="F218" s="103" t="s">
        <v>120</v>
      </c>
      <c r="G218" s="103" t="s">
        <v>678</v>
      </c>
      <c r="H218" s="103"/>
      <c r="I218" s="103" t="s">
        <v>121</v>
      </c>
    </row>
    <row r="219">
      <c r="A219" s="19">
        <v>43879.0</v>
      </c>
      <c r="B219" s="7" t="s">
        <v>15</v>
      </c>
      <c r="C219" s="103" t="s">
        <v>170</v>
      </c>
      <c r="D219" s="103" t="s">
        <v>681</v>
      </c>
      <c r="E219" s="104" t="s">
        <v>755</v>
      </c>
      <c r="F219" s="103" t="s">
        <v>120</v>
      </c>
      <c r="G219" s="103" t="s">
        <v>240</v>
      </c>
      <c r="H219" s="103"/>
      <c r="I219" s="103" t="s">
        <v>121</v>
      </c>
    </row>
    <row r="220">
      <c r="A220" s="19">
        <v>43879.0</v>
      </c>
      <c r="B220" s="7" t="s">
        <v>15</v>
      </c>
      <c r="C220" s="103" t="s">
        <v>150</v>
      </c>
      <c r="D220" s="103" t="s">
        <v>675</v>
      </c>
      <c r="E220" s="104" t="s">
        <v>755</v>
      </c>
      <c r="F220" s="103" t="s">
        <v>120</v>
      </c>
      <c r="G220" s="103" t="s">
        <v>676</v>
      </c>
      <c r="H220" s="103"/>
      <c r="I220" s="103" t="s">
        <v>121</v>
      </c>
    </row>
    <row r="221">
      <c r="A221" s="19">
        <v>43880.0</v>
      </c>
      <c r="B221" s="7" t="s">
        <v>124</v>
      </c>
      <c r="C221" s="103" t="s">
        <v>129</v>
      </c>
      <c r="D221" s="103" t="s">
        <v>674</v>
      </c>
      <c r="E221" s="104" t="s">
        <v>755</v>
      </c>
      <c r="F221" s="103" t="s">
        <v>120</v>
      </c>
      <c r="G221" s="103" t="s">
        <v>240</v>
      </c>
      <c r="H221" s="103" t="s">
        <v>181</v>
      </c>
      <c r="I221" s="103" t="s">
        <v>121</v>
      </c>
    </row>
    <row r="222">
      <c r="A222" s="19">
        <v>43880.0</v>
      </c>
      <c r="B222" s="7" t="s">
        <v>124</v>
      </c>
      <c r="C222" s="103" t="s">
        <v>175</v>
      </c>
      <c r="D222" s="103" t="s">
        <v>668</v>
      </c>
      <c r="E222" s="104" t="s">
        <v>754</v>
      </c>
      <c r="F222" s="103" t="s">
        <v>120</v>
      </c>
      <c r="G222" s="103" t="s">
        <v>410</v>
      </c>
      <c r="H222" s="103"/>
      <c r="I222" s="103" t="s">
        <v>121</v>
      </c>
    </row>
    <row r="223">
      <c r="A223" s="19">
        <v>43882.0</v>
      </c>
      <c r="B223" s="7" t="s">
        <v>281</v>
      </c>
      <c r="C223" s="103" t="s">
        <v>360</v>
      </c>
      <c r="D223" s="103" t="s">
        <v>669</v>
      </c>
      <c r="E223" s="104" t="s">
        <v>755</v>
      </c>
      <c r="F223" s="103" t="s">
        <v>120</v>
      </c>
      <c r="G223" s="103" t="s">
        <v>670</v>
      </c>
      <c r="H223" s="103"/>
      <c r="I223" s="103" t="s">
        <v>121</v>
      </c>
    </row>
    <row r="224">
      <c r="A224" s="19">
        <v>43882.0</v>
      </c>
      <c r="B224" s="7" t="s">
        <v>132</v>
      </c>
      <c r="C224" s="103" t="s">
        <v>129</v>
      </c>
      <c r="D224" s="103" t="s">
        <v>671</v>
      </c>
      <c r="E224" s="104" t="s">
        <v>755</v>
      </c>
      <c r="F224" s="103" t="s">
        <v>120</v>
      </c>
      <c r="G224" s="103" t="s">
        <v>673</v>
      </c>
      <c r="H224" s="103"/>
      <c r="I224" s="103" t="s">
        <v>121</v>
      </c>
    </row>
    <row r="225">
      <c r="A225" s="19">
        <v>43882.0</v>
      </c>
      <c r="B225" s="7" t="s">
        <v>132</v>
      </c>
      <c r="C225" s="103" t="s">
        <v>207</v>
      </c>
      <c r="D225" s="103" t="s">
        <v>663</v>
      </c>
      <c r="E225" s="104" t="s">
        <v>755</v>
      </c>
      <c r="F225" s="103" t="s">
        <v>120</v>
      </c>
      <c r="G225" s="103" t="s">
        <v>141</v>
      </c>
      <c r="H225" s="103"/>
      <c r="I225" s="103" t="s">
        <v>121</v>
      </c>
    </row>
    <row r="226">
      <c r="A226" s="19">
        <v>43885.0</v>
      </c>
      <c r="B226" s="7" t="s">
        <v>382</v>
      </c>
      <c r="C226" s="103" t="s">
        <v>129</v>
      </c>
      <c r="D226" s="103" t="s">
        <v>665</v>
      </c>
      <c r="E226" s="104" t="s">
        <v>755</v>
      </c>
      <c r="F226" s="103" t="s">
        <v>120</v>
      </c>
      <c r="G226" s="103" t="s">
        <v>240</v>
      </c>
      <c r="H226" s="103"/>
      <c r="I226" s="103" t="s">
        <v>121</v>
      </c>
    </row>
    <row r="227">
      <c r="A227" s="19">
        <v>43885.0</v>
      </c>
      <c r="B227" s="7" t="s">
        <v>382</v>
      </c>
      <c r="C227" s="103" t="s">
        <v>129</v>
      </c>
      <c r="D227" s="103" t="s">
        <v>667</v>
      </c>
      <c r="E227" s="104" t="s">
        <v>754</v>
      </c>
      <c r="F227" s="103" t="s">
        <v>219</v>
      </c>
      <c r="G227" s="103" t="s">
        <v>141</v>
      </c>
      <c r="H227" s="103"/>
      <c r="I227" s="103" t="s">
        <v>121</v>
      </c>
    </row>
    <row r="228">
      <c r="A228" s="19">
        <v>43886.0</v>
      </c>
      <c r="B228" s="7" t="s">
        <v>311</v>
      </c>
      <c r="C228" s="103" t="s">
        <v>207</v>
      </c>
      <c r="D228" s="103" t="s">
        <v>431</v>
      </c>
      <c r="E228" s="104" t="s">
        <v>755</v>
      </c>
      <c r="F228" s="103" t="s">
        <v>120</v>
      </c>
      <c r="G228" s="103"/>
      <c r="H228" s="103" t="s">
        <v>432</v>
      </c>
      <c r="I228" s="103"/>
    </row>
    <row r="229">
      <c r="A229" s="19">
        <v>43887.0</v>
      </c>
      <c r="B229" s="7" t="s">
        <v>23</v>
      </c>
      <c r="C229" s="103" t="s">
        <v>343</v>
      </c>
      <c r="D229" s="103" t="s">
        <v>429</v>
      </c>
      <c r="E229" s="104" t="s">
        <v>755</v>
      </c>
      <c r="F229" s="103" t="s">
        <v>120</v>
      </c>
      <c r="G229" s="103" t="s">
        <v>141</v>
      </c>
      <c r="H229" s="103"/>
      <c r="I229" s="103" t="s">
        <v>121</v>
      </c>
    </row>
    <row r="230">
      <c r="A230" s="19">
        <v>43887.0</v>
      </c>
      <c r="B230" s="7" t="s">
        <v>27</v>
      </c>
      <c r="C230" s="103" t="s">
        <v>434</v>
      </c>
      <c r="D230" s="103" t="s">
        <v>433</v>
      </c>
      <c r="E230" s="104" t="s">
        <v>755</v>
      </c>
      <c r="F230" s="103" t="s">
        <v>120</v>
      </c>
      <c r="G230" s="103" t="s">
        <v>240</v>
      </c>
      <c r="H230" s="103"/>
      <c r="I230" s="103" t="s">
        <v>121</v>
      </c>
    </row>
    <row r="231">
      <c r="A231" s="19">
        <v>43887.0</v>
      </c>
      <c r="B231" s="7" t="s">
        <v>23</v>
      </c>
      <c r="C231" s="103" t="s">
        <v>434</v>
      </c>
      <c r="D231" s="103" t="s">
        <v>435</v>
      </c>
      <c r="E231" s="104" t="s">
        <v>755</v>
      </c>
      <c r="F231" s="103" t="s">
        <v>120</v>
      </c>
      <c r="G231" s="103" t="s">
        <v>240</v>
      </c>
      <c r="H231" s="103"/>
      <c r="I231" s="103" t="s">
        <v>121</v>
      </c>
    </row>
    <row r="232">
      <c r="A232" s="19">
        <v>43887.0</v>
      </c>
      <c r="B232" s="7" t="s">
        <v>23</v>
      </c>
      <c r="C232" s="103" t="s">
        <v>129</v>
      </c>
      <c r="D232" s="103" t="s">
        <v>436</v>
      </c>
      <c r="E232" s="104" t="s">
        <v>755</v>
      </c>
      <c r="F232" s="103" t="s">
        <v>120</v>
      </c>
      <c r="G232" s="103" t="s">
        <v>202</v>
      </c>
      <c r="H232" s="103"/>
      <c r="I232" s="103" t="s">
        <v>121</v>
      </c>
    </row>
    <row r="233">
      <c r="A233" s="20">
        <v>44127.0</v>
      </c>
      <c r="B233" s="7" t="s">
        <v>382</v>
      </c>
      <c r="C233" s="103" t="s">
        <v>441</v>
      </c>
      <c r="D233" s="103" t="s">
        <v>439</v>
      </c>
      <c r="E233" s="104" t="s">
        <v>755</v>
      </c>
      <c r="F233" s="103" t="s">
        <v>120</v>
      </c>
      <c r="G233" s="103" t="s">
        <v>442</v>
      </c>
      <c r="H233" s="103"/>
      <c r="I233" s="103" t="s">
        <v>121</v>
      </c>
    </row>
    <row r="234">
      <c r="A234" s="20">
        <v>44128.0</v>
      </c>
      <c r="B234" s="7" t="s">
        <v>132</v>
      </c>
      <c r="C234" s="103" t="s">
        <v>150</v>
      </c>
      <c r="D234" s="103" t="s">
        <v>443</v>
      </c>
      <c r="E234" s="104" t="s">
        <v>755</v>
      </c>
      <c r="F234" s="103" t="s">
        <v>120</v>
      </c>
      <c r="G234" s="103" t="s">
        <v>445</v>
      </c>
      <c r="H234" s="103" t="s">
        <v>181</v>
      </c>
      <c r="I234" s="103" t="s">
        <v>121</v>
      </c>
    </row>
    <row r="235">
      <c r="A235" s="20">
        <v>44129.0</v>
      </c>
      <c r="B235" s="7" t="s">
        <v>124</v>
      </c>
      <c r="C235" s="103" t="s">
        <v>448</v>
      </c>
      <c r="D235" s="103" t="s">
        <v>446</v>
      </c>
      <c r="E235" s="104" t="s">
        <v>755</v>
      </c>
      <c r="F235" s="103" t="s">
        <v>120</v>
      </c>
      <c r="G235" s="103" t="s">
        <v>449</v>
      </c>
      <c r="H235" s="103" t="s">
        <v>450</v>
      </c>
      <c r="I235" s="103" t="s">
        <v>121</v>
      </c>
    </row>
    <row r="236">
      <c r="A236" s="20">
        <v>44129.0</v>
      </c>
      <c r="B236" s="7" t="s">
        <v>124</v>
      </c>
      <c r="C236" s="103" t="s">
        <v>129</v>
      </c>
      <c r="D236" s="103" t="s">
        <v>451</v>
      </c>
      <c r="E236" s="104" t="s">
        <v>755</v>
      </c>
      <c r="F236" s="103" t="s">
        <v>120</v>
      </c>
      <c r="G236" s="103" t="s">
        <v>453</v>
      </c>
      <c r="H236" s="103"/>
      <c r="I236" s="103" t="s">
        <v>121</v>
      </c>
    </row>
    <row r="237">
      <c r="A237" s="20">
        <v>44130.0</v>
      </c>
      <c r="B237" s="7" t="s">
        <v>168</v>
      </c>
      <c r="C237" s="103" t="s">
        <v>175</v>
      </c>
      <c r="D237" s="103" t="s">
        <v>455</v>
      </c>
      <c r="E237" s="104" t="s">
        <v>754</v>
      </c>
      <c r="F237" s="103" t="s">
        <v>120</v>
      </c>
      <c r="G237" s="103" t="s">
        <v>456</v>
      </c>
      <c r="H237" s="103" t="s">
        <v>181</v>
      </c>
      <c r="I237" s="103" t="s">
        <v>121</v>
      </c>
    </row>
    <row r="238">
      <c r="A238" s="20">
        <v>44131.0</v>
      </c>
      <c r="B238" s="7" t="s">
        <v>117</v>
      </c>
      <c r="C238" s="103" t="s">
        <v>349</v>
      </c>
      <c r="D238" s="103" t="s">
        <v>457</v>
      </c>
      <c r="E238" s="104" t="s">
        <v>755</v>
      </c>
      <c r="F238" s="103" t="s">
        <v>120</v>
      </c>
      <c r="G238" s="103" t="s">
        <v>459</v>
      </c>
      <c r="H238" s="103"/>
      <c r="I238" s="103" t="s">
        <v>121</v>
      </c>
    </row>
    <row r="239">
      <c r="A239" s="20">
        <v>44132.0</v>
      </c>
      <c r="B239" s="7" t="s">
        <v>29</v>
      </c>
      <c r="C239" s="103" t="s">
        <v>175</v>
      </c>
      <c r="D239" s="103" t="s">
        <v>460</v>
      </c>
      <c r="E239" s="104" t="s">
        <v>755</v>
      </c>
      <c r="F239" s="103" t="s">
        <v>120</v>
      </c>
      <c r="G239" s="103" t="s">
        <v>461</v>
      </c>
      <c r="H239" s="103"/>
      <c r="I239" s="103" t="s">
        <v>121</v>
      </c>
    </row>
    <row r="240">
      <c r="A240" s="20">
        <v>44132.0</v>
      </c>
      <c r="B240" s="7" t="s">
        <v>32</v>
      </c>
      <c r="C240" s="103" t="s">
        <v>343</v>
      </c>
      <c r="D240" s="103" t="s">
        <v>462</v>
      </c>
      <c r="E240" s="104" t="s">
        <v>755</v>
      </c>
      <c r="F240" s="103" t="s">
        <v>120</v>
      </c>
      <c r="G240" s="103" t="s">
        <v>141</v>
      </c>
      <c r="H240" s="103"/>
      <c r="I240" s="103" t="s">
        <v>121</v>
      </c>
    </row>
    <row r="241">
      <c r="A241" s="20">
        <v>44133.0</v>
      </c>
      <c r="B241" s="7" t="s">
        <v>19</v>
      </c>
      <c r="C241" s="103" t="s">
        <v>175</v>
      </c>
      <c r="D241" s="103" t="s">
        <v>464</v>
      </c>
      <c r="E241" s="104" t="s">
        <v>755</v>
      </c>
      <c r="F241" s="103" t="s">
        <v>120</v>
      </c>
      <c r="G241" s="103" t="s">
        <v>240</v>
      </c>
      <c r="H241" s="103"/>
      <c r="I241" s="103" t="s">
        <v>121</v>
      </c>
    </row>
    <row r="242">
      <c r="A242" s="20">
        <v>44133.0</v>
      </c>
      <c r="B242" s="7" t="s">
        <v>15</v>
      </c>
      <c r="C242" s="103" t="s">
        <v>134</v>
      </c>
      <c r="D242" s="103" t="s">
        <v>468</v>
      </c>
      <c r="E242" s="104" t="s">
        <v>755</v>
      </c>
      <c r="F242" s="103" t="s">
        <v>120</v>
      </c>
      <c r="G242" s="103" t="s">
        <v>141</v>
      </c>
      <c r="H242" s="103" t="s">
        <v>330</v>
      </c>
      <c r="I242" s="103" t="s">
        <v>121</v>
      </c>
    </row>
    <row r="243">
      <c r="A243" s="20">
        <v>44133.0</v>
      </c>
      <c r="B243" s="7" t="s">
        <v>15</v>
      </c>
      <c r="C243" s="103" t="s">
        <v>175</v>
      </c>
      <c r="D243" s="103" t="s">
        <v>466</v>
      </c>
      <c r="E243" s="104" t="s">
        <v>755</v>
      </c>
      <c r="F243" s="103" t="s">
        <v>120</v>
      </c>
      <c r="G243" s="103" t="s">
        <v>240</v>
      </c>
      <c r="H243" s="103"/>
      <c r="I243" s="103" t="s">
        <v>121</v>
      </c>
    </row>
    <row r="244">
      <c r="A244" s="20">
        <v>44133.0</v>
      </c>
      <c r="B244" s="7" t="s">
        <v>15</v>
      </c>
      <c r="C244" s="103" t="s">
        <v>129</v>
      </c>
      <c r="D244" s="103" t="s">
        <v>470</v>
      </c>
      <c r="E244" s="104" t="s">
        <v>755</v>
      </c>
      <c r="F244" s="103" t="s">
        <v>120</v>
      </c>
      <c r="G244" s="103" t="s">
        <v>240</v>
      </c>
      <c r="H244" s="103" t="s">
        <v>181</v>
      </c>
      <c r="I244" s="103" t="s">
        <v>121</v>
      </c>
    </row>
    <row r="245">
      <c r="A245" s="20">
        <v>44133.0</v>
      </c>
      <c r="B245" s="7" t="s">
        <v>15</v>
      </c>
      <c r="C245" s="103" t="s">
        <v>175</v>
      </c>
      <c r="D245" s="103" t="s">
        <v>471</v>
      </c>
      <c r="E245" s="104" t="s">
        <v>755</v>
      </c>
      <c r="F245" s="103" t="s">
        <v>120</v>
      </c>
      <c r="G245" s="103" t="s">
        <v>453</v>
      </c>
      <c r="H245" s="103"/>
      <c r="I245" s="103" t="s">
        <v>121</v>
      </c>
    </row>
    <row r="246">
      <c r="A246" s="20">
        <v>44134.0</v>
      </c>
      <c r="B246" s="7" t="s">
        <v>23</v>
      </c>
      <c r="C246" s="103" t="s">
        <v>207</v>
      </c>
      <c r="D246" s="103" t="s">
        <v>473</v>
      </c>
      <c r="E246" s="104" t="s">
        <v>755</v>
      </c>
      <c r="F246" s="103" t="s">
        <v>120</v>
      </c>
      <c r="G246" s="103" t="s">
        <v>442</v>
      </c>
      <c r="H246" s="103" t="s">
        <v>474</v>
      </c>
      <c r="I246" s="103" t="s">
        <v>121</v>
      </c>
    </row>
    <row r="247">
      <c r="A247" s="20">
        <v>44134.0</v>
      </c>
      <c r="B247" s="7" t="s">
        <v>23</v>
      </c>
      <c r="C247" s="103" t="s">
        <v>175</v>
      </c>
      <c r="D247" s="103" t="s">
        <v>475</v>
      </c>
      <c r="E247" s="104" t="s">
        <v>755</v>
      </c>
      <c r="F247" s="103" t="s">
        <v>120</v>
      </c>
      <c r="G247" s="103" t="s">
        <v>476</v>
      </c>
      <c r="H247" s="103" t="s">
        <v>181</v>
      </c>
      <c r="I247" s="103" t="s">
        <v>121</v>
      </c>
    </row>
    <row r="248">
      <c r="A248" s="20">
        <v>44146.0</v>
      </c>
      <c r="B248" s="7" t="s">
        <v>132</v>
      </c>
      <c r="C248" s="103" t="s">
        <v>175</v>
      </c>
      <c r="D248" s="103" t="s">
        <v>477</v>
      </c>
      <c r="E248" s="104" t="s">
        <v>755</v>
      </c>
      <c r="F248" s="103" t="s">
        <v>120</v>
      </c>
      <c r="G248" s="103" t="s">
        <v>240</v>
      </c>
      <c r="H248" s="103"/>
      <c r="I248" s="103" t="s">
        <v>121</v>
      </c>
    </row>
    <row r="249">
      <c r="A249" s="20">
        <v>44146.0</v>
      </c>
      <c r="B249" s="7" t="s">
        <v>132</v>
      </c>
      <c r="C249" s="103" t="s">
        <v>175</v>
      </c>
      <c r="D249" s="103" t="s">
        <v>479</v>
      </c>
      <c r="E249" s="104" t="s">
        <v>755</v>
      </c>
      <c r="F249" s="103" t="s">
        <v>120</v>
      </c>
      <c r="G249" s="103" t="s">
        <v>240</v>
      </c>
      <c r="H249" s="103"/>
      <c r="I249" s="103" t="s">
        <v>121</v>
      </c>
    </row>
    <row r="250">
      <c r="A250" s="20">
        <v>44146.0</v>
      </c>
      <c r="B250" s="7" t="s">
        <v>132</v>
      </c>
      <c r="C250" s="103" t="s">
        <v>175</v>
      </c>
      <c r="D250" s="103" t="s">
        <v>481</v>
      </c>
      <c r="E250" s="104" t="s">
        <v>755</v>
      </c>
      <c r="F250" s="103" t="s">
        <v>120</v>
      </c>
      <c r="G250" s="103" t="s">
        <v>240</v>
      </c>
      <c r="H250" s="103"/>
      <c r="I250" s="103" t="s">
        <v>121</v>
      </c>
    </row>
    <row r="251">
      <c r="A251" s="20">
        <v>44146.0</v>
      </c>
      <c r="B251" s="7" t="s">
        <v>132</v>
      </c>
      <c r="C251" s="103" t="s">
        <v>207</v>
      </c>
      <c r="D251" s="103" t="s">
        <v>483</v>
      </c>
      <c r="E251" s="104" t="s">
        <v>755</v>
      </c>
      <c r="F251" s="103" t="s">
        <v>120</v>
      </c>
      <c r="G251" s="103" t="s">
        <v>442</v>
      </c>
      <c r="H251" s="103"/>
      <c r="I251" s="103" t="s">
        <v>121</v>
      </c>
    </row>
    <row r="252">
      <c r="A252" s="20">
        <v>44146.0</v>
      </c>
      <c r="B252" s="7" t="s">
        <v>132</v>
      </c>
      <c r="C252" s="103" t="s">
        <v>175</v>
      </c>
      <c r="D252" s="103" t="s">
        <v>485</v>
      </c>
      <c r="E252" s="104" t="s">
        <v>754</v>
      </c>
      <c r="F252" s="103" t="s">
        <v>120</v>
      </c>
      <c r="G252" s="103" t="s">
        <v>487</v>
      </c>
      <c r="H252" s="103"/>
      <c r="I252" s="103" t="s">
        <v>121</v>
      </c>
    </row>
    <row r="253">
      <c r="A253" s="20">
        <v>44147.0</v>
      </c>
      <c r="B253" s="7" t="s">
        <v>191</v>
      </c>
      <c r="C253" s="103" t="s">
        <v>150</v>
      </c>
      <c r="D253" s="103" t="s">
        <v>488</v>
      </c>
      <c r="E253" s="104" t="s">
        <v>755</v>
      </c>
      <c r="F253" s="103" t="s">
        <v>120</v>
      </c>
      <c r="G253" s="103" t="s">
        <v>240</v>
      </c>
      <c r="H253" s="103"/>
      <c r="I253" s="103" t="s">
        <v>121</v>
      </c>
    </row>
    <row r="254">
      <c r="A254" s="20">
        <v>44149.0</v>
      </c>
      <c r="B254" s="7" t="s">
        <v>32</v>
      </c>
      <c r="C254" s="103" t="s">
        <v>170</v>
      </c>
      <c r="D254" s="103" t="s">
        <v>691</v>
      </c>
      <c r="E254" s="104" t="s">
        <v>755</v>
      </c>
      <c r="F254" s="103" t="s">
        <v>120</v>
      </c>
      <c r="G254" s="103" t="s">
        <v>693</v>
      </c>
      <c r="H254" s="103" t="s">
        <v>235</v>
      </c>
      <c r="I254" s="103" t="s">
        <v>121</v>
      </c>
    </row>
    <row r="255">
      <c r="A255" s="20">
        <v>44149.0</v>
      </c>
      <c r="B255" s="7" t="s">
        <v>29</v>
      </c>
      <c r="C255" s="103" t="s">
        <v>134</v>
      </c>
      <c r="D255" s="103" t="s">
        <v>694</v>
      </c>
      <c r="E255" s="104" t="s">
        <v>755</v>
      </c>
      <c r="F255" s="103" t="s">
        <v>120</v>
      </c>
      <c r="G255" s="103" t="s">
        <v>321</v>
      </c>
      <c r="H255" s="103" t="s">
        <v>696</v>
      </c>
      <c r="I255" s="103" t="s">
        <v>121</v>
      </c>
    </row>
    <row r="256">
      <c r="A256" s="20">
        <v>44150.0</v>
      </c>
      <c r="B256" s="7" t="s">
        <v>15</v>
      </c>
      <c r="C256" s="103" t="s">
        <v>134</v>
      </c>
      <c r="D256" s="103" t="s">
        <v>697</v>
      </c>
      <c r="E256" s="104" t="s">
        <v>755</v>
      </c>
      <c r="F256" s="103" t="s">
        <v>120</v>
      </c>
      <c r="G256" s="103" t="s">
        <v>321</v>
      </c>
      <c r="H256" s="103" t="s">
        <v>698</v>
      </c>
      <c r="I256" s="103" t="s">
        <v>121</v>
      </c>
    </row>
    <row r="257">
      <c r="A257" s="20">
        <v>44150.0</v>
      </c>
      <c r="B257" s="7" t="s">
        <v>15</v>
      </c>
      <c r="C257" s="103" t="s">
        <v>349</v>
      </c>
      <c r="D257" s="103" t="s">
        <v>699</v>
      </c>
      <c r="E257" s="104" t="s">
        <v>755</v>
      </c>
      <c r="F257" s="103" t="s">
        <v>120</v>
      </c>
      <c r="G257" s="103" t="s">
        <v>700</v>
      </c>
      <c r="H257" s="103" t="s">
        <v>235</v>
      </c>
      <c r="I257" s="103" t="s">
        <v>121</v>
      </c>
    </row>
    <row r="258">
      <c r="A258" s="20">
        <v>44150.0</v>
      </c>
      <c r="B258" s="7" t="s">
        <v>15</v>
      </c>
      <c r="C258" s="103" t="s">
        <v>175</v>
      </c>
      <c r="D258" s="103" t="s">
        <v>701</v>
      </c>
      <c r="E258" s="104" t="s">
        <v>755</v>
      </c>
      <c r="F258" s="103" t="s">
        <v>120</v>
      </c>
      <c r="G258" s="103" t="s">
        <v>703</v>
      </c>
      <c r="H258" s="103"/>
      <c r="I258" s="103" t="s">
        <v>121</v>
      </c>
    </row>
    <row r="259">
      <c r="A259" s="20">
        <v>44150.0</v>
      </c>
      <c r="B259" s="7" t="s">
        <v>15</v>
      </c>
      <c r="C259" s="103" t="s">
        <v>170</v>
      </c>
      <c r="D259" s="103" t="s">
        <v>704</v>
      </c>
      <c r="E259" s="104" t="s">
        <v>755</v>
      </c>
      <c r="F259" s="103" t="s">
        <v>120</v>
      </c>
      <c r="G259" s="103" t="s">
        <v>202</v>
      </c>
      <c r="H259" s="103" t="s">
        <v>705</v>
      </c>
      <c r="I259" s="103" t="s">
        <v>121</v>
      </c>
    </row>
    <row r="260">
      <c r="A260" s="20">
        <v>44150.0</v>
      </c>
      <c r="B260" s="7" t="s">
        <v>15</v>
      </c>
      <c r="C260" s="103" t="s">
        <v>175</v>
      </c>
      <c r="D260" s="103" t="s">
        <v>706</v>
      </c>
      <c r="E260" s="104" t="s">
        <v>755</v>
      </c>
      <c r="F260" s="103" t="s">
        <v>120</v>
      </c>
      <c r="G260" s="103" t="s">
        <v>202</v>
      </c>
      <c r="H260" s="103"/>
      <c r="I260" s="103" t="s">
        <v>121</v>
      </c>
    </row>
    <row r="261">
      <c r="A261" s="20">
        <v>44150.0</v>
      </c>
      <c r="B261" s="7" t="s">
        <v>15</v>
      </c>
      <c r="C261" s="103" t="s">
        <v>134</v>
      </c>
      <c r="D261" s="103" t="s">
        <v>708</v>
      </c>
      <c r="E261" s="104" t="s">
        <v>755</v>
      </c>
      <c r="F261" s="103" t="s">
        <v>120</v>
      </c>
      <c r="G261" s="103" t="s">
        <v>639</v>
      </c>
      <c r="H261" s="103"/>
      <c r="I261" s="103" t="s">
        <v>121</v>
      </c>
    </row>
    <row r="262">
      <c r="A262" s="20">
        <v>44150.0</v>
      </c>
      <c r="B262" s="7" t="s">
        <v>15</v>
      </c>
      <c r="C262" s="103" t="s">
        <v>210</v>
      </c>
      <c r="D262" s="103" t="s">
        <v>709</v>
      </c>
      <c r="E262" s="104" t="s">
        <v>755</v>
      </c>
      <c r="F262" s="103" t="s">
        <v>120</v>
      </c>
      <c r="G262" s="103" t="s">
        <v>711</v>
      </c>
      <c r="H262" s="103" t="s">
        <v>307</v>
      </c>
      <c r="I262" s="103" t="s">
        <v>121</v>
      </c>
    </row>
    <row r="263">
      <c r="A263" s="20">
        <v>44153.0</v>
      </c>
      <c r="B263" s="7" t="s">
        <v>124</v>
      </c>
      <c r="C263" s="103" t="s">
        <v>210</v>
      </c>
      <c r="D263" s="103" t="s">
        <v>712</v>
      </c>
      <c r="E263" s="104" t="s">
        <v>755</v>
      </c>
      <c r="F263" s="103" t="s">
        <v>120</v>
      </c>
      <c r="G263" s="103" t="s">
        <v>442</v>
      </c>
      <c r="H263" s="103" t="s">
        <v>299</v>
      </c>
      <c r="I263" s="103" t="s">
        <v>121</v>
      </c>
    </row>
    <row r="264">
      <c r="A264" s="20">
        <v>44153.0</v>
      </c>
      <c r="B264" s="7" t="s">
        <v>124</v>
      </c>
      <c r="C264" s="103" t="s">
        <v>714</v>
      </c>
      <c r="D264" s="103" t="s">
        <v>713</v>
      </c>
      <c r="E264" s="104" t="s">
        <v>755</v>
      </c>
      <c r="F264" s="103" t="s">
        <v>120</v>
      </c>
      <c r="G264" s="103" t="s">
        <v>715</v>
      </c>
      <c r="H264" s="103" t="s">
        <v>181</v>
      </c>
      <c r="I264" s="103" t="s">
        <v>121</v>
      </c>
    </row>
    <row r="265">
      <c r="A265" s="20">
        <v>44153.0</v>
      </c>
      <c r="B265" s="7" t="s">
        <v>124</v>
      </c>
      <c r="C265" s="103" t="s">
        <v>150</v>
      </c>
      <c r="D265" s="103" t="s">
        <v>716</v>
      </c>
      <c r="E265" s="104" t="s">
        <v>755</v>
      </c>
      <c r="F265" s="103" t="s">
        <v>717</v>
      </c>
      <c r="G265" s="103" t="s">
        <v>202</v>
      </c>
      <c r="H265" s="103"/>
      <c r="I265" s="103" t="s">
        <v>121</v>
      </c>
    </row>
    <row r="266">
      <c r="A266" s="20">
        <v>44153.0</v>
      </c>
      <c r="B266" s="7" t="s">
        <v>124</v>
      </c>
      <c r="C266" s="103" t="s">
        <v>214</v>
      </c>
      <c r="D266" s="103" t="s">
        <v>719</v>
      </c>
      <c r="E266" s="104" t="s">
        <v>755</v>
      </c>
      <c r="F266" s="103" t="s">
        <v>120</v>
      </c>
      <c r="G266" s="103" t="s">
        <v>720</v>
      </c>
      <c r="H266" s="103" t="s">
        <v>235</v>
      </c>
      <c r="I266" s="103" t="s">
        <v>121</v>
      </c>
    </row>
    <row r="267">
      <c r="A267" s="19">
        <v>44173.0</v>
      </c>
      <c r="B267" s="7" t="s">
        <v>29</v>
      </c>
      <c r="C267" s="103" t="s">
        <v>175</v>
      </c>
      <c r="D267" s="103" t="s">
        <v>721</v>
      </c>
      <c r="E267" s="104" t="s">
        <v>755</v>
      </c>
      <c r="F267" s="103" t="s">
        <v>120</v>
      </c>
      <c r="G267" s="103" t="s">
        <v>723</v>
      </c>
      <c r="H267" s="103" t="s">
        <v>181</v>
      </c>
      <c r="I267" s="103" t="s">
        <v>121</v>
      </c>
    </row>
    <row r="268">
      <c r="A268" s="19">
        <v>44174.0</v>
      </c>
      <c r="B268" s="7" t="s">
        <v>132</v>
      </c>
      <c r="C268" s="103" t="s">
        <v>305</v>
      </c>
      <c r="D268" s="103" t="s">
        <v>724</v>
      </c>
      <c r="E268" s="104" t="s">
        <v>755</v>
      </c>
      <c r="F268" s="103" t="s">
        <v>219</v>
      </c>
      <c r="G268" s="103" t="s">
        <v>726</v>
      </c>
      <c r="H268" s="103"/>
      <c r="I268" s="103" t="s">
        <v>121</v>
      </c>
    </row>
    <row r="269">
      <c r="A269" s="20">
        <v>44176.0</v>
      </c>
      <c r="B269" s="7" t="s">
        <v>168</v>
      </c>
      <c r="C269" s="103" t="s">
        <v>714</v>
      </c>
      <c r="D269" s="103" t="s">
        <v>727</v>
      </c>
      <c r="E269" s="104" t="s">
        <v>755</v>
      </c>
      <c r="F269" s="103" t="s">
        <v>120</v>
      </c>
      <c r="G269" s="103" t="s">
        <v>728</v>
      </c>
      <c r="H269" s="103" t="s">
        <v>235</v>
      </c>
      <c r="I269" s="103" t="s">
        <v>121</v>
      </c>
    </row>
    <row r="270">
      <c r="A270" s="20">
        <v>44176.0</v>
      </c>
      <c r="B270" s="7" t="s">
        <v>168</v>
      </c>
      <c r="C270" s="103" t="s">
        <v>714</v>
      </c>
      <c r="D270" s="103" t="s">
        <v>729</v>
      </c>
      <c r="E270" s="104" t="s">
        <v>755</v>
      </c>
      <c r="F270" s="103" t="s">
        <v>120</v>
      </c>
      <c r="G270" s="103" t="s">
        <v>728</v>
      </c>
      <c r="H270" s="103" t="s">
        <v>235</v>
      </c>
      <c r="I270" s="103" t="s">
        <v>121</v>
      </c>
    </row>
    <row r="271">
      <c r="A271" s="20">
        <v>44176.0</v>
      </c>
      <c r="B271" s="7" t="s">
        <v>168</v>
      </c>
      <c r="C271" s="103" t="s">
        <v>210</v>
      </c>
      <c r="D271" s="103" t="s">
        <v>731</v>
      </c>
      <c r="E271" s="104" t="s">
        <v>755</v>
      </c>
      <c r="F271" s="103" t="s">
        <v>120</v>
      </c>
      <c r="G271" s="103" t="s">
        <v>733</v>
      </c>
      <c r="H271" s="103" t="s">
        <v>307</v>
      </c>
      <c r="I271" s="103" t="s">
        <v>121</v>
      </c>
    </row>
    <row r="272">
      <c r="A272" s="20">
        <v>44178.0</v>
      </c>
      <c r="B272" s="7" t="s">
        <v>124</v>
      </c>
      <c r="C272" s="103" t="s">
        <v>150</v>
      </c>
      <c r="D272" s="103" t="s">
        <v>734</v>
      </c>
      <c r="E272" s="104" t="s">
        <v>755</v>
      </c>
      <c r="F272" s="103" t="s">
        <v>120</v>
      </c>
      <c r="G272" s="103" t="s">
        <v>728</v>
      </c>
      <c r="H272" s="103"/>
      <c r="I272" s="103" t="s">
        <v>121</v>
      </c>
    </row>
    <row r="273">
      <c r="A273" s="20">
        <v>44178.0</v>
      </c>
      <c r="B273" s="7" t="s">
        <v>124</v>
      </c>
      <c r="C273" s="103" t="s">
        <v>343</v>
      </c>
      <c r="D273" s="103" t="s">
        <v>736</v>
      </c>
      <c r="E273" s="104" t="s">
        <v>755</v>
      </c>
      <c r="F273" s="103" t="s">
        <v>219</v>
      </c>
      <c r="G273" s="103" t="s">
        <v>141</v>
      </c>
      <c r="H273" s="103"/>
      <c r="I273" s="103" t="s">
        <v>121</v>
      </c>
    </row>
    <row r="274">
      <c r="A274" s="20">
        <v>44178.0</v>
      </c>
      <c r="B274" s="7" t="s">
        <v>124</v>
      </c>
      <c r="C274" s="103" t="s">
        <v>214</v>
      </c>
      <c r="D274" s="103" t="s">
        <v>738</v>
      </c>
      <c r="E274" s="104" t="s">
        <v>755</v>
      </c>
      <c r="F274" s="103" t="s">
        <v>120</v>
      </c>
      <c r="G274" s="103" t="s">
        <v>728</v>
      </c>
      <c r="H274" s="103" t="s">
        <v>235</v>
      </c>
      <c r="I274" s="103" t="s">
        <v>121</v>
      </c>
    </row>
    <row r="275">
      <c r="A275" s="20">
        <v>44178.0</v>
      </c>
      <c r="B275" s="7" t="s">
        <v>124</v>
      </c>
      <c r="C275" s="103" t="s">
        <v>158</v>
      </c>
      <c r="D275" s="103" t="s">
        <v>739</v>
      </c>
      <c r="E275" s="104" t="s">
        <v>754</v>
      </c>
      <c r="F275" s="103" t="s">
        <v>219</v>
      </c>
      <c r="G275" s="103" t="s">
        <v>141</v>
      </c>
      <c r="H275" s="103"/>
      <c r="I275" s="103" t="s">
        <v>121</v>
      </c>
    </row>
    <row r="276">
      <c r="A276" s="20">
        <v>44178.0</v>
      </c>
      <c r="B276" s="7" t="s">
        <v>311</v>
      </c>
      <c r="C276" s="103" t="s">
        <v>134</v>
      </c>
      <c r="D276" s="103" t="s">
        <v>741</v>
      </c>
      <c r="E276" s="104" t="s">
        <v>754</v>
      </c>
      <c r="F276" s="103" t="s">
        <v>120</v>
      </c>
      <c r="G276" s="103" t="s">
        <v>726</v>
      </c>
      <c r="H276" s="103"/>
      <c r="I276" s="103" t="s">
        <v>121</v>
      </c>
    </row>
    <row r="277">
      <c r="A277" s="20">
        <v>44180.0</v>
      </c>
      <c r="B277" s="7" t="s">
        <v>139</v>
      </c>
      <c r="C277" s="103" t="s">
        <v>714</v>
      </c>
      <c r="D277" s="103" t="s">
        <v>743</v>
      </c>
      <c r="E277" s="104" t="s">
        <v>755</v>
      </c>
      <c r="F277" s="103" t="s">
        <v>120</v>
      </c>
      <c r="G277" s="103" t="s">
        <v>728</v>
      </c>
      <c r="H277" s="103" t="s">
        <v>235</v>
      </c>
      <c r="I277" s="103" t="s">
        <v>121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  <col customWidth="1" min="2" max="27" width="13.75"/>
  </cols>
  <sheetData>
    <row r="1">
      <c r="A1" s="27" t="s">
        <v>957</v>
      </c>
      <c r="B1" s="106" t="s">
        <v>150</v>
      </c>
      <c r="D1" s="106" t="s">
        <v>137</v>
      </c>
      <c r="F1" s="106" t="s">
        <v>170</v>
      </c>
      <c r="H1" s="106" t="s">
        <v>145</v>
      </c>
      <c r="J1" s="106" t="s">
        <v>714</v>
      </c>
      <c r="L1" s="106" t="s">
        <v>119</v>
      </c>
      <c r="N1" s="106" t="s">
        <v>129</v>
      </c>
      <c r="P1" s="106" t="s">
        <v>134</v>
      </c>
      <c r="R1" s="106" t="s">
        <v>207</v>
      </c>
      <c r="T1" s="106" t="s">
        <v>343</v>
      </c>
      <c r="V1" s="106" t="s">
        <v>210</v>
      </c>
      <c r="X1" s="106" t="s">
        <v>441</v>
      </c>
      <c r="Z1" s="106" t="s">
        <v>175</v>
      </c>
      <c r="AB1" s="106"/>
      <c r="AD1" s="106"/>
      <c r="AF1" s="106"/>
      <c r="AH1" s="106"/>
      <c r="AJ1" s="106"/>
      <c r="AL1" s="106"/>
      <c r="AN1" s="106"/>
      <c r="AP1" s="106"/>
      <c r="AR1" s="106"/>
    </row>
    <row r="2">
      <c r="B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substrato"",Data_filtered!$A$2:$A$461=B$1,Data_filtered!$D$2:$D$461=""eucalipto"",Data_filtered!$J$2:$J$461&lt;&gt;""Incompleto""),0)=0,0,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substrato"",Data_filtered!$A$2:$A$461=B$1,Data_filtered!$D$2:$D$461=""eucalipto"",Data_"&amp;"filtered!$J$2:$J$461&lt;&gt;""Incompleto""))),"" indiv."",
  "" - "",
  SUMIFS(Data_filtered!$G$2:$G$461,Data_filtered!$A$2:$A$461,B$1,Data_filtered!$E$2:$E$461,""&lt;&gt;Não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0 indiv. - 0 items")</f>
        <v>Eucalyptus
0 indiv. - 0 items</v>
      </c>
      <c r="C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substrato"",Data_filtered!$A$2:$A$461=B$1,Data_filtered!$D$2:$D$461=""mata"",Data_filtered!$J$2:$J$461&lt;&gt;""Incompleto""),0)=0,0,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substrato"",Data_filtered!$A$2:$A$461=B$1,Data_filtered!$D$2:$D$461=""mata"",Data_filtere"&amp;"d!$J$2:$J$461&lt;&gt;""Incompleto""))), "" indiv."","" - "", SUMIFS(Data_filtered!$G$2:$G$461,Data_filtered!$A$2:$A$461,B$1,Data_filtered!$E$2:$E$461,""&lt;&gt;Não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7 indiv. - 10 items")</f>
        <v>Atlantic Forest
7 indiv. - 10 items</v>
      </c>
      <c r="D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substrato"",Data_filtered!$A$2:$A$461=D$1,Data_filtered!$D$2:$D$461=""eucalipto"",Data_filtered!$J$2:$J$461&lt;&gt;""Incompleto""),0)=0,0,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substrato"",Data_filtered!$A$2:$A$461=D$1,Data_filtered!$D$2:$D$461=""eucalipto"",Data_"&amp;"filtered!$J$2:$J$461&lt;&gt;""Incompleto""))),"" indiv."",
  "" - "",
  SUMIFS(Data_filtered!$G$2:$G$461,Data_filtered!$A$2:$A$461,D$1,Data_filtered!$E$2:$E$461,""&lt;&gt;Não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11 indiv. - 82 items")</f>
        <v>Eucalyptus
11 indiv. - 82 items</v>
      </c>
      <c r="E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substrato"",Data_filtered!$A$2:$A$461=D$1,Data_filtered!$D$2:$D$461=""mata"",Data_filtered!$J$2:$J$461&lt;&gt;""Incompleto""),0)=0,0,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substrato"",Data_filtered!$A$2:$A$461=D$1,Data_filtered!$D$2:$D$461=""mata"",Data_filtere"&amp;"d!$J$2:$J$461&lt;&gt;""Incompleto""))), "" indiv."","" - "", SUMIFS(Data_filtered!$G$2:$G$461,Data_filtered!$A$2:$A$461,D$1,Data_filtered!$E$2:$E$461,""&lt;&gt;Não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2 indiv. - 4 items")</f>
        <v>Atlantic Forest
2 indiv. - 4 items</v>
      </c>
      <c r="F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substrato"",Data_filtered!$A$2:$A$461=F$1,Data_filtered!$D$2:$D$461=""eucalipto"",Data_filtered!$J$2:$J$461&lt;&gt;""Incompleto""),0)=0,0,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substrato"",Data_filtered!$A$2:$A$461=F$1,Data_filtered!$D$2:$D$461=""eucalipto"",Data_"&amp;"filtered!$J$2:$J$461&lt;&gt;""Incompleto""))),"" indiv."",
  "" - "",
  SUMIFS(Data_filtered!$G$2:$G$461,Data_filtered!$A$2:$A$461,F$1,Data_filtered!$E$2:$E$461,""&lt;&gt;Não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0 indiv. - 0 items")</f>
        <v>Eucalyptus
0 indiv. - 0 items</v>
      </c>
      <c r="G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substrato"",Data_filtered!$A$2:$A$461=F$1,Data_filtered!$D$2:$D$461=""mata"",Data_filtered!$J$2:$J$461&lt;&gt;""Incompleto""),0)=0,0,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substrato"",Data_filtered!$A$2:$A$461=F$1,Data_filtered!$D$2:$D$461=""mata"",Data_filtere"&amp;"d!$J$2:$J$461&lt;&gt;""Incompleto""))), "" indiv."","" - "", SUMIFS(Data_filtered!$G$2:$G$461,Data_filtered!$A$2:$A$461,F$1,Data_filtered!$E$2:$E$461,""&lt;&gt;Não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7 indiv. - 21 items")</f>
        <v>Atlantic Forest
7 indiv. - 21 items</v>
      </c>
      <c r="H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substrato"",Data_filtered!$A$2:$A$461=H$1,Data_filtered!$D$2:$D$461=""eucalipto"",Data_filtered!$J$2:$J$461&lt;&gt;""Incompleto""),0)=0,0,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substrato"",Data_filtered!$A$2:$A$461=H$1,Data_filtered!$D$2:$D$461=""eucalipto"",Data_"&amp;"filtered!$J$2:$J$461&lt;&gt;""Incompleto""))),"" indiv."",
  "" - "",
  SUMIFS(Data_filtered!$G$2:$G$461,Data_filtered!$A$2:$A$461,H$1,Data_filtered!$E$2:$E$461,""&lt;&gt;Não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6 indiv. - 15 items")</f>
        <v>Eucalyptus
6 indiv. - 15 items</v>
      </c>
      <c r="I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substrato"",Data_filtered!$A$2:$A$461=H$1,Data_filtered!$D$2:$D$461=""mata"",Data_filtered!$J$2:$J$461&lt;&gt;""Incompleto""),0)=0,0,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substrato"",Data_filtered!$A$2:$A$461=H$1,Data_filtered!$D$2:$D$461=""mata"",Data_filtere"&amp;"d!$J$2:$J$461&lt;&gt;""Incompleto""))), "" indiv."","" - "", SUMIFS(Data_filtered!$G$2:$G$461,Data_filtered!$A$2:$A$461,H$1,Data_filtered!$E$2:$E$461,""&lt;&gt;Não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3 indiv. - 7 items")</f>
        <v>Atlantic Forest
3 indiv. - 7 items</v>
      </c>
      <c r="J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substrato"",Data_filtered!$A$2:$A$461=J$1,Data_filtered!$D$2:$D$461=""eucalipto"",Data_filtered!$J$2:$J$461&lt;&gt;""Incompleto""),0)=0,0,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substrato"",Data_filtered!$A$2:$A$461=J$1,Data_filtered!$D$2:$D$461=""eucalipto"",Data_"&amp;"filtered!$J$2:$J$461&lt;&gt;""Incompleto""))),"" indiv."",
  "" - "",
  SUMIFS(Data_filtered!$G$2:$G$461,Data_filtered!$A$2:$A$461,J$1,Data_filtered!$E$2:$E$461,""&lt;&gt;Não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0 indiv. - 0 items")</f>
        <v>Eucalyptus
0 indiv. - 0 items</v>
      </c>
      <c r="K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substrato"",Data_filtered!$A$2:$A$461=J$1,Data_filtered!$D$2:$D$461=""mata"",Data_filtered!$J$2:$J$461&lt;&gt;""Incompleto""),0)=0,0,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substrato"",Data_filtered!$A$2:$A$461=J$1,Data_filtered!$D$2:$D$461=""mata"",Data_filtere"&amp;"d!$J$2:$J$461&lt;&gt;""Incompleto""))), "" indiv."","" - "", SUMIFS(Data_filtered!$G$2:$G$461,Data_filtered!$A$2:$A$461,J$1,Data_filtered!$E$2:$E$461,""&lt;&gt;Não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2 indiv. - 6 items")</f>
        <v>Atlantic Forest
2 indiv. - 6 items</v>
      </c>
      <c r="L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substrato"",Data_filtered!$A$2:$A$461=L$1,Data_filtered!$D$2:$D$461=""eucalipto"",Data_filtered!$J$2:$J$461&lt;&gt;""Incompleto""),0)=0,0,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substrato"",Data_filtered!$A$2:$A$461=L$1,Data_filtered!$D$2:$D$461=""eucalipto"",Data_"&amp;"filtered!$J$2:$J$461&lt;&gt;""Incompleto""))),"" indiv."",
  "" - "",
  SUMIFS(Data_filtered!$G$2:$G$461,Data_filtered!$A$2:$A$461,L$1,Data_filtered!$E$2:$E$461,""&lt;&gt;Não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8 indiv. - 22 items")</f>
        <v>Eucalyptus
8 indiv. - 22 items</v>
      </c>
      <c r="M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substrato"",Data_filtered!$A$2:$A$461=L$1,Data_filtered!$D$2:$D$461=""mata"",Data_filtered!$J$2:$J$461&lt;&gt;""Incompleto""),0)=0,0,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substrato"",Data_filtered!$A$2:$A$461=L$1,Data_filtered!$D$2:$D$461=""mata"",Data_filtere"&amp;"d!$J$2:$J$461&lt;&gt;""Incompleto""))), "" indiv."","" - "", SUMIFS(Data_filtered!$G$2:$G$461,Data_filtered!$A$2:$A$461,L$1,Data_filtered!$E$2:$E$461,""&lt;&gt;Não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1 indiv. - 1 items")</f>
        <v>Atlantic Forest
1 indiv. - 1 items</v>
      </c>
      <c r="N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substrato"",Data_filtered!$A$2:$A$461=N$1,Data_filtered!$D$2:$D$461=""eucalipto"",Data_filtered!$J$2:$J$461&lt;&gt;""Incompleto""),0)=0,0,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substrato"",Data_filtered!$A$2:$A$461=N$1,Data_filtered!$D$2:$D$461=""eucalipto"",Data_"&amp;"filtered!$J$2:$J$461&lt;&gt;""Incompleto""))),"" indiv."",
  "" - "",
  SUMIFS(Data_filtered!$G$2:$G$461,Data_filtered!$A$2:$A$461,N$1,Data_filtered!$E$2:$E$461,""&lt;&gt;Não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1 indiv. - 1 items")</f>
        <v>Eucalyptus
1 indiv. - 1 items</v>
      </c>
      <c r="O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substrato"",Data_filtered!$A$2:$A$461=N$1,Data_filtered!$D$2:$D$461=""mata"",Data_filtered!$J$2:$J$461&lt;&gt;""Incompleto""),0)=0,0,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substrato"",Data_filtered!$A$2:$A$461=N$1,Data_filtered!$D$2:$D$461=""mata"",Data_filtere"&amp;"d!$J$2:$J$461&lt;&gt;""Incompleto""))), "" indiv."","" - "", SUMIFS(Data_filtered!$G$2:$G$461,Data_filtered!$A$2:$A$461,N$1,Data_filtered!$E$2:$E$461,""&lt;&gt;Não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6 indiv. - 7 items")</f>
        <v>Atlantic Forest
6 indiv. - 7 items</v>
      </c>
      <c r="P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substrato"",Data_filtered!$A$2:$A$461=P$1,Data_filtered!$D$2:$D$461=""eucalipto"",Data_filtered!$J$2:$J$461&lt;&gt;""Incompleto""),0)=0,0,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substrato"",Data_filtered!$A$2:$A$461=P$1,Data_filtered!$D$2:$D$461=""eucalipto"",Data_"&amp;"filtered!$J$2:$J$461&lt;&gt;""Incompleto""))),"" indiv."",
  "" - "",
  SUMIFS(Data_filtered!$G$2:$G$461,Data_filtered!$A$2:$A$461,P$1,Data_filtered!$E$2:$E$461,""&lt;&gt;Não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3 indiv. - 16 items")</f>
        <v>Eucalyptus
3 indiv. - 16 items</v>
      </c>
      <c r="Q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substrato"",Data_filtered!$A$2:$A$461=P$1,Data_filtered!$D$2:$D$461=""mata"",Data_filtered!$J$2:$J$461&lt;&gt;""Incompleto""),0)=0,0,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substrato"",Data_filtered!$A$2:$A$461=P$1,Data_filtered!$D$2:$D$461=""mata"",Data_filtere"&amp;"d!$J$2:$J$461&lt;&gt;""Incompleto""))), "" indiv."","" - "", SUMIFS(Data_filtered!$G$2:$G$461,Data_filtered!$A$2:$A$461,P$1,Data_filtered!$E$2:$E$461,""&lt;&gt;Não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6 indiv. - 28 items")</f>
        <v>Atlantic Forest
6 indiv. - 28 items</v>
      </c>
      <c r="R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substrato"",Data_filtered!$A$2:$A$461=R$1,Data_filtered!$D$2:$D$461=""eucalipto"",Data_filtered!$J$2:$J$461&lt;&gt;""Incompleto""),0)=0,0,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substrato"",Data_filtered!$A$2:$A$461=R$1,Data_filtered!$D$2:$D$461=""eucalipto"",Data_"&amp;"filtered!$J$2:$J$461&lt;&gt;""Incompleto""))),"" indiv."",
  "" - "",
  SUMIFS(Data_filtered!$G$2:$G$461,Data_filtered!$A$2:$A$461,R$1,Data_filtered!$E$2:$E$461,""&lt;&gt;Não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1 indiv. - 1 items")</f>
        <v>Eucalyptus
1 indiv. - 1 items</v>
      </c>
      <c r="S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substrato"",Data_filtered!$A$2:$A$461=R$1,Data_filtered!$D$2:$D$461=""mata"",Data_filtered!$J$2:$J$461&lt;&gt;""Incompleto""),0)=0,0,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substrato"",Data_filtered!$A$2:$A$461=R$1,Data_filtered!$D$2:$D$461=""mata"",Data_filtere"&amp;"d!$J$2:$J$461&lt;&gt;""Incompleto""))), "" indiv."","" - "", SUMIFS(Data_filtered!$G$2:$G$461,Data_filtered!$A$2:$A$461,R$1,Data_filtered!$E$2:$E$461,""&lt;&gt;Não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7 indiv. - 17 items")</f>
        <v>Atlantic Forest
7 indiv. - 17 items</v>
      </c>
      <c r="T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substrato"",Data_filtered!$A$2:$A$461=T$1,Data_filtered!$D$2:$D$461=""eucalipto"",Data_filtered!$J$2:$J$461&lt;&gt;""Incompleto""),0)=0,0,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substrato"",Data_filtered!$A$2:$A$461=T$1,Data_filtered!$D$2:$D$461=""eucalipto"",Data_"&amp;"filtered!$J$2:$J$461&lt;&gt;""Incompleto""))),"" indiv."",
  "" - "",
  SUMIFS(Data_filtered!$G$2:$G$461,Data_filtered!$A$2:$A$461,T$1,Data_filtered!$E$2:$E$461,""&lt;&gt;Não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0 indiv. - 0 items")</f>
        <v>Eucalyptus
0 indiv. - 0 items</v>
      </c>
      <c r="U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substrato"",Data_filtered!$A$2:$A$461=T$1,Data_filtered!$D$2:$D$461=""mata"",Data_filtered!$J$2:$J$461&lt;&gt;""Incompleto""),0)=0,0,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substrato"",Data_filtered!$A$2:$A$461=T$1,Data_filtered!$D$2:$D$461=""mata"",Data_filtere"&amp;"d!$J$2:$J$461&lt;&gt;""Incompleto""))), "" indiv."","" - "", SUMIFS(Data_filtered!$G$2:$G$461,Data_filtered!$A$2:$A$461,T$1,Data_filtered!$E$2:$E$461,""&lt;&gt;Não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3 indiv. - 6 items")</f>
        <v>Atlantic Forest
3 indiv. - 6 items</v>
      </c>
      <c r="V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substrato"",Data_filtered!$A$2:$A$461=V$1,Data_filtered!$D$2:$D$461=""eucalipto"",Data_filtered!$J$2:$J$461&lt;&gt;""Incompleto""),0)=0,0,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substrato"",Data_filtered!$A$2:$A$461=V$1,Data_filtered!$D$2:$D$461=""eucalipto"",Data_"&amp;"filtered!$J$2:$J$461&lt;&gt;""Incompleto""))),"" indiv."",
  "" - "",
  SUMIFS(Data_filtered!$G$2:$G$461,Data_filtered!$A$2:$A$461,V$1,Data_filtered!$E$2:$E$461,""&lt;&gt;Não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2 indiv. - 13 items")</f>
        <v>Eucalyptus
2 indiv. - 13 items</v>
      </c>
      <c r="W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substrato"",Data_filtered!$A$2:$A$461=V$1,Data_filtered!$D$2:$D$461=""mata"",Data_filtered!$J$2:$J$461&lt;&gt;""Incompleto""),0)=0,0,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substrato"",Data_filtered!$A$2:$A$461=V$1,Data_filtered!$D$2:$D$461=""mata"",Data_filtere"&amp;"d!$J$2:$J$461&lt;&gt;""Incompleto""))), "" indiv."","" - "", SUMIFS(Data_filtered!$G$2:$G$461,Data_filtered!$A$2:$A$461,V$1,Data_filtered!$E$2:$E$461,""&lt;&gt;Não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10 indiv. - 193 items")</f>
        <v>Atlantic Forest
10 indiv. - 193 items</v>
      </c>
      <c r="X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substrato"",Data_filtered!$A$2:$A$461=X$1,Data_filtered!$D$2:$D$461=""eucalipto"",Data_filtered!$J$2:$J$461&lt;&gt;""Incompleto""),0)=0,0,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substrato"",Data_filtered!$A$2:$A$461=X$1,Data_filtered!$D$2:$D$461=""eucalipto"",Data_"&amp;"filtered!$J$2:$J$461&lt;&gt;""Incompleto""))),"" indiv."",
  "" - "",
  SUMIFS(Data_filtered!$G$2:$G$461,Data_filtered!$A$2:$A$461,X$1,Data_filtered!$E$2:$E$461,""&lt;&gt;Não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0 indiv. - 0 items")</f>
        <v>Eucalyptus
0 indiv. - 0 items</v>
      </c>
      <c r="Y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substrato"",Data_filtered!$A$2:$A$461=X$1,Data_filtered!$D$2:$D$461=""mata"",Data_filtered!$J$2:$J$461&lt;&gt;""Incompleto""),0)=0,0,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substrato"",Data_filtered!$A$2:$A$461=X$1,Data_filtered!$D$2:$D$461=""mata"",Data_filtere"&amp;"d!$J$2:$J$461&lt;&gt;""Incompleto""))), "" indiv."","" - "", SUMIFS(Data_filtered!$G$2:$G$461,Data_filtered!$A$2:$A$461,X$1,Data_filtered!$E$2:$E$461,""&lt;&gt;Não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2 indiv. - 69 items")</f>
        <v>Atlantic Forest
2 indiv. - 69 items</v>
      </c>
      <c r="Z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substrato"",Data_filtered!$A$2:$A$461=Z$1,Data_filtered!$D$2:$D$461=""eucalipto"",Data_filtered!$J$2:$J$461&lt;&gt;""Incompleto""),0)=0,0,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substrato"",Data_filtered!$A$2:$A$461=Z$1,Data_filtered!$D$2:$D$461=""eucalipto"",Data_"&amp;"filtered!$J$2:$J$461&lt;&gt;""Incompleto""))),"" indiv."",
  "" - "",
  SUMIFS(Data_filtered!$G$2:$G$461,Data_filtered!$A$2:$A$461,Z$1,Data_filtered!$E$2:$E$461,""&lt;&gt;Não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0 indiv. - 0 items")</f>
        <v>Eucalyptus
0 indiv. - 0 items</v>
      </c>
      <c r="AA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substrato"",Data_filtered!$A$2:$A$461=Z$1,Data_filtered!$D$2:$D$461=""mata"",Data_filtered!$J$2:$J$461&lt;&gt;""Incompleto""),0)=0,0,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substrato"",Data_filtered!$A$2:$A$461=Z$1,Data_filtered!$D$2:$D$461=""mata"",Data_filtere"&amp;"d!$J$2:$J$461&lt;&gt;""Incompleto""))), "" indiv."","" - "", SUMIFS(Data_filtered!$G$2:$G$461,Data_filtered!$A$2:$A$461,Z$1,Data_filtered!$E$2:$E$461,""&lt;&gt;Não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4 indiv. - 7 items")</f>
        <v>Atlantic Forest
4 indiv. - 7 items</v>
      </c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</row>
    <row r="3">
      <c r="A3" s="9" t="str">
        <f>IFERROR(__xludf.DUMMYFUNCTION("SORT(UNIQUE(FILTER(Data_filtered!F2:F461,Data_filtered!E$2:E$461&lt;&gt;""Não identificado"",Data_filtered!E$2:E$461&lt;&gt;""Semente"",Data_filtered!E$2:E$461&lt;&gt;""Semente de capim"",Data_filtered!E$2:E$461&lt;&gt;""Apenas substrato"",Data_filtered!E$2:E$461&lt;&gt;""Vazio"", Dat"&amp;"a_filtered!$J$2:$J$461&lt;&gt;""Incompleto"")))"),"Acari")</f>
        <v>Acari</v>
      </c>
      <c r="B3" s="106" t="str">
        <f>IF(SUMIFS(Data_filtered!$G$2:$G$461,Data_filtered!$A$2:$A$461,B$1,Data_filtered!$F$2:$F$461,$A3, Data_filtered!$D$2:$D$461,"eucalipto",Data_filtered!$J$2:$J$461,"&lt;&gt;Incompleto")=0, "-", SUMIFS(Data_filtered!$G$2:$G$461,Data_filtered!$A$2:$A$461,B$1,Data_filtered!$F$2:$F$461,$A3, Data_filtered!$D$2:$D$461,"eucalipto",Data_filtered!$J$2:$J$461,"&lt;&gt;Incompleto"))</f>
        <v>-</v>
      </c>
      <c r="C3" s="107">
        <f>IF(SUMIFS(Data_filtered!$G$2:$G$461,Data_filtered!$A$2:$A$461,B$1,Data_filtered!$F$2:$F$461,$A3, Data_filtered!$D$2:$D$461,"mata",Data_filtered!$J$2:$J$461,"&lt;&gt;Incompleto")=0, "-", SUMIFS(Data_filtered!$G$2:$G$461,Data_filtered!$A$2:$A$461,B$1,Data_filtered!$F$2:$F$461,$A3, Data_filtered!$D$2:$D$461,"mata",Data_filtered!$J$2:$J$461,"&lt;&gt;Incompleto"))
</f>
        <v>1</v>
      </c>
      <c r="D3" s="106">
        <f>IF(SUMIFS(Data_filtered!$G$2:$G$461,Data_filtered!$A$2:$A$461,D$1,Data_filtered!$F$2:$F$461,$A3, Data_filtered!$D$2:$D$461,"eucalipto",Data_filtered!$J$2:$J$461,"&lt;&gt;Incompleto")=0, "-", SUMIFS(Data_filtered!$G$2:$G$461,Data_filtered!$A$2:$A$461,D$1,Data_filtered!$F$2:$F$461,$A3, Data_filtered!$D$2:$D$461,"eucalipto",Data_filtered!$J$2:$J$461,"&lt;&gt;Incompleto"))</f>
        <v>1</v>
      </c>
      <c r="E3" s="107" t="str">
        <f>IF(SUMIFS(Data_filtered!$G$2:$G$461,Data_filtered!$A$2:$A$461,D$1,Data_filtered!$F$2:$F$461,$A3, Data_filtered!$D$2:$D$461,"mata",Data_filtered!$J$2:$J$461,"&lt;&gt;Incompleto")=0, "-", SUMIFS(Data_filtered!$G$2:$G$461,Data_filtered!$A$2:$A$461,D$1,Data_filtered!$F$2:$F$461,$A3, Data_filtered!$D$2:$D$461,"mata",Data_filtered!$J$2:$J$461,"&lt;&gt;Incompleto"))
</f>
        <v>-</v>
      </c>
      <c r="F3" s="106" t="str">
        <f>IF(SUMIFS(Data_filtered!$G$2:$G$461,Data_filtered!$A$2:$A$461,F$1,Data_filtered!$F$2:$F$461,$A3, Data_filtered!$D$2:$D$461,"eucalipto",Data_filtered!$J$2:$J$461,"&lt;&gt;Incompleto")=0, "-", SUMIFS(Data_filtered!$G$2:$G$461,Data_filtered!$A$2:$A$461,F$1,Data_filtered!$F$2:$F$461,$A3, Data_filtered!$D$2:$D$461,"eucalipto",Data_filtered!$J$2:$J$461,"&lt;&gt;Incompleto"))</f>
        <v>-</v>
      </c>
      <c r="G3" s="107" t="str">
        <f>IF(SUMIFS(Data_filtered!$G$2:$G$461,Data_filtered!$A$2:$A$461,F$1,Data_filtered!$F$2:$F$461,$A3, Data_filtered!$D$2:$D$461,"mata",Data_filtered!$J$2:$J$461,"&lt;&gt;Incompleto")=0, "-", SUMIFS(Data_filtered!$G$2:$G$461,Data_filtered!$A$2:$A$461,F$1,Data_filtered!$F$2:$F$461,$A3, Data_filtered!$D$2:$D$461,"mata",Data_filtered!$J$2:$J$461,"&lt;&gt;Incompleto"))
</f>
        <v>-</v>
      </c>
      <c r="H3" s="106" t="str">
        <f>IF(SUMIFS(Data_filtered!$G$2:$G$461,Data_filtered!$A$2:$A$461,H$1,Data_filtered!$F$2:$F$461,$A3, Data_filtered!$D$2:$D$461,"eucalipto",Data_filtered!$J$2:$J$461,"&lt;&gt;Incompleto")=0, "-", SUMIFS(Data_filtered!$G$2:$G$461,Data_filtered!$A$2:$A$461,H$1,Data_filtered!$F$2:$F$461,$A3, Data_filtered!$D$2:$D$461,"eucalipto",Data_filtered!$J$2:$J$461,"&lt;&gt;Incompleto"))</f>
        <v>-</v>
      </c>
      <c r="I3" s="107" t="str">
        <f>IF(SUMIFS(Data_filtered!$G$2:$G$461,Data_filtered!$A$2:$A$461,H$1,Data_filtered!$F$2:$F$461,$A3, Data_filtered!$D$2:$D$461,"mata",Data_filtered!$J$2:$J$461,"&lt;&gt;Incompleto")=0, "-", SUMIFS(Data_filtered!$G$2:$G$461,Data_filtered!$A$2:$A$461,H$1,Data_filtered!$F$2:$F$461,$A3, Data_filtered!$D$2:$D$461,"mata",Data_filtered!$J$2:$J$461,"&lt;&gt;Incompleto"))
</f>
        <v>-</v>
      </c>
      <c r="J3" s="106" t="str">
        <f>IF(SUMIFS(Data_filtered!$G$2:$G$461,Data_filtered!$A$2:$A$461,J$1,Data_filtered!$F$2:$F$461,$A3, Data_filtered!$D$2:$D$461,"eucalipto",Data_filtered!$J$2:$J$461,"&lt;&gt;Incompleto")=0, "-", SUMIFS(Data_filtered!$G$2:$G$461,Data_filtered!$A$2:$A$461,J$1,Data_filtered!$F$2:$F$461,$A3, Data_filtered!$D$2:$D$461,"eucalipto",Data_filtered!$J$2:$J$461,"&lt;&gt;Incompleto"))</f>
        <v>-</v>
      </c>
      <c r="K3" s="107" t="str">
        <f>IF(SUMIFS(Data_filtered!$G$2:$G$461,Data_filtered!$A$2:$A$461,J$1,Data_filtered!$F$2:$F$461,$A3, Data_filtered!$D$2:$D$461,"mata",Data_filtered!$J$2:$J$461,"&lt;&gt;Incompleto")=0, "-", SUMIFS(Data_filtered!$G$2:$G$461,Data_filtered!$A$2:$A$461,J$1,Data_filtered!$F$2:$F$461,$A3, Data_filtered!$D$2:$D$461,"mata",Data_filtered!$J$2:$J$461,"&lt;&gt;Incompleto"))
</f>
        <v>-</v>
      </c>
      <c r="L3" s="106" t="str">
        <f>IF(SUMIFS(Data_filtered!$G$2:$G$461,Data_filtered!$A$2:$A$461,L$1,Data_filtered!$F$2:$F$461,$A3, Data_filtered!$D$2:$D$461,"eucalipto",Data_filtered!$J$2:$J$461,"&lt;&gt;Incompleto")=0, "-", SUMIFS(Data_filtered!$G$2:$G$461,Data_filtered!$A$2:$A$461,L$1,Data_filtered!$F$2:$F$461,$A3, Data_filtered!$D$2:$D$461,"eucalipto",Data_filtered!$J$2:$J$461,"&lt;&gt;Incompleto"))</f>
        <v>-</v>
      </c>
      <c r="M3" s="107" t="str">
        <f>IF(SUMIFS(Data_filtered!$G$2:$G$461,Data_filtered!$A$2:$A$461,L$1,Data_filtered!$F$2:$F$461,$A3, Data_filtered!$D$2:$D$461,"mata",Data_filtered!$J$2:$J$461,"&lt;&gt;Incompleto")=0, "-", SUMIFS(Data_filtered!$G$2:$G$461,Data_filtered!$A$2:$A$461,L$1,Data_filtered!$F$2:$F$461,$A3, Data_filtered!$D$2:$D$461,"mata",Data_filtered!$J$2:$J$461,"&lt;&gt;Incompleto"))
</f>
        <v>-</v>
      </c>
      <c r="N3" s="106" t="str">
        <f>IF(SUMIFS(Data_filtered!$G$2:$G$461,Data_filtered!$A$2:$A$461,N$1,Data_filtered!$F$2:$F$461,$A3, Data_filtered!$D$2:$D$461,"eucalipto",Data_filtered!$J$2:$J$461,"&lt;&gt;Incompleto")=0, "-", SUMIFS(Data_filtered!$G$2:$G$461,Data_filtered!$A$2:$A$461,N$1,Data_filtered!$F$2:$F$461,$A3, Data_filtered!$D$2:$D$461,"eucalipto",Data_filtered!$J$2:$J$461,"&lt;&gt;Incompleto"))</f>
        <v>-</v>
      </c>
      <c r="O3" s="107" t="str">
        <f>IF(SUMIFS(Data_filtered!$G$2:$G$461,Data_filtered!$A$2:$A$461,N$1,Data_filtered!$F$2:$F$461,$A3, Data_filtered!$D$2:$D$461,"mata",Data_filtered!$J$2:$J$461,"&lt;&gt;Incompleto")=0, "-", SUMIFS(Data_filtered!$G$2:$G$461,Data_filtered!$A$2:$A$461,N$1,Data_filtered!$F$2:$F$461,$A3, Data_filtered!$D$2:$D$461,"mata",Data_filtered!$J$2:$J$461,"&lt;&gt;Incompleto"))
</f>
        <v>-</v>
      </c>
      <c r="P3" s="106" t="str">
        <f>IF(SUMIFS(Data_filtered!$G$2:$G$461,Data_filtered!$A$2:$A$461,P$1,Data_filtered!$F$2:$F$461,$A3, Data_filtered!$D$2:$D$461,"eucalipto",Data_filtered!$J$2:$J$461,"&lt;&gt;Incompleto")=0, "-", SUMIFS(Data_filtered!$G$2:$G$461,Data_filtered!$A$2:$A$461,P$1,Data_filtered!$F$2:$F$461,$A3, Data_filtered!$D$2:$D$461,"eucalipto",Data_filtered!$J$2:$J$461,"&lt;&gt;Incompleto"))</f>
        <v>-</v>
      </c>
      <c r="Q3" s="107" t="str">
        <f>IF(SUMIFS(Data_filtered!$G$2:$G$461,Data_filtered!$A$2:$A$461,P$1,Data_filtered!$F$2:$F$461,$A3, Data_filtered!$D$2:$D$461,"mata",Data_filtered!$J$2:$J$461,"&lt;&gt;Incompleto")=0, "-", SUMIFS(Data_filtered!$G$2:$G$461,Data_filtered!$A$2:$A$461,P$1,Data_filtered!$F$2:$F$461,$A3, Data_filtered!$D$2:$D$461,"mata",Data_filtered!$J$2:$J$461,"&lt;&gt;Incompleto"))
</f>
        <v>-</v>
      </c>
      <c r="R3" s="106" t="str">
        <f>IF(SUMIFS(Data_filtered!$G$2:$G$461,Data_filtered!$A$2:$A$461,R$1,Data_filtered!$F$2:$F$461,$A3, Data_filtered!$D$2:$D$461,"eucalipto",Data_filtered!$J$2:$J$461,"&lt;&gt;Incompleto")=0, "-", SUMIFS(Data_filtered!$G$2:$G$461,Data_filtered!$A$2:$A$461,R$1,Data_filtered!$F$2:$F$461,$A3, Data_filtered!$D$2:$D$461,"eucalipto",Data_filtered!$J$2:$J$461,"&lt;&gt;Incompleto"))</f>
        <v>-</v>
      </c>
      <c r="S3" s="107">
        <f>IF(SUMIFS(Data_filtered!$G$2:$G$461,Data_filtered!$A$2:$A$461,R$1,Data_filtered!$F$2:$F$461,$A3, Data_filtered!$D$2:$D$461,"mata",Data_filtered!$J$2:$J$461,"&lt;&gt;Incompleto")=0, "-", SUMIFS(Data_filtered!$G$2:$G$461,Data_filtered!$A$2:$A$461,R$1,Data_filtered!$F$2:$F$461,$A3, Data_filtered!$D$2:$D$461,"mata",Data_filtered!$J$2:$J$461,"&lt;&gt;Incompleto"))
</f>
        <v>1</v>
      </c>
      <c r="T3" s="106" t="str">
        <f>IF(SUMIFS(Data_filtered!$G$2:$G$461,Data_filtered!$A$2:$A$461,T$1,Data_filtered!$F$2:$F$461,$A3, Data_filtered!$D$2:$D$461,"eucalipto",Data_filtered!$J$2:$J$461,"&lt;&gt;Incompleto")=0, "-", SUMIFS(Data_filtered!$G$2:$G$461,Data_filtered!$A$2:$A$461,T$1,Data_filtered!$F$2:$F$461,$A3, Data_filtered!$D$2:$D$461,"eucalipto",Data_filtered!$J$2:$J$461,"&lt;&gt;Incompleto"))</f>
        <v>-</v>
      </c>
      <c r="U3" s="107" t="str">
        <f>IF(SUMIFS(Data_filtered!$G$2:$G$461,Data_filtered!$A$2:$A$461,T$1,Data_filtered!$F$2:$F$461,$A3, Data_filtered!$D$2:$D$461,"mata",Data_filtered!$J$2:$J$461,"&lt;&gt;Incompleto")=0, "-", SUMIFS(Data_filtered!$G$2:$G$461,Data_filtered!$A$2:$A$461,T$1,Data_filtered!$F$2:$F$461,$A3, Data_filtered!$D$2:$D$461,"mata",Data_filtered!$J$2:$J$461,"&lt;&gt;Incompleto"))
</f>
        <v>-</v>
      </c>
      <c r="V3" s="106" t="str">
        <f>IF(SUMIFS(Data_filtered!$G$2:$G$461,Data_filtered!$A$2:$A$461,V$1,Data_filtered!$F$2:$F$461,$A3, Data_filtered!$D$2:$D$461,"eucalipto",Data_filtered!$J$2:$J$461,"&lt;&gt;Incompleto")=0, "-", SUMIFS(Data_filtered!$G$2:$G$461,Data_filtered!$A$2:$A$461,V$1,Data_filtered!$F$2:$F$461,$A3, Data_filtered!$D$2:$D$461,"eucalipto",Data_filtered!$J$2:$J$461,"&lt;&gt;Incompleto"))</f>
        <v>-</v>
      </c>
      <c r="W3" s="107" t="str">
        <f>IF(SUMIFS(Data_filtered!$G$2:$G$461,Data_filtered!$A$2:$A$461,V$1,Data_filtered!$F$2:$F$461,$A3, Data_filtered!$D$2:$D$461,"mata",Data_filtered!$J$2:$J$461,"&lt;&gt;Incompleto")=0, "-", SUMIFS(Data_filtered!$G$2:$G$461,Data_filtered!$A$2:$A$461,V$1,Data_filtered!$F$2:$F$461,$A3, Data_filtered!$D$2:$D$461,"mata",Data_filtered!$J$2:$J$461,"&lt;&gt;Incompleto"))
</f>
        <v>-</v>
      </c>
      <c r="X3" s="106" t="str">
        <f>IF(SUMIFS(Data_filtered!$G$2:$G$461,Data_filtered!$A$2:$A$461,X$1,Data_filtered!$F$2:$F$461,$A3, Data_filtered!$D$2:$D$461,"eucalipto",Data_filtered!$J$2:$J$461,"&lt;&gt;Incompleto")=0, "-", SUMIFS(Data_filtered!$G$2:$G$461,Data_filtered!$A$2:$A$461,X$1,Data_filtered!$F$2:$F$461,$A3, Data_filtered!$D$2:$D$461,"eucalipto",Data_filtered!$J$2:$J$461,"&lt;&gt;Incompleto"))</f>
        <v>-</v>
      </c>
      <c r="Y3" s="107" t="str">
        <f>IF(SUMIFS(Data_filtered!$G$2:$G$461,Data_filtered!$A$2:$A$461,X$1,Data_filtered!$F$2:$F$461,$A3, Data_filtered!$D$2:$D$461,"mata",Data_filtered!$J$2:$J$461,"&lt;&gt;Incompleto")=0, "-", SUMIFS(Data_filtered!$G$2:$G$461,Data_filtered!$A$2:$A$461,X$1,Data_filtered!$F$2:$F$461,$A3, Data_filtered!$D$2:$D$461,"mata",Data_filtered!$J$2:$J$461,"&lt;&gt;Incompleto"))
</f>
        <v>-</v>
      </c>
      <c r="Z3" s="106" t="str">
        <f>IF(SUMIFS(Data_filtered!$G$2:$G$461,Data_filtered!$A$2:$A$461,Z$1,Data_filtered!$F$2:$F$461,$A3, Data_filtered!$D$2:$D$461,"eucalipto",Data_filtered!$J$2:$J$461,"&lt;&gt;Incompleto")=0, "-", SUMIFS(Data_filtered!$G$2:$G$461,Data_filtered!$A$2:$A$461,Z$1,Data_filtered!$F$2:$F$461,$A3, Data_filtered!$D$2:$D$461,"eucalipto",Data_filtered!$J$2:$J$461,"&lt;&gt;Incompleto"))</f>
        <v>-</v>
      </c>
      <c r="AA3" s="107" t="str">
        <f>IF(SUMIFS(Data_filtered!$G$2:$G$461,Data_filtered!$A$2:$A$461,Z$1,Data_filtered!$F$2:$F$461,$A3, Data_filtered!$D$2:$D$461,"mata",Data_filtered!$J$2:$J$461,"&lt;&gt;Incompleto")=0, "-", SUMIFS(Data_filtered!$G$2:$G$461,Data_filtered!$A$2:$A$461,Z$1,Data_filtered!$F$2:$F$461,$A3, Data_filtered!$D$2:$D$461,"mata",Data_filtered!$J$2:$J$461,"&lt;&gt;Incompleto"))
</f>
        <v>-</v>
      </c>
      <c r="AB3" s="106"/>
      <c r="AC3" s="107"/>
      <c r="AD3" s="106"/>
      <c r="AE3" s="107"/>
      <c r="AF3" s="106"/>
      <c r="AG3" s="107"/>
      <c r="AH3" s="106"/>
      <c r="AI3" s="107"/>
      <c r="AJ3" s="106"/>
      <c r="AK3" s="107"/>
      <c r="AL3" s="106"/>
      <c r="AM3" s="107"/>
      <c r="AN3" s="106"/>
      <c r="AO3" s="107"/>
      <c r="AP3" s="106"/>
      <c r="AQ3" s="107"/>
      <c r="AR3" s="106"/>
      <c r="AS3" s="107"/>
    </row>
    <row r="4">
      <c r="A4" s="9" t="str">
        <f>IFERROR(__xludf.DUMMYFUNCTION("""COMPUTED_VALUE"""),"Araneae")</f>
        <v>Araneae</v>
      </c>
      <c r="B4" s="106" t="str">
        <f>IF(SUMIFS(Data_filtered!$G$2:$G$461,Data_filtered!$A$2:$A$461,B$1,Data_filtered!$F$2:$F$461,$A4, Data_filtered!$D$2:$D$461,"eucalipto",Data_filtered!$J$2:$J$461,"&lt;&gt;Incompleto")=0, "-", SUMIFS(Data_filtered!$G$2:$G$461,Data_filtered!$A$2:$A$461,B$1,Data_filtered!$F$2:$F$461,$A4, Data_filtered!$D$2:$D$461,"eucalipto",Data_filtered!$J$2:$J$461,"&lt;&gt;Incompleto"))</f>
        <v>-</v>
      </c>
      <c r="C4" s="107">
        <f>IF(SUMIFS(Data_filtered!$G$2:$G$461,Data_filtered!$A$2:$A$461,B$1,Data_filtered!$F$2:$F$461,$A4, Data_filtered!$D$2:$D$461,"mata",Data_filtered!$J$2:$J$461,"&lt;&gt;Incompleto")=0, "-", SUMIFS(Data_filtered!$G$2:$G$461,Data_filtered!$A$2:$A$461,B$1,Data_filtered!$F$2:$F$461,$A4, Data_filtered!$D$2:$D$461,"mata",Data_filtered!$J$2:$J$461,"&lt;&gt;Incompleto"))
</f>
        <v>2</v>
      </c>
      <c r="D4" s="106" t="str">
        <f>IF(SUMIFS(Data_filtered!$G$2:$G$461,Data_filtered!$A$2:$A$461,D$1,Data_filtered!$F$2:$F$461,$A4, Data_filtered!$D$2:$D$461,"eucalipto",Data_filtered!$J$2:$J$461,"&lt;&gt;Incompleto")=0, "-", SUMIFS(Data_filtered!$G$2:$G$461,Data_filtered!$A$2:$A$461,D$1,Data_filtered!$F$2:$F$461,$A4, Data_filtered!$D$2:$D$461,"eucalipto",Data_filtered!$J$2:$J$461,"&lt;&gt;Incompleto"))</f>
        <v>-</v>
      </c>
      <c r="E4" s="107" t="str">
        <f>IF(SUMIFS(Data_filtered!$G$2:$G$461,Data_filtered!$A$2:$A$461,D$1,Data_filtered!$F$2:$F$461,$A4, Data_filtered!$D$2:$D$461,"mata",Data_filtered!$J$2:$J$461,"&lt;&gt;Incompleto")=0, "-", SUMIFS(Data_filtered!$G$2:$G$461,Data_filtered!$A$2:$A$461,D$1,Data_filtered!$F$2:$F$461,$A4, Data_filtered!$D$2:$D$461,"mata",Data_filtered!$J$2:$J$461,"&lt;&gt;Incompleto"))
</f>
        <v>-</v>
      </c>
      <c r="F4" s="106" t="str">
        <f>IF(SUMIFS(Data_filtered!$G$2:$G$461,Data_filtered!$A$2:$A$461,F$1,Data_filtered!$F$2:$F$461,$A4, Data_filtered!$D$2:$D$461,"eucalipto",Data_filtered!$J$2:$J$461,"&lt;&gt;Incompleto")=0, "-", SUMIFS(Data_filtered!$G$2:$G$461,Data_filtered!$A$2:$A$461,F$1,Data_filtered!$F$2:$F$461,$A4, Data_filtered!$D$2:$D$461,"eucalipto",Data_filtered!$J$2:$J$461,"&lt;&gt;Incompleto"))</f>
        <v>-</v>
      </c>
      <c r="G4" s="107">
        <f>IF(SUMIFS(Data_filtered!$G$2:$G$461,Data_filtered!$A$2:$A$461,F$1,Data_filtered!$F$2:$F$461,$A4, Data_filtered!$D$2:$D$461,"mata",Data_filtered!$J$2:$J$461,"&lt;&gt;Incompleto")=0, "-", SUMIFS(Data_filtered!$G$2:$G$461,Data_filtered!$A$2:$A$461,F$1,Data_filtered!$F$2:$F$461,$A4, Data_filtered!$D$2:$D$461,"mata",Data_filtered!$J$2:$J$461,"&lt;&gt;Incompleto"))
</f>
        <v>1</v>
      </c>
      <c r="H4" s="106" t="str">
        <f>IF(SUMIFS(Data_filtered!$G$2:$G$461,Data_filtered!$A$2:$A$461,H$1,Data_filtered!$F$2:$F$461,$A4, Data_filtered!$D$2:$D$461,"eucalipto",Data_filtered!$J$2:$J$461,"&lt;&gt;Incompleto")=0, "-", SUMIFS(Data_filtered!$G$2:$G$461,Data_filtered!$A$2:$A$461,H$1,Data_filtered!$F$2:$F$461,$A4, Data_filtered!$D$2:$D$461,"eucalipto",Data_filtered!$J$2:$J$461,"&lt;&gt;Incompleto"))</f>
        <v>-</v>
      </c>
      <c r="I4" s="107">
        <f>IF(SUMIFS(Data_filtered!$G$2:$G$461,Data_filtered!$A$2:$A$461,H$1,Data_filtered!$F$2:$F$461,$A4, Data_filtered!$D$2:$D$461,"mata",Data_filtered!$J$2:$J$461,"&lt;&gt;Incompleto")=0, "-", SUMIFS(Data_filtered!$G$2:$G$461,Data_filtered!$A$2:$A$461,H$1,Data_filtered!$F$2:$F$461,$A4, Data_filtered!$D$2:$D$461,"mata",Data_filtered!$J$2:$J$461,"&lt;&gt;Incompleto"))
</f>
        <v>4</v>
      </c>
      <c r="J4" s="106" t="str">
        <f>IF(SUMIFS(Data_filtered!$G$2:$G$461,Data_filtered!$A$2:$A$461,J$1,Data_filtered!$F$2:$F$461,$A4, Data_filtered!$D$2:$D$461,"eucalipto",Data_filtered!$J$2:$J$461,"&lt;&gt;Incompleto")=0, "-", SUMIFS(Data_filtered!$G$2:$G$461,Data_filtered!$A$2:$A$461,J$1,Data_filtered!$F$2:$F$461,$A4, Data_filtered!$D$2:$D$461,"eucalipto",Data_filtered!$J$2:$J$461,"&lt;&gt;Incompleto"))</f>
        <v>-</v>
      </c>
      <c r="K4" s="107" t="str">
        <f>IF(SUMIFS(Data_filtered!$G$2:$G$461,Data_filtered!$A$2:$A$461,J$1,Data_filtered!$F$2:$F$461,$A4, Data_filtered!$D$2:$D$461,"mata",Data_filtered!$J$2:$J$461,"&lt;&gt;Incompleto")=0, "-", SUMIFS(Data_filtered!$G$2:$G$461,Data_filtered!$A$2:$A$461,J$1,Data_filtered!$F$2:$F$461,$A4, Data_filtered!$D$2:$D$461,"mata",Data_filtered!$J$2:$J$461,"&lt;&gt;Incompleto"))
</f>
        <v>-</v>
      </c>
      <c r="L4" s="106">
        <f>IF(SUMIFS(Data_filtered!$G$2:$G$461,Data_filtered!$A$2:$A$461,L$1,Data_filtered!$F$2:$F$461,$A4, Data_filtered!$D$2:$D$461,"eucalipto",Data_filtered!$J$2:$J$461,"&lt;&gt;Incompleto")=0, "-", SUMIFS(Data_filtered!$G$2:$G$461,Data_filtered!$A$2:$A$461,L$1,Data_filtered!$F$2:$F$461,$A4, Data_filtered!$D$2:$D$461,"eucalipto",Data_filtered!$J$2:$J$461,"&lt;&gt;Incompleto"))</f>
        <v>9</v>
      </c>
      <c r="M4" s="107" t="str">
        <f>IF(SUMIFS(Data_filtered!$G$2:$G$461,Data_filtered!$A$2:$A$461,L$1,Data_filtered!$F$2:$F$461,$A4, Data_filtered!$D$2:$D$461,"mata",Data_filtered!$J$2:$J$461,"&lt;&gt;Incompleto")=0, "-", SUMIFS(Data_filtered!$G$2:$G$461,Data_filtered!$A$2:$A$461,L$1,Data_filtered!$F$2:$F$461,$A4, Data_filtered!$D$2:$D$461,"mata",Data_filtered!$J$2:$J$461,"&lt;&gt;Incompleto"))
</f>
        <v>-</v>
      </c>
      <c r="N4" s="106">
        <f>IF(SUMIFS(Data_filtered!$G$2:$G$461,Data_filtered!$A$2:$A$461,N$1,Data_filtered!$F$2:$F$461,$A4, Data_filtered!$D$2:$D$461,"eucalipto",Data_filtered!$J$2:$J$461,"&lt;&gt;Incompleto")=0, "-", SUMIFS(Data_filtered!$G$2:$G$461,Data_filtered!$A$2:$A$461,N$1,Data_filtered!$F$2:$F$461,$A4, Data_filtered!$D$2:$D$461,"eucalipto",Data_filtered!$J$2:$J$461,"&lt;&gt;Incompleto"))</f>
        <v>1</v>
      </c>
      <c r="O4" s="107">
        <f>IF(SUMIFS(Data_filtered!$G$2:$G$461,Data_filtered!$A$2:$A$461,N$1,Data_filtered!$F$2:$F$461,$A4, Data_filtered!$D$2:$D$461,"mata",Data_filtered!$J$2:$J$461,"&lt;&gt;Incompleto")=0, "-", SUMIFS(Data_filtered!$G$2:$G$461,Data_filtered!$A$2:$A$461,N$1,Data_filtered!$F$2:$F$461,$A4, Data_filtered!$D$2:$D$461,"mata",Data_filtered!$J$2:$J$461,"&lt;&gt;Incompleto"))
</f>
        <v>5</v>
      </c>
      <c r="P4" s="106" t="str">
        <f>IF(SUMIFS(Data_filtered!$G$2:$G$461,Data_filtered!$A$2:$A$461,P$1,Data_filtered!$F$2:$F$461,$A4, Data_filtered!$D$2:$D$461,"eucalipto",Data_filtered!$J$2:$J$461,"&lt;&gt;Incompleto")=0, "-", SUMIFS(Data_filtered!$G$2:$G$461,Data_filtered!$A$2:$A$461,P$1,Data_filtered!$F$2:$F$461,$A4, Data_filtered!$D$2:$D$461,"eucalipto",Data_filtered!$J$2:$J$461,"&lt;&gt;Incompleto"))</f>
        <v>-</v>
      </c>
      <c r="Q4" s="107">
        <f>IF(SUMIFS(Data_filtered!$G$2:$G$461,Data_filtered!$A$2:$A$461,P$1,Data_filtered!$F$2:$F$461,$A4, Data_filtered!$D$2:$D$461,"mata",Data_filtered!$J$2:$J$461,"&lt;&gt;Incompleto")=0, "-", SUMIFS(Data_filtered!$G$2:$G$461,Data_filtered!$A$2:$A$461,P$1,Data_filtered!$F$2:$F$461,$A4, Data_filtered!$D$2:$D$461,"mata",Data_filtered!$J$2:$J$461,"&lt;&gt;Incompleto"))
</f>
        <v>2</v>
      </c>
      <c r="R4" s="106" t="str">
        <f>IF(SUMIFS(Data_filtered!$G$2:$G$461,Data_filtered!$A$2:$A$461,R$1,Data_filtered!$F$2:$F$461,$A4, Data_filtered!$D$2:$D$461,"eucalipto",Data_filtered!$J$2:$J$461,"&lt;&gt;Incompleto")=0, "-", SUMIFS(Data_filtered!$G$2:$G$461,Data_filtered!$A$2:$A$461,R$1,Data_filtered!$F$2:$F$461,$A4, Data_filtered!$D$2:$D$461,"eucalipto",Data_filtered!$J$2:$J$461,"&lt;&gt;Incompleto"))</f>
        <v>-</v>
      </c>
      <c r="S4" s="107" t="str">
        <f>IF(SUMIFS(Data_filtered!$G$2:$G$461,Data_filtered!$A$2:$A$461,R$1,Data_filtered!$F$2:$F$461,$A4, Data_filtered!$D$2:$D$461,"mata",Data_filtered!$J$2:$J$461,"&lt;&gt;Incompleto")=0, "-", SUMIFS(Data_filtered!$G$2:$G$461,Data_filtered!$A$2:$A$461,R$1,Data_filtered!$F$2:$F$461,$A4, Data_filtered!$D$2:$D$461,"mata",Data_filtered!$J$2:$J$461,"&lt;&gt;Incompleto"))
</f>
        <v>-</v>
      </c>
      <c r="T4" s="106" t="str">
        <f>IF(SUMIFS(Data_filtered!$G$2:$G$461,Data_filtered!$A$2:$A$461,T$1,Data_filtered!$F$2:$F$461,$A4, Data_filtered!$D$2:$D$461,"eucalipto",Data_filtered!$J$2:$J$461,"&lt;&gt;Incompleto")=0, "-", SUMIFS(Data_filtered!$G$2:$G$461,Data_filtered!$A$2:$A$461,T$1,Data_filtered!$F$2:$F$461,$A4, Data_filtered!$D$2:$D$461,"eucalipto",Data_filtered!$J$2:$J$461,"&lt;&gt;Incompleto"))</f>
        <v>-</v>
      </c>
      <c r="U4" s="107">
        <f>IF(SUMIFS(Data_filtered!$G$2:$G$461,Data_filtered!$A$2:$A$461,T$1,Data_filtered!$F$2:$F$461,$A4, Data_filtered!$D$2:$D$461,"mata",Data_filtered!$J$2:$J$461,"&lt;&gt;Incompleto")=0, "-", SUMIFS(Data_filtered!$G$2:$G$461,Data_filtered!$A$2:$A$461,T$1,Data_filtered!$F$2:$F$461,$A4, Data_filtered!$D$2:$D$461,"mata",Data_filtered!$J$2:$J$461,"&lt;&gt;Incompleto"))
</f>
        <v>1</v>
      </c>
      <c r="V4" s="106" t="str">
        <f>IF(SUMIFS(Data_filtered!$G$2:$G$461,Data_filtered!$A$2:$A$461,V$1,Data_filtered!$F$2:$F$461,$A4, Data_filtered!$D$2:$D$461,"eucalipto",Data_filtered!$J$2:$J$461,"&lt;&gt;Incompleto")=0, "-", SUMIFS(Data_filtered!$G$2:$G$461,Data_filtered!$A$2:$A$461,V$1,Data_filtered!$F$2:$F$461,$A4, Data_filtered!$D$2:$D$461,"eucalipto",Data_filtered!$J$2:$J$461,"&lt;&gt;Incompleto"))</f>
        <v>-</v>
      </c>
      <c r="W4" s="107" t="str">
        <f>IF(SUMIFS(Data_filtered!$G$2:$G$461,Data_filtered!$A$2:$A$461,V$1,Data_filtered!$F$2:$F$461,$A4, Data_filtered!$D$2:$D$461,"mata",Data_filtered!$J$2:$J$461,"&lt;&gt;Incompleto")=0, "-", SUMIFS(Data_filtered!$G$2:$G$461,Data_filtered!$A$2:$A$461,V$1,Data_filtered!$F$2:$F$461,$A4, Data_filtered!$D$2:$D$461,"mata",Data_filtered!$J$2:$J$461,"&lt;&gt;Incompleto"))
</f>
        <v>-</v>
      </c>
      <c r="X4" s="106" t="str">
        <f>IF(SUMIFS(Data_filtered!$G$2:$G$461,Data_filtered!$A$2:$A$461,X$1,Data_filtered!$F$2:$F$461,$A4, Data_filtered!$D$2:$D$461,"eucalipto",Data_filtered!$J$2:$J$461,"&lt;&gt;Incompleto")=0, "-", SUMIFS(Data_filtered!$G$2:$G$461,Data_filtered!$A$2:$A$461,X$1,Data_filtered!$F$2:$F$461,$A4, Data_filtered!$D$2:$D$461,"eucalipto",Data_filtered!$J$2:$J$461,"&lt;&gt;Incompleto"))</f>
        <v>-</v>
      </c>
      <c r="Y4" s="107" t="str">
        <f>IF(SUMIFS(Data_filtered!$G$2:$G$461,Data_filtered!$A$2:$A$461,X$1,Data_filtered!$F$2:$F$461,$A4, Data_filtered!$D$2:$D$461,"mata",Data_filtered!$J$2:$J$461,"&lt;&gt;Incompleto")=0, "-", SUMIFS(Data_filtered!$G$2:$G$461,Data_filtered!$A$2:$A$461,X$1,Data_filtered!$F$2:$F$461,$A4, Data_filtered!$D$2:$D$461,"mata",Data_filtered!$J$2:$J$461,"&lt;&gt;Incompleto"))
</f>
        <v>-</v>
      </c>
      <c r="Z4" s="106" t="str">
        <f>IF(SUMIFS(Data_filtered!$G$2:$G$461,Data_filtered!$A$2:$A$461,Z$1,Data_filtered!$F$2:$F$461,$A4, Data_filtered!$D$2:$D$461,"eucalipto",Data_filtered!$J$2:$J$461,"&lt;&gt;Incompleto")=0, "-", SUMIFS(Data_filtered!$G$2:$G$461,Data_filtered!$A$2:$A$461,Z$1,Data_filtered!$F$2:$F$461,$A4, Data_filtered!$D$2:$D$461,"eucalipto",Data_filtered!$J$2:$J$461,"&lt;&gt;Incompleto"))</f>
        <v>-</v>
      </c>
      <c r="AA4" s="107">
        <f>IF(SUMIFS(Data_filtered!$G$2:$G$461,Data_filtered!$A$2:$A$461,Z$1,Data_filtered!$F$2:$F$461,$A4, Data_filtered!$D$2:$D$461,"mata",Data_filtered!$J$2:$J$461,"&lt;&gt;Incompleto")=0, "-", SUMIFS(Data_filtered!$G$2:$G$461,Data_filtered!$A$2:$A$461,Z$1,Data_filtered!$F$2:$F$461,$A4, Data_filtered!$D$2:$D$461,"mata",Data_filtered!$J$2:$J$461,"&lt;&gt;Incompleto"))
</f>
        <v>4</v>
      </c>
      <c r="AB4" s="106"/>
      <c r="AC4" s="107"/>
      <c r="AD4" s="106"/>
      <c r="AE4" s="107"/>
      <c r="AF4" s="106"/>
      <c r="AG4" s="107"/>
      <c r="AH4" s="106"/>
      <c r="AI4" s="107"/>
      <c r="AJ4" s="106"/>
      <c r="AK4" s="107"/>
      <c r="AL4" s="106"/>
      <c r="AM4" s="107"/>
      <c r="AN4" s="106"/>
      <c r="AO4" s="107"/>
      <c r="AP4" s="106"/>
      <c r="AQ4" s="107"/>
      <c r="AR4" s="106"/>
      <c r="AS4" s="107"/>
    </row>
    <row r="5">
      <c r="A5" s="15" t="str">
        <f>IFERROR(__xludf.DUMMYFUNCTION("""COMPUTED_VALUE"""),"Blattodea")</f>
        <v>Blattodea</v>
      </c>
      <c r="B5" s="106" t="str">
        <f>IF(SUMIFS(Data_filtered!$G$2:$G$461,Data_filtered!$A$2:$A$461,B$1,Data_filtered!$F$2:$F$461,$A5, Data_filtered!$D$2:$D$461,"eucalipto",Data_filtered!$J$2:$J$461,"&lt;&gt;Incompleto")=0, "-", SUMIFS(Data_filtered!$G$2:$G$461,Data_filtered!$A$2:$A$461,B$1,Data_filtered!$F$2:$F$461,$A5, Data_filtered!$D$2:$D$461,"eucalipto",Data_filtered!$J$2:$J$461,"&lt;&gt;Incompleto"))</f>
        <v>-</v>
      </c>
      <c r="C5" s="107">
        <f>IF(SUMIFS(Data_filtered!$G$2:$G$461,Data_filtered!$A$2:$A$461,B$1,Data_filtered!$F$2:$F$461,$A5, Data_filtered!$D$2:$D$461,"mata",Data_filtered!$J$2:$J$461,"&lt;&gt;Incompleto")=0, "-", SUMIFS(Data_filtered!$G$2:$G$461,Data_filtered!$A$2:$A$461,B$1,Data_filtered!$F$2:$F$461,$A5, Data_filtered!$D$2:$D$461,"mata",Data_filtered!$J$2:$J$461,"&lt;&gt;Incompleto"))
</f>
        <v>1</v>
      </c>
      <c r="D5" s="106" t="str">
        <f>IF(SUMIFS(Data_filtered!$G$2:$G$461,Data_filtered!$A$2:$A$461,D$1,Data_filtered!$F$2:$F$461,$A5, Data_filtered!$D$2:$D$461,"eucalipto",Data_filtered!$J$2:$J$461,"&lt;&gt;Incompleto")=0, "-", SUMIFS(Data_filtered!$G$2:$G$461,Data_filtered!$A$2:$A$461,D$1,Data_filtered!$F$2:$F$461,$A5, Data_filtered!$D$2:$D$461,"eucalipto",Data_filtered!$J$2:$J$461,"&lt;&gt;Incompleto"))</f>
        <v>-</v>
      </c>
      <c r="E5" s="107" t="str">
        <f>IF(SUMIFS(Data_filtered!$G$2:$G$461,Data_filtered!$A$2:$A$461,D$1,Data_filtered!$F$2:$F$461,$A5, Data_filtered!$D$2:$D$461,"mata",Data_filtered!$J$2:$J$461,"&lt;&gt;Incompleto")=0, "-", SUMIFS(Data_filtered!$G$2:$G$461,Data_filtered!$A$2:$A$461,D$1,Data_filtered!$F$2:$F$461,$A5, Data_filtered!$D$2:$D$461,"mata",Data_filtered!$J$2:$J$461,"&lt;&gt;Incompleto"))
</f>
        <v>-</v>
      </c>
      <c r="F5" s="106" t="str">
        <f>IF(SUMIFS(Data_filtered!$G$2:$G$461,Data_filtered!$A$2:$A$461,F$1,Data_filtered!$F$2:$F$461,$A5, Data_filtered!$D$2:$D$461,"eucalipto",Data_filtered!$J$2:$J$461,"&lt;&gt;Incompleto")=0, "-", SUMIFS(Data_filtered!$G$2:$G$461,Data_filtered!$A$2:$A$461,F$1,Data_filtered!$F$2:$F$461,$A5, Data_filtered!$D$2:$D$461,"eucalipto",Data_filtered!$J$2:$J$461,"&lt;&gt;Incompleto"))</f>
        <v>-</v>
      </c>
      <c r="G5" s="107" t="str">
        <f>IF(SUMIFS(Data_filtered!$G$2:$G$461,Data_filtered!$A$2:$A$461,F$1,Data_filtered!$F$2:$F$461,$A5, Data_filtered!$D$2:$D$461,"mata",Data_filtered!$J$2:$J$461,"&lt;&gt;Incompleto")=0, "-", SUMIFS(Data_filtered!$G$2:$G$461,Data_filtered!$A$2:$A$461,F$1,Data_filtered!$F$2:$F$461,$A5, Data_filtered!$D$2:$D$461,"mata",Data_filtered!$J$2:$J$461,"&lt;&gt;Incompleto"))
</f>
        <v>-</v>
      </c>
      <c r="H5" s="106">
        <f>IF(SUMIFS(Data_filtered!$G$2:$G$461,Data_filtered!$A$2:$A$461,H$1,Data_filtered!$F$2:$F$461,$A5, Data_filtered!$D$2:$D$461,"eucalipto",Data_filtered!$J$2:$J$461,"&lt;&gt;Incompleto")=0, "-", SUMIFS(Data_filtered!$G$2:$G$461,Data_filtered!$A$2:$A$461,H$1,Data_filtered!$F$2:$F$461,$A5, Data_filtered!$D$2:$D$461,"eucalipto",Data_filtered!$J$2:$J$461,"&lt;&gt;Incompleto"))</f>
        <v>3</v>
      </c>
      <c r="I5" s="107" t="str">
        <f>IF(SUMIFS(Data_filtered!$G$2:$G$461,Data_filtered!$A$2:$A$461,H$1,Data_filtered!$F$2:$F$461,$A5, Data_filtered!$D$2:$D$461,"mata",Data_filtered!$J$2:$J$461,"&lt;&gt;Incompleto")=0, "-", SUMIFS(Data_filtered!$G$2:$G$461,Data_filtered!$A$2:$A$461,H$1,Data_filtered!$F$2:$F$461,$A5, Data_filtered!$D$2:$D$461,"mata",Data_filtered!$J$2:$J$461,"&lt;&gt;Incompleto"))
</f>
        <v>-</v>
      </c>
      <c r="J5" s="106" t="str">
        <f>IF(SUMIFS(Data_filtered!$G$2:$G$461,Data_filtered!$A$2:$A$461,J$1,Data_filtered!$F$2:$F$461,$A5, Data_filtered!$D$2:$D$461,"eucalipto",Data_filtered!$J$2:$J$461,"&lt;&gt;Incompleto")=0, "-", SUMIFS(Data_filtered!$G$2:$G$461,Data_filtered!$A$2:$A$461,J$1,Data_filtered!$F$2:$F$461,$A5, Data_filtered!$D$2:$D$461,"eucalipto",Data_filtered!$J$2:$J$461,"&lt;&gt;Incompleto"))</f>
        <v>-</v>
      </c>
      <c r="K5" s="107">
        <f>IF(SUMIFS(Data_filtered!$G$2:$G$461,Data_filtered!$A$2:$A$461,J$1,Data_filtered!$F$2:$F$461,$A5, Data_filtered!$D$2:$D$461,"mata",Data_filtered!$J$2:$J$461,"&lt;&gt;Incompleto")=0, "-", SUMIFS(Data_filtered!$G$2:$G$461,Data_filtered!$A$2:$A$461,J$1,Data_filtered!$F$2:$F$461,$A5, Data_filtered!$D$2:$D$461,"mata",Data_filtered!$J$2:$J$461,"&lt;&gt;Incompleto"))
</f>
        <v>1</v>
      </c>
      <c r="L5" s="106" t="str">
        <f>IF(SUMIFS(Data_filtered!$G$2:$G$461,Data_filtered!$A$2:$A$461,L$1,Data_filtered!$F$2:$F$461,$A5, Data_filtered!$D$2:$D$461,"eucalipto",Data_filtered!$J$2:$J$461,"&lt;&gt;Incompleto")=0, "-", SUMIFS(Data_filtered!$G$2:$G$461,Data_filtered!$A$2:$A$461,L$1,Data_filtered!$F$2:$F$461,$A5, Data_filtered!$D$2:$D$461,"eucalipto",Data_filtered!$J$2:$J$461,"&lt;&gt;Incompleto"))</f>
        <v>-</v>
      </c>
      <c r="M5" s="107" t="str">
        <f>IF(SUMIFS(Data_filtered!$G$2:$G$461,Data_filtered!$A$2:$A$461,L$1,Data_filtered!$F$2:$F$461,$A5, Data_filtered!$D$2:$D$461,"mata",Data_filtered!$J$2:$J$461,"&lt;&gt;Incompleto")=0, "-", SUMIFS(Data_filtered!$G$2:$G$461,Data_filtered!$A$2:$A$461,L$1,Data_filtered!$F$2:$F$461,$A5, Data_filtered!$D$2:$D$461,"mata",Data_filtered!$J$2:$J$461,"&lt;&gt;Incompleto"))
</f>
        <v>-</v>
      </c>
      <c r="N5" s="106" t="str">
        <f>IF(SUMIFS(Data_filtered!$G$2:$G$461,Data_filtered!$A$2:$A$461,N$1,Data_filtered!$F$2:$F$461,$A5, Data_filtered!$D$2:$D$461,"eucalipto",Data_filtered!$J$2:$J$461,"&lt;&gt;Incompleto")=0, "-", SUMIFS(Data_filtered!$G$2:$G$461,Data_filtered!$A$2:$A$461,N$1,Data_filtered!$F$2:$F$461,$A5, Data_filtered!$D$2:$D$461,"eucalipto",Data_filtered!$J$2:$J$461,"&lt;&gt;Incompleto"))</f>
        <v>-</v>
      </c>
      <c r="O5" s="107" t="str">
        <f>IF(SUMIFS(Data_filtered!$G$2:$G$461,Data_filtered!$A$2:$A$461,N$1,Data_filtered!$F$2:$F$461,$A5, Data_filtered!$D$2:$D$461,"mata",Data_filtered!$J$2:$J$461,"&lt;&gt;Incompleto")=0, "-", SUMIFS(Data_filtered!$G$2:$G$461,Data_filtered!$A$2:$A$461,N$1,Data_filtered!$F$2:$F$461,$A5, Data_filtered!$D$2:$D$461,"mata",Data_filtered!$J$2:$J$461,"&lt;&gt;Incompleto"))
</f>
        <v>-</v>
      </c>
      <c r="P5" s="106" t="str">
        <f>IF(SUMIFS(Data_filtered!$G$2:$G$461,Data_filtered!$A$2:$A$461,P$1,Data_filtered!$F$2:$F$461,$A5, Data_filtered!$D$2:$D$461,"eucalipto",Data_filtered!$J$2:$J$461,"&lt;&gt;Incompleto")=0, "-", SUMIFS(Data_filtered!$G$2:$G$461,Data_filtered!$A$2:$A$461,P$1,Data_filtered!$F$2:$F$461,$A5, Data_filtered!$D$2:$D$461,"eucalipto",Data_filtered!$J$2:$J$461,"&lt;&gt;Incompleto"))</f>
        <v>-</v>
      </c>
      <c r="Q5" s="107" t="str">
        <f>IF(SUMIFS(Data_filtered!$G$2:$G$461,Data_filtered!$A$2:$A$461,P$1,Data_filtered!$F$2:$F$461,$A5, Data_filtered!$D$2:$D$461,"mata",Data_filtered!$J$2:$J$461,"&lt;&gt;Incompleto")=0, "-", SUMIFS(Data_filtered!$G$2:$G$461,Data_filtered!$A$2:$A$461,P$1,Data_filtered!$F$2:$F$461,$A5, Data_filtered!$D$2:$D$461,"mata",Data_filtered!$J$2:$J$461,"&lt;&gt;Incompleto"))
</f>
        <v>-</v>
      </c>
      <c r="R5" s="106" t="str">
        <f>IF(SUMIFS(Data_filtered!$G$2:$G$461,Data_filtered!$A$2:$A$461,R$1,Data_filtered!$F$2:$F$461,$A5, Data_filtered!$D$2:$D$461,"eucalipto",Data_filtered!$J$2:$J$461,"&lt;&gt;Incompleto")=0, "-", SUMIFS(Data_filtered!$G$2:$G$461,Data_filtered!$A$2:$A$461,R$1,Data_filtered!$F$2:$F$461,$A5, Data_filtered!$D$2:$D$461,"eucalipto",Data_filtered!$J$2:$J$461,"&lt;&gt;Incompleto"))</f>
        <v>-</v>
      </c>
      <c r="S5" s="107" t="str">
        <f>IF(SUMIFS(Data_filtered!$G$2:$G$461,Data_filtered!$A$2:$A$461,R$1,Data_filtered!$F$2:$F$461,$A5, Data_filtered!$D$2:$D$461,"mata",Data_filtered!$J$2:$J$461,"&lt;&gt;Incompleto")=0, "-", SUMIFS(Data_filtered!$G$2:$G$461,Data_filtered!$A$2:$A$461,R$1,Data_filtered!$F$2:$F$461,$A5, Data_filtered!$D$2:$D$461,"mata",Data_filtered!$J$2:$J$461,"&lt;&gt;Incompleto"))
</f>
        <v>-</v>
      </c>
      <c r="T5" s="106" t="str">
        <f>IF(SUMIFS(Data_filtered!$G$2:$G$461,Data_filtered!$A$2:$A$461,T$1,Data_filtered!$F$2:$F$461,$A5, Data_filtered!$D$2:$D$461,"eucalipto",Data_filtered!$J$2:$J$461,"&lt;&gt;Incompleto")=0, "-", SUMIFS(Data_filtered!$G$2:$G$461,Data_filtered!$A$2:$A$461,T$1,Data_filtered!$F$2:$F$461,$A5, Data_filtered!$D$2:$D$461,"eucalipto",Data_filtered!$J$2:$J$461,"&lt;&gt;Incompleto"))</f>
        <v>-</v>
      </c>
      <c r="U5" s="107" t="str">
        <f>IF(SUMIFS(Data_filtered!$G$2:$G$461,Data_filtered!$A$2:$A$461,T$1,Data_filtered!$F$2:$F$461,$A5, Data_filtered!$D$2:$D$461,"mata",Data_filtered!$J$2:$J$461,"&lt;&gt;Incompleto")=0, "-", SUMIFS(Data_filtered!$G$2:$G$461,Data_filtered!$A$2:$A$461,T$1,Data_filtered!$F$2:$F$461,$A5, Data_filtered!$D$2:$D$461,"mata",Data_filtered!$J$2:$J$461,"&lt;&gt;Incompleto"))
</f>
        <v>-</v>
      </c>
      <c r="V5" s="106" t="str">
        <f>IF(SUMIFS(Data_filtered!$G$2:$G$461,Data_filtered!$A$2:$A$461,V$1,Data_filtered!$F$2:$F$461,$A5, Data_filtered!$D$2:$D$461,"eucalipto",Data_filtered!$J$2:$J$461,"&lt;&gt;Incompleto")=0, "-", SUMIFS(Data_filtered!$G$2:$G$461,Data_filtered!$A$2:$A$461,V$1,Data_filtered!$F$2:$F$461,$A5, Data_filtered!$D$2:$D$461,"eucalipto",Data_filtered!$J$2:$J$461,"&lt;&gt;Incompleto"))</f>
        <v>-</v>
      </c>
      <c r="W5" s="107" t="str">
        <f>IF(SUMIFS(Data_filtered!$G$2:$G$461,Data_filtered!$A$2:$A$461,V$1,Data_filtered!$F$2:$F$461,$A5, Data_filtered!$D$2:$D$461,"mata",Data_filtered!$J$2:$J$461,"&lt;&gt;Incompleto")=0, "-", SUMIFS(Data_filtered!$G$2:$G$461,Data_filtered!$A$2:$A$461,V$1,Data_filtered!$F$2:$F$461,$A5, Data_filtered!$D$2:$D$461,"mata",Data_filtered!$J$2:$J$461,"&lt;&gt;Incompleto"))
</f>
        <v>-</v>
      </c>
      <c r="X5" s="106" t="str">
        <f>IF(SUMIFS(Data_filtered!$G$2:$G$461,Data_filtered!$A$2:$A$461,X$1,Data_filtered!$F$2:$F$461,$A5, Data_filtered!$D$2:$D$461,"eucalipto",Data_filtered!$J$2:$J$461,"&lt;&gt;Incompleto")=0, "-", SUMIFS(Data_filtered!$G$2:$G$461,Data_filtered!$A$2:$A$461,X$1,Data_filtered!$F$2:$F$461,$A5, Data_filtered!$D$2:$D$461,"eucalipto",Data_filtered!$J$2:$J$461,"&lt;&gt;Incompleto"))</f>
        <v>-</v>
      </c>
      <c r="Y5" s="107" t="str">
        <f>IF(SUMIFS(Data_filtered!$G$2:$G$461,Data_filtered!$A$2:$A$461,X$1,Data_filtered!$F$2:$F$461,$A5, Data_filtered!$D$2:$D$461,"mata",Data_filtered!$J$2:$J$461,"&lt;&gt;Incompleto")=0, "-", SUMIFS(Data_filtered!$G$2:$G$461,Data_filtered!$A$2:$A$461,X$1,Data_filtered!$F$2:$F$461,$A5, Data_filtered!$D$2:$D$461,"mata",Data_filtered!$J$2:$J$461,"&lt;&gt;Incompleto"))
</f>
        <v>-</v>
      </c>
      <c r="Z5" s="106" t="str">
        <f>IF(SUMIFS(Data_filtered!$G$2:$G$461,Data_filtered!$A$2:$A$461,Z$1,Data_filtered!$F$2:$F$461,$A5, Data_filtered!$D$2:$D$461,"eucalipto",Data_filtered!$J$2:$J$461,"&lt;&gt;Incompleto")=0, "-", SUMIFS(Data_filtered!$G$2:$G$461,Data_filtered!$A$2:$A$461,Z$1,Data_filtered!$F$2:$F$461,$A5, Data_filtered!$D$2:$D$461,"eucalipto",Data_filtered!$J$2:$J$461,"&lt;&gt;Incompleto"))</f>
        <v>-</v>
      </c>
      <c r="AA5" s="107" t="str">
        <f>IF(SUMIFS(Data_filtered!$G$2:$G$461,Data_filtered!$A$2:$A$461,Z$1,Data_filtered!$F$2:$F$461,$A5, Data_filtered!$D$2:$D$461,"mata",Data_filtered!$J$2:$J$461,"&lt;&gt;Incompleto")=0, "-", SUMIFS(Data_filtered!$G$2:$G$461,Data_filtered!$A$2:$A$461,Z$1,Data_filtered!$F$2:$F$461,$A5, Data_filtered!$D$2:$D$461,"mata",Data_filtered!$J$2:$J$461,"&lt;&gt;Incompleto"))
</f>
        <v>-</v>
      </c>
      <c r="AB5" s="106"/>
      <c r="AC5" s="107"/>
      <c r="AD5" s="106"/>
      <c r="AE5" s="107"/>
      <c r="AF5" s="106"/>
      <c r="AG5" s="107"/>
      <c r="AH5" s="106"/>
      <c r="AI5" s="107"/>
      <c r="AJ5" s="106"/>
      <c r="AK5" s="107"/>
      <c r="AL5" s="106"/>
      <c r="AM5" s="107"/>
      <c r="AN5" s="106"/>
      <c r="AO5" s="107"/>
      <c r="AP5" s="106"/>
      <c r="AQ5" s="107"/>
      <c r="AR5" s="106"/>
      <c r="AS5" s="107"/>
    </row>
    <row r="6">
      <c r="A6" s="15" t="str">
        <f>IFERROR(__xludf.DUMMYFUNCTION("""COMPUTED_VALUE"""),"Chilopoda")</f>
        <v>Chilopoda</v>
      </c>
      <c r="B6" s="106" t="str">
        <f>IF(SUMIFS(Data_filtered!$G$2:$G$461,Data_filtered!$A$2:$A$461,B$1,Data_filtered!$F$2:$F$461,$A6, Data_filtered!$D$2:$D$461,"eucalipto",Data_filtered!$J$2:$J$461,"&lt;&gt;Incompleto")=0, "-", SUMIFS(Data_filtered!$G$2:$G$461,Data_filtered!$A$2:$A$461,B$1,Data_filtered!$F$2:$F$461,$A6, Data_filtered!$D$2:$D$461,"eucalipto",Data_filtered!$J$2:$J$461,"&lt;&gt;Incompleto"))</f>
        <v>-</v>
      </c>
      <c r="C6" s="107" t="str">
        <f>IF(SUMIFS(Data_filtered!$G$2:$G$461,Data_filtered!$A$2:$A$461,B$1,Data_filtered!$F$2:$F$461,$A6, Data_filtered!$D$2:$D$461,"mata",Data_filtered!$J$2:$J$461,"&lt;&gt;Incompleto")=0, "-", SUMIFS(Data_filtered!$G$2:$G$461,Data_filtered!$A$2:$A$461,B$1,Data_filtered!$F$2:$F$461,$A6, Data_filtered!$D$2:$D$461,"mata",Data_filtered!$J$2:$J$461,"&lt;&gt;Incompleto"))
</f>
        <v>-</v>
      </c>
      <c r="D6" s="106" t="str">
        <f>IF(SUMIFS(Data_filtered!$G$2:$G$461,Data_filtered!$A$2:$A$461,D$1,Data_filtered!$F$2:$F$461,$A6, Data_filtered!$D$2:$D$461,"eucalipto",Data_filtered!$J$2:$J$461,"&lt;&gt;Incompleto")=0, "-", SUMIFS(Data_filtered!$G$2:$G$461,Data_filtered!$A$2:$A$461,D$1,Data_filtered!$F$2:$F$461,$A6, Data_filtered!$D$2:$D$461,"eucalipto",Data_filtered!$J$2:$J$461,"&lt;&gt;Incompleto"))</f>
        <v>-</v>
      </c>
      <c r="E6" s="107" t="str">
        <f>IF(SUMIFS(Data_filtered!$G$2:$G$461,Data_filtered!$A$2:$A$461,D$1,Data_filtered!$F$2:$F$461,$A6, Data_filtered!$D$2:$D$461,"mata",Data_filtered!$J$2:$J$461,"&lt;&gt;Incompleto")=0, "-", SUMIFS(Data_filtered!$G$2:$G$461,Data_filtered!$A$2:$A$461,D$1,Data_filtered!$F$2:$F$461,$A6, Data_filtered!$D$2:$D$461,"mata",Data_filtered!$J$2:$J$461,"&lt;&gt;Incompleto"))
</f>
        <v>-</v>
      </c>
      <c r="F6" s="106" t="str">
        <f>IF(SUMIFS(Data_filtered!$G$2:$G$461,Data_filtered!$A$2:$A$461,F$1,Data_filtered!$F$2:$F$461,$A6, Data_filtered!$D$2:$D$461,"eucalipto",Data_filtered!$J$2:$J$461,"&lt;&gt;Incompleto")=0, "-", SUMIFS(Data_filtered!$G$2:$G$461,Data_filtered!$A$2:$A$461,F$1,Data_filtered!$F$2:$F$461,$A6, Data_filtered!$D$2:$D$461,"eucalipto",Data_filtered!$J$2:$J$461,"&lt;&gt;Incompleto"))</f>
        <v>-</v>
      </c>
      <c r="G6" s="107" t="str">
        <f>IF(SUMIFS(Data_filtered!$G$2:$G$461,Data_filtered!$A$2:$A$461,F$1,Data_filtered!$F$2:$F$461,$A6, Data_filtered!$D$2:$D$461,"mata",Data_filtered!$J$2:$J$461,"&lt;&gt;Incompleto")=0, "-", SUMIFS(Data_filtered!$G$2:$G$461,Data_filtered!$A$2:$A$461,F$1,Data_filtered!$F$2:$F$461,$A6, Data_filtered!$D$2:$D$461,"mata",Data_filtered!$J$2:$J$461,"&lt;&gt;Incompleto"))
</f>
        <v>-</v>
      </c>
      <c r="H6" s="106">
        <f>IF(SUMIFS(Data_filtered!$G$2:$G$461,Data_filtered!$A$2:$A$461,H$1,Data_filtered!$F$2:$F$461,$A6, Data_filtered!$D$2:$D$461,"eucalipto",Data_filtered!$J$2:$J$461,"&lt;&gt;Incompleto")=0, "-", SUMIFS(Data_filtered!$G$2:$G$461,Data_filtered!$A$2:$A$461,H$1,Data_filtered!$F$2:$F$461,$A6, Data_filtered!$D$2:$D$461,"eucalipto",Data_filtered!$J$2:$J$461,"&lt;&gt;Incompleto"))</f>
        <v>2</v>
      </c>
      <c r="I6" s="107" t="str">
        <f>IF(SUMIFS(Data_filtered!$G$2:$G$461,Data_filtered!$A$2:$A$461,H$1,Data_filtered!$F$2:$F$461,$A6, Data_filtered!$D$2:$D$461,"mata",Data_filtered!$J$2:$J$461,"&lt;&gt;Incompleto")=0, "-", SUMIFS(Data_filtered!$G$2:$G$461,Data_filtered!$A$2:$A$461,H$1,Data_filtered!$F$2:$F$461,$A6, Data_filtered!$D$2:$D$461,"mata",Data_filtered!$J$2:$J$461,"&lt;&gt;Incompleto"))
</f>
        <v>-</v>
      </c>
      <c r="J6" s="106" t="str">
        <f>IF(SUMIFS(Data_filtered!$G$2:$G$461,Data_filtered!$A$2:$A$461,J$1,Data_filtered!$F$2:$F$461,$A6, Data_filtered!$D$2:$D$461,"eucalipto",Data_filtered!$J$2:$J$461,"&lt;&gt;Incompleto")=0, "-", SUMIFS(Data_filtered!$G$2:$G$461,Data_filtered!$A$2:$A$461,J$1,Data_filtered!$F$2:$F$461,$A6, Data_filtered!$D$2:$D$461,"eucalipto",Data_filtered!$J$2:$J$461,"&lt;&gt;Incompleto"))</f>
        <v>-</v>
      </c>
      <c r="K6" s="107" t="str">
        <f>IF(SUMIFS(Data_filtered!$G$2:$G$461,Data_filtered!$A$2:$A$461,J$1,Data_filtered!$F$2:$F$461,$A6, Data_filtered!$D$2:$D$461,"mata",Data_filtered!$J$2:$J$461,"&lt;&gt;Incompleto")=0, "-", SUMIFS(Data_filtered!$G$2:$G$461,Data_filtered!$A$2:$A$461,J$1,Data_filtered!$F$2:$F$461,$A6, Data_filtered!$D$2:$D$461,"mata",Data_filtered!$J$2:$J$461,"&lt;&gt;Incompleto"))
</f>
        <v>-</v>
      </c>
      <c r="L6" s="106">
        <f>IF(SUMIFS(Data_filtered!$G$2:$G$461,Data_filtered!$A$2:$A$461,L$1,Data_filtered!$F$2:$F$461,$A6, Data_filtered!$D$2:$D$461,"eucalipto",Data_filtered!$J$2:$J$461,"&lt;&gt;Incompleto")=0, "-", SUMIFS(Data_filtered!$G$2:$G$461,Data_filtered!$A$2:$A$461,L$1,Data_filtered!$F$2:$F$461,$A6, Data_filtered!$D$2:$D$461,"eucalipto",Data_filtered!$J$2:$J$461,"&lt;&gt;Incompleto"))</f>
        <v>1</v>
      </c>
      <c r="M6" s="107" t="str">
        <f>IF(SUMIFS(Data_filtered!$G$2:$G$461,Data_filtered!$A$2:$A$461,L$1,Data_filtered!$F$2:$F$461,$A6, Data_filtered!$D$2:$D$461,"mata",Data_filtered!$J$2:$J$461,"&lt;&gt;Incompleto")=0, "-", SUMIFS(Data_filtered!$G$2:$G$461,Data_filtered!$A$2:$A$461,L$1,Data_filtered!$F$2:$F$461,$A6, Data_filtered!$D$2:$D$461,"mata",Data_filtered!$J$2:$J$461,"&lt;&gt;Incompleto"))
</f>
        <v>-</v>
      </c>
      <c r="N6" s="106" t="str">
        <f>IF(SUMIFS(Data_filtered!$G$2:$G$461,Data_filtered!$A$2:$A$461,N$1,Data_filtered!$F$2:$F$461,$A6, Data_filtered!$D$2:$D$461,"eucalipto",Data_filtered!$J$2:$J$461,"&lt;&gt;Incompleto")=0, "-", SUMIFS(Data_filtered!$G$2:$G$461,Data_filtered!$A$2:$A$461,N$1,Data_filtered!$F$2:$F$461,$A6, Data_filtered!$D$2:$D$461,"eucalipto",Data_filtered!$J$2:$J$461,"&lt;&gt;Incompleto"))</f>
        <v>-</v>
      </c>
      <c r="O6" s="107" t="str">
        <f>IF(SUMIFS(Data_filtered!$G$2:$G$461,Data_filtered!$A$2:$A$461,N$1,Data_filtered!$F$2:$F$461,$A6, Data_filtered!$D$2:$D$461,"mata",Data_filtered!$J$2:$J$461,"&lt;&gt;Incompleto")=0, "-", SUMIFS(Data_filtered!$G$2:$G$461,Data_filtered!$A$2:$A$461,N$1,Data_filtered!$F$2:$F$461,$A6, Data_filtered!$D$2:$D$461,"mata",Data_filtered!$J$2:$J$461,"&lt;&gt;Incompleto"))
</f>
        <v>-</v>
      </c>
      <c r="P6" s="106" t="str">
        <f>IF(SUMIFS(Data_filtered!$G$2:$G$461,Data_filtered!$A$2:$A$461,P$1,Data_filtered!$F$2:$F$461,$A6, Data_filtered!$D$2:$D$461,"eucalipto",Data_filtered!$J$2:$J$461,"&lt;&gt;Incompleto")=0, "-", SUMIFS(Data_filtered!$G$2:$G$461,Data_filtered!$A$2:$A$461,P$1,Data_filtered!$F$2:$F$461,$A6, Data_filtered!$D$2:$D$461,"eucalipto",Data_filtered!$J$2:$J$461,"&lt;&gt;Incompleto"))</f>
        <v>-</v>
      </c>
      <c r="Q6" s="107" t="str">
        <f>IF(SUMIFS(Data_filtered!$G$2:$G$461,Data_filtered!$A$2:$A$461,P$1,Data_filtered!$F$2:$F$461,$A6, Data_filtered!$D$2:$D$461,"mata",Data_filtered!$J$2:$J$461,"&lt;&gt;Incompleto")=0, "-", SUMIFS(Data_filtered!$G$2:$G$461,Data_filtered!$A$2:$A$461,P$1,Data_filtered!$F$2:$F$461,$A6, Data_filtered!$D$2:$D$461,"mata",Data_filtered!$J$2:$J$461,"&lt;&gt;Incompleto"))
</f>
        <v>-</v>
      </c>
      <c r="R6" s="106" t="str">
        <f>IF(SUMIFS(Data_filtered!$G$2:$G$461,Data_filtered!$A$2:$A$461,R$1,Data_filtered!$F$2:$F$461,$A6, Data_filtered!$D$2:$D$461,"eucalipto",Data_filtered!$J$2:$J$461,"&lt;&gt;Incompleto")=0, "-", SUMIFS(Data_filtered!$G$2:$G$461,Data_filtered!$A$2:$A$461,R$1,Data_filtered!$F$2:$F$461,$A6, Data_filtered!$D$2:$D$461,"eucalipto",Data_filtered!$J$2:$J$461,"&lt;&gt;Incompleto"))</f>
        <v>-</v>
      </c>
      <c r="S6" s="107">
        <f>IF(SUMIFS(Data_filtered!$G$2:$G$461,Data_filtered!$A$2:$A$461,R$1,Data_filtered!$F$2:$F$461,$A6, Data_filtered!$D$2:$D$461,"mata",Data_filtered!$J$2:$J$461,"&lt;&gt;Incompleto")=0, "-", SUMIFS(Data_filtered!$G$2:$G$461,Data_filtered!$A$2:$A$461,R$1,Data_filtered!$F$2:$F$461,$A6, Data_filtered!$D$2:$D$461,"mata",Data_filtered!$J$2:$J$461,"&lt;&gt;Incompleto"))
</f>
        <v>1</v>
      </c>
      <c r="T6" s="106" t="str">
        <f>IF(SUMIFS(Data_filtered!$G$2:$G$461,Data_filtered!$A$2:$A$461,T$1,Data_filtered!$F$2:$F$461,$A6, Data_filtered!$D$2:$D$461,"eucalipto",Data_filtered!$J$2:$J$461,"&lt;&gt;Incompleto")=0, "-", SUMIFS(Data_filtered!$G$2:$G$461,Data_filtered!$A$2:$A$461,T$1,Data_filtered!$F$2:$F$461,$A6, Data_filtered!$D$2:$D$461,"eucalipto",Data_filtered!$J$2:$J$461,"&lt;&gt;Incompleto"))</f>
        <v>-</v>
      </c>
      <c r="U6" s="107" t="str">
        <f>IF(SUMIFS(Data_filtered!$G$2:$G$461,Data_filtered!$A$2:$A$461,T$1,Data_filtered!$F$2:$F$461,$A6, Data_filtered!$D$2:$D$461,"mata",Data_filtered!$J$2:$J$461,"&lt;&gt;Incompleto")=0, "-", SUMIFS(Data_filtered!$G$2:$G$461,Data_filtered!$A$2:$A$461,T$1,Data_filtered!$F$2:$F$461,$A6, Data_filtered!$D$2:$D$461,"mata",Data_filtered!$J$2:$J$461,"&lt;&gt;Incompleto"))
</f>
        <v>-</v>
      </c>
      <c r="V6" s="106" t="str">
        <f>IF(SUMIFS(Data_filtered!$G$2:$G$461,Data_filtered!$A$2:$A$461,V$1,Data_filtered!$F$2:$F$461,$A6, Data_filtered!$D$2:$D$461,"eucalipto",Data_filtered!$J$2:$J$461,"&lt;&gt;Incompleto")=0, "-", SUMIFS(Data_filtered!$G$2:$G$461,Data_filtered!$A$2:$A$461,V$1,Data_filtered!$F$2:$F$461,$A6, Data_filtered!$D$2:$D$461,"eucalipto",Data_filtered!$J$2:$J$461,"&lt;&gt;Incompleto"))</f>
        <v>-</v>
      </c>
      <c r="W6" s="107" t="str">
        <f>IF(SUMIFS(Data_filtered!$G$2:$G$461,Data_filtered!$A$2:$A$461,V$1,Data_filtered!$F$2:$F$461,$A6, Data_filtered!$D$2:$D$461,"mata",Data_filtered!$J$2:$J$461,"&lt;&gt;Incompleto")=0, "-", SUMIFS(Data_filtered!$G$2:$G$461,Data_filtered!$A$2:$A$461,V$1,Data_filtered!$F$2:$F$461,$A6, Data_filtered!$D$2:$D$461,"mata",Data_filtered!$J$2:$J$461,"&lt;&gt;Incompleto"))
</f>
        <v>-</v>
      </c>
      <c r="X6" s="106" t="str">
        <f>IF(SUMIFS(Data_filtered!$G$2:$G$461,Data_filtered!$A$2:$A$461,X$1,Data_filtered!$F$2:$F$461,$A6, Data_filtered!$D$2:$D$461,"eucalipto",Data_filtered!$J$2:$J$461,"&lt;&gt;Incompleto")=0, "-", SUMIFS(Data_filtered!$G$2:$G$461,Data_filtered!$A$2:$A$461,X$1,Data_filtered!$F$2:$F$461,$A6, Data_filtered!$D$2:$D$461,"eucalipto",Data_filtered!$J$2:$J$461,"&lt;&gt;Incompleto"))</f>
        <v>-</v>
      </c>
      <c r="Y6" s="107" t="str">
        <f>IF(SUMIFS(Data_filtered!$G$2:$G$461,Data_filtered!$A$2:$A$461,X$1,Data_filtered!$F$2:$F$461,$A6, Data_filtered!$D$2:$D$461,"mata",Data_filtered!$J$2:$J$461,"&lt;&gt;Incompleto")=0, "-", SUMIFS(Data_filtered!$G$2:$G$461,Data_filtered!$A$2:$A$461,X$1,Data_filtered!$F$2:$F$461,$A6, Data_filtered!$D$2:$D$461,"mata",Data_filtered!$J$2:$J$461,"&lt;&gt;Incompleto"))
</f>
        <v>-</v>
      </c>
      <c r="Z6" s="106" t="str">
        <f>IF(SUMIFS(Data_filtered!$G$2:$G$461,Data_filtered!$A$2:$A$461,Z$1,Data_filtered!$F$2:$F$461,$A6, Data_filtered!$D$2:$D$461,"eucalipto",Data_filtered!$J$2:$J$461,"&lt;&gt;Incompleto")=0, "-", SUMIFS(Data_filtered!$G$2:$G$461,Data_filtered!$A$2:$A$461,Z$1,Data_filtered!$F$2:$F$461,$A6, Data_filtered!$D$2:$D$461,"eucalipto",Data_filtered!$J$2:$J$461,"&lt;&gt;Incompleto"))</f>
        <v>-</v>
      </c>
      <c r="AA6" s="107" t="str">
        <f>IF(SUMIFS(Data_filtered!$G$2:$G$461,Data_filtered!$A$2:$A$461,Z$1,Data_filtered!$F$2:$F$461,$A6, Data_filtered!$D$2:$D$461,"mata",Data_filtered!$J$2:$J$461,"&lt;&gt;Incompleto")=0, "-", SUMIFS(Data_filtered!$G$2:$G$461,Data_filtered!$A$2:$A$461,Z$1,Data_filtered!$F$2:$F$461,$A6, Data_filtered!$D$2:$D$461,"mata",Data_filtered!$J$2:$J$461,"&lt;&gt;Incompleto"))
</f>
        <v>-</v>
      </c>
      <c r="AB6" s="106"/>
      <c r="AC6" s="107"/>
      <c r="AD6" s="106"/>
      <c r="AE6" s="107"/>
      <c r="AF6" s="106"/>
      <c r="AG6" s="107"/>
      <c r="AH6" s="106"/>
      <c r="AI6" s="107"/>
      <c r="AJ6" s="106"/>
      <c r="AK6" s="107"/>
      <c r="AL6" s="106"/>
      <c r="AM6" s="107"/>
      <c r="AN6" s="106"/>
      <c r="AO6" s="107"/>
      <c r="AP6" s="106"/>
      <c r="AQ6" s="107"/>
      <c r="AR6" s="106"/>
      <c r="AS6" s="107"/>
    </row>
    <row r="7">
      <c r="A7" s="15" t="str">
        <f>IFERROR(__xludf.DUMMYFUNCTION("""COMPUTED_VALUE"""),"Coleoptera")</f>
        <v>Coleoptera</v>
      </c>
      <c r="B7" s="106" t="str">
        <f>IF(SUMIFS(Data_filtered!$G$2:$G$461,Data_filtered!$A$2:$A$461,B$1,Data_filtered!$F$2:$F$461,$A7, Data_filtered!$D$2:$D$461,"eucalipto",Data_filtered!$J$2:$J$461,"&lt;&gt;Incompleto")=0, "-", SUMIFS(Data_filtered!$G$2:$G$461,Data_filtered!$A$2:$A$461,B$1,Data_filtered!$F$2:$F$461,$A7, Data_filtered!$D$2:$D$461,"eucalipto",Data_filtered!$J$2:$J$461,"&lt;&gt;Incompleto"))</f>
        <v>-</v>
      </c>
      <c r="C7" s="107">
        <f>IF(SUMIFS(Data_filtered!$G$2:$G$461,Data_filtered!$A$2:$A$461,B$1,Data_filtered!$F$2:$F$461,$A7, Data_filtered!$D$2:$D$461,"mata",Data_filtered!$J$2:$J$461,"&lt;&gt;Incompleto")=0, "-", SUMIFS(Data_filtered!$G$2:$G$461,Data_filtered!$A$2:$A$461,B$1,Data_filtered!$F$2:$F$461,$A7, Data_filtered!$D$2:$D$461,"mata",Data_filtered!$J$2:$J$461,"&lt;&gt;Incompleto"))
</f>
        <v>1</v>
      </c>
      <c r="D7" s="106">
        <f>IF(SUMIFS(Data_filtered!$G$2:$G$461,Data_filtered!$A$2:$A$461,D$1,Data_filtered!$F$2:$F$461,$A7, Data_filtered!$D$2:$D$461,"eucalipto",Data_filtered!$J$2:$J$461,"&lt;&gt;Incompleto")=0, "-", SUMIFS(Data_filtered!$G$2:$G$461,Data_filtered!$A$2:$A$461,D$1,Data_filtered!$F$2:$F$461,$A7, Data_filtered!$D$2:$D$461,"eucalipto",Data_filtered!$J$2:$J$461,"&lt;&gt;Incompleto"))</f>
        <v>3</v>
      </c>
      <c r="E7" s="107">
        <f>IF(SUMIFS(Data_filtered!$G$2:$G$461,Data_filtered!$A$2:$A$461,D$1,Data_filtered!$F$2:$F$461,$A7, Data_filtered!$D$2:$D$461,"mata",Data_filtered!$J$2:$J$461,"&lt;&gt;Incompleto")=0, "-", SUMIFS(Data_filtered!$G$2:$G$461,Data_filtered!$A$2:$A$461,D$1,Data_filtered!$F$2:$F$461,$A7, Data_filtered!$D$2:$D$461,"mata",Data_filtered!$J$2:$J$461,"&lt;&gt;Incompleto"))
</f>
        <v>1</v>
      </c>
      <c r="F7" s="106" t="str">
        <f>IF(SUMIFS(Data_filtered!$G$2:$G$461,Data_filtered!$A$2:$A$461,F$1,Data_filtered!$F$2:$F$461,$A7, Data_filtered!$D$2:$D$461,"eucalipto",Data_filtered!$J$2:$J$461,"&lt;&gt;Incompleto")=0, "-", SUMIFS(Data_filtered!$G$2:$G$461,Data_filtered!$A$2:$A$461,F$1,Data_filtered!$F$2:$F$461,$A7, Data_filtered!$D$2:$D$461,"eucalipto",Data_filtered!$J$2:$J$461,"&lt;&gt;Incompleto"))</f>
        <v>-</v>
      </c>
      <c r="G7" s="107">
        <f>IF(SUMIFS(Data_filtered!$G$2:$G$461,Data_filtered!$A$2:$A$461,F$1,Data_filtered!$F$2:$F$461,$A7, Data_filtered!$D$2:$D$461,"mata",Data_filtered!$J$2:$J$461,"&lt;&gt;Incompleto")=0, "-", SUMIFS(Data_filtered!$G$2:$G$461,Data_filtered!$A$2:$A$461,F$1,Data_filtered!$F$2:$F$461,$A7, Data_filtered!$D$2:$D$461,"mata",Data_filtered!$J$2:$J$461,"&lt;&gt;Incompleto"))
</f>
        <v>6</v>
      </c>
      <c r="H7" s="106">
        <f>IF(SUMIFS(Data_filtered!$G$2:$G$461,Data_filtered!$A$2:$A$461,H$1,Data_filtered!$F$2:$F$461,$A7, Data_filtered!$D$2:$D$461,"eucalipto",Data_filtered!$J$2:$J$461,"&lt;&gt;Incompleto")=0, "-", SUMIFS(Data_filtered!$G$2:$G$461,Data_filtered!$A$2:$A$461,H$1,Data_filtered!$F$2:$F$461,$A7, Data_filtered!$D$2:$D$461,"eucalipto",Data_filtered!$J$2:$J$461,"&lt;&gt;Incompleto"))</f>
        <v>5</v>
      </c>
      <c r="I7" s="107">
        <f>IF(SUMIFS(Data_filtered!$G$2:$G$461,Data_filtered!$A$2:$A$461,H$1,Data_filtered!$F$2:$F$461,$A7, Data_filtered!$D$2:$D$461,"mata",Data_filtered!$J$2:$J$461,"&lt;&gt;Incompleto")=0, "-", SUMIFS(Data_filtered!$G$2:$G$461,Data_filtered!$A$2:$A$461,H$1,Data_filtered!$F$2:$F$461,$A7, Data_filtered!$D$2:$D$461,"mata",Data_filtered!$J$2:$J$461,"&lt;&gt;Incompleto"))
</f>
        <v>1</v>
      </c>
      <c r="J7" s="106" t="str">
        <f>IF(SUMIFS(Data_filtered!$G$2:$G$461,Data_filtered!$A$2:$A$461,J$1,Data_filtered!$F$2:$F$461,$A7, Data_filtered!$D$2:$D$461,"eucalipto",Data_filtered!$J$2:$J$461,"&lt;&gt;Incompleto")=0, "-", SUMIFS(Data_filtered!$G$2:$G$461,Data_filtered!$A$2:$A$461,J$1,Data_filtered!$F$2:$F$461,$A7, Data_filtered!$D$2:$D$461,"eucalipto",Data_filtered!$J$2:$J$461,"&lt;&gt;Incompleto"))</f>
        <v>-</v>
      </c>
      <c r="K7" s="107">
        <f>IF(SUMIFS(Data_filtered!$G$2:$G$461,Data_filtered!$A$2:$A$461,J$1,Data_filtered!$F$2:$F$461,$A7, Data_filtered!$D$2:$D$461,"mata",Data_filtered!$J$2:$J$461,"&lt;&gt;Incompleto")=0, "-", SUMIFS(Data_filtered!$G$2:$G$461,Data_filtered!$A$2:$A$461,J$1,Data_filtered!$F$2:$F$461,$A7, Data_filtered!$D$2:$D$461,"mata",Data_filtered!$J$2:$J$461,"&lt;&gt;Incompleto"))
</f>
        <v>2</v>
      </c>
      <c r="L7" s="106">
        <f>IF(SUMIFS(Data_filtered!$G$2:$G$461,Data_filtered!$A$2:$A$461,L$1,Data_filtered!$F$2:$F$461,$A7, Data_filtered!$D$2:$D$461,"eucalipto",Data_filtered!$J$2:$J$461,"&lt;&gt;Incompleto")=0, "-", SUMIFS(Data_filtered!$G$2:$G$461,Data_filtered!$A$2:$A$461,L$1,Data_filtered!$F$2:$F$461,$A7, Data_filtered!$D$2:$D$461,"eucalipto",Data_filtered!$J$2:$J$461,"&lt;&gt;Incompleto"))</f>
        <v>5</v>
      </c>
      <c r="M7" s="107">
        <f>IF(SUMIFS(Data_filtered!$G$2:$G$461,Data_filtered!$A$2:$A$461,L$1,Data_filtered!$F$2:$F$461,$A7, Data_filtered!$D$2:$D$461,"mata",Data_filtered!$J$2:$J$461,"&lt;&gt;Incompleto")=0, "-", SUMIFS(Data_filtered!$G$2:$G$461,Data_filtered!$A$2:$A$461,L$1,Data_filtered!$F$2:$F$461,$A7, Data_filtered!$D$2:$D$461,"mata",Data_filtered!$J$2:$J$461,"&lt;&gt;Incompleto"))
</f>
        <v>1</v>
      </c>
      <c r="N7" s="106" t="str">
        <f>IF(SUMIFS(Data_filtered!$G$2:$G$461,Data_filtered!$A$2:$A$461,N$1,Data_filtered!$F$2:$F$461,$A7, Data_filtered!$D$2:$D$461,"eucalipto",Data_filtered!$J$2:$J$461,"&lt;&gt;Incompleto")=0, "-", SUMIFS(Data_filtered!$G$2:$G$461,Data_filtered!$A$2:$A$461,N$1,Data_filtered!$F$2:$F$461,$A7, Data_filtered!$D$2:$D$461,"eucalipto",Data_filtered!$J$2:$J$461,"&lt;&gt;Incompleto"))</f>
        <v>-</v>
      </c>
      <c r="O7" s="107">
        <f>IF(SUMIFS(Data_filtered!$G$2:$G$461,Data_filtered!$A$2:$A$461,N$1,Data_filtered!$F$2:$F$461,$A7, Data_filtered!$D$2:$D$461,"mata",Data_filtered!$J$2:$J$461,"&lt;&gt;Incompleto")=0, "-", SUMIFS(Data_filtered!$G$2:$G$461,Data_filtered!$A$2:$A$461,N$1,Data_filtered!$F$2:$F$461,$A7, Data_filtered!$D$2:$D$461,"mata",Data_filtered!$J$2:$J$461,"&lt;&gt;Incompleto"))
</f>
        <v>1</v>
      </c>
      <c r="P7" s="106">
        <f>IF(SUMIFS(Data_filtered!$G$2:$G$461,Data_filtered!$A$2:$A$461,P$1,Data_filtered!$F$2:$F$461,$A7, Data_filtered!$D$2:$D$461,"eucalipto",Data_filtered!$J$2:$J$461,"&lt;&gt;Incompleto")=0, "-", SUMIFS(Data_filtered!$G$2:$G$461,Data_filtered!$A$2:$A$461,P$1,Data_filtered!$F$2:$F$461,$A7, Data_filtered!$D$2:$D$461,"eucalipto",Data_filtered!$J$2:$J$461,"&lt;&gt;Incompleto"))</f>
        <v>1</v>
      </c>
      <c r="Q7" s="107">
        <f>IF(SUMIFS(Data_filtered!$G$2:$G$461,Data_filtered!$A$2:$A$461,P$1,Data_filtered!$F$2:$F$461,$A7, Data_filtered!$D$2:$D$461,"mata",Data_filtered!$J$2:$J$461,"&lt;&gt;Incompleto")=0, "-", SUMIFS(Data_filtered!$G$2:$G$461,Data_filtered!$A$2:$A$461,P$1,Data_filtered!$F$2:$F$461,$A7, Data_filtered!$D$2:$D$461,"mata",Data_filtered!$J$2:$J$461,"&lt;&gt;Incompleto"))
</f>
        <v>4</v>
      </c>
      <c r="R7" s="106">
        <f>IF(SUMIFS(Data_filtered!$G$2:$G$461,Data_filtered!$A$2:$A$461,R$1,Data_filtered!$F$2:$F$461,$A7, Data_filtered!$D$2:$D$461,"eucalipto",Data_filtered!$J$2:$J$461,"&lt;&gt;Incompleto")=0, "-", SUMIFS(Data_filtered!$G$2:$G$461,Data_filtered!$A$2:$A$461,R$1,Data_filtered!$F$2:$F$461,$A7, Data_filtered!$D$2:$D$461,"eucalipto",Data_filtered!$J$2:$J$461,"&lt;&gt;Incompleto"))</f>
        <v>1</v>
      </c>
      <c r="S7" s="107">
        <f>IF(SUMIFS(Data_filtered!$G$2:$G$461,Data_filtered!$A$2:$A$461,R$1,Data_filtered!$F$2:$F$461,$A7, Data_filtered!$D$2:$D$461,"mata",Data_filtered!$J$2:$J$461,"&lt;&gt;Incompleto")=0, "-", SUMIFS(Data_filtered!$G$2:$G$461,Data_filtered!$A$2:$A$461,R$1,Data_filtered!$F$2:$F$461,$A7, Data_filtered!$D$2:$D$461,"mata",Data_filtered!$J$2:$J$461,"&lt;&gt;Incompleto"))
</f>
        <v>11</v>
      </c>
      <c r="T7" s="106" t="str">
        <f>IF(SUMIFS(Data_filtered!$G$2:$G$461,Data_filtered!$A$2:$A$461,T$1,Data_filtered!$F$2:$F$461,$A7, Data_filtered!$D$2:$D$461,"eucalipto",Data_filtered!$J$2:$J$461,"&lt;&gt;Incompleto")=0, "-", SUMIFS(Data_filtered!$G$2:$G$461,Data_filtered!$A$2:$A$461,T$1,Data_filtered!$F$2:$F$461,$A7, Data_filtered!$D$2:$D$461,"eucalipto",Data_filtered!$J$2:$J$461,"&lt;&gt;Incompleto"))</f>
        <v>-</v>
      </c>
      <c r="U7" s="107">
        <f>IF(SUMIFS(Data_filtered!$G$2:$G$461,Data_filtered!$A$2:$A$461,T$1,Data_filtered!$F$2:$F$461,$A7, Data_filtered!$D$2:$D$461,"mata",Data_filtered!$J$2:$J$461,"&lt;&gt;Incompleto")=0, "-", SUMIFS(Data_filtered!$G$2:$G$461,Data_filtered!$A$2:$A$461,T$1,Data_filtered!$F$2:$F$461,$A7, Data_filtered!$D$2:$D$461,"mata",Data_filtered!$J$2:$J$461,"&lt;&gt;Incompleto"))
</f>
        <v>2</v>
      </c>
      <c r="V7" s="106">
        <f>IF(SUMIFS(Data_filtered!$G$2:$G$461,Data_filtered!$A$2:$A$461,V$1,Data_filtered!$F$2:$F$461,$A7, Data_filtered!$D$2:$D$461,"eucalipto",Data_filtered!$J$2:$J$461,"&lt;&gt;Incompleto")=0, "-", SUMIFS(Data_filtered!$G$2:$G$461,Data_filtered!$A$2:$A$461,V$1,Data_filtered!$F$2:$F$461,$A7, Data_filtered!$D$2:$D$461,"eucalipto",Data_filtered!$J$2:$J$461,"&lt;&gt;Incompleto"))</f>
        <v>13</v>
      </c>
      <c r="W7" s="107">
        <f>IF(SUMIFS(Data_filtered!$G$2:$G$461,Data_filtered!$A$2:$A$461,V$1,Data_filtered!$F$2:$F$461,$A7, Data_filtered!$D$2:$D$461,"mata",Data_filtered!$J$2:$J$461,"&lt;&gt;Incompleto")=0, "-", SUMIFS(Data_filtered!$G$2:$G$461,Data_filtered!$A$2:$A$461,V$1,Data_filtered!$F$2:$F$461,$A7, Data_filtered!$D$2:$D$461,"mata",Data_filtered!$J$2:$J$461,"&lt;&gt;Incompleto"))
</f>
        <v>119</v>
      </c>
      <c r="X7" s="106" t="str">
        <f>IF(SUMIFS(Data_filtered!$G$2:$G$461,Data_filtered!$A$2:$A$461,X$1,Data_filtered!$F$2:$F$461,$A7, Data_filtered!$D$2:$D$461,"eucalipto",Data_filtered!$J$2:$J$461,"&lt;&gt;Incompleto")=0, "-", SUMIFS(Data_filtered!$G$2:$G$461,Data_filtered!$A$2:$A$461,X$1,Data_filtered!$F$2:$F$461,$A7, Data_filtered!$D$2:$D$461,"eucalipto",Data_filtered!$J$2:$J$461,"&lt;&gt;Incompleto"))</f>
        <v>-</v>
      </c>
      <c r="Y7" s="107">
        <f>IF(SUMIFS(Data_filtered!$G$2:$G$461,Data_filtered!$A$2:$A$461,X$1,Data_filtered!$F$2:$F$461,$A7, Data_filtered!$D$2:$D$461,"mata",Data_filtered!$J$2:$J$461,"&lt;&gt;Incompleto")=0, "-", SUMIFS(Data_filtered!$G$2:$G$461,Data_filtered!$A$2:$A$461,X$1,Data_filtered!$F$2:$F$461,$A7, Data_filtered!$D$2:$D$461,"mata",Data_filtered!$J$2:$J$461,"&lt;&gt;Incompleto"))
</f>
        <v>7</v>
      </c>
      <c r="Z7" s="106" t="str">
        <f>IF(SUMIFS(Data_filtered!$G$2:$G$461,Data_filtered!$A$2:$A$461,Z$1,Data_filtered!$F$2:$F$461,$A7, Data_filtered!$D$2:$D$461,"eucalipto",Data_filtered!$J$2:$J$461,"&lt;&gt;Incompleto")=0, "-", SUMIFS(Data_filtered!$G$2:$G$461,Data_filtered!$A$2:$A$461,Z$1,Data_filtered!$F$2:$F$461,$A7, Data_filtered!$D$2:$D$461,"eucalipto",Data_filtered!$J$2:$J$461,"&lt;&gt;Incompleto"))</f>
        <v>-</v>
      </c>
      <c r="AA7" s="107">
        <f>IF(SUMIFS(Data_filtered!$G$2:$G$461,Data_filtered!$A$2:$A$461,Z$1,Data_filtered!$F$2:$F$461,$A7, Data_filtered!$D$2:$D$461,"mata",Data_filtered!$J$2:$J$461,"&lt;&gt;Incompleto")=0, "-", SUMIFS(Data_filtered!$G$2:$G$461,Data_filtered!$A$2:$A$461,Z$1,Data_filtered!$F$2:$F$461,$A7, Data_filtered!$D$2:$D$461,"mata",Data_filtered!$J$2:$J$461,"&lt;&gt;Incompleto"))
</f>
        <v>3</v>
      </c>
      <c r="AB7" s="106"/>
      <c r="AC7" s="107"/>
      <c r="AD7" s="106"/>
      <c r="AE7" s="107"/>
      <c r="AF7" s="106"/>
      <c r="AG7" s="107"/>
      <c r="AH7" s="106"/>
      <c r="AI7" s="107"/>
      <c r="AJ7" s="106"/>
      <c r="AK7" s="107"/>
      <c r="AL7" s="106"/>
      <c r="AM7" s="107"/>
      <c r="AN7" s="106"/>
      <c r="AO7" s="107"/>
      <c r="AP7" s="106"/>
      <c r="AQ7" s="107"/>
      <c r="AR7" s="106"/>
      <c r="AS7" s="107"/>
    </row>
    <row r="8">
      <c r="A8" s="15" t="str">
        <f>IFERROR(__xludf.DUMMYFUNCTION("""COMPUTED_VALUE"""),"Coleoptera Larva")</f>
        <v>Coleoptera Larva</v>
      </c>
      <c r="B8" s="106" t="str">
        <f>IF(SUMIFS(Data_filtered!$G$2:$G$461,Data_filtered!$A$2:$A$461,B$1,Data_filtered!$F$2:$F$461,$A8, Data_filtered!$D$2:$D$461,"eucalipto",Data_filtered!$J$2:$J$461,"&lt;&gt;Incompleto")=0, "-", SUMIFS(Data_filtered!$G$2:$G$461,Data_filtered!$A$2:$A$461,B$1,Data_filtered!$F$2:$F$461,$A8, Data_filtered!$D$2:$D$461,"eucalipto",Data_filtered!$J$2:$J$461,"&lt;&gt;Incompleto"))</f>
        <v>-</v>
      </c>
      <c r="C8" s="107" t="str">
        <f>IF(SUMIFS(Data_filtered!$G$2:$G$461,Data_filtered!$A$2:$A$461,B$1,Data_filtered!$F$2:$F$461,$A8, Data_filtered!$D$2:$D$461,"mata",Data_filtered!$J$2:$J$461,"&lt;&gt;Incompleto")=0, "-", SUMIFS(Data_filtered!$G$2:$G$461,Data_filtered!$A$2:$A$461,B$1,Data_filtered!$F$2:$F$461,$A8, Data_filtered!$D$2:$D$461,"mata",Data_filtered!$J$2:$J$461,"&lt;&gt;Incompleto"))
</f>
        <v>-</v>
      </c>
      <c r="D8" s="106" t="str">
        <f>IF(SUMIFS(Data_filtered!$G$2:$G$461,Data_filtered!$A$2:$A$461,D$1,Data_filtered!$F$2:$F$461,$A8, Data_filtered!$D$2:$D$461,"eucalipto",Data_filtered!$J$2:$J$461,"&lt;&gt;Incompleto")=0, "-", SUMIFS(Data_filtered!$G$2:$G$461,Data_filtered!$A$2:$A$461,D$1,Data_filtered!$F$2:$F$461,$A8, Data_filtered!$D$2:$D$461,"eucalipto",Data_filtered!$J$2:$J$461,"&lt;&gt;Incompleto"))</f>
        <v>-</v>
      </c>
      <c r="E8" s="107" t="str">
        <f>IF(SUMIFS(Data_filtered!$G$2:$G$461,Data_filtered!$A$2:$A$461,D$1,Data_filtered!$F$2:$F$461,$A8, Data_filtered!$D$2:$D$461,"mata",Data_filtered!$J$2:$J$461,"&lt;&gt;Incompleto")=0, "-", SUMIFS(Data_filtered!$G$2:$G$461,Data_filtered!$A$2:$A$461,D$1,Data_filtered!$F$2:$F$461,$A8, Data_filtered!$D$2:$D$461,"mata",Data_filtered!$J$2:$J$461,"&lt;&gt;Incompleto"))
</f>
        <v>-</v>
      </c>
      <c r="F8" s="106" t="str">
        <f>IF(SUMIFS(Data_filtered!$G$2:$G$461,Data_filtered!$A$2:$A$461,F$1,Data_filtered!$F$2:$F$461,$A8, Data_filtered!$D$2:$D$461,"eucalipto",Data_filtered!$J$2:$J$461,"&lt;&gt;Incompleto")=0, "-", SUMIFS(Data_filtered!$G$2:$G$461,Data_filtered!$A$2:$A$461,F$1,Data_filtered!$F$2:$F$461,$A8, Data_filtered!$D$2:$D$461,"eucalipto",Data_filtered!$J$2:$J$461,"&lt;&gt;Incompleto"))</f>
        <v>-</v>
      </c>
      <c r="G8" s="107" t="str">
        <f>IF(SUMIFS(Data_filtered!$G$2:$G$461,Data_filtered!$A$2:$A$461,F$1,Data_filtered!$F$2:$F$461,$A8, Data_filtered!$D$2:$D$461,"mata",Data_filtered!$J$2:$J$461,"&lt;&gt;Incompleto")=0, "-", SUMIFS(Data_filtered!$G$2:$G$461,Data_filtered!$A$2:$A$461,F$1,Data_filtered!$F$2:$F$461,$A8, Data_filtered!$D$2:$D$461,"mata",Data_filtered!$J$2:$J$461,"&lt;&gt;Incompleto"))
</f>
        <v>-</v>
      </c>
      <c r="H8" s="106" t="str">
        <f>IF(SUMIFS(Data_filtered!$G$2:$G$461,Data_filtered!$A$2:$A$461,H$1,Data_filtered!$F$2:$F$461,$A8, Data_filtered!$D$2:$D$461,"eucalipto",Data_filtered!$J$2:$J$461,"&lt;&gt;Incompleto")=0, "-", SUMIFS(Data_filtered!$G$2:$G$461,Data_filtered!$A$2:$A$461,H$1,Data_filtered!$F$2:$F$461,$A8, Data_filtered!$D$2:$D$461,"eucalipto",Data_filtered!$J$2:$J$461,"&lt;&gt;Incompleto"))</f>
        <v>-</v>
      </c>
      <c r="I8" s="107" t="str">
        <f>IF(SUMIFS(Data_filtered!$G$2:$G$461,Data_filtered!$A$2:$A$461,H$1,Data_filtered!$F$2:$F$461,$A8, Data_filtered!$D$2:$D$461,"mata",Data_filtered!$J$2:$J$461,"&lt;&gt;Incompleto")=0, "-", SUMIFS(Data_filtered!$G$2:$G$461,Data_filtered!$A$2:$A$461,H$1,Data_filtered!$F$2:$F$461,$A8, Data_filtered!$D$2:$D$461,"mata",Data_filtered!$J$2:$J$461,"&lt;&gt;Incompleto"))
</f>
        <v>-</v>
      </c>
      <c r="J8" s="106" t="str">
        <f>IF(SUMIFS(Data_filtered!$G$2:$G$461,Data_filtered!$A$2:$A$461,J$1,Data_filtered!$F$2:$F$461,$A8, Data_filtered!$D$2:$D$461,"eucalipto",Data_filtered!$J$2:$J$461,"&lt;&gt;Incompleto")=0, "-", SUMIFS(Data_filtered!$G$2:$G$461,Data_filtered!$A$2:$A$461,J$1,Data_filtered!$F$2:$F$461,$A8, Data_filtered!$D$2:$D$461,"eucalipto",Data_filtered!$J$2:$J$461,"&lt;&gt;Incompleto"))</f>
        <v>-</v>
      </c>
      <c r="K8" s="107">
        <f>IF(SUMIFS(Data_filtered!$G$2:$G$461,Data_filtered!$A$2:$A$461,J$1,Data_filtered!$F$2:$F$461,$A8, Data_filtered!$D$2:$D$461,"mata",Data_filtered!$J$2:$J$461,"&lt;&gt;Incompleto")=0, "-", SUMIFS(Data_filtered!$G$2:$G$461,Data_filtered!$A$2:$A$461,J$1,Data_filtered!$F$2:$F$461,$A8, Data_filtered!$D$2:$D$461,"mata",Data_filtered!$J$2:$J$461,"&lt;&gt;Incompleto"))
</f>
        <v>1</v>
      </c>
      <c r="L8" s="106" t="str">
        <f>IF(SUMIFS(Data_filtered!$G$2:$G$461,Data_filtered!$A$2:$A$461,L$1,Data_filtered!$F$2:$F$461,$A8, Data_filtered!$D$2:$D$461,"eucalipto",Data_filtered!$J$2:$J$461,"&lt;&gt;Incompleto")=0, "-", SUMIFS(Data_filtered!$G$2:$G$461,Data_filtered!$A$2:$A$461,L$1,Data_filtered!$F$2:$F$461,$A8, Data_filtered!$D$2:$D$461,"eucalipto",Data_filtered!$J$2:$J$461,"&lt;&gt;Incompleto"))</f>
        <v>-</v>
      </c>
      <c r="M8" s="107" t="str">
        <f>IF(SUMIFS(Data_filtered!$G$2:$G$461,Data_filtered!$A$2:$A$461,L$1,Data_filtered!$F$2:$F$461,$A8, Data_filtered!$D$2:$D$461,"mata",Data_filtered!$J$2:$J$461,"&lt;&gt;Incompleto")=0, "-", SUMIFS(Data_filtered!$G$2:$G$461,Data_filtered!$A$2:$A$461,L$1,Data_filtered!$F$2:$F$461,$A8, Data_filtered!$D$2:$D$461,"mata",Data_filtered!$J$2:$J$461,"&lt;&gt;Incompleto"))
</f>
        <v>-</v>
      </c>
      <c r="N8" s="106" t="str">
        <f>IF(SUMIFS(Data_filtered!$G$2:$G$461,Data_filtered!$A$2:$A$461,N$1,Data_filtered!$F$2:$F$461,$A8, Data_filtered!$D$2:$D$461,"eucalipto",Data_filtered!$J$2:$J$461,"&lt;&gt;Incompleto")=0, "-", SUMIFS(Data_filtered!$G$2:$G$461,Data_filtered!$A$2:$A$461,N$1,Data_filtered!$F$2:$F$461,$A8, Data_filtered!$D$2:$D$461,"eucalipto",Data_filtered!$J$2:$J$461,"&lt;&gt;Incompleto"))</f>
        <v>-</v>
      </c>
      <c r="O8" s="107" t="str">
        <f>IF(SUMIFS(Data_filtered!$G$2:$G$461,Data_filtered!$A$2:$A$461,N$1,Data_filtered!$F$2:$F$461,$A8, Data_filtered!$D$2:$D$461,"mata",Data_filtered!$J$2:$J$461,"&lt;&gt;Incompleto")=0, "-", SUMIFS(Data_filtered!$G$2:$G$461,Data_filtered!$A$2:$A$461,N$1,Data_filtered!$F$2:$F$461,$A8, Data_filtered!$D$2:$D$461,"mata",Data_filtered!$J$2:$J$461,"&lt;&gt;Incompleto"))
</f>
        <v>-</v>
      </c>
      <c r="P8" s="106" t="str">
        <f>IF(SUMIFS(Data_filtered!$G$2:$G$461,Data_filtered!$A$2:$A$461,P$1,Data_filtered!$F$2:$F$461,$A8, Data_filtered!$D$2:$D$461,"eucalipto",Data_filtered!$J$2:$J$461,"&lt;&gt;Incompleto")=0, "-", SUMIFS(Data_filtered!$G$2:$G$461,Data_filtered!$A$2:$A$461,P$1,Data_filtered!$F$2:$F$461,$A8, Data_filtered!$D$2:$D$461,"eucalipto",Data_filtered!$J$2:$J$461,"&lt;&gt;Incompleto"))</f>
        <v>-</v>
      </c>
      <c r="Q8" s="107" t="str">
        <f>IF(SUMIFS(Data_filtered!$G$2:$G$461,Data_filtered!$A$2:$A$461,P$1,Data_filtered!$F$2:$F$461,$A8, Data_filtered!$D$2:$D$461,"mata",Data_filtered!$J$2:$J$461,"&lt;&gt;Incompleto")=0, "-", SUMIFS(Data_filtered!$G$2:$G$461,Data_filtered!$A$2:$A$461,P$1,Data_filtered!$F$2:$F$461,$A8, Data_filtered!$D$2:$D$461,"mata",Data_filtered!$J$2:$J$461,"&lt;&gt;Incompleto"))
</f>
        <v>-</v>
      </c>
      <c r="R8" s="106" t="str">
        <f>IF(SUMIFS(Data_filtered!$G$2:$G$461,Data_filtered!$A$2:$A$461,R$1,Data_filtered!$F$2:$F$461,$A8, Data_filtered!$D$2:$D$461,"eucalipto",Data_filtered!$J$2:$J$461,"&lt;&gt;Incompleto")=0, "-", SUMIFS(Data_filtered!$G$2:$G$461,Data_filtered!$A$2:$A$461,R$1,Data_filtered!$F$2:$F$461,$A8, Data_filtered!$D$2:$D$461,"eucalipto",Data_filtered!$J$2:$J$461,"&lt;&gt;Incompleto"))</f>
        <v>-</v>
      </c>
      <c r="S8" s="107" t="str">
        <f>IF(SUMIFS(Data_filtered!$G$2:$G$461,Data_filtered!$A$2:$A$461,R$1,Data_filtered!$F$2:$F$461,$A8, Data_filtered!$D$2:$D$461,"mata",Data_filtered!$J$2:$J$461,"&lt;&gt;Incompleto")=0, "-", SUMIFS(Data_filtered!$G$2:$G$461,Data_filtered!$A$2:$A$461,R$1,Data_filtered!$F$2:$F$461,$A8, Data_filtered!$D$2:$D$461,"mata",Data_filtered!$J$2:$J$461,"&lt;&gt;Incompleto"))
</f>
        <v>-</v>
      </c>
      <c r="T8" s="106" t="str">
        <f>IF(SUMIFS(Data_filtered!$G$2:$G$461,Data_filtered!$A$2:$A$461,T$1,Data_filtered!$F$2:$F$461,$A8, Data_filtered!$D$2:$D$461,"eucalipto",Data_filtered!$J$2:$J$461,"&lt;&gt;Incompleto")=0, "-", SUMIFS(Data_filtered!$G$2:$G$461,Data_filtered!$A$2:$A$461,T$1,Data_filtered!$F$2:$F$461,$A8, Data_filtered!$D$2:$D$461,"eucalipto",Data_filtered!$J$2:$J$461,"&lt;&gt;Incompleto"))</f>
        <v>-</v>
      </c>
      <c r="U8" s="107" t="str">
        <f>IF(SUMIFS(Data_filtered!$G$2:$G$461,Data_filtered!$A$2:$A$461,T$1,Data_filtered!$F$2:$F$461,$A8, Data_filtered!$D$2:$D$461,"mata",Data_filtered!$J$2:$J$461,"&lt;&gt;Incompleto")=0, "-", SUMIFS(Data_filtered!$G$2:$G$461,Data_filtered!$A$2:$A$461,T$1,Data_filtered!$F$2:$F$461,$A8, Data_filtered!$D$2:$D$461,"mata",Data_filtered!$J$2:$J$461,"&lt;&gt;Incompleto"))
</f>
        <v>-</v>
      </c>
      <c r="V8" s="106" t="str">
        <f>IF(SUMIFS(Data_filtered!$G$2:$G$461,Data_filtered!$A$2:$A$461,V$1,Data_filtered!$F$2:$F$461,$A8, Data_filtered!$D$2:$D$461,"eucalipto",Data_filtered!$J$2:$J$461,"&lt;&gt;Incompleto")=0, "-", SUMIFS(Data_filtered!$G$2:$G$461,Data_filtered!$A$2:$A$461,V$1,Data_filtered!$F$2:$F$461,$A8, Data_filtered!$D$2:$D$461,"eucalipto",Data_filtered!$J$2:$J$461,"&lt;&gt;Incompleto"))</f>
        <v>-</v>
      </c>
      <c r="W8" s="107">
        <f>IF(SUMIFS(Data_filtered!$G$2:$G$461,Data_filtered!$A$2:$A$461,V$1,Data_filtered!$F$2:$F$461,$A8, Data_filtered!$D$2:$D$461,"mata",Data_filtered!$J$2:$J$461,"&lt;&gt;Incompleto")=0, "-", SUMIFS(Data_filtered!$G$2:$G$461,Data_filtered!$A$2:$A$461,V$1,Data_filtered!$F$2:$F$461,$A8, Data_filtered!$D$2:$D$461,"mata",Data_filtered!$J$2:$J$461,"&lt;&gt;Incompleto"))
</f>
        <v>2</v>
      </c>
      <c r="X8" s="106" t="str">
        <f>IF(SUMIFS(Data_filtered!$G$2:$G$461,Data_filtered!$A$2:$A$461,X$1,Data_filtered!$F$2:$F$461,$A8, Data_filtered!$D$2:$D$461,"eucalipto",Data_filtered!$J$2:$J$461,"&lt;&gt;Incompleto")=0, "-", SUMIFS(Data_filtered!$G$2:$G$461,Data_filtered!$A$2:$A$461,X$1,Data_filtered!$F$2:$F$461,$A8, Data_filtered!$D$2:$D$461,"eucalipto",Data_filtered!$J$2:$J$461,"&lt;&gt;Incompleto"))</f>
        <v>-</v>
      </c>
      <c r="Y8" s="107" t="str">
        <f>IF(SUMIFS(Data_filtered!$G$2:$G$461,Data_filtered!$A$2:$A$461,X$1,Data_filtered!$F$2:$F$461,$A8, Data_filtered!$D$2:$D$461,"mata",Data_filtered!$J$2:$J$461,"&lt;&gt;Incompleto")=0, "-", SUMIFS(Data_filtered!$G$2:$G$461,Data_filtered!$A$2:$A$461,X$1,Data_filtered!$F$2:$F$461,$A8, Data_filtered!$D$2:$D$461,"mata",Data_filtered!$J$2:$J$461,"&lt;&gt;Incompleto"))
</f>
        <v>-</v>
      </c>
      <c r="Z8" s="106" t="str">
        <f>IF(SUMIFS(Data_filtered!$G$2:$G$461,Data_filtered!$A$2:$A$461,Z$1,Data_filtered!$F$2:$F$461,$A8, Data_filtered!$D$2:$D$461,"eucalipto",Data_filtered!$J$2:$J$461,"&lt;&gt;Incompleto")=0, "-", SUMIFS(Data_filtered!$G$2:$G$461,Data_filtered!$A$2:$A$461,Z$1,Data_filtered!$F$2:$F$461,$A8, Data_filtered!$D$2:$D$461,"eucalipto",Data_filtered!$J$2:$J$461,"&lt;&gt;Incompleto"))</f>
        <v>-</v>
      </c>
      <c r="AA8" s="107" t="str">
        <f>IF(SUMIFS(Data_filtered!$G$2:$G$461,Data_filtered!$A$2:$A$461,Z$1,Data_filtered!$F$2:$F$461,$A8, Data_filtered!$D$2:$D$461,"mata",Data_filtered!$J$2:$J$461,"&lt;&gt;Incompleto")=0, "-", SUMIFS(Data_filtered!$G$2:$G$461,Data_filtered!$A$2:$A$461,Z$1,Data_filtered!$F$2:$F$461,$A8, Data_filtered!$D$2:$D$461,"mata",Data_filtered!$J$2:$J$461,"&lt;&gt;Incompleto"))
</f>
        <v>-</v>
      </c>
      <c r="AB8" s="106"/>
      <c r="AC8" s="107"/>
      <c r="AD8" s="106"/>
      <c r="AE8" s="107"/>
      <c r="AF8" s="106"/>
      <c r="AG8" s="107"/>
      <c r="AH8" s="106"/>
      <c r="AI8" s="107"/>
      <c r="AJ8" s="106"/>
      <c r="AK8" s="107"/>
      <c r="AL8" s="106"/>
      <c r="AM8" s="107"/>
      <c r="AN8" s="106"/>
      <c r="AO8" s="107"/>
      <c r="AP8" s="106"/>
      <c r="AQ8" s="107"/>
      <c r="AR8" s="106"/>
      <c r="AS8" s="107"/>
    </row>
    <row r="9">
      <c r="A9" s="15" t="str">
        <f>IFERROR(__xludf.DUMMYFUNCTION("""COMPUTED_VALUE"""),"Collembola")</f>
        <v>Collembola</v>
      </c>
      <c r="B9" s="106" t="str">
        <f>IF(SUMIFS(Data_filtered!$G$2:$G$461,Data_filtered!$A$2:$A$461,B$1,Data_filtered!$F$2:$F$461,$A9, Data_filtered!$D$2:$D$461,"eucalipto",Data_filtered!$J$2:$J$461,"&lt;&gt;Incompleto")=0, "-", SUMIFS(Data_filtered!$G$2:$G$461,Data_filtered!$A$2:$A$461,B$1,Data_filtered!$F$2:$F$461,$A9, Data_filtered!$D$2:$D$461,"eucalipto",Data_filtered!$J$2:$J$461,"&lt;&gt;Incompleto"))</f>
        <v>-</v>
      </c>
      <c r="C9" s="107" t="str">
        <f>IF(SUMIFS(Data_filtered!$G$2:$G$461,Data_filtered!$A$2:$A$461,B$1,Data_filtered!$F$2:$F$461,$A9, Data_filtered!$D$2:$D$461,"mata",Data_filtered!$J$2:$J$461,"&lt;&gt;Incompleto")=0, "-", SUMIFS(Data_filtered!$G$2:$G$461,Data_filtered!$A$2:$A$461,B$1,Data_filtered!$F$2:$F$461,$A9, Data_filtered!$D$2:$D$461,"mata",Data_filtered!$J$2:$J$461,"&lt;&gt;Incompleto"))
</f>
        <v>-</v>
      </c>
      <c r="D9" s="106" t="str">
        <f>IF(SUMIFS(Data_filtered!$G$2:$G$461,Data_filtered!$A$2:$A$461,D$1,Data_filtered!$F$2:$F$461,$A9, Data_filtered!$D$2:$D$461,"eucalipto",Data_filtered!$J$2:$J$461,"&lt;&gt;Incompleto")=0, "-", SUMIFS(Data_filtered!$G$2:$G$461,Data_filtered!$A$2:$A$461,D$1,Data_filtered!$F$2:$F$461,$A9, Data_filtered!$D$2:$D$461,"eucalipto",Data_filtered!$J$2:$J$461,"&lt;&gt;Incompleto"))</f>
        <v>-</v>
      </c>
      <c r="E9" s="107" t="str">
        <f>IF(SUMIFS(Data_filtered!$G$2:$G$461,Data_filtered!$A$2:$A$461,D$1,Data_filtered!$F$2:$F$461,$A9, Data_filtered!$D$2:$D$461,"mata",Data_filtered!$J$2:$J$461,"&lt;&gt;Incompleto")=0, "-", SUMIFS(Data_filtered!$G$2:$G$461,Data_filtered!$A$2:$A$461,D$1,Data_filtered!$F$2:$F$461,$A9, Data_filtered!$D$2:$D$461,"mata",Data_filtered!$J$2:$J$461,"&lt;&gt;Incompleto"))
</f>
        <v>-</v>
      </c>
      <c r="F9" s="106" t="str">
        <f>IF(SUMIFS(Data_filtered!$G$2:$G$461,Data_filtered!$A$2:$A$461,F$1,Data_filtered!$F$2:$F$461,$A9, Data_filtered!$D$2:$D$461,"eucalipto",Data_filtered!$J$2:$J$461,"&lt;&gt;Incompleto")=0, "-", SUMIFS(Data_filtered!$G$2:$G$461,Data_filtered!$A$2:$A$461,F$1,Data_filtered!$F$2:$F$461,$A9, Data_filtered!$D$2:$D$461,"eucalipto",Data_filtered!$J$2:$J$461,"&lt;&gt;Incompleto"))</f>
        <v>-</v>
      </c>
      <c r="G9" s="107" t="str">
        <f>IF(SUMIFS(Data_filtered!$G$2:$G$461,Data_filtered!$A$2:$A$461,F$1,Data_filtered!$F$2:$F$461,$A9, Data_filtered!$D$2:$D$461,"mata",Data_filtered!$J$2:$J$461,"&lt;&gt;Incompleto")=0, "-", SUMIFS(Data_filtered!$G$2:$G$461,Data_filtered!$A$2:$A$461,F$1,Data_filtered!$F$2:$F$461,$A9, Data_filtered!$D$2:$D$461,"mata",Data_filtered!$J$2:$J$461,"&lt;&gt;Incompleto"))
</f>
        <v>-</v>
      </c>
      <c r="H9" s="106" t="str">
        <f>IF(SUMIFS(Data_filtered!$G$2:$G$461,Data_filtered!$A$2:$A$461,H$1,Data_filtered!$F$2:$F$461,$A9, Data_filtered!$D$2:$D$461,"eucalipto",Data_filtered!$J$2:$J$461,"&lt;&gt;Incompleto")=0, "-", SUMIFS(Data_filtered!$G$2:$G$461,Data_filtered!$A$2:$A$461,H$1,Data_filtered!$F$2:$F$461,$A9, Data_filtered!$D$2:$D$461,"eucalipto",Data_filtered!$J$2:$J$461,"&lt;&gt;Incompleto"))</f>
        <v>-</v>
      </c>
      <c r="I9" s="107" t="str">
        <f>IF(SUMIFS(Data_filtered!$G$2:$G$461,Data_filtered!$A$2:$A$461,H$1,Data_filtered!$F$2:$F$461,$A9, Data_filtered!$D$2:$D$461,"mata",Data_filtered!$J$2:$J$461,"&lt;&gt;Incompleto")=0, "-", SUMIFS(Data_filtered!$G$2:$G$461,Data_filtered!$A$2:$A$461,H$1,Data_filtered!$F$2:$F$461,$A9, Data_filtered!$D$2:$D$461,"mata",Data_filtered!$J$2:$J$461,"&lt;&gt;Incompleto"))
</f>
        <v>-</v>
      </c>
      <c r="J9" s="106" t="str">
        <f>IF(SUMIFS(Data_filtered!$G$2:$G$461,Data_filtered!$A$2:$A$461,J$1,Data_filtered!$F$2:$F$461,$A9, Data_filtered!$D$2:$D$461,"eucalipto",Data_filtered!$J$2:$J$461,"&lt;&gt;Incompleto")=0, "-", SUMIFS(Data_filtered!$G$2:$G$461,Data_filtered!$A$2:$A$461,J$1,Data_filtered!$F$2:$F$461,$A9, Data_filtered!$D$2:$D$461,"eucalipto",Data_filtered!$J$2:$J$461,"&lt;&gt;Incompleto"))</f>
        <v>-</v>
      </c>
      <c r="K9" s="107" t="str">
        <f>IF(SUMIFS(Data_filtered!$G$2:$G$461,Data_filtered!$A$2:$A$461,J$1,Data_filtered!$F$2:$F$461,$A9, Data_filtered!$D$2:$D$461,"mata",Data_filtered!$J$2:$J$461,"&lt;&gt;Incompleto")=0, "-", SUMIFS(Data_filtered!$G$2:$G$461,Data_filtered!$A$2:$A$461,J$1,Data_filtered!$F$2:$F$461,$A9, Data_filtered!$D$2:$D$461,"mata",Data_filtered!$J$2:$J$461,"&lt;&gt;Incompleto"))
</f>
        <v>-</v>
      </c>
      <c r="L9" s="106">
        <f>IF(SUMIFS(Data_filtered!$G$2:$G$461,Data_filtered!$A$2:$A$461,L$1,Data_filtered!$F$2:$F$461,$A9, Data_filtered!$D$2:$D$461,"eucalipto",Data_filtered!$J$2:$J$461,"&lt;&gt;Incompleto")=0, "-", SUMIFS(Data_filtered!$G$2:$G$461,Data_filtered!$A$2:$A$461,L$1,Data_filtered!$F$2:$F$461,$A9, Data_filtered!$D$2:$D$461,"eucalipto",Data_filtered!$J$2:$J$461,"&lt;&gt;Incompleto"))</f>
        <v>1</v>
      </c>
      <c r="M9" s="107" t="str">
        <f>IF(SUMIFS(Data_filtered!$G$2:$G$461,Data_filtered!$A$2:$A$461,L$1,Data_filtered!$F$2:$F$461,$A9, Data_filtered!$D$2:$D$461,"mata",Data_filtered!$J$2:$J$461,"&lt;&gt;Incompleto")=0, "-", SUMIFS(Data_filtered!$G$2:$G$461,Data_filtered!$A$2:$A$461,L$1,Data_filtered!$F$2:$F$461,$A9, Data_filtered!$D$2:$D$461,"mata",Data_filtered!$J$2:$J$461,"&lt;&gt;Incompleto"))
</f>
        <v>-</v>
      </c>
      <c r="N9" s="106" t="str">
        <f>IF(SUMIFS(Data_filtered!$G$2:$G$461,Data_filtered!$A$2:$A$461,N$1,Data_filtered!$F$2:$F$461,$A9, Data_filtered!$D$2:$D$461,"eucalipto",Data_filtered!$J$2:$J$461,"&lt;&gt;Incompleto")=0, "-", SUMIFS(Data_filtered!$G$2:$G$461,Data_filtered!$A$2:$A$461,N$1,Data_filtered!$F$2:$F$461,$A9, Data_filtered!$D$2:$D$461,"eucalipto",Data_filtered!$J$2:$J$461,"&lt;&gt;Incompleto"))</f>
        <v>-</v>
      </c>
      <c r="O9" s="107" t="str">
        <f>IF(SUMIFS(Data_filtered!$G$2:$G$461,Data_filtered!$A$2:$A$461,N$1,Data_filtered!$F$2:$F$461,$A9, Data_filtered!$D$2:$D$461,"mata",Data_filtered!$J$2:$J$461,"&lt;&gt;Incompleto")=0, "-", SUMIFS(Data_filtered!$G$2:$G$461,Data_filtered!$A$2:$A$461,N$1,Data_filtered!$F$2:$F$461,$A9, Data_filtered!$D$2:$D$461,"mata",Data_filtered!$J$2:$J$461,"&lt;&gt;Incompleto"))
</f>
        <v>-</v>
      </c>
      <c r="P9" s="106" t="str">
        <f>IF(SUMIFS(Data_filtered!$G$2:$G$461,Data_filtered!$A$2:$A$461,P$1,Data_filtered!$F$2:$F$461,$A9, Data_filtered!$D$2:$D$461,"eucalipto",Data_filtered!$J$2:$J$461,"&lt;&gt;Incompleto")=0, "-", SUMIFS(Data_filtered!$G$2:$G$461,Data_filtered!$A$2:$A$461,P$1,Data_filtered!$F$2:$F$461,$A9, Data_filtered!$D$2:$D$461,"eucalipto",Data_filtered!$J$2:$J$461,"&lt;&gt;Incompleto"))</f>
        <v>-</v>
      </c>
      <c r="Q9" s="107" t="str">
        <f>IF(SUMIFS(Data_filtered!$G$2:$G$461,Data_filtered!$A$2:$A$461,P$1,Data_filtered!$F$2:$F$461,$A9, Data_filtered!$D$2:$D$461,"mata",Data_filtered!$J$2:$J$461,"&lt;&gt;Incompleto")=0, "-", SUMIFS(Data_filtered!$G$2:$G$461,Data_filtered!$A$2:$A$461,P$1,Data_filtered!$F$2:$F$461,$A9, Data_filtered!$D$2:$D$461,"mata",Data_filtered!$J$2:$J$461,"&lt;&gt;Incompleto"))
</f>
        <v>-</v>
      </c>
      <c r="R9" s="106" t="str">
        <f>IF(SUMIFS(Data_filtered!$G$2:$G$461,Data_filtered!$A$2:$A$461,R$1,Data_filtered!$F$2:$F$461,$A9, Data_filtered!$D$2:$D$461,"eucalipto",Data_filtered!$J$2:$J$461,"&lt;&gt;Incompleto")=0, "-", SUMIFS(Data_filtered!$G$2:$G$461,Data_filtered!$A$2:$A$461,R$1,Data_filtered!$F$2:$F$461,$A9, Data_filtered!$D$2:$D$461,"eucalipto",Data_filtered!$J$2:$J$461,"&lt;&gt;Incompleto"))</f>
        <v>-</v>
      </c>
      <c r="S9" s="107" t="str">
        <f>IF(SUMIFS(Data_filtered!$G$2:$G$461,Data_filtered!$A$2:$A$461,R$1,Data_filtered!$F$2:$F$461,$A9, Data_filtered!$D$2:$D$461,"mata",Data_filtered!$J$2:$J$461,"&lt;&gt;Incompleto")=0, "-", SUMIFS(Data_filtered!$G$2:$G$461,Data_filtered!$A$2:$A$461,R$1,Data_filtered!$F$2:$F$461,$A9, Data_filtered!$D$2:$D$461,"mata",Data_filtered!$J$2:$J$461,"&lt;&gt;Incompleto"))
</f>
        <v>-</v>
      </c>
      <c r="T9" s="106" t="str">
        <f>IF(SUMIFS(Data_filtered!$G$2:$G$461,Data_filtered!$A$2:$A$461,T$1,Data_filtered!$F$2:$F$461,$A9, Data_filtered!$D$2:$D$461,"eucalipto",Data_filtered!$J$2:$J$461,"&lt;&gt;Incompleto")=0, "-", SUMIFS(Data_filtered!$G$2:$G$461,Data_filtered!$A$2:$A$461,T$1,Data_filtered!$F$2:$F$461,$A9, Data_filtered!$D$2:$D$461,"eucalipto",Data_filtered!$J$2:$J$461,"&lt;&gt;Incompleto"))</f>
        <v>-</v>
      </c>
      <c r="U9" s="107" t="str">
        <f>IF(SUMIFS(Data_filtered!$G$2:$G$461,Data_filtered!$A$2:$A$461,T$1,Data_filtered!$F$2:$F$461,$A9, Data_filtered!$D$2:$D$461,"mata",Data_filtered!$J$2:$J$461,"&lt;&gt;Incompleto")=0, "-", SUMIFS(Data_filtered!$G$2:$G$461,Data_filtered!$A$2:$A$461,T$1,Data_filtered!$F$2:$F$461,$A9, Data_filtered!$D$2:$D$461,"mata",Data_filtered!$J$2:$J$461,"&lt;&gt;Incompleto"))
</f>
        <v>-</v>
      </c>
      <c r="V9" s="106" t="str">
        <f>IF(SUMIFS(Data_filtered!$G$2:$G$461,Data_filtered!$A$2:$A$461,V$1,Data_filtered!$F$2:$F$461,$A9, Data_filtered!$D$2:$D$461,"eucalipto",Data_filtered!$J$2:$J$461,"&lt;&gt;Incompleto")=0, "-", SUMIFS(Data_filtered!$G$2:$G$461,Data_filtered!$A$2:$A$461,V$1,Data_filtered!$F$2:$F$461,$A9, Data_filtered!$D$2:$D$461,"eucalipto",Data_filtered!$J$2:$J$461,"&lt;&gt;Incompleto"))</f>
        <v>-</v>
      </c>
      <c r="W9" s="107" t="str">
        <f>IF(SUMIFS(Data_filtered!$G$2:$G$461,Data_filtered!$A$2:$A$461,V$1,Data_filtered!$F$2:$F$461,$A9, Data_filtered!$D$2:$D$461,"mata",Data_filtered!$J$2:$J$461,"&lt;&gt;Incompleto")=0, "-", SUMIFS(Data_filtered!$G$2:$G$461,Data_filtered!$A$2:$A$461,V$1,Data_filtered!$F$2:$F$461,$A9, Data_filtered!$D$2:$D$461,"mata",Data_filtered!$J$2:$J$461,"&lt;&gt;Incompleto"))
</f>
        <v>-</v>
      </c>
      <c r="X9" s="106" t="str">
        <f>IF(SUMIFS(Data_filtered!$G$2:$G$461,Data_filtered!$A$2:$A$461,X$1,Data_filtered!$F$2:$F$461,$A9, Data_filtered!$D$2:$D$461,"eucalipto",Data_filtered!$J$2:$J$461,"&lt;&gt;Incompleto")=0, "-", SUMIFS(Data_filtered!$G$2:$G$461,Data_filtered!$A$2:$A$461,X$1,Data_filtered!$F$2:$F$461,$A9, Data_filtered!$D$2:$D$461,"eucalipto",Data_filtered!$J$2:$J$461,"&lt;&gt;Incompleto"))</f>
        <v>-</v>
      </c>
      <c r="Y9" s="107" t="str">
        <f>IF(SUMIFS(Data_filtered!$G$2:$G$461,Data_filtered!$A$2:$A$461,X$1,Data_filtered!$F$2:$F$461,$A9, Data_filtered!$D$2:$D$461,"mata",Data_filtered!$J$2:$J$461,"&lt;&gt;Incompleto")=0, "-", SUMIFS(Data_filtered!$G$2:$G$461,Data_filtered!$A$2:$A$461,X$1,Data_filtered!$F$2:$F$461,$A9, Data_filtered!$D$2:$D$461,"mata",Data_filtered!$J$2:$J$461,"&lt;&gt;Incompleto"))
</f>
        <v>-</v>
      </c>
      <c r="Z9" s="106" t="str">
        <f>IF(SUMIFS(Data_filtered!$G$2:$G$461,Data_filtered!$A$2:$A$461,Z$1,Data_filtered!$F$2:$F$461,$A9, Data_filtered!$D$2:$D$461,"eucalipto",Data_filtered!$J$2:$J$461,"&lt;&gt;Incompleto")=0, "-", SUMIFS(Data_filtered!$G$2:$G$461,Data_filtered!$A$2:$A$461,Z$1,Data_filtered!$F$2:$F$461,$A9, Data_filtered!$D$2:$D$461,"eucalipto",Data_filtered!$J$2:$J$461,"&lt;&gt;Incompleto"))</f>
        <v>-</v>
      </c>
      <c r="AA9" s="107" t="str">
        <f>IF(SUMIFS(Data_filtered!$G$2:$G$461,Data_filtered!$A$2:$A$461,Z$1,Data_filtered!$F$2:$F$461,$A9, Data_filtered!$D$2:$D$461,"mata",Data_filtered!$J$2:$J$461,"&lt;&gt;Incompleto")=0, "-", SUMIFS(Data_filtered!$G$2:$G$461,Data_filtered!$A$2:$A$461,Z$1,Data_filtered!$F$2:$F$461,$A9, Data_filtered!$D$2:$D$461,"mata",Data_filtered!$J$2:$J$461,"&lt;&gt;Incompleto"))
</f>
        <v>-</v>
      </c>
      <c r="AB9" s="106"/>
      <c r="AC9" s="107"/>
      <c r="AD9" s="106"/>
      <c r="AE9" s="107"/>
      <c r="AF9" s="106"/>
      <c r="AG9" s="107"/>
      <c r="AH9" s="106"/>
      <c r="AI9" s="107"/>
      <c r="AJ9" s="106"/>
      <c r="AK9" s="107"/>
      <c r="AL9" s="106"/>
      <c r="AM9" s="107"/>
      <c r="AN9" s="106"/>
      <c r="AO9" s="107"/>
      <c r="AP9" s="106"/>
      <c r="AQ9" s="107"/>
      <c r="AR9" s="106"/>
      <c r="AS9" s="107"/>
    </row>
    <row r="10">
      <c r="A10" s="15" t="str">
        <f>IFERROR(__xludf.DUMMYFUNCTION("""COMPUTED_VALUE"""),"Dermaptera")</f>
        <v>Dermaptera</v>
      </c>
      <c r="B10" s="106" t="str">
        <f>IF(SUMIFS(Data_filtered!$G$2:$G$461,Data_filtered!$A$2:$A$461,B$1,Data_filtered!$F$2:$F$461,$A10, Data_filtered!$D$2:$D$461,"eucalipto",Data_filtered!$J$2:$J$461,"&lt;&gt;Incompleto")=0, "-", SUMIFS(Data_filtered!$G$2:$G$461,Data_filtered!$A$2:$A$461,B$1,Data_filtered!$F$2:$F$461,$A10, Data_filtered!$D$2:$D$461,"eucalipto",Data_filtered!$J$2:$J$461,"&lt;&gt;Incompleto"))</f>
        <v>-</v>
      </c>
      <c r="C10" s="107" t="str">
        <f>IF(SUMIFS(Data_filtered!$G$2:$G$461,Data_filtered!$A$2:$A$461,B$1,Data_filtered!$F$2:$F$461,$A10, Data_filtered!$D$2:$D$461,"mata",Data_filtered!$J$2:$J$461,"&lt;&gt;Incompleto")=0, "-", SUMIFS(Data_filtered!$G$2:$G$461,Data_filtered!$A$2:$A$461,B$1,Data_filtered!$F$2:$F$461,$A10, Data_filtered!$D$2:$D$461,"mata",Data_filtered!$J$2:$J$461,"&lt;&gt;Incompleto"))
</f>
        <v>-</v>
      </c>
      <c r="D10" s="106" t="str">
        <f>IF(SUMIFS(Data_filtered!$G$2:$G$461,Data_filtered!$A$2:$A$461,D$1,Data_filtered!$F$2:$F$461,$A10, Data_filtered!$D$2:$D$461,"eucalipto",Data_filtered!$J$2:$J$461,"&lt;&gt;Incompleto")=0, "-", SUMIFS(Data_filtered!$G$2:$G$461,Data_filtered!$A$2:$A$461,D$1,Data_filtered!$F$2:$F$461,$A10, Data_filtered!$D$2:$D$461,"eucalipto",Data_filtered!$J$2:$J$461,"&lt;&gt;Incompleto"))</f>
        <v>-</v>
      </c>
      <c r="E10" s="107" t="str">
        <f>IF(SUMIFS(Data_filtered!$G$2:$G$461,Data_filtered!$A$2:$A$461,D$1,Data_filtered!$F$2:$F$461,$A10, Data_filtered!$D$2:$D$461,"mata",Data_filtered!$J$2:$J$461,"&lt;&gt;Incompleto")=0, "-", SUMIFS(Data_filtered!$G$2:$G$461,Data_filtered!$A$2:$A$461,D$1,Data_filtered!$F$2:$F$461,$A10, Data_filtered!$D$2:$D$461,"mata",Data_filtered!$J$2:$J$461,"&lt;&gt;Incompleto"))
</f>
        <v>-</v>
      </c>
      <c r="F10" s="106" t="str">
        <f>IF(SUMIFS(Data_filtered!$G$2:$G$461,Data_filtered!$A$2:$A$461,F$1,Data_filtered!$F$2:$F$461,$A10, Data_filtered!$D$2:$D$461,"eucalipto",Data_filtered!$J$2:$J$461,"&lt;&gt;Incompleto")=0, "-", SUMIFS(Data_filtered!$G$2:$G$461,Data_filtered!$A$2:$A$461,F$1,Data_filtered!$F$2:$F$461,$A10, Data_filtered!$D$2:$D$461,"eucalipto",Data_filtered!$J$2:$J$461,"&lt;&gt;Incompleto"))</f>
        <v>-</v>
      </c>
      <c r="G10" s="107" t="str">
        <f>IF(SUMIFS(Data_filtered!$G$2:$G$461,Data_filtered!$A$2:$A$461,F$1,Data_filtered!$F$2:$F$461,$A10, Data_filtered!$D$2:$D$461,"mata",Data_filtered!$J$2:$J$461,"&lt;&gt;Incompleto")=0, "-", SUMIFS(Data_filtered!$G$2:$G$461,Data_filtered!$A$2:$A$461,F$1,Data_filtered!$F$2:$F$461,$A10, Data_filtered!$D$2:$D$461,"mata",Data_filtered!$J$2:$J$461,"&lt;&gt;Incompleto"))
</f>
        <v>-</v>
      </c>
      <c r="H10" s="106">
        <f>IF(SUMIFS(Data_filtered!$G$2:$G$461,Data_filtered!$A$2:$A$461,H$1,Data_filtered!$F$2:$F$461,$A10, Data_filtered!$D$2:$D$461,"eucalipto",Data_filtered!$J$2:$J$461,"&lt;&gt;Incompleto")=0, "-", SUMIFS(Data_filtered!$G$2:$G$461,Data_filtered!$A$2:$A$461,H$1,Data_filtered!$F$2:$F$461,$A10, Data_filtered!$D$2:$D$461,"eucalipto",Data_filtered!$J$2:$J$461,"&lt;&gt;Incompleto"))</f>
        <v>1</v>
      </c>
      <c r="I10" s="107">
        <f>IF(SUMIFS(Data_filtered!$G$2:$G$461,Data_filtered!$A$2:$A$461,H$1,Data_filtered!$F$2:$F$461,$A10, Data_filtered!$D$2:$D$461,"mata",Data_filtered!$J$2:$J$461,"&lt;&gt;Incompleto")=0, "-", SUMIFS(Data_filtered!$G$2:$G$461,Data_filtered!$A$2:$A$461,H$1,Data_filtered!$F$2:$F$461,$A10, Data_filtered!$D$2:$D$461,"mata",Data_filtered!$J$2:$J$461,"&lt;&gt;Incompleto"))
</f>
        <v>1</v>
      </c>
      <c r="J10" s="106" t="str">
        <f>IF(SUMIFS(Data_filtered!$G$2:$G$461,Data_filtered!$A$2:$A$461,J$1,Data_filtered!$F$2:$F$461,$A10, Data_filtered!$D$2:$D$461,"eucalipto",Data_filtered!$J$2:$J$461,"&lt;&gt;Incompleto")=0, "-", SUMIFS(Data_filtered!$G$2:$G$461,Data_filtered!$A$2:$A$461,J$1,Data_filtered!$F$2:$F$461,$A10, Data_filtered!$D$2:$D$461,"eucalipto",Data_filtered!$J$2:$J$461,"&lt;&gt;Incompleto"))</f>
        <v>-</v>
      </c>
      <c r="K10" s="107" t="str">
        <f>IF(SUMIFS(Data_filtered!$G$2:$G$461,Data_filtered!$A$2:$A$461,J$1,Data_filtered!$F$2:$F$461,$A10, Data_filtered!$D$2:$D$461,"mata",Data_filtered!$J$2:$J$461,"&lt;&gt;Incompleto")=0, "-", SUMIFS(Data_filtered!$G$2:$G$461,Data_filtered!$A$2:$A$461,J$1,Data_filtered!$F$2:$F$461,$A10, Data_filtered!$D$2:$D$461,"mata",Data_filtered!$J$2:$J$461,"&lt;&gt;Incompleto"))
</f>
        <v>-</v>
      </c>
      <c r="L10" s="106" t="str">
        <f>IF(SUMIFS(Data_filtered!$G$2:$G$461,Data_filtered!$A$2:$A$461,L$1,Data_filtered!$F$2:$F$461,$A10, Data_filtered!$D$2:$D$461,"eucalipto",Data_filtered!$J$2:$J$461,"&lt;&gt;Incompleto")=0, "-", SUMIFS(Data_filtered!$G$2:$G$461,Data_filtered!$A$2:$A$461,L$1,Data_filtered!$F$2:$F$461,$A10, Data_filtered!$D$2:$D$461,"eucalipto",Data_filtered!$J$2:$J$461,"&lt;&gt;Incompleto"))</f>
        <v>-</v>
      </c>
      <c r="M10" s="107" t="str">
        <f>IF(SUMIFS(Data_filtered!$G$2:$G$461,Data_filtered!$A$2:$A$461,L$1,Data_filtered!$F$2:$F$461,$A10, Data_filtered!$D$2:$D$461,"mata",Data_filtered!$J$2:$J$461,"&lt;&gt;Incompleto")=0, "-", SUMIFS(Data_filtered!$G$2:$G$461,Data_filtered!$A$2:$A$461,L$1,Data_filtered!$F$2:$F$461,$A10, Data_filtered!$D$2:$D$461,"mata",Data_filtered!$J$2:$J$461,"&lt;&gt;Incompleto"))
</f>
        <v>-</v>
      </c>
      <c r="N10" s="106" t="str">
        <f>IF(SUMIFS(Data_filtered!$G$2:$G$461,Data_filtered!$A$2:$A$461,N$1,Data_filtered!$F$2:$F$461,$A10, Data_filtered!$D$2:$D$461,"eucalipto",Data_filtered!$J$2:$J$461,"&lt;&gt;Incompleto")=0, "-", SUMIFS(Data_filtered!$G$2:$G$461,Data_filtered!$A$2:$A$461,N$1,Data_filtered!$F$2:$F$461,$A10, Data_filtered!$D$2:$D$461,"eucalipto",Data_filtered!$J$2:$J$461,"&lt;&gt;Incompleto"))</f>
        <v>-</v>
      </c>
      <c r="O10" s="107" t="str">
        <f>IF(SUMIFS(Data_filtered!$G$2:$G$461,Data_filtered!$A$2:$A$461,N$1,Data_filtered!$F$2:$F$461,$A10, Data_filtered!$D$2:$D$461,"mata",Data_filtered!$J$2:$J$461,"&lt;&gt;Incompleto")=0, "-", SUMIFS(Data_filtered!$G$2:$G$461,Data_filtered!$A$2:$A$461,N$1,Data_filtered!$F$2:$F$461,$A10, Data_filtered!$D$2:$D$461,"mata",Data_filtered!$J$2:$J$461,"&lt;&gt;Incompleto"))
</f>
        <v>-</v>
      </c>
      <c r="P10" s="106" t="str">
        <f>IF(SUMIFS(Data_filtered!$G$2:$G$461,Data_filtered!$A$2:$A$461,P$1,Data_filtered!$F$2:$F$461,$A10, Data_filtered!$D$2:$D$461,"eucalipto",Data_filtered!$J$2:$J$461,"&lt;&gt;Incompleto")=0, "-", SUMIFS(Data_filtered!$G$2:$G$461,Data_filtered!$A$2:$A$461,P$1,Data_filtered!$F$2:$F$461,$A10, Data_filtered!$D$2:$D$461,"eucalipto",Data_filtered!$J$2:$J$461,"&lt;&gt;Incompleto"))</f>
        <v>-</v>
      </c>
      <c r="Q10" s="107" t="str">
        <f>IF(SUMIFS(Data_filtered!$G$2:$G$461,Data_filtered!$A$2:$A$461,P$1,Data_filtered!$F$2:$F$461,$A10, Data_filtered!$D$2:$D$461,"mata",Data_filtered!$J$2:$J$461,"&lt;&gt;Incompleto")=0, "-", SUMIFS(Data_filtered!$G$2:$G$461,Data_filtered!$A$2:$A$461,P$1,Data_filtered!$F$2:$F$461,$A10, Data_filtered!$D$2:$D$461,"mata",Data_filtered!$J$2:$J$461,"&lt;&gt;Incompleto"))
</f>
        <v>-</v>
      </c>
      <c r="R10" s="106" t="str">
        <f>IF(SUMIFS(Data_filtered!$G$2:$G$461,Data_filtered!$A$2:$A$461,R$1,Data_filtered!$F$2:$F$461,$A10, Data_filtered!$D$2:$D$461,"eucalipto",Data_filtered!$J$2:$J$461,"&lt;&gt;Incompleto")=0, "-", SUMIFS(Data_filtered!$G$2:$G$461,Data_filtered!$A$2:$A$461,R$1,Data_filtered!$F$2:$F$461,$A10, Data_filtered!$D$2:$D$461,"eucalipto",Data_filtered!$J$2:$J$461,"&lt;&gt;Incompleto"))</f>
        <v>-</v>
      </c>
      <c r="S10" s="107" t="str">
        <f>IF(SUMIFS(Data_filtered!$G$2:$G$461,Data_filtered!$A$2:$A$461,R$1,Data_filtered!$F$2:$F$461,$A10, Data_filtered!$D$2:$D$461,"mata",Data_filtered!$J$2:$J$461,"&lt;&gt;Incompleto")=0, "-", SUMIFS(Data_filtered!$G$2:$G$461,Data_filtered!$A$2:$A$461,R$1,Data_filtered!$F$2:$F$461,$A10, Data_filtered!$D$2:$D$461,"mata",Data_filtered!$J$2:$J$461,"&lt;&gt;Incompleto"))
</f>
        <v>-</v>
      </c>
      <c r="T10" s="106" t="str">
        <f>IF(SUMIFS(Data_filtered!$G$2:$G$461,Data_filtered!$A$2:$A$461,T$1,Data_filtered!$F$2:$F$461,$A10, Data_filtered!$D$2:$D$461,"eucalipto",Data_filtered!$J$2:$J$461,"&lt;&gt;Incompleto")=0, "-", SUMIFS(Data_filtered!$G$2:$G$461,Data_filtered!$A$2:$A$461,T$1,Data_filtered!$F$2:$F$461,$A10, Data_filtered!$D$2:$D$461,"eucalipto",Data_filtered!$J$2:$J$461,"&lt;&gt;Incompleto"))</f>
        <v>-</v>
      </c>
      <c r="U10" s="107" t="str">
        <f>IF(SUMIFS(Data_filtered!$G$2:$G$461,Data_filtered!$A$2:$A$461,T$1,Data_filtered!$F$2:$F$461,$A10, Data_filtered!$D$2:$D$461,"mata",Data_filtered!$J$2:$J$461,"&lt;&gt;Incompleto")=0, "-", SUMIFS(Data_filtered!$G$2:$G$461,Data_filtered!$A$2:$A$461,T$1,Data_filtered!$F$2:$F$461,$A10, Data_filtered!$D$2:$D$461,"mata",Data_filtered!$J$2:$J$461,"&lt;&gt;Incompleto"))
</f>
        <v>-</v>
      </c>
      <c r="V10" s="106" t="str">
        <f>IF(SUMIFS(Data_filtered!$G$2:$G$461,Data_filtered!$A$2:$A$461,V$1,Data_filtered!$F$2:$F$461,$A10, Data_filtered!$D$2:$D$461,"eucalipto",Data_filtered!$J$2:$J$461,"&lt;&gt;Incompleto")=0, "-", SUMIFS(Data_filtered!$G$2:$G$461,Data_filtered!$A$2:$A$461,V$1,Data_filtered!$F$2:$F$461,$A10, Data_filtered!$D$2:$D$461,"eucalipto",Data_filtered!$J$2:$J$461,"&lt;&gt;Incompleto"))</f>
        <v>-</v>
      </c>
      <c r="W10" s="107">
        <f>IF(SUMIFS(Data_filtered!$G$2:$G$461,Data_filtered!$A$2:$A$461,V$1,Data_filtered!$F$2:$F$461,$A10, Data_filtered!$D$2:$D$461,"mata",Data_filtered!$J$2:$J$461,"&lt;&gt;Incompleto")=0, "-", SUMIFS(Data_filtered!$G$2:$G$461,Data_filtered!$A$2:$A$461,V$1,Data_filtered!$F$2:$F$461,$A10, Data_filtered!$D$2:$D$461,"mata",Data_filtered!$J$2:$J$461,"&lt;&gt;Incompleto"))
</f>
        <v>5</v>
      </c>
      <c r="X10" s="106" t="str">
        <f>IF(SUMIFS(Data_filtered!$G$2:$G$461,Data_filtered!$A$2:$A$461,X$1,Data_filtered!$F$2:$F$461,$A10, Data_filtered!$D$2:$D$461,"eucalipto",Data_filtered!$J$2:$J$461,"&lt;&gt;Incompleto")=0, "-", SUMIFS(Data_filtered!$G$2:$G$461,Data_filtered!$A$2:$A$461,X$1,Data_filtered!$F$2:$F$461,$A10, Data_filtered!$D$2:$D$461,"eucalipto",Data_filtered!$J$2:$J$461,"&lt;&gt;Incompleto"))</f>
        <v>-</v>
      </c>
      <c r="Y10" s="107" t="str">
        <f>IF(SUMIFS(Data_filtered!$G$2:$G$461,Data_filtered!$A$2:$A$461,X$1,Data_filtered!$F$2:$F$461,$A10, Data_filtered!$D$2:$D$461,"mata",Data_filtered!$J$2:$J$461,"&lt;&gt;Incompleto")=0, "-", SUMIFS(Data_filtered!$G$2:$G$461,Data_filtered!$A$2:$A$461,X$1,Data_filtered!$F$2:$F$461,$A10, Data_filtered!$D$2:$D$461,"mata",Data_filtered!$J$2:$J$461,"&lt;&gt;Incompleto"))
</f>
        <v>-</v>
      </c>
      <c r="Z10" s="106" t="str">
        <f>IF(SUMIFS(Data_filtered!$G$2:$G$461,Data_filtered!$A$2:$A$461,Z$1,Data_filtered!$F$2:$F$461,$A10, Data_filtered!$D$2:$D$461,"eucalipto",Data_filtered!$J$2:$J$461,"&lt;&gt;Incompleto")=0, "-", SUMIFS(Data_filtered!$G$2:$G$461,Data_filtered!$A$2:$A$461,Z$1,Data_filtered!$F$2:$F$461,$A10, Data_filtered!$D$2:$D$461,"eucalipto",Data_filtered!$J$2:$J$461,"&lt;&gt;Incompleto"))</f>
        <v>-</v>
      </c>
      <c r="AA10" s="107" t="str">
        <f>IF(SUMIFS(Data_filtered!$G$2:$G$461,Data_filtered!$A$2:$A$461,Z$1,Data_filtered!$F$2:$F$461,$A10, Data_filtered!$D$2:$D$461,"mata",Data_filtered!$J$2:$J$461,"&lt;&gt;Incompleto")=0, "-", SUMIFS(Data_filtered!$G$2:$G$461,Data_filtered!$A$2:$A$461,Z$1,Data_filtered!$F$2:$F$461,$A10, Data_filtered!$D$2:$D$461,"mata",Data_filtered!$J$2:$J$461,"&lt;&gt;Incompleto"))
</f>
        <v>-</v>
      </c>
      <c r="AB10" s="106"/>
      <c r="AC10" s="107"/>
      <c r="AD10" s="106"/>
      <c r="AE10" s="107"/>
      <c r="AF10" s="106"/>
      <c r="AG10" s="107"/>
      <c r="AH10" s="106"/>
      <c r="AI10" s="107"/>
      <c r="AJ10" s="106"/>
      <c r="AK10" s="107"/>
      <c r="AL10" s="106"/>
      <c r="AM10" s="107"/>
      <c r="AN10" s="106"/>
      <c r="AO10" s="107"/>
      <c r="AP10" s="106"/>
      <c r="AQ10" s="107"/>
      <c r="AR10" s="106"/>
      <c r="AS10" s="107"/>
    </row>
    <row r="11">
      <c r="A11" s="15" t="str">
        <f>IFERROR(__xludf.DUMMYFUNCTION("""COMPUTED_VALUE"""),"Diplopoda")</f>
        <v>Diplopoda</v>
      </c>
      <c r="B11" s="106" t="str">
        <f>IF(SUMIFS(Data_filtered!$G$2:$G$461,Data_filtered!$A$2:$A$461,B$1,Data_filtered!$F$2:$F$461,$A11, Data_filtered!$D$2:$D$461,"eucalipto",Data_filtered!$J$2:$J$461,"&lt;&gt;Incompleto")=0, "-", SUMIFS(Data_filtered!$G$2:$G$461,Data_filtered!$A$2:$A$461,B$1,Data_filtered!$F$2:$F$461,$A11, Data_filtered!$D$2:$D$461,"eucalipto",Data_filtered!$J$2:$J$461,"&lt;&gt;Incompleto"))</f>
        <v>-</v>
      </c>
      <c r="C11" s="107" t="str">
        <f>IF(SUMIFS(Data_filtered!$G$2:$G$461,Data_filtered!$A$2:$A$461,B$1,Data_filtered!$F$2:$F$461,$A11, Data_filtered!$D$2:$D$461,"mata",Data_filtered!$J$2:$J$461,"&lt;&gt;Incompleto")=0, "-", SUMIFS(Data_filtered!$G$2:$G$461,Data_filtered!$A$2:$A$461,B$1,Data_filtered!$F$2:$F$461,$A11, Data_filtered!$D$2:$D$461,"mata",Data_filtered!$J$2:$J$461,"&lt;&gt;Incompleto"))
</f>
        <v>-</v>
      </c>
      <c r="D11" s="106" t="str">
        <f>IF(SUMIFS(Data_filtered!$G$2:$G$461,Data_filtered!$A$2:$A$461,D$1,Data_filtered!$F$2:$F$461,$A11, Data_filtered!$D$2:$D$461,"eucalipto",Data_filtered!$J$2:$J$461,"&lt;&gt;Incompleto")=0, "-", SUMIFS(Data_filtered!$G$2:$G$461,Data_filtered!$A$2:$A$461,D$1,Data_filtered!$F$2:$F$461,$A11, Data_filtered!$D$2:$D$461,"eucalipto",Data_filtered!$J$2:$J$461,"&lt;&gt;Incompleto"))</f>
        <v>-</v>
      </c>
      <c r="E11" s="107" t="str">
        <f>IF(SUMIFS(Data_filtered!$G$2:$G$461,Data_filtered!$A$2:$A$461,D$1,Data_filtered!$F$2:$F$461,$A11, Data_filtered!$D$2:$D$461,"mata",Data_filtered!$J$2:$J$461,"&lt;&gt;Incompleto")=0, "-", SUMIFS(Data_filtered!$G$2:$G$461,Data_filtered!$A$2:$A$461,D$1,Data_filtered!$F$2:$F$461,$A11, Data_filtered!$D$2:$D$461,"mata",Data_filtered!$J$2:$J$461,"&lt;&gt;Incompleto"))
</f>
        <v>-</v>
      </c>
      <c r="F11" s="106" t="str">
        <f>IF(SUMIFS(Data_filtered!$G$2:$G$461,Data_filtered!$A$2:$A$461,F$1,Data_filtered!$F$2:$F$461,$A11, Data_filtered!$D$2:$D$461,"eucalipto",Data_filtered!$J$2:$J$461,"&lt;&gt;Incompleto")=0, "-", SUMIFS(Data_filtered!$G$2:$G$461,Data_filtered!$A$2:$A$461,F$1,Data_filtered!$F$2:$F$461,$A11, Data_filtered!$D$2:$D$461,"eucalipto",Data_filtered!$J$2:$J$461,"&lt;&gt;Incompleto"))</f>
        <v>-</v>
      </c>
      <c r="G11" s="107" t="str">
        <f>IF(SUMIFS(Data_filtered!$G$2:$G$461,Data_filtered!$A$2:$A$461,F$1,Data_filtered!$F$2:$F$461,$A11, Data_filtered!$D$2:$D$461,"mata",Data_filtered!$J$2:$J$461,"&lt;&gt;Incompleto")=0, "-", SUMIFS(Data_filtered!$G$2:$G$461,Data_filtered!$A$2:$A$461,F$1,Data_filtered!$F$2:$F$461,$A11, Data_filtered!$D$2:$D$461,"mata",Data_filtered!$J$2:$J$461,"&lt;&gt;Incompleto"))
</f>
        <v>-</v>
      </c>
      <c r="H11" s="106" t="str">
        <f>IF(SUMIFS(Data_filtered!$G$2:$G$461,Data_filtered!$A$2:$A$461,H$1,Data_filtered!$F$2:$F$461,$A11, Data_filtered!$D$2:$D$461,"eucalipto",Data_filtered!$J$2:$J$461,"&lt;&gt;Incompleto")=0, "-", SUMIFS(Data_filtered!$G$2:$G$461,Data_filtered!$A$2:$A$461,H$1,Data_filtered!$F$2:$F$461,$A11, Data_filtered!$D$2:$D$461,"eucalipto",Data_filtered!$J$2:$J$461,"&lt;&gt;Incompleto"))</f>
        <v>-</v>
      </c>
      <c r="I11" s="107" t="str">
        <f>IF(SUMIFS(Data_filtered!$G$2:$G$461,Data_filtered!$A$2:$A$461,H$1,Data_filtered!$F$2:$F$461,$A11, Data_filtered!$D$2:$D$461,"mata",Data_filtered!$J$2:$J$461,"&lt;&gt;Incompleto")=0, "-", SUMIFS(Data_filtered!$G$2:$G$461,Data_filtered!$A$2:$A$461,H$1,Data_filtered!$F$2:$F$461,$A11, Data_filtered!$D$2:$D$461,"mata",Data_filtered!$J$2:$J$461,"&lt;&gt;Incompleto"))
</f>
        <v>-</v>
      </c>
      <c r="J11" s="106" t="str">
        <f>IF(SUMIFS(Data_filtered!$G$2:$G$461,Data_filtered!$A$2:$A$461,J$1,Data_filtered!$F$2:$F$461,$A11, Data_filtered!$D$2:$D$461,"eucalipto",Data_filtered!$J$2:$J$461,"&lt;&gt;Incompleto")=0, "-", SUMIFS(Data_filtered!$G$2:$G$461,Data_filtered!$A$2:$A$461,J$1,Data_filtered!$F$2:$F$461,$A11, Data_filtered!$D$2:$D$461,"eucalipto",Data_filtered!$J$2:$J$461,"&lt;&gt;Incompleto"))</f>
        <v>-</v>
      </c>
      <c r="K11" s="107" t="str">
        <f>IF(SUMIFS(Data_filtered!$G$2:$G$461,Data_filtered!$A$2:$A$461,J$1,Data_filtered!$F$2:$F$461,$A11, Data_filtered!$D$2:$D$461,"mata",Data_filtered!$J$2:$J$461,"&lt;&gt;Incompleto")=0, "-", SUMIFS(Data_filtered!$G$2:$G$461,Data_filtered!$A$2:$A$461,J$1,Data_filtered!$F$2:$F$461,$A11, Data_filtered!$D$2:$D$461,"mata",Data_filtered!$J$2:$J$461,"&lt;&gt;Incompleto"))
</f>
        <v>-</v>
      </c>
      <c r="L11" s="106" t="str">
        <f>IF(SUMIFS(Data_filtered!$G$2:$G$461,Data_filtered!$A$2:$A$461,L$1,Data_filtered!$F$2:$F$461,$A11, Data_filtered!$D$2:$D$461,"eucalipto",Data_filtered!$J$2:$J$461,"&lt;&gt;Incompleto")=0, "-", SUMIFS(Data_filtered!$G$2:$G$461,Data_filtered!$A$2:$A$461,L$1,Data_filtered!$F$2:$F$461,$A11, Data_filtered!$D$2:$D$461,"eucalipto",Data_filtered!$J$2:$J$461,"&lt;&gt;Incompleto"))</f>
        <v>-</v>
      </c>
      <c r="M11" s="107" t="str">
        <f>IF(SUMIFS(Data_filtered!$G$2:$G$461,Data_filtered!$A$2:$A$461,L$1,Data_filtered!$F$2:$F$461,$A11, Data_filtered!$D$2:$D$461,"mata",Data_filtered!$J$2:$J$461,"&lt;&gt;Incompleto")=0, "-", SUMIFS(Data_filtered!$G$2:$G$461,Data_filtered!$A$2:$A$461,L$1,Data_filtered!$F$2:$F$461,$A11, Data_filtered!$D$2:$D$461,"mata",Data_filtered!$J$2:$J$461,"&lt;&gt;Incompleto"))
</f>
        <v>-</v>
      </c>
      <c r="N11" s="106" t="str">
        <f>IF(SUMIFS(Data_filtered!$G$2:$G$461,Data_filtered!$A$2:$A$461,N$1,Data_filtered!$F$2:$F$461,$A11, Data_filtered!$D$2:$D$461,"eucalipto",Data_filtered!$J$2:$J$461,"&lt;&gt;Incompleto")=0, "-", SUMIFS(Data_filtered!$G$2:$G$461,Data_filtered!$A$2:$A$461,N$1,Data_filtered!$F$2:$F$461,$A11, Data_filtered!$D$2:$D$461,"eucalipto",Data_filtered!$J$2:$J$461,"&lt;&gt;Incompleto"))</f>
        <v>-</v>
      </c>
      <c r="O11" s="107" t="str">
        <f>IF(SUMIFS(Data_filtered!$G$2:$G$461,Data_filtered!$A$2:$A$461,N$1,Data_filtered!$F$2:$F$461,$A11, Data_filtered!$D$2:$D$461,"mata",Data_filtered!$J$2:$J$461,"&lt;&gt;Incompleto")=0, "-", SUMIFS(Data_filtered!$G$2:$G$461,Data_filtered!$A$2:$A$461,N$1,Data_filtered!$F$2:$F$461,$A11, Data_filtered!$D$2:$D$461,"mata",Data_filtered!$J$2:$J$461,"&lt;&gt;Incompleto"))
</f>
        <v>-</v>
      </c>
      <c r="P11" s="106" t="str">
        <f>IF(SUMIFS(Data_filtered!$G$2:$G$461,Data_filtered!$A$2:$A$461,P$1,Data_filtered!$F$2:$F$461,$A11, Data_filtered!$D$2:$D$461,"eucalipto",Data_filtered!$J$2:$J$461,"&lt;&gt;Incompleto")=0, "-", SUMIFS(Data_filtered!$G$2:$G$461,Data_filtered!$A$2:$A$461,P$1,Data_filtered!$F$2:$F$461,$A11, Data_filtered!$D$2:$D$461,"eucalipto",Data_filtered!$J$2:$J$461,"&lt;&gt;Incompleto"))</f>
        <v>-</v>
      </c>
      <c r="Q11" s="107" t="str">
        <f>IF(SUMIFS(Data_filtered!$G$2:$G$461,Data_filtered!$A$2:$A$461,P$1,Data_filtered!$F$2:$F$461,$A11, Data_filtered!$D$2:$D$461,"mata",Data_filtered!$J$2:$J$461,"&lt;&gt;Incompleto")=0, "-", SUMIFS(Data_filtered!$G$2:$G$461,Data_filtered!$A$2:$A$461,P$1,Data_filtered!$F$2:$F$461,$A11, Data_filtered!$D$2:$D$461,"mata",Data_filtered!$J$2:$J$461,"&lt;&gt;Incompleto"))
</f>
        <v>-</v>
      </c>
      <c r="R11" s="106" t="str">
        <f>IF(SUMIFS(Data_filtered!$G$2:$G$461,Data_filtered!$A$2:$A$461,R$1,Data_filtered!$F$2:$F$461,$A11, Data_filtered!$D$2:$D$461,"eucalipto",Data_filtered!$J$2:$J$461,"&lt;&gt;Incompleto")=0, "-", SUMIFS(Data_filtered!$G$2:$G$461,Data_filtered!$A$2:$A$461,R$1,Data_filtered!$F$2:$F$461,$A11, Data_filtered!$D$2:$D$461,"eucalipto",Data_filtered!$J$2:$J$461,"&lt;&gt;Incompleto"))</f>
        <v>-</v>
      </c>
      <c r="S11" s="107">
        <f>IF(SUMIFS(Data_filtered!$G$2:$G$461,Data_filtered!$A$2:$A$461,R$1,Data_filtered!$F$2:$F$461,$A11, Data_filtered!$D$2:$D$461,"mata",Data_filtered!$J$2:$J$461,"&lt;&gt;Incompleto")=0, "-", SUMIFS(Data_filtered!$G$2:$G$461,Data_filtered!$A$2:$A$461,R$1,Data_filtered!$F$2:$F$461,$A11, Data_filtered!$D$2:$D$461,"mata",Data_filtered!$J$2:$J$461,"&lt;&gt;Incompleto"))
</f>
        <v>1</v>
      </c>
      <c r="T11" s="106" t="str">
        <f>IF(SUMIFS(Data_filtered!$G$2:$G$461,Data_filtered!$A$2:$A$461,T$1,Data_filtered!$F$2:$F$461,$A11, Data_filtered!$D$2:$D$461,"eucalipto",Data_filtered!$J$2:$J$461,"&lt;&gt;Incompleto")=0, "-", SUMIFS(Data_filtered!$G$2:$G$461,Data_filtered!$A$2:$A$461,T$1,Data_filtered!$F$2:$F$461,$A11, Data_filtered!$D$2:$D$461,"eucalipto",Data_filtered!$J$2:$J$461,"&lt;&gt;Incompleto"))</f>
        <v>-</v>
      </c>
      <c r="U11" s="107" t="str">
        <f>IF(SUMIFS(Data_filtered!$G$2:$G$461,Data_filtered!$A$2:$A$461,T$1,Data_filtered!$F$2:$F$461,$A11, Data_filtered!$D$2:$D$461,"mata",Data_filtered!$J$2:$J$461,"&lt;&gt;Incompleto")=0, "-", SUMIFS(Data_filtered!$G$2:$G$461,Data_filtered!$A$2:$A$461,T$1,Data_filtered!$F$2:$F$461,$A11, Data_filtered!$D$2:$D$461,"mata",Data_filtered!$J$2:$J$461,"&lt;&gt;Incompleto"))
</f>
        <v>-</v>
      </c>
      <c r="V11" s="106" t="str">
        <f>IF(SUMIFS(Data_filtered!$G$2:$G$461,Data_filtered!$A$2:$A$461,V$1,Data_filtered!$F$2:$F$461,$A11, Data_filtered!$D$2:$D$461,"eucalipto",Data_filtered!$J$2:$J$461,"&lt;&gt;Incompleto")=0, "-", SUMIFS(Data_filtered!$G$2:$G$461,Data_filtered!$A$2:$A$461,V$1,Data_filtered!$F$2:$F$461,$A11, Data_filtered!$D$2:$D$461,"eucalipto",Data_filtered!$J$2:$J$461,"&lt;&gt;Incompleto"))</f>
        <v>-</v>
      </c>
      <c r="W11" s="107">
        <f>IF(SUMIFS(Data_filtered!$G$2:$G$461,Data_filtered!$A$2:$A$461,V$1,Data_filtered!$F$2:$F$461,$A11, Data_filtered!$D$2:$D$461,"mata",Data_filtered!$J$2:$J$461,"&lt;&gt;Incompleto")=0, "-", SUMIFS(Data_filtered!$G$2:$G$461,Data_filtered!$A$2:$A$461,V$1,Data_filtered!$F$2:$F$461,$A11, Data_filtered!$D$2:$D$461,"mata",Data_filtered!$J$2:$J$461,"&lt;&gt;Incompleto"))
</f>
        <v>3</v>
      </c>
      <c r="X11" s="106" t="str">
        <f>IF(SUMIFS(Data_filtered!$G$2:$G$461,Data_filtered!$A$2:$A$461,X$1,Data_filtered!$F$2:$F$461,$A11, Data_filtered!$D$2:$D$461,"eucalipto",Data_filtered!$J$2:$J$461,"&lt;&gt;Incompleto")=0, "-", SUMIFS(Data_filtered!$G$2:$G$461,Data_filtered!$A$2:$A$461,X$1,Data_filtered!$F$2:$F$461,$A11, Data_filtered!$D$2:$D$461,"eucalipto",Data_filtered!$J$2:$J$461,"&lt;&gt;Incompleto"))</f>
        <v>-</v>
      </c>
      <c r="Y11" s="107">
        <f>IF(SUMIFS(Data_filtered!$G$2:$G$461,Data_filtered!$A$2:$A$461,X$1,Data_filtered!$F$2:$F$461,$A11, Data_filtered!$D$2:$D$461,"mata",Data_filtered!$J$2:$J$461,"&lt;&gt;Incompleto")=0, "-", SUMIFS(Data_filtered!$G$2:$G$461,Data_filtered!$A$2:$A$461,X$1,Data_filtered!$F$2:$F$461,$A11, Data_filtered!$D$2:$D$461,"mata",Data_filtered!$J$2:$J$461,"&lt;&gt;Incompleto"))
</f>
        <v>1</v>
      </c>
      <c r="Z11" s="106" t="str">
        <f>IF(SUMIFS(Data_filtered!$G$2:$G$461,Data_filtered!$A$2:$A$461,Z$1,Data_filtered!$F$2:$F$461,$A11, Data_filtered!$D$2:$D$461,"eucalipto",Data_filtered!$J$2:$J$461,"&lt;&gt;Incompleto")=0, "-", SUMIFS(Data_filtered!$G$2:$G$461,Data_filtered!$A$2:$A$461,Z$1,Data_filtered!$F$2:$F$461,$A11, Data_filtered!$D$2:$D$461,"eucalipto",Data_filtered!$J$2:$J$461,"&lt;&gt;Incompleto"))</f>
        <v>-</v>
      </c>
      <c r="AA11" s="107" t="str">
        <f>IF(SUMIFS(Data_filtered!$G$2:$G$461,Data_filtered!$A$2:$A$461,Z$1,Data_filtered!$F$2:$F$461,$A11, Data_filtered!$D$2:$D$461,"mata",Data_filtered!$J$2:$J$461,"&lt;&gt;Incompleto")=0, "-", SUMIFS(Data_filtered!$G$2:$G$461,Data_filtered!$A$2:$A$461,Z$1,Data_filtered!$F$2:$F$461,$A11, Data_filtered!$D$2:$D$461,"mata",Data_filtered!$J$2:$J$461,"&lt;&gt;Incompleto"))
</f>
        <v>-</v>
      </c>
      <c r="AB11" s="106"/>
      <c r="AC11" s="107"/>
      <c r="AD11" s="106"/>
      <c r="AE11" s="107"/>
      <c r="AF11" s="106"/>
      <c r="AG11" s="107"/>
      <c r="AH11" s="106"/>
      <c r="AI11" s="107"/>
      <c r="AJ11" s="106"/>
      <c r="AK11" s="107"/>
      <c r="AL11" s="106"/>
      <c r="AM11" s="107"/>
      <c r="AN11" s="106"/>
      <c r="AO11" s="107"/>
      <c r="AP11" s="106"/>
      <c r="AQ11" s="107"/>
      <c r="AR11" s="106"/>
      <c r="AS11" s="107"/>
    </row>
    <row r="12">
      <c r="A12" s="15" t="str">
        <f>IFERROR(__xludf.DUMMYFUNCTION("""COMPUTED_VALUE"""),"Ensifera")</f>
        <v>Ensifera</v>
      </c>
      <c r="B12" s="106" t="str">
        <f>IF(SUMIFS(Data_filtered!$G$2:$G$461,Data_filtered!$A$2:$A$461,B$1,Data_filtered!$F$2:$F$461,$A12, Data_filtered!$D$2:$D$461,"eucalipto",Data_filtered!$J$2:$J$461,"&lt;&gt;Incompleto")=0, "-", SUMIFS(Data_filtered!$G$2:$G$461,Data_filtered!$A$2:$A$461,B$1,Data_filtered!$F$2:$F$461,$A12, Data_filtered!$D$2:$D$461,"eucalipto",Data_filtered!$J$2:$J$461,"&lt;&gt;Incompleto"))</f>
        <v>-</v>
      </c>
      <c r="C12" s="107">
        <f>IF(SUMIFS(Data_filtered!$G$2:$G$461,Data_filtered!$A$2:$A$461,B$1,Data_filtered!$F$2:$F$461,$A12, Data_filtered!$D$2:$D$461,"mata",Data_filtered!$J$2:$J$461,"&lt;&gt;Incompleto")=0, "-", SUMIFS(Data_filtered!$G$2:$G$461,Data_filtered!$A$2:$A$461,B$1,Data_filtered!$F$2:$F$461,$A12, Data_filtered!$D$2:$D$461,"mata",Data_filtered!$J$2:$J$461,"&lt;&gt;Incompleto"))
</f>
        <v>1</v>
      </c>
      <c r="D12" s="106" t="str">
        <f>IF(SUMIFS(Data_filtered!$G$2:$G$461,Data_filtered!$A$2:$A$461,D$1,Data_filtered!$F$2:$F$461,$A12, Data_filtered!$D$2:$D$461,"eucalipto",Data_filtered!$J$2:$J$461,"&lt;&gt;Incompleto")=0, "-", SUMIFS(Data_filtered!$G$2:$G$461,Data_filtered!$A$2:$A$461,D$1,Data_filtered!$F$2:$F$461,$A12, Data_filtered!$D$2:$D$461,"eucalipto",Data_filtered!$J$2:$J$461,"&lt;&gt;Incompleto"))</f>
        <v>-</v>
      </c>
      <c r="E12" s="107" t="str">
        <f>IF(SUMIFS(Data_filtered!$G$2:$G$461,Data_filtered!$A$2:$A$461,D$1,Data_filtered!$F$2:$F$461,$A12, Data_filtered!$D$2:$D$461,"mata",Data_filtered!$J$2:$J$461,"&lt;&gt;Incompleto")=0, "-", SUMIFS(Data_filtered!$G$2:$G$461,Data_filtered!$A$2:$A$461,D$1,Data_filtered!$F$2:$F$461,$A12, Data_filtered!$D$2:$D$461,"mata",Data_filtered!$J$2:$J$461,"&lt;&gt;Incompleto"))
</f>
        <v>-</v>
      </c>
      <c r="F12" s="106" t="str">
        <f>IF(SUMIFS(Data_filtered!$G$2:$G$461,Data_filtered!$A$2:$A$461,F$1,Data_filtered!$F$2:$F$461,$A12, Data_filtered!$D$2:$D$461,"eucalipto",Data_filtered!$J$2:$J$461,"&lt;&gt;Incompleto")=0, "-", SUMIFS(Data_filtered!$G$2:$G$461,Data_filtered!$A$2:$A$461,F$1,Data_filtered!$F$2:$F$461,$A12, Data_filtered!$D$2:$D$461,"eucalipto",Data_filtered!$J$2:$J$461,"&lt;&gt;Incompleto"))</f>
        <v>-</v>
      </c>
      <c r="G12" s="107" t="str">
        <f>IF(SUMIFS(Data_filtered!$G$2:$G$461,Data_filtered!$A$2:$A$461,F$1,Data_filtered!$F$2:$F$461,$A12, Data_filtered!$D$2:$D$461,"mata",Data_filtered!$J$2:$J$461,"&lt;&gt;Incompleto")=0, "-", SUMIFS(Data_filtered!$G$2:$G$461,Data_filtered!$A$2:$A$461,F$1,Data_filtered!$F$2:$F$461,$A12, Data_filtered!$D$2:$D$461,"mata",Data_filtered!$J$2:$J$461,"&lt;&gt;Incompleto"))
</f>
        <v>-</v>
      </c>
      <c r="H12" s="106" t="str">
        <f>IF(SUMIFS(Data_filtered!$G$2:$G$461,Data_filtered!$A$2:$A$461,H$1,Data_filtered!$F$2:$F$461,$A12, Data_filtered!$D$2:$D$461,"eucalipto",Data_filtered!$J$2:$J$461,"&lt;&gt;Incompleto")=0, "-", SUMIFS(Data_filtered!$G$2:$G$461,Data_filtered!$A$2:$A$461,H$1,Data_filtered!$F$2:$F$461,$A12, Data_filtered!$D$2:$D$461,"eucalipto",Data_filtered!$J$2:$J$461,"&lt;&gt;Incompleto"))</f>
        <v>-</v>
      </c>
      <c r="I12" s="107" t="str">
        <f>IF(SUMIFS(Data_filtered!$G$2:$G$461,Data_filtered!$A$2:$A$461,H$1,Data_filtered!$F$2:$F$461,$A12, Data_filtered!$D$2:$D$461,"mata",Data_filtered!$J$2:$J$461,"&lt;&gt;Incompleto")=0, "-", SUMIFS(Data_filtered!$G$2:$G$461,Data_filtered!$A$2:$A$461,H$1,Data_filtered!$F$2:$F$461,$A12, Data_filtered!$D$2:$D$461,"mata",Data_filtered!$J$2:$J$461,"&lt;&gt;Incompleto"))
</f>
        <v>-</v>
      </c>
      <c r="J12" s="106" t="str">
        <f>IF(SUMIFS(Data_filtered!$G$2:$G$461,Data_filtered!$A$2:$A$461,J$1,Data_filtered!$F$2:$F$461,$A12, Data_filtered!$D$2:$D$461,"eucalipto",Data_filtered!$J$2:$J$461,"&lt;&gt;Incompleto")=0, "-", SUMIFS(Data_filtered!$G$2:$G$461,Data_filtered!$A$2:$A$461,J$1,Data_filtered!$F$2:$F$461,$A12, Data_filtered!$D$2:$D$461,"eucalipto",Data_filtered!$J$2:$J$461,"&lt;&gt;Incompleto"))</f>
        <v>-</v>
      </c>
      <c r="K12" s="107" t="str">
        <f>IF(SUMIFS(Data_filtered!$G$2:$G$461,Data_filtered!$A$2:$A$461,J$1,Data_filtered!$F$2:$F$461,$A12, Data_filtered!$D$2:$D$461,"mata",Data_filtered!$J$2:$J$461,"&lt;&gt;Incompleto")=0, "-", SUMIFS(Data_filtered!$G$2:$G$461,Data_filtered!$A$2:$A$461,J$1,Data_filtered!$F$2:$F$461,$A12, Data_filtered!$D$2:$D$461,"mata",Data_filtered!$J$2:$J$461,"&lt;&gt;Incompleto"))
</f>
        <v>-</v>
      </c>
      <c r="L12" s="106" t="str">
        <f>IF(SUMIFS(Data_filtered!$G$2:$G$461,Data_filtered!$A$2:$A$461,L$1,Data_filtered!$F$2:$F$461,$A12, Data_filtered!$D$2:$D$461,"eucalipto",Data_filtered!$J$2:$J$461,"&lt;&gt;Incompleto")=0, "-", SUMIFS(Data_filtered!$G$2:$G$461,Data_filtered!$A$2:$A$461,L$1,Data_filtered!$F$2:$F$461,$A12, Data_filtered!$D$2:$D$461,"eucalipto",Data_filtered!$J$2:$J$461,"&lt;&gt;Incompleto"))</f>
        <v>-</v>
      </c>
      <c r="M12" s="107" t="str">
        <f>IF(SUMIFS(Data_filtered!$G$2:$G$461,Data_filtered!$A$2:$A$461,L$1,Data_filtered!$F$2:$F$461,$A12, Data_filtered!$D$2:$D$461,"mata",Data_filtered!$J$2:$J$461,"&lt;&gt;Incompleto")=0, "-", SUMIFS(Data_filtered!$G$2:$G$461,Data_filtered!$A$2:$A$461,L$1,Data_filtered!$F$2:$F$461,$A12, Data_filtered!$D$2:$D$461,"mata",Data_filtered!$J$2:$J$461,"&lt;&gt;Incompleto"))
</f>
        <v>-</v>
      </c>
      <c r="N12" s="106" t="str">
        <f>IF(SUMIFS(Data_filtered!$G$2:$G$461,Data_filtered!$A$2:$A$461,N$1,Data_filtered!$F$2:$F$461,$A12, Data_filtered!$D$2:$D$461,"eucalipto",Data_filtered!$J$2:$J$461,"&lt;&gt;Incompleto")=0, "-", SUMIFS(Data_filtered!$G$2:$G$461,Data_filtered!$A$2:$A$461,N$1,Data_filtered!$F$2:$F$461,$A12, Data_filtered!$D$2:$D$461,"eucalipto",Data_filtered!$J$2:$J$461,"&lt;&gt;Incompleto"))</f>
        <v>-</v>
      </c>
      <c r="O12" s="107" t="str">
        <f>IF(SUMIFS(Data_filtered!$G$2:$G$461,Data_filtered!$A$2:$A$461,N$1,Data_filtered!$F$2:$F$461,$A12, Data_filtered!$D$2:$D$461,"mata",Data_filtered!$J$2:$J$461,"&lt;&gt;Incompleto")=0, "-", SUMIFS(Data_filtered!$G$2:$G$461,Data_filtered!$A$2:$A$461,N$1,Data_filtered!$F$2:$F$461,$A12, Data_filtered!$D$2:$D$461,"mata",Data_filtered!$J$2:$J$461,"&lt;&gt;Incompleto"))
</f>
        <v>-</v>
      </c>
      <c r="P12" s="106" t="str">
        <f>IF(SUMIFS(Data_filtered!$G$2:$G$461,Data_filtered!$A$2:$A$461,P$1,Data_filtered!$F$2:$F$461,$A12, Data_filtered!$D$2:$D$461,"eucalipto",Data_filtered!$J$2:$J$461,"&lt;&gt;Incompleto")=0, "-", SUMIFS(Data_filtered!$G$2:$G$461,Data_filtered!$A$2:$A$461,P$1,Data_filtered!$F$2:$F$461,$A12, Data_filtered!$D$2:$D$461,"eucalipto",Data_filtered!$J$2:$J$461,"&lt;&gt;Incompleto"))</f>
        <v>-</v>
      </c>
      <c r="Q12" s="107" t="str">
        <f>IF(SUMIFS(Data_filtered!$G$2:$G$461,Data_filtered!$A$2:$A$461,P$1,Data_filtered!$F$2:$F$461,$A12, Data_filtered!$D$2:$D$461,"mata",Data_filtered!$J$2:$J$461,"&lt;&gt;Incompleto")=0, "-", SUMIFS(Data_filtered!$G$2:$G$461,Data_filtered!$A$2:$A$461,P$1,Data_filtered!$F$2:$F$461,$A12, Data_filtered!$D$2:$D$461,"mata",Data_filtered!$J$2:$J$461,"&lt;&gt;Incompleto"))
</f>
        <v>-</v>
      </c>
      <c r="R12" s="106" t="str">
        <f>IF(SUMIFS(Data_filtered!$G$2:$G$461,Data_filtered!$A$2:$A$461,R$1,Data_filtered!$F$2:$F$461,$A12, Data_filtered!$D$2:$D$461,"eucalipto",Data_filtered!$J$2:$J$461,"&lt;&gt;Incompleto")=0, "-", SUMIFS(Data_filtered!$G$2:$G$461,Data_filtered!$A$2:$A$461,R$1,Data_filtered!$F$2:$F$461,$A12, Data_filtered!$D$2:$D$461,"eucalipto",Data_filtered!$J$2:$J$461,"&lt;&gt;Incompleto"))</f>
        <v>-</v>
      </c>
      <c r="S12" s="107">
        <f>IF(SUMIFS(Data_filtered!$G$2:$G$461,Data_filtered!$A$2:$A$461,R$1,Data_filtered!$F$2:$F$461,$A12, Data_filtered!$D$2:$D$461,"mata",Data_filtered!$J$2:$J$461,"&lt;&gt;Incompleto")=0, "-", SUMIFS(Data_filtered!$G$2:$G$461,Data_filtered!$A$2:$A$461,R$1,Data_filtered!$F$2:$F$461,$A12, Data_filtered!$D$2:$D$461,"mata",Data_filtered!$J$2:$J$461,"&lt;&gt;Incompleto"))
</f>
        <v>1</v>
      </c>
      <c r="T12" s="106" t="str">
        <f>IF(SUMIFS(Data_filtered!$G$2:$G$461,Data_filtered!$A$2:$A$461,T$1,Data_filtered!$F$2:$F$461,$A12, Data_filtered!$D$2:$D$461,"eucalipto",Data_filtered!$J$2:$J$461,"&lt;&gt;Incompleto")=0, "-", SUMIFS(Data_filtered!$G$2:$G$461,Data_filtered!$A$2:$A$461,T$1,Data_filtered!$F$2:$F$461,$A12, Data_filtered!$D$2:$D$461,"eucalipto",Data_filtered!$J$2:$J$461,"&lt;&gt;Incompleto"))</f>
        <v>-</v>
      </c>
      <c r="U12" s="107" t="str">
        <f>IF(SUMIFS(Data_filtered!$G$2:$G$461,Data_filtered!$A$2:$A$461,T$1,Data_filtered!$F$2:$F$461,$A12, Data_filtered!$D$2:$D$461,"mata",Data_filtered!$J$2:$J$461,"&lt;&gt;Incompleto")=0, "-", SUMIFS(Data_filtered!$G$2:$G$461,Data_filtered!$A$2:$A$461,T$1,Data_filtered!$F$2:$F$461,$A12, Data_filtered!$D$2:$D$461,"mata",Data_filtered!$J$2:$J$461,"&lt;&gt;Incompleto"))
</f>
        <v>-</v>
      </c>
      <c r="V12" s="106" t="str">
        <f>IF(SUMIFS(Data_filtered!$G$2:$G$461,Data_filtered!$A$2:$A$461,V$1,Data_filtered!$F$2:$F$461,$A12, Data_filtered!$D$2:$D$461,"eucalipto",Data_filtered!$J$2:$J$461,"&lt;&gt;Incompleto")=0, "-", SUMIFS(Data_filtered!$G$2:$G$461,Data_filtered!$A$2:$A$461,V$1,Data_filtered!$F$2:$F$461,$A12, Data_filtered!$D$2:$D$461,"eucalipto",Data_filtered!$J$2:$J$461,"&lt;&gt;Incompleto"))</f>
        <v>-</v>
      </c>
      <c r="W12" s="107" t="str">
        <f>IF(SUMIFS(Data_filtered!$G$2:$G$461,Data_filtered!$A$2:$A$461,V$1,Data_filtered!$F$2:$F$461,$A12, Data_filtered!$D$2:$D$461,"mata",Data_filtered!$J$2:$J$461,"&lt;&gt;Incompleto")=0, "-", SUMIFS(Data_filtered!$G$2:$G$461,Data_filtered!$A$2:$A$461,V$1,Data_filtered!$F$2:$F$461,$A12, Data_filtered!$D$2:$D$461,"mata",Data_filtered!$J$2:$J$461,"&lt;&gt;Incompleto"))
</f>
        <v>-</v>
      </c>
      <c r="X12" s="106" t="str">
        <f>IF(SUMIFS(Data_filtered!$G$2:$G$461,Data_filtered!$A$2:$A$461,X$1,Data_filtered!$F$2:$F$461,$A12, Data_filtered!$D$2:$D$461,"eucalipto",Data_filtered!$J$2:$J$461,"&lt;&gt;Incompleto")=0, "-", SUMIFS(Data_filtered!$G$2:$G$461,Data_filtered!$A$2:$A$461,X$1,Data_filtered!$F$2:$F$461,$A12, Data_filtered!$D$2:$D$461,"eucalipto",Data_filtered!$J$2:$J$461,"&lt;&gt;Incompleto"))</f>
        <v>-</v>
      </c>
      <c r="Y12" s="107" t="str">
        <f>IF(SUMIFS(Data_filtered!$G$2:$G$461,Data_filtered!$A$2:$A$461,X$1,Data_filtered!$F$2:$F$461,$A12, Data_filtered!$D$2:$D$461,"mata",Data_filtered!$J$2:$J$461,"&lt;&gt;Incompleto")=0, "-", SUMIFS(Data_filtered!$G$2:$G$461,Data_filtered!$A$2:$A$461,X$1,Data_filtered!$F$2:$F$461,$A12, Data_filtered!$D$2:$D$461,"mata",Data_filtered!$J$2:$J$461,"&lt;&gt;Incompleto"))
</f>
        <v>-</v>
      </c>
      <c r="Z12" s="106" t="str">
        <f>IF(SUMIFS(Data_filtered!$G$2:$G$461,Data_filtered!$A$2:$A$461,Z$1,Data_filtered!$F$2:$F$461,$A12, Data_filtered!$D$2:$D$461,"eucalipto",Data_filtered!$J$2:$J$461,"&lt;&gt;Incompleto")=0, "-", SUMIFS(Data_filtered!$G$2:$G$461,Data_filtered!$A$2:$A$461,Z$1,Data_filtered!$F$2:$F$461,$A12, Data_filtered!$D$2:$D$461,"eucalipto",Data_filtered!$J$2:$J$461,"&lt;&gt;Incompleto"))</f>
        <v>-</v>
      </c>
      <c r="AA12" s="107" t="str">
        <f>IF(SUMIFS(Data_filtered!$G$2:$G$461,Data_filtered!$A$2:$A$461,Z$1,Data_filtered!$F$2:$F$461,$A12, Data_filtered!$D$2:$D$461,"mata",Data_filtered!$J$2:$J$461,"&lt;&gt;Incompleto")=0, "-", SUMIFS(Data_filtered!$G$2:$G$461,Data_filtered!$A$2:$A$461,Z$1,Data_filtered!$F$2:$F$461,$A12, Data_filtered!$D$2:$D$461,"mata",Data_filtered!$J$2:$J$461,"&lt;&gt;Incompleto"))
</f>
        <v>-</v>
      </c>
      <c r="AB12" s="106"/>
      <c r="AC12" s="107"/>
      <c r="AD12" s="106"/>
      <c r="AE12" s="107"/>
      <c r="AF12" s="106"/>
      <c r="AG12" s="107"/>
      <c r="AH12" s="106"/>
      <c r="AI12" s="107"/>
      <c r="AJ12" s="106"/>
      <c r="AK12" s="107"/>
      <c r="AL12" s="106"/>
      <c r="AM12" s="107"/>
      <c r="AN12" s="106"/>
      <c r="AO12" s="107"/>
      <c r="AP12" s="106"/>
      <c r="AQ12" s="107"/>
      <c r="AR12" s="106"/>
      <c r="AS12" s="107"/>
    </row>
    <row r="13">
      <c r="A13" s="15" t="str">
        <f>IFERROR(__xludf.DUMMYFUNCTION("""COMPUTED_VALUE"""),"Formicidae")</f>
        <v>Formicidae</v>
      </c>
      <c r="B13" s="106" t="str">
        <f>IF(SUMIFS(Data_filtered!$G$2:$G$461,Data_filtered!$A$2:$A$461,B$1,Data_filtered!$F$2:$F$461,$A13, Data_filtered!$D$2:$D$461,"eucalipto",Data_filtered!$J$2:$J$461,"&lt;&gt;Incompleto")=0, "-", SUMIFS(Data_filtered!$G$2:$G$461,Data_filtered!$A$2:$A$461,B$1,Data_filtered!$F$2:$F$461,$A13, Data_filtered!$D$2:$D$461,"eucalipto",Data_filtered!$J$2:$J$461,"&lt;&gt;Incompleto"))</f>
        <v>-</v>
      </c>
      <c r="C13" s="107" t="str">
        <f>IF(SUMIFS(Data_filtered!$G$2:$G$461,Data_filtered!$A$2:$A$461,B$1,Data_filtered!$F$2:$F$461,$A13, Data_filtered!$D$2:$D$461,"mata",Data_filtered!$J$2:$J$461,"&lt;&gt;Incompleto")=0, "-", SUMIFS(Data_filtered!$G$2:$G$461,Data_filtered!$A$2:$A$461,B$1,Data_filtered!$F$2:$F$461,$A13, Data_filtered!$D$2:$D$461,"mata",Data_filtered!$J$2:$J$461,"&lt;&gt;Incompleto"))
</f>
        <v>-</v>
      </c>
      <c r="D13" s="106">
        <f>IF(SUMIFS(Data_filtered!$G$2:$G$461,Data_filtered!$A$2:$A$461,D$1,Data_filtered!$F$2:$F$461,$A13, Data_filtered!$D$2:$D$461,"eucalipto",Data_filtered!$J$2:$J$461,"&lt;&gt;Incompleto")=0, "-", SUMIFS(Data_filtered!$G$2:$G$461,Data_filtered!$A$2:$A$461,D$1,Data_filtered!$F$2:$F$461,$A13, Data_filtered!$D$2:$D$461,"eucalipto",Data_filtered!$J$2:$J$461,"&lt;&gt;Incompleto"))</f>
        <v>78</v>
      </c>
      <c r="E13" s="107">
        <f>IF(SUMIFS(Data_filtered!$G$2:$G$461,Data_filtered!$A$2:$A$461,D$1,Data_filtered!$F$2:$F$461,$A13, Data_filtered!$D$2:$D$461,"mata",Data_filtered!$J$2:$J$461,"&lt;&gt;Incompleto")=0, "-", SUMIFS(Data_filtered!$G$2:$G$461,Data_filtered!$A$2:$A$461,D$1,Data_filtered!$F$2:$F$461,$A13, Data_filtered!$D$2:$D$461,"mata",Data_filtered!$J$2:$J$461,"&lt;&gt;Incompleto"))
</f>
        <v>3</v>
      </c>
      <c r="F13" s="106" t="str">
        <f>IF(SUMIFS(Data_filtered!$G$2:$G$461,Data_filtered!$A$2:$A$461,F$1,Data_filtered!$F$2:$F$461,$A13, Data_filtered!$D$2:$D$461,"eucalipto",Data_filtered!$J$2:$J$461,"&lt;&gt;Incompleto")=0, "-", SUMIFS(Data_filtered!$G$2:$G$461,Data_filtered!$A$2:$A$461,F$1,Data_filtered!$F$2:$F$461,$A13, Data_filtered!$D$2:$D$461,"eucalipto",Data_filtered!$J$2:$J$461,"&lt;&gt;Incompleto"))</f>
        <v>-</v>
      </c>
      <c r="G13" s="107" t="str">
        <f>IF(SUMIFS(Data_filtered!$G$2:$G$461,Data_filtered!$A$2:$A$461,F$1,Data_filtered!$F$2:$F$461,$A13, Data_filtered!$D$2:$D$461,"mata",Data_filtered!$J$2:$J$461,"&lt;&gt;Incompleto")=0, "-", SUMIFS(Data_filtered!$G$2:$G$461,Data_filtered!$A$2:$A$461,F$1,Data_filtered!$F$2:$F$461,$A13, Data_filtered!$D$2:$D$461,"mata",Data_filtered!$J$2:$J$461,"&lt;&gt;Incompleto"))
</f>
        <v>-</v>
      </c>
      <c r="H13" s="106" t="str">
        <f>IF(SUMIFS(Data_filtered!$G$2:$G$461,Data_filtered!$A$2:$A$461,H$1,Data_filtered!$F$2:$F$461,$A13, Data_filtered!$D$2:$D$461,"eucalipto",Data_filtered!$J$2:$J$461,"&lt;&gt;Incompleto")=0, "-", SUMIFS(Data_filtered!$G$2:$G$461,Data_filtered!$A$2:$A$461,H$1,Data_filtered!$F$2:$F$461,$A13, Data_filtered!$D$2:$D$461,"eucalipto",Data_filtered!$J$2:$J$461,"&lt;&gt;Incompleto"))</f>
        <v>-</v>
      </c>
      <c r="I13" s="107">
        <f>IF(SUMIFS(Data_filtered!$G$2:$G$461,Data_filtered!$A$2:$A$461,H$1,Data_filtered!$F$2:$F$461,$A13, Data_filtered!$D$2:$D$461,"mata",Data_filtered!$J$2:$J$461,"&lt;&gt;Incompleto")=0, "-", SUMIFS(Data_filtered!$G$2:$G$461,Data_filtered!$A$2:$A$461,H$1,Data_filtered!$F$2:$F$461,$A13, Data_filtered!$D$2:$D$461,"mata",Data_filtered!$J$2:$J$461,"&lt;&gt;Incompleto"))
</f>
        <v>1</v>
      </c>
      <c r="J13" s="106" t="str">
        <f>IF(SUMIFS(Data_filtered!$G$2:$G$461,Data_filtered!$A$2:$A$461,J$1,Data_filtered!$F$2:$F$461,$A13, Data_filtered!$D$2:$D$461,"eucalipto",Data_filtered!$J$2:$J$461,"&lt;&gt;Incompleto")=0, "-", SUMIFS(Data_filtered!$G$2:$G$461,Data_filtered!$A$2:$A$461,J$1,Data_filtered!$F$2:$F$461,$A13, Data_filtered!$D$2:$D$461,"eucalipto",Data_filtered!$J$2:$J$461,"&lt;&gt;Incompleto"))</f>
        <v>-</v>
      </c>
      <c r="K13" s="107" t="str">
        <f>IF(SUMIFS(Data_filtered!$G$2:$G$461,Data_filtered!$A$2:$A$461,J$1,Data_filtered!$F$2:$F$461,$A13, Data_filtered!$D$2:$D$461,"mata",Data_filtered!$J$2:$J$461,"&lt;&gt;Incompleto")=0, "-", SUMIFS(Data_filtered!$G$2:$G$461,Data_filtered!$A$2:$A$461,J$1,Data_filtered!$F$2:$F$461,$A13, Data_filtered!$D$2:$D$461,"mata",Data_filtered!$J$2:$J$461,"&lt;&gt;Incompleto"))
</f>
        <v>-</v>
      </c>
      <c r="L13" s="106">
        <f>IF(SUMIFS(Data_filtered!$G$2:$G$461,Data_filtered!$A$2:$A$461,L$1,Data_filtered!$F$2:$F$461,$A13, Data_filtered!$D$2:$D$461,"eucalipto",Data_filtered!$J$2:$J$461,"&lt;&gt;Incompleto")=0, "-", SUMIFS(Data_filtered!$G$2:$G$461,Data_filtered!$A$2:$A$461,L$1,Data_filtered!$F$2:$F$461,$A13, Data_filtered!$D$2:$D$461,"eucalipto",Data_filtered!$J$2:$J$461,"&lt;&gt;Incompleto"))</f>
        <v>2</v>
      </c>
      <c r="M13" s="107" t="str">
        <f>IF(SUMIFS(Data_filtered!$G$2:$G$461,Data_filtered!$A$2:$A$461,L$1,Data_filtered!$F$2:$F$461,$A13, Data_filtered!$D$2:$D$461,"mata",Data_filtered!$J$2:$J$461,"&lt;&gt;Incompleto")=0, "-", SUMIFS(Data_filtered!$G$2:$G$461,Data_filtered!$A$2:$A$461,L$1,Data_filtered!$F$2:$F$461,$A13, Data_filtered!$D$2:$D$461,"mata",Data_filtered!$J$2:$J$461,"&lt;&gt;Incompleto"))
</f>
        <v>-</v>
      </c>
      <c r="N13" s="106" t="str">
        <f>IF(SUMIFS(Data_filtered!$G$2:$G$461,Data_filtered!$A$2:$A$461,N$1,Data_filtered!$F$2:$F$461,$A13, Data_filtered!$D$2:$D$461,"eucalipto",Data_filtered!$J$2:$J$461,"&lt;&gt;Incompleto")=0, "-", SUMIFS(Data_filtered!$G$2:$G$461,Data_filtered!$A$2:$A$461,N$1,Data_filtered!$F$2:$F$461,$A13, Data_filtered!$D$2:$D$461,"eucalipto",Data_filtered!$J$2:$J$461,"&lt;&gt;Incompleto"))</f>
        <v>-</v>
      </c>
      <c r="O13" s="107" t="str">
        <f>IF(SUMIFS(Data_filtered!$G$2:$G$461,Data_filtered!$A$2:$A$461,N$1,Data_filtered!$F$2:$F$461,$A13, Data_filtered!$D$2:$D$461,"mata",Data_filtered!$J$2:$J$461,"&lt;&gt;Incompleto")=0, "-", SUMIFS(Data_filtered!$G$2:$G$461,Data_filtered!$A$2:$A$461,N$1,Data_filtered!$F$2:$F$461,$A13, Data_filtered!$D$2:$D$461,"mata",Data_filtered!$J$2:$J$461,"&lt;&gt;Incompleto"))
</f>
        <v>-</v>
      </c>
      <c r="P13" s="106">
        <f>IF(SUMIFS(Data_filtered!$G$2:$G$461,Data_filtered!$A$2:$A$461,P$1,Data_filtered!$F$2:$F$461,$A13, Data_filtered!$D$2:$D$461,"eucalipto",Data_filtered!$J$2:$J$461,"&lt;&gt;Incompleto")=0, "-", SUMIFS(Data_filtered!$G$2:$G$461,Data_filtered!$A$2:$A$461,P$1,Data_filtered!$F$2:$F$461,$A13, Data_filtered!$D$2:$D$461,"eucalipto",Data_filtered!$J$2:$J$461,"&lt;&gt;Incompleto"))</f>
        <v>15</v>
      </c>
      <c r="Q13" s="107">
        <f>IF(SUMIFS(Data_filtered!$G$2:$G$461,Data_filtered!$A$2:$A$461,P$1,Data_filtered!$F$2:$F$461,$A13, Data_filtered!$D$2:$D$461,"mata",Data_filtered!$J$2:$J$461,"&lt;&gt;Incompleto")=0, "-", SUMIFS(Data_filtered!$G$2:$G$461,Data_filtered!$A$2:$A$461,P$1,Data_filtered!$F$2:$F$461,$A13, Data_filtered!$D$2:$D$461,"mata",Data_filtered!$J$2:$J$461,"&lt;&gt;Incompleto"))
</f>
        <v>20</v>
      </c>
      <c r="R13" s="106" t="str">
        <f>IF(SUMIFS(Data_filtered!$G$2:$G$461,Data_filtered!$A$2:$A$461,R$1,Data_filtered!$F$2:$F$461,$A13, Data_filtered!$D$2:$D$461,"eucalipto",Data_filtered!$J$2:$J$461,"&lt;&gt;Incompleto")=0, "-", SUMIFS(Data_filtered!$G$2:$G$461,Data_filtered!$A$2:$A$461,R$1,Data_filtered!$F$2:$F$461,$A13, Data_filtered!$D$2:$D$461,"eucalipto",Data_filtered!$J$2:$J$461,"&lt;&gt;Incompleto"))</f>
        <v>-</v>
      </c>
      <c r="S13" s="107" t="str">
        <f>IF(SUMIFS(Data_filtered!$G$2:$G$461,Data_filtered!$A$2:$A$461,R$1,Data_filtered!$F$2:$F$461,$A13, Data_filtered!$D$2:$D$461,"mata",Data_filtered!$J$2:$J$461,"&lt;&gt;Incompleto")=0, "-", SUMIFS(Data_filtered!$G$2:$G$461,Data_filtered!$A$2:$A$461,R$1,Data_filtered!$F$2:$F$461,$A13, Data_filtered!$D$2:$D$461,"mata",Data_filtered!$J$2:$J$461,"&lt;&gt;Incompleto"))
</f>
        <v>-</v>
      </c>
      <c r="T13" s="106" t="str">
        <f>IF(SUMIFS(Data_filtered!$G$2:$G$461,Data_filtered!$A$2:$A$461,T$1,Data_filtered!$F$2:$F$461,$A13, Data_filtered!$D$2:$D$461,"eucalipto",Data_filtered!$J$2:$J$461,"&lt;&gt;Incompleto")=0, "-", SUMIFS(Data_filtered!$G$2:$G$461,Data_filtered!$A$2:$A$461,T$1,Data_filtered!$F$2:$F$461,$A13, Data_filtered!$D$2:$D$461,"eucalipto",Data_filtered!$J$2:$J$461,"&lt;&gt;Incompleto"))</f>
        <v>-</v>
      </c>
      <c r="U13" s="107" t="str">
        <f>IF(SUMIFS(Data_filtered!$G$2:$G$461,Data_filtered!$A$2:$A$461,T$1,Data_filtered!$F$2:$F$461,$A13, Data_filtered!$D$2:$D$461,"mata",Data_filtered!$J$2:$J$461,"&lt;&gt;Incompleto")=0, "-", SUMIFS(Data_filtered!$G$2:$G$461,Data_filtered!$A$2:$A$461,T$1,Data_filtered!$F$2:$F$461,$A13, Data_filtered!$D$2:$D$461,"mata",Data_filtered!$J$2:$J$461,"&lt;&gt;Incompleto"))
</f>
        <v>-</v>
      </c>
      <c r="V13" s="106" t="str">
        <f>IF(SUMIFS(Data_filtered!$G$2:$G$461,Data_filtered!$A$2:$A$461,V$1,Data_filtered!$F$2:$F$461,$A13, Data_filtered!$D$2:$D$461,"eucalipto",Data_filtered!$J$2:$J$461,"&lt;&gt;Incompleto")=0, "-", SUMIFS(Data_filtered!$G$2:$G$461,Data_filtered!$A$2:$A$461,V$1,Data_filtered!$F$2:$F$461,$A13, Data_filtered!$D$2:$D$461,"eucalipto",Data_filtered!$J$2:$J$461,"&lt;&gt;Incompleto"))</f>
        <v>-</v>
      </c>
      <c r="W13" s="107">
        <f>IF(SUMIFS(Data_filtered!$G$2:$G$461,Data_filtered!$A$2:$A$461,V$1,Data_filtered!$F$2:$F$461,$A13, Data_filtered!$D$2:$D$461,"mata",Data_filtered!$J$2:$J$461,"&lt;&gt;Incompleto")=0, "-", SUMIFS(Data_filtered!$G$2:$G$461,Data_filtered!$A$2:$A$461,V$1,Data_filtered!$F$2:$F$461,$A13, Data_filtered!$D$2:$D$461,"mata",Data_filtered!$J$2:$J$461,"&lt;&gt;Incompleto"))
</f>
        <v>48</v>
      </c>
      <c r="X13" s="106" t="str">
        <f>IF(SUMIFS(Data_filtered!$G$2:$G$461,Data_filtered!$A$2:$A$461,X$1,Data_filtered!$F$2:$F$461,$A13, Data_filtered!$D$2:$D$461,"eucalipto",Data_filtered!$J$2:$J$461,"&lt;&gt;Incompleto")=0, "-", SUMIFS(Data_filtered!$G$2:$G$461,Data_filtered!$A$2:$A$461,X$1,Data_filtered!$F$2:$F$461,$A13, Data_filtered!$D$2:$D$461,"eucalipto",Data_filtered!$J$2:$J$461,"&lt;&gt;Incompleto"))</f>
        <v>-</v>
      </c>
      <c r="Y13" s="107">
        <f>IF(SUMIFS(Data_filtered!$G$2:$G$461,Data_filtered!$A$2:$A$461,X$1,Data_filtered!$F$2:$F$461,$A13, Data_filtered!$D$2:$D$461,"mata",Data_filtered!$J$2:$J$461,"&lt;&gt;Incompleto")=0, "-", SUMIFS(Data_filtered!$G$2:$G$461,Data_filtered!$A$2:$A$461,X$1,Data_filtered!$F$2:$F$461,$A13, Data_filtered!$D$2:$D$461,"mata",Data_filtered!$J$2:$J$461,"&lt;&gt;Incompleto"))
</f>
        <v>59</v>
      </c>
      <c r="Z13" s="106" t="str">
        <f>IF(SUMIFS(Data_filtered!$G$2:$G$461,Data_filtered!$A$2:$A$461,Z$1,Data_filtered!$F$2:$F$461,$A13, Data_filtered!$D$2:$D$461,"eucalipto",Data_filtered!$J$2:$J$461,"&lt;&gt;Incompleto")=0, "-", SUMIFS(Data_filtered!$G$2:$G$461,Data_filtered!$A$2:$A$461,Z$1,Data_filtered!$F$2:$F$461,$A13, Data_filtered!$D$2:$D$461,"eucalipto",Data_filtered!$J$2:$J$461,"&lt;&gt;Incompleto"))</f>
        <v>-</v>
      </c>
      <c r="AA13" s="107" t="str">
        <f>IF(SUMIFS(Data_filtered!$G$2:$G$461,Data_filtered!$A$2:$A$461,Z$1,Data_filtered!$F$2:$F$461,$A13, Data_filtered!$D$2:$D$461,"mata",Data_filtered!$J$2:$J$461,"&lt;&gt;Incompleto")=0, "-", SUMIFS(Data_filtered!$G$2:$G$461,Data_filtered!$A$2:$A$461,Z$1,Data_filtered!$F$2:$F$461,$A13, Data_filtered!$D$2:$D$461,"mata",Data_filtered!$J$2:$J$461,"&lt;&gt;Incompleto"))
</f>
        <v>-</v>
      </c>
      <c r="AB13" s="106"/>
      <c r="AC13" s="107"/>
      <c r="AD13" s="106"/>
      <c r="AE13" s="107"/>
      <c r="AF13" s="106"/>
      <c r="AG13" s="107"/>
      <c r="AH13" s="106"/>
      <c r="AI13" s="107"/>
      <c r="AJ13" s="106"/>
      <c r="AK13" s="107"/>
      <c r="AL13" s="106"/>
      <c r="AM13" s="107"/>
      <c r="AN13" s="106"/>
      <c r="AO13" s="107"/>
      <c r="AP13" s="106"/>
      <c r="AQ13" s="107"/>
      <c r="AR13" s="106"/>
      <c r="AS13" s="107"/>
    </row>
    <row r="14">
      <c r="A14" s="15" t="str">
        <f>IFERROR(__xludf.DUMMYFUNCTION("""COMPUTED_VALUE"""),"Hemiptera")</f>
        <v>Hemiptera</v>
      </c>
      <c r="B14" s="106" t="str">
        <f>IF(SUMIFS(Data_filtered!$G$2:$G$461,Data_filtered!$A$2:$A$461,B$1,Data_filtered!$F$2:$F$461,$A14, Data_filtered!$D$2:$D$461,"eucalipto",Data_filtered!$J$2:$J$461,"&lt;&gt;Incompleto")=0, "-", SUMIFS(Data_filtered!$G$2:$G$461,Data_filtered!$A$2:$A$461,B$1,Data_filtered!$F$2:$F$461,$A14, Data_filtered!$D$2:$D$461,"eucalipto",Data_filtered!$J$2:$J$461,"&lt;&gt;Incompleto"))</f>
        <v>-</v>
      </c>
      <c r="C14" s="107" t="str">
        <f>IF(SUMIFS(Data_filtered!$G$2:$G$461,Data_filtered!$A$2:$A$461,B$1,Data_filtered!$F$2:$F$461,$A14, Data_filtered!$D$2:$D$461,"mata",Data_filtered!$J$2:$J$461,"&lt;&gt;Incompleto")=0, "-", SUMIFS(Data_filtered!$G$2:$G$461,Data_filtered!$A$2:$A$461,B$1,Data_filtered!$F$2:$F$461,$A14, Data_filtered!$D$2:$D$461,"mata",Data_filtered!$J$2:$J$461,"&lt;&gt;Incompleto"))
</f>
        <v>-</v>
      </c>
      <c r="D14" s="106" t="str">
        <f>IF(SUMIFS(Data_filtered!$G$2:$G$461,Data_filtered!$A$2:$A$461,D$1,Data_filtered!$F$2:$F$461,$A14, Data_filtered!$D$2:$D$461,"eucalipto",Data_filtered!$J$2:$J$461,"&lt;&gt;Incompleto")=0, "-", SUMIFS(Data_filtered!$G$2:$G$461,Data_filtered!$A$2:$A$461,D$1,Data_filtered!$F$2:$F$461,$A14, Data_filtered!$D$2:$D$461,"eucalipto",Data_filtered!$J$2:$J$461,"&lt;&gt;Incompleto"))</f>
        <v>-</v>
      </c>
      <c r="E14" s="107" t="str">
        <f>IF(SUMIFS(Data_filtered!$G$2:$G$461,Data_filtered!$A$2:$A$461,D$1,Data_filtered!$F$2:$F$461,$A14, Data_filtered!$D$2:$D$461,"mata",Data_filtered!$J$2:$J$461,"&lt;&gt;Incompleto")=0, "-", SUMIFS(Data_filtered!$G$2:$G$461,Data_filtered!$A$2:$A$461,D$1,Data_filtered!$F$2:$F$461,$A14, Data_filtered!$D$2:$D$461,"mata",Data_filtered!$J$2:$J$461,"&lt;&gt;Incompleto"))
</f>
        <v>-</v>
      </c>
      <c r="F14" s="106" t="str">
        <f>IF(SUMIFS(Data_filtered!$G$2:$G$461,Data_filtered!$A$2:$A$461,F$1,Data_filtered!$F$2:$F$461,$A14, Data_filtered!$D$2:$D$461,"eucalipto",Data_filtered!$J$2:$J$461,"&lt;&gt;Incompleto")=0, "-", SUMIFS(Data_filtered!$G$2:$G$461,Data_filtered!$A$2:$A$461,F$1,Data_filtered!$F$2:$F$461,$A14, Data_filtered!$D$2:$D$461,"eucalipto",Data_filtered!$J$2:$J$461,"&lt;&gt;Incompleto"))</f>
        <v>-</v>
      </c>
      <c r="G14" s="107" t="str">
        <f>IF(SUMIFS(Data_filtered!$G$2:$G$461,Data_filtered!$A$2:$A$461,F$1,Data_filtered!$F$2:$F$461,$A14, Data_filtered!$D$2:$D$461,"mata",Data_filtered!$J$2:$J$461,"&lt;&gt;Incompleto")=0, "-", SUMIFS(Data_filtered!$G$2:$G$461,Data_filtered!$A$2:$A$461,F$1,Data_filtered!$F$2:$F$461,$A14, Data_filtered!$D$2:$D$461,"mata",Data_filtered!$J$2:$J$461,"&lt;&gt;Incompleto"))
</f>
        <v>-</v>
      </c>
      <c r="H14" s="106" t="str">
        <f>IF(SUMIFS(Data_filtered!$G$2:$G$461,Data_filtered!$A$2:$A$461,H$1,Data_filtered!$F$2:$F$461,$A14, Data_filtered!$D$2:$D$461,"eucalipto",Data_filtered!$J$2:$J$461,"&lt;&gt;Incompleto")=0, "-", SUMIFS(Data_filtered!$G$2:$G$461,Data_filtered!$A$2:$A$461,H$1,Data_filtered!$F$2:$F$461,$A14, Data_filtered!$D$2:$D$461,"eucalipto",Data_filtered!$J$2:$J$461,"&lt;&gt;Incompleto"))</f>
        <v>-</v>
      </c>
      <c r="I14" s="107" t="str">
        <f>IF(SUMIFS(Data_filtered!$G$2:$G$461,Data_filtered!$A$2:$A$461,H$1,Data_filtered!$F$2:$F$461,$A14, Data_filtered!$D$2:$D$461,"mata",Data_filtered!$J$2:$J$461,"&lt;&gt;Incompleto")=0, "-", SUMIFS(Data_filtered!$G$2:$G$461,Data_filtered!$A$2:$A$461,H$1,Data_filtered!$F$2:$F$461,$A14, Data_filtered!$D$2:$D$461,"mata",Data_filtered!$J$2:$J$461,"&lt;&gt;Incompleto"))
</f>
        <v>-</v>
      </c>
      <c r="J14" s="106" t="str">
        <f>IF(SUMIFS(Data_filtered!$G$2:$G$461,Data_filtered!$A$2:$A$461,J$1,Data_filtered!$F$2:$F$461,$A14, Data_filtered!$D$2:$D$461,"eucalipto",Data_filtered!$J$2:$J$461,"&lt;&gt;Incompleto")=0, "-", SUMIFS(Data_filtered!$G$2:$G$461,Data_filtered!$A$2:$A$461,J$1,Data_filtered!$F$2:$F$461,$A14, Data_filtered!$D$2:$D$461,"eucalipto",Data_filtered!$J$2:$J$461,"&lt;&gt;Incompleto"))</f>
        <v>-</v>
      </c>
      <c r="K14" s="107" t="str">
        <f>IF(SUMIFS(Data_filtered!$G$2:$G$461,Data_filtered!$A$2:$A$461,J$1,Data_filtered!$F$2:$F$461,$A14, Data_filtered!$D$2:$D$461,"mata",Data_filtered!$J$2:$J$461,"&lt;&gt;Incompleto")=0, "-", SUMIFS(Data_filtered!$G$2:$G$461,Data_filtered!$A$2:$A$461,J$1,Data_filtered!$F$2:$F$461,$A14, Data_filtered!$D$2:$D$461,"mata",Data_filtered!$J$2:$J$461,"&lt;&gt;Incompleto"))
</f>
        <v>-</v>
      </c>
      <c r="L14" s="106" t="str">
        <f>IF(SUMIFS(Data_filtered!$G$2:$G$461,Data_filtered!$A$2:$A$461,L$1,Data_filtered!$F$2:$F$461,$A14, Data_filtered!$D$2:$D$461,"eucalipto",Data_filtered!$J$2:$J$461,"&lt;&gt;Incompleto")=0, "-", SUMIFS(Data_filtered!$G$2:$G$461,Data_filtered!$A$2:$A$461,L$1,Data_filtered!$F$2:$F$461,$A14, Data_filtered!$D$2:$D$461,"eucalipto",Data_filtered!$J$2:$J$461,"&lt;&gt;Incompleto"))</f>
        <v>-</v>
      </c>
      <c r="M14" s="107" t="str">
        <f>IF(SUMIFS(Data_filtered!$G$2:$G$461,Data_filtered!$A$2:$A$461,L$1,Data_filtered!$F$2:$F$461,$A14, Data_filtered!$D$2:$D$461,"mata",Data_filtered!$J$2:$J$461,"&lt;&gt;Incompleto")=0, "-", SUMIFS(Data_filtered!$G$2:$G$461,Data_filtered!$A$2:$A$461,L$1,Data_filtered!$F$2:$F$461,$A14, Data_filtered!$D$2:$D$461,"mata",Data_filtered!$J$2:$J$461,"&lt;&gt;Incompleto"))
</f>
        <v>-</v>
      </c>
      <c r="N14" s="106" t="str">
        <f>IF(SUMIFS(Data_filtered!$G$2:$G$461,Data_filtered!$A$2:$A$461,N$1,Data_filtered!$F$2:$F$461,$A14, Data_filtered!$D$2:$D$461,"eucalipto",Data_filtered!$J$2:$J$461,"&lt;&gt;Incompleto")=0, "-", SUMIFS(Data_filtered!$G$2:$G$461,Data_filtered!$A$2:$A$461,N$1,Data_filtered!$F$2:$F$461,$A14, Data_filtered!$D$2:$D$461,"eucalipto",Data_filtered!$J$2:$J$461,"&lt;&gt;Incompleto"))</f>
        <v>-</v>
      </c>
      <c r="O14" s="107" t="str">
        <f>IF(SUMIFS(Data_filtered!$G$2:$G$461,Data_filtered!$A$2:$A$461,N$1,Data_filtered!$F$2:$F$461,$A14, Data_filtered!$D$2:$D$461,"mata",Data_filtered!$J$2:$J$461,"&lt;&gt;Incompleto")=0, "-", SUMIFS(Data_filtered!$G$2:$G$461,Data_filtered!$A$2:$A$461,N$1,Data_filtered!$F$2:$F$461,$A14, Data_filtered!$D$2:$D$461,"mata",Data_filtered!$J$2:$J$461,"&lt;&gt;Incompleto"))
</f>
        <v>-</v>
      </c>
      <c r="P14" s="106" t="str">
        <f>IF(SUMIFS(Data_filtered!$G$2:$G$461,Data_filtered!$A$2:$A$461,P$1,Data_filtered!$F$2:$F$461,$A14, Data_filtered!$D$2:$D$461,"eucalipto",Data_filtered!$J$2:$J$461,"&lt;&gt;Incompleto")=0, "-", SUMIFS(Data_filtered!$G$2:$G$461,Data_filtered!$A$2:$A$461,P$1,Data_filtered!$F$2:$F$461,$A14, Data_filtered!$D$2:$D$461,"eucalipto",Data_filtered!$J$2:$J$461,"&lt;&gt;Incompleto"))</f>
        <v>-</v>
      </c>
      <c r="Q14" s="107" t="str">
        <f>IF(SUMIFS(Data_filtered!$G$2:$G$461,Data_filtered!$A$2:$A$461,P$1,Data_filtered!$F$2:$F$461,$A14, Data_filtered!$D$2:$D$461,"mata",Data_filtered!$J$2:$J$461,"&lt;&gt;Incompleto")=0, "-", SUMIFS(Data_filtered!$G$2:$G$461,Data_filtered!$A$2:$A$461,P$1,Data_filtered!$F$2:$F$461,$A14, Data_filtered!$D$2:$D$461,"mata",Data_filtered!$J$2:$J$461,"&lt;&gt;Incompleto"))
</f>
        <v>-</v>
      </c>
      <c r="R14" s="106" t="str">
        <f>IF(SUMIFS(Data_filtered!$G$2:$G$461,Data_filtered!$A$2:$A$461,R$1,Data_filtered!$F$2:$F$461,$A14, Data_filtered!$D$2:$D$461,"eucalipto",Data_filtered!$J$2:$J$461,"&lt;&gt;Incompleto")=0, "-", SUMIFS(Data_filtered!$G$2:$G$461,Data_filtered!$A$2:$A$461,R$1,Data_filtered!$F$2:$F$461,$A14, Data_filtered!$D$2:$D$461,"eucalipto",Data_filtered!$J$2:$J$461,"&lt;&gt;Incompleto"))</f>
        <v>-</v>
      </c>
      <c r="S14" s="107" t="str">
        <f>IF(SUMIFS(Data_filtered!$G$2:$G$461,Data_filtered!$A$2:$A$461,R$1,Data_filtered!$F$2:$F$461,$A14, Data_filtered!$D$2:$D$461,"mata",Data_filtered!$J$2:$J$461,"&lt;&gt;Incompleto")=0, "-", SUMIFS(Data_filtered!$G$2:$G$461,Data_filtered!$A$2:$A$461,R$1,Data_filtered!$F$2:$F$461,$A14, Data_filtered!$D$2:$D$461,"mata",Data_filtered!$J$2:$J$461,"&lt;&gt;Incompleto"))
</f>
        <v>-</v>
      </c>
      <c r="T14" s="106" t="str">
        <f>IF(SUMIFS(Data_filtered!$G$2:$G$461,Data_filtered!$A$2:$A$461,T$1,Data_filtered!$F$2:$F$461,$A14, Data_filtered!$D$2:$D$461,"eucalipto",Data_filtered!$J$2:$J$461,"&lt;&gt;Incompleto")=0, "-", SUMIFS(Data_filtered!$G$2:$G$461,Data_filtered!$A$2:$A$461,T$1,Data_filtered!$F$2:$F$461,$A14, Data_filtered!$D$2:$D$461,"eucalipto",Data_filtered!$J$2:$J$461,"&lt;&gt;Incompleto"))</f>
        <v>-</v>
      </c>
      <c r="U14" s="107" t="str">
        <f>IF(SUMIFS(Data_filtered!$G$2:$G$461,Data_filtered!$A$2:$A$461,T$1,Data_filtered!$F$2:$F$461,$A14, Data_filtered!$D$2:$D$461,"mata",Data_filtered!$J$2:$J$461,"&lt;&gt;Incompleto")=0, "-", SUMIFS(Data_filtered!$G$2:$G$461,Data_filtered!$A$2:$A$461,T$1,Data_filtered!$F$2:$F$461,$A14, Data_filtered!$D$2:$D$461,"mata",Data_filtered!$J$2:$J$461,"&lt;&gt;Incompleto"))
</f>
        <v>-</v>
      </c>
      <c r="V14" s="106" t="str">
        <f>IF(SUMIFS(Data_filtered!$G$2:$G$461,Data_filtered!$A$2:$A$461,V$1,Data_filtered!$F$2:$F$461,$A14, Data_filtered!$D$2:$D$461,"eucalipto",Data_filtered!$J$2:$J$461,"&lt;&gt;Incompleto")=0, "-", SUMIFS(Data_filtered!$G$2:$G$461,Data_filtered!$A$2:$A$461,V$1,Data_filtered!$F$2:$F$461,$A14, Data_filtered!$D$2:$D$461,"eucalipto",Data_filtered!$J$2:$J$461,"&lt;&gt;Incompleto"))</f>
        <v>-</v>
      </c>
      <c r="W14" s="107" t="str">
        <f>IF(SUMIFS(Data_filtered!$G$2:$G$461,Data_filtered!$A$2:$A$461,V$1,Data_filtered!$F$2:$F$461,$A14, Data_filtered!$D$2:$D$461,"mata",Data_filtered!$J$2:$J$461,"&lt;&gt;Incompleto")=0, "-", SUMIFS(Data_filtered!$G$2:$G$461,Data_filtered!$A$2:$A$461,V$1,Data_filtered!$F$2:$F$461,$A14, Data_filtered!$D$2:$D$461,"mata",Data_filtered!$J$2:$J$461,"&lt;&gt;Incompleto"))
</f>
        <v>-</v>
      </c>
      <c r="X14" s="106" t="str">
        <f>IF(SUMIFS(Data_filtered!$G$2:$G$461,Data_filtered!$A$2:$A$461,X$1,Data_filtered!$F$2:$F$461,$A14, Data_filtered!$D$2:$D$461,"eucalipto",Data_filtered!$J$2:$J$461,"&lt;&gt;Incompleto")=0, "-", SUMIFS(Data_filtered!$G$2:$G$461,Data_filtered!$A$2:$A$461,X$1,Data_filtered!$F$2:$F$461,$A14, Data_filtered!$D$2:$D$461,"eucalipto",Data_filtered!$J$2:$J$461,"&lt;&gt;Incompleto"))</f>
        <v>-</v>
      </c>
      <c r="Y14" s="107">
        <f>IF(SUMIFS(Data_filtered!$G$2:$G$461,Data_filtered!$A$2:$A$461,X$1,Data_filtered!$F$2:$F$461,$A14, Data_filtered!$D$2:$D$461,"mata",Data_filtered!$J$2:$J$461,"&lt;&gt;Incompleto")=0, "-", SUMIFS(Data_filtered!$G$2:$G$461,Data_filtered!$A$2:$A$461,X$1,Data_filtered!$F$2:$F$461,$A14, Data_filtered!$D$2:$D$461,"mata",Data_filtered!$J$2:$J$461,"&lt;&gt;Incompleto"))
</f>
        <v>1</v>
      </c>
      <c r="Z14" s="106" t="str">
        <f>IF(SUMIFS(Data_filtered!$G$2:$G$461,Data_filtered!$A$2:$A$461,Z$1,Data_filtered!$F$2:$F$461,$A14, Data_filtered!$D$2:$D$461,"eucalipto",Data_filtered!$J$2:$J$461,"&lt;&gt;Incompleto")=0, "-", SUMIFS(Data_filtered!$G$2:$G$461,Data_filtered!$A$2:$A$461,Z$1,Data_filtered!$F$2:$F$461,$A14, Data_filtered!$D$2:$D$461,"eucalipto",Data_filtered!$J$2:$J$461,"&lt;&gt;Incompleto"))</f>
        <v>-</v>
      </c>
      <c r="AA14" s="107" t="str">
        <f>IF(SUMIFS(Data_filtered!$G$2:$G$461,Data_filtered!$A$2:$A$461,Z$1,Data_filtered!$F$2:$F$461,$A14, Data_filtered!$D$2:$D$461,"mata",Data_filtered!$J$2:$J$461,"&lt;&gt;Incompleto")=0, "-", SUMIFS(Data_filtered!$G$2:$G$461,Data_filtered!$A$2:$A$461,Z$1,Data_filtered!$F$2:$F$461,$A14, Data_filtered!$D$2:$D$461,"mata",Data_filtered!$J$2:$J$461,"&lt;&gt;Incompleto"))
</f>
        <v>-</v>
      </c>
      <c r="AB14" s="106"/>
      <c r="AC14" s="107"/>
      <c r="AD14" s="106"/>
      <c r="AE14" s="107"/>
      <c r="AF14" s="106"/>
      <c r="AG14" s="107"/>
      <c r="AH14" s="106"/>
      <c r="AI14" s="107"/>
      <c r="AJ14" s="106"/>
      <c r="AK14" s="107"/>
      <c r="AL14" s="106"/>
      <c r="AM14" s="107"/>
      <c r="AN14" s="106"/>
      <c r="AO14" s="107"/>
      <c r="AP14" s="106"/>
      <c r="AQ14" s="107"/>
      <c r="AR14" s="106"/>
      <c r="AS14" s="107"/>
    </row>
    <row r="15">
      <c r="A15" s="15" t="str">
        <f>IFERROR(__xludf.DUMMYFUNCTION("""COMPUTED_VALUE"""),"Heteroptera")</f>
        <v>Heteroptera</v>
      </c>
      <c r="B15" s="106" t="str">
        <f>IF(SUMIFS(Data_filtered!$G$2:$G$461,Data_filtered!$A$2:$A$461,B$1,Data_filtered!$F$2:$F$461,$A15, Data_filtered!$D$2:$D$461,"eucalipto",Data_filtered!$J$2:$J$461,"&lt;&gt;Incompleto")=0, "-", SUMIFS(Data_filtered!$G$2:$G$461,Data_filtered!$A$2:$A$461,B$1,Data_filtered!$F$2:$F$461,$A15, Data_filtered!$D$2:$D$461,"eucalipto",Data_filtered!$J$2:$J$461,"&lt;&gt;Incompleto"))</f>
        <v>-</v>
      </c>
      <c r="C15" s="107">
        <f>IF(SUMIFS(Data_filtered!$G$2:$G$461,Data_filtered!$A$2:$A$461,B$1,Data_filtered!$F$2:$F$461,$A15, Data_filtered!$D$2:$D$461,"mata",Data_filtered!$J$2:$J$461,"&lt;&gt;Incompleto")=0, "-", SUMIFS(Data_filtered!$G$2:$G$461,Data_filtered!$A$2:$A$461,B$1,Data_filtered!$F$2:$F$461,$A15, Data_filtered!$D$2:$D$461,"mata",Data_filtered!$J$2:$J$461,"&lt;&gt;Incompleto"))
</f>
        <v>3</v>
      </c>
      <c r="D15" s="106" t="str">
        <f>IF(SUMIFS(Data_filtered!$G$2:$G$461,Data_filtered!$A$2:$A$461,D$1,Data_filtered!$F$2:$F$461,$A15, Data_filtered!$D$2:$D$461,"eucalipto",Data_filtered!$J$2:$J$461,"&lt;&gt;Incompleto")=0, "-", SUMIFS(Data_filtered!$G$2:$G$461,Data_filtered!$A$2:$A$461,D$1,Data_filtered!$F$2:$F$461,$A15, Data_filtered!$D$2:$D$461,"eucalipto",Data_filtered!$J$2:$J$461,"&lt;&gt;Incompleto"))</f>
        <v>-</v>
      </c>
      <c r="E15" s="107" t="str">
        <f>IF(SUMIFS(Data_filtered!$G$2:$G$461,Data_filtered!$A$2:$A$461,D$1,Data_filtered!$F$2:$F$461,$A15, Data_filtered!$D$2:$D$461,"mata",Data_filtered!$J$2:$J$461,"&lt;&gt;Incompleto")=0, "-", SUMIFS(Data_filtered!$G$2:$G$461,Data_filtered!$A$2:$A$461,D$1,Data_filtered!$F$2:$F$461,$A15, Data_filtered!$D$2:$D$461,"mata",Data_filtered!$J$2:$J$461,"&lt;&gt;Incompleto"))
</f>
        <v>-</v>
      </c>
      <c r="F15" s="106" t="str">
        <f>IF(SUMIFS(Data_filtered!$G$2:$G$461,Data_filtered!$A$2:$A$461,F$1,Data_filtered!$F$2:$F$461,$A15, Data_filtered!$D$2:$D$461,"eucalipto",Data_filtered!$J$2:$J$461,"&lt;&gt;Incompleto")=0, "-", SUMIFS(Data_filtered!$G$2:$G$461,Data_filtered!$A$2:$A$461,F$1,Data_filtered!$F$2:$F$461,$A15, Data_filtered!$D$2:$D$461,"eucalipto",Data_filtered!$J$2:$J$461,"&lt;&gt;Incompleto"))</f>
        <v>-</v>
      </c>
      <c r="G15" s="107" t="str">
        <f>IF(SUMIFS(Data_filtered!$G$2:$G$461,Data_filtered!$A$2:$A$461,F$1,Data_filtered!$F$2:$F$461,$A15, Data_filtered!$D$2:$D$461,"mata",Data_filtered!$J$2:$J$461,"&lt;&gt;Incompleto")=0, "-", SUMIFS(Data_filtered!$G$2:$G$461,Data_filtered!$A$2:$A$461,F$1,Data_filtered!$F$2:$F$461,$A15, Data_filtered!$D$2:$D$461,"mata",Data_filtered!$J$2:$J$461,"&lt;&gt;Incompleto"))
</f>
        <v>-</v>
      </c>
      <c r="H15" s="106" t="str">
        <f>IF(SUMIFS(Data_filtered!$G$2:$G$461,Data_filtered!$A$2:$A$461,H$1,Data_filtered!$F$2:$F$461,$A15, Data_filtered!$D$2:$D$461,"eucalipto",Data_filtered!$J$2:$J$461,"&lt;&gt;Incompleto")=0, "-", SUMIFS(Data_filtered!$G$2:$G$461,Data_filtered!$A$2:$A$461,H$1,Data_filtered!$F$2:$F$461,$A15, Data_filtered!$D$2:$D$461,"eucalipto",Data_filtered!$J$2:$J$461,"&lt;&gt;Incompleto"))</f>
        <v>-</v>
      </c>
      <c r="I15" s="107" t="str">
        <f>IF(SUMIFS(Data_filtered!$G$2:$G$461,Data_filtered!$A$2:$A$461,H$1,Data_filtered!$F$2:$F$461,$A15, Data_filtered!$D$2:$D$461,"mata",Data_filtered!$J$2:$J$461,"&lt;&gt;Incompleto")=0, "-", SUMIFS(Data_filtered!$G$2:$G$461,Data_filtered!$A$2:$A$461,H$1,Data_filtered!$F$2:$F$461,$A15, Data_filtered!$D$2:$D$461,"mata",Data_filtered!$J$2:$J$461,"&lt;&gt;Incompleto"))
</f>
        <v>-</v>
      </c>
      <c r="J15" s="106" t="str">
        <f>IF(SUMIFS(Data_filtered!$G$2:$G$461,Data_filtered!$A$2:$A$461,J$1,Data_filtered!$F$2:$F$461,$A15, Data_filtered!$D$2:$D$461,"eucalipto",Data_filtered!$J$2:$J$461,"&lt;&gt;Incompleto")=0, "-", SUMIFS(Data_filtered!$G$2:$G$461,Data_filtered!$A$2:$A$461,J$1,Data_filtered!$F$2:$F$461,$A15, Data_filtered!$D$2:$D$461,"eucalipto",Data_filtered!$J$2:$J$461,"&lt;&gt;Incompleto"))</f>
        <v>-</v>
      </c>
      <c r="K15" s="107">
        <f>IF(SUMIFS(Data_filtered!$G$2:$G$461,Data_filtered!$A$2:$A$461,J$1,Data_filtered!$F$2:$F$461,$A15, Data_filtered!$D$2:$D$461,"mata",Data_filtered!$J$2:$J$461,"&lt;&gt;Incompleto")=0, "-", SUMIFS(Data_filtered!$G$2:$G$461,Data_filtered!$A$2:$A$461,J$1,Data_filtered!$F$2:$F$461,$A15, Data_filtered!$D$2:$D$461,"mata",Data_filtered!$J$2:$J$461,"&lt;&gt;Incompleto"))
</f>
        <v>1</v>
      </c>
      <c r="L15" s="106" t="str">
        <f>IF(SUMIFS(Data_filtered!$G$2:$G$461,Data_filtered!$A$2:$A$461,L$1,Data_filtered!$F$2:$F$461,$A15, Data_filtered!$D$2:$D$461,"eucalipto",Data_filtered!$J$2:$J$461,"&lt;&gt;Incompleto")=0, "-", SUMIFS(Data_filtered!$G$2:$G$461,Data_filtered!$A$2:$A$461,L$1,Data_filtered!$F$2:$F$461,$A15, Data_filtered!$D$2:$D$461,"eucalipto",Data_filtered!$J$2:$J$461,"&lt;&gt;Incompleto"))</f>
        <v>-</v>
      </c>
      <c r="M15" s="107" t="str">
        <f>IF(SUMIFS(Data_filtered!$G$2:$G$461,Data_filtered!$A$2:$A$461,L$1,Data_filtered!$F$2:$F$461,$A15, Data_filtered!$D$2:$D$461,"mata",Data_filtered!$J$2:$J$461,"&lt;&gt;Incompleto")=0, "-", SUMIFS(Data_filtered!$G$2:$G$461,Data_filtered!$A$2:$A$461,L$1,Data_filtered!$F$2:$F$461,$A15, Data_filtered!$D$2:$D$461,"mata",Data_filtered!$J$2:$J$461,"&lt;&gt;Incompleto"))
</f>
        <v>-</v>
      </c>
      <c r="N15" s="106" t="str">
        <f>IF(SUMIFS(Data_filtered!$G$2:$G$461,Data_filtered!$A$2:$A$461,N$1,Data_filtered!$F$2:$F$461,$A15, Data_filtered!$D$2:$D$461,"eucalipto",Data_filtered!$J$2:$J$461,"&lt;&gt;Incompleto")=0, "-", SUMIFS(Data_filtered!$G$2:$G$461,Data_filtered!$A$2:$A$461,N$1,Data_filtered!$F$2:$F$461,$A15, Data_filtered!$D$2:$D$461,"eucalipto",Data_filtered!$J$2:$J$461,"&lt;&gt;Incompleto"))</f>
        <v>-</v>
      </c>
      <c r="O15" s="107" t="str">
        <f>IF(SUMIFS(Data_filtered!$G$2:$G$461,Data_filtered!$A$2:$A$461,N$1,Data_filtered!$F$2:$F$461,$A15, Data_filtered!$D$2:$D$461,"mata",Data_filtered!$J$2:$J$461,"&lt;&gt;Incompleto")=0, "-", SUMIFS(Data_filtered!$G$2:$G$461,Data_filtered!$A$2:$A$461,N$1,Data_filtered!$F$2:$F$461,$A15, Data_filtered!$D$2:$D$461,"mata",Data_filtered!$J$2:$J$461,"&lt;&gt;Incompleto"))
</f>
        <v>-</v>
      </c>
      <c r="P15" s="106" t="str">
        <f>IF(SUMIFS(Data_filtered!$G$2:$G$461,Data_filtered!$A$2:$A$461,P$1,Data_filtered!$F$2:$F$461,$A15, Data_filtered!$D$2:$D$461,"eucalipto",Data_filtered!$J$2:$J$461,"&lt;&gt;Incompleto")=0, "-", SUMIFS(Data_filtered!$G$2:$G$461,Data_filtered!$A$2:$A$461,P$1,Data_filtered!$F$2:$F$461,$A15, Data_filtered!$D$2:$D$461,"eucalipto",Data_filtered!$J$2:$J$461,"&lt;&gt;Incompleto"))</f>
        <v>-</v>
      </c>
      <c r="Q15" s="107" t="str">
        <f>IF(SUMIFS(Data_filtered!$G$2:$G$461,Data_filtered!$A$2:$A$461,P$1,Data_filtered!$F$2:$F$461,$A15, Data_filtered!$D$2:$D$461,"mata",Data_filtered!$J$2:$J$461,"&lt;&gt;Incompleto")=0, "-", SUMIFS(Data_filtered!$G$2:$G$461,Data_filtered!$A$2:$A$461,P$1,Data_filtered!$F$2:$F$461,$A15, Data_filtered!$D$2:$D$461,"mata",Data_filtered!$J$2:$J$461,"&lt;&gt;Incompleto"))
</f>
        <v>-</v>
      </c>
      <c r="R15" s="106" t="str">
        <f>IF(SUMIFS(Data_filtered!$G$2:$G$461,Data_filtered!$A$2:$A$461,R$1,Data_filtered!$F$2:$F$461,$A15, Data_filtered!$D$2:$D$461,"eucalipto",Data_filtered!$J$2:$J$461,"&lt;&gt;Incompleto")=0, "-", SUMIFS(Data_filtered!$G$2:$G$461,Data_filtered!$A$2:$A$461,R$1,Data_filtered!$F$2:$F$461,$A15, Data_filtered!$D$2:$D$461,"eucalipto",Data_filtered!$J$2:$J$461,"&lt;&gt;Incompleto"))</f>
        <v>-</v>
      </c>
      <c r="S15" s="107" t="str">
        <f>IF(SUMIFS(Data_filtered!$G$2:$G$461,Data_filtered!$A$2:$A$461,R$1,Data_filtered!$F$2:$F$461,$A15, Data_filtered!$D$2:$D$461,"mata",Data_filtered!$J$2:$J$461,"&lt;&gt;Incompleto")=0, "-", SUMIFS(Data_filtered!$G$2:$G$461,Data_filtered!$A$2:$A$461,R$1,Data_filtered!$F$2:$F$461,$A15, Data_filtered!$D$2:$D$461,"mata",Data_filtered!$J$2:$J$461,"&lt;&gt;Incompleto"))
</f>
        <v>-</v>
      </c>
      <c r="T15" s="106" t="str">
        <f>IF(SUMIFS(Data_filtered!$G$2:$G$461,Data_filtered!$A$2:$A$461,T$1,Data_filtered!$F$2:$F$461,$A15, Data_filtered!$D$2:$D$461,"eucalipto",Data_filtered!$J$2:$J$461,"&lt;&gt;Incompleto")=0, "-", SUMIFS(Data_filtered!$G$2:$G$461,Data_filtered!$A$2:$A$461,T$1,Data_filtered!$F$2:$F$461,$A15, Data_filtered!$D$2:$D$461,"eucalipto",Data_filtered!$J$2:$J$461,"&lt;&gt;Incompleto"))</f>
        <v>-</v>
      </c>
      <c r="U15" s="107">
        <f>IF(SUMIFS(Data_filtered!$G$2:$G$461,Data_filtered!$A$2:$A$461,T$1,Data_filtered!$F$2:$F$461,$A15, Data_filtered!$D$2:$D$461,"mata",Data_filtered!$J$2:$J$461,"&lt;&gt;Incompleto")=0, "-", SUMIFS(Data_filtered!$G$2:$G$461,Data_filtered!$A$2:$A$461,T$1,Data_filtered!$F$2:$F$461,$A15, Data_filtered!$D$2:$D$461,"mata",Data_filtered!$J$2:$J$461,"&lt;&gt;Incompleto"))
</f>
        <v>1</v>
      </c>
      <c r="V15" s="106" t="str">
        <f>IF(SUMIFS(Data_filtered!$G$2:$G$461,Data_filtered!$A$2:$A$461,V$1,Data_filtered!$F$2:$F$461,$A15, Data_filtered!$D$2:$D$461,"eucalipto",Data_filtered!$J$2:$J$461,"&lt;&gt;Incompleto")=0, "-", SUMIFS(Data_filtered!$G$2:$G$461,Data_filtered!$A$2:$A$461,V$1,Data_filtered!$F$2:$F$461,$A15, Data_filtered!$D$2:$D$461,"eucalipto",Data_filtered!$J$2:$J$461,"&lt;&gt;Incompleto"))</f>
        <v>-</v>
      </c>
      <c r="W15" s="107">
        <f>IF(SUMIFS(Data_filtered!$G$2:$G$461,Data_filtered!$A$2:$A$461,V$1,Data_filtered!$F$2:$F$461,$A15, Data_filtered!$D$2:$D$461,"mata",Data_filtered!$J$2:$J$461,"&lt;&gt;Incompleto")=0, "-", SUMIFS(Data_filtered!$G$2:$G$461,Data_filtered!$A$2:$A$461,V$1,Data_filtered!$F$2:$F$461,$A15, Data_filtered!$D$2:$D$461,"mata",Data_filtered!$J$2:$J$461,"&lt;&gt;Incompleto"))
</f>
        <v>2</v>
      </c>
      <c r="X15" s="106" t="str">
        <f>IF(SUMIFS(Data_filtered!$G$2:$G$461,Data_filtered!$A$2:$A$461,X$1,Data_filtered!$F$2:$F$461,$A15, Data_filtered!$D$2:$D$461,"eucalipto",Data_filtered!$J$2:$J$461,"&lt;&gt;Incompleto")=0, "-", SUMIFS(Data_filtered!$G$2:$G$461,Data_filtered!$A$2:$A$461,X$1,Data_filtered!$F$2:$F$461,$A15, Data_filtered!$D$2:$D$461,"eucalipto",Data_filtered!$J$2:$J$461,"&lt;&gt;Incompleto"))</f>
        <v>-</v>
      </c>
      <c r="Y15" s="107" t="str">
        <f>IF(SUMIFS(Data_filtered!$G$2:$G$461,Data_filtered!$A$2:$A$461,X$1,Data_filtered!$F$2:$F$461,$A15, Data_filtered!$D$2:$D$461,"mata",Data_filtered!$J$2:$J$461,"&lt;&gt;Incompleto")=0, "-", SUMIFS(Data_filtered!$G$2:$G$461,Data_filtered!$A$2:$A$461,X$1,Data_filtered!$F$2:$F$461,$A15, Data_filtered!$D$2:$D$461,"mata",Data_filtered!$J$2:$J$461,"&lt;&gt;Incompleto"))
</f>
        <v>-</v>
      </c>
      <c r="Z15" s="106" t="str">
        <f>IF(SUMIFS(Data_filtered!$G$2:$G$461,Data_filtered!$A$2:$A$461,Z$1,Data_filtered!$F$2:$F$461,$A15, Data_filtered!$D$2:$D$461,"eucalipto",Data_filtered!$J$2:$J$461,"&lt;&gt;Incompleto")=0, "-", SUMIFS(Data_filtered!$G$2:$G$461,Data_filtered!$A$2:$A$461,Z$1,Data_filtered!$F$2:$F$461,$A15, Data_filtered!$D$2:$D$461,"eucalipto",Data_filtered!$J$2:$J$461,"&lt;&gt;Incompleto"))</f>
        <v>-</v>
      </c>
      <c r="AA15" s="107" t="str">
        <f>IF(SUMIFS(Data_filtered!$G$2:$G$461,Data_filtered!$A$2:$A$461,Z$1,Data_filtered!$F$2:$F$461,$A15, Data_filtered!$D$2:$D$461,"mata",Data_filtered!$J$2:$J$461,"&lt;&gt;Incompleto")=0, "-", SUMIFS(Data_filtered!$G$2:$G$461,Data_filtered!$A$2:$A$461,Z$1,Data_filtered!$F$2:$F$461,$A15, Data_filtered!$D$2:$D$461,"mata",Data_filtered!$J$2:$J$461,"&lt;&gt;Incompleto"))
</f>
        <v>-</v>
      </c>
      <c r="AB15" s="106"/>
      <c r="AC15" s="107"/>
      <c r="AD15" s="106"/>
      <c r="AE15" s="107"/>
      <c r="AF15" s="106"/>
      <c r="AG15" s="107"/>
      <c r="AH15" s="106"/>
      <c r="AI15" s="107"/>
      <c r="AJ15" s="106"/>
      <c r="AK15" s="107"/>
      <c r="AL15" s="106"/>
      <c r="AM15" s="107"/>
      <c r="AN15" s="106"/>
      <c r="AO15" s="107"/>
      <c r="AP15" s="106"/>
      <c r="AQ15" s="107"/>
      <c r="AR15" s="106"/>
      <c r="AS15" s="107"/>
    </row>
    <row r="16">
      <c r="A16" s="15" t="str">
        <f>IFERROR(__xludf.DUMMYFUNCTION("""COMPUTED_VALUE"""),"Isópode")</f>
        <v>Isópode</v>
      </c>
      <c r="B16" s="106" t="str">
        <f>IF(SUMIFS(Data_filtered!$G$2:$G$461,Data_filtered!$A$2:$A$461,B$1,Data_filtered!$F$2:$F$461,$A16, Data_filtered!$D$2:$D$461,"eucalipto",Data_filtered!$J$2:$J$461,"&lt;&gt;Incompleto")=0, "-", SUMIFS(Data_filtered!$G$2:$G$461,Data_filtered!$A$2:$A$461,B$1,Data_filtered!$F$2:$F$461,$A16, Data_filtered!$D$2:$D$461,"eucalipto",Data_filtered!$J$2:$J$461,"&lt;&gt;Incompleto"))</f>
        <v>-</v>
      </c>
      <c r="C16" s="107" t="str">
        <f>IF(SUMIFS(Data_filtered!$G$2:$G$461,Data_filtered!$A$2:$A$461,B$1,Data_filtered!$F$2:$F$461,$A16, Data_filtered!$D$2:$D$461,"mata",Data_filtered!$J$2:$J$461,"&lt;&gt;Incompleto")=0, "-", SUMIFS(Data_filtered!$G$2:$G$461,Data_filtered!$A$2:$A$461,B$1,Data_filtered!$F$2:$F$461,$A16, Data_filtered!$D$2:$D$461,"mata",Data_filtered!$J$2:$J$461,"&lt;&gt;Incompleto"))
</f>
        <v>-</v>
      </c>
      <c r="D16" s="106" t="str">
        <f>IF(SUMIFS(Data_filtered!$G$2:$G$461,Data_filtered!$A$2:$A$461,D$1,Data_filtered!$F$2:$F$461,$A16, Data_filtered!$D$2:$D$461,"eucalipto",Data_filtered!$J$2:$J$461,"&lt;&gt;Incompleto")=0, "-", SUMIFS(Data_filtered!$G$2:$G$461,Data_filtered!$A$2:$A$461,D$1,Data_filtered!$F$2:$F$461,$A16, Data_filtered!$D$2:$D$461,"eucalipto",Data_filtered!$J$2:$J$461,"&lt;&gt;Incompleto"))</f>
        <v>-</v>
      </c>
      <c r="E16" s="107" t="str">
        <f>IF(SUMIFS(Data_filtered!$G$2:$G$461,Data_filtered!$A$2:$A$461,D$1,Data_filtered!$F$2:$F$461,$A16, Data_filtered!$D$2:$D$461,"mata",Data_filtered!$J$2:$J$461,"&lt;&gt;Incompleto")=0, "-", SUMIFS(Data_filtered!$G$2:$G$461,Data_filtered!$A$2:$A$461,D$1,Data_filtered!$F$2:$F$461,$A16, Data_filtered!$D$2:$D$461,"mata",Data_filtered!$J$2:$J$461,"&lt;&gt;Incompleto"))
</f>
        <v>-</v>
      </c>
      <c r="F16" s="106" t="str">
        <f>IF(SUMIFS(Data_filtered!$G$2:$G$461,Data_filtered!$A$2:$A$461,F$1,Data_filtered!$F$2:$F$461,$A16, Data_filtered!$D$2:$D$461,"eucalipto",Data_filtered!$J$2:$J$461,"&lt;&gt;Incompleto")=0, "-", SUMIFS(Data_filtered!$G$2:$G$461,Data_filtered!$A$2:$A$461,F$1,Data_filtered!$F$2:$F$461,$A16, Data_filtered!$D$2:$D$461,"eucalipto",Data_filtered!$J$2:$J$461,"&lt;&gt;Incompleto"))</f>
        <v>-</v>
      </c>
      <c r="G16" s="107" t="str">
        <f>IF(SUMIFS(Data_filtered!$G$2:$G$461,Data_filtered!$A$2:$A$461,F$1,Data_filtered!$F$2:$F$461,$A16, Data_filtered!$D$2:$D$461,"mata",Data_filtered!$J$2:$J$461,"&lt;&gt;Incompleto")=0, "-", SUMIFS(Data_filtered!$G$2:$G$461,Data_filtered!$A$2:$A$461,F$1,Data_filtered!$F$2:$F$461,$A16, Data_filtered!$D$2:$D$461,"mata",Data_filtered!$J$2:$J$461,"&lt;&gt;Incompleto"))
</f>
        <v>-</v>
      </c>
      <c r="H16" s="106" t="str">
        <f>IF(SUMIFS(Data_filtered!$G$2:$G$461,Data_filtered!$A$2:$A$461,H$1,Data_filtered!$F$2:$F$461,$A16, Data_filtered!$D$2:$D$461,"eucalipto",Data_filtered!$J$2:$J$461,"&lt;&gt;Incompleto")=0, "-", SUMIFS(Data_filtered!$G$2:$G$461,Data_filtered!$A$2:$A$461,H$1,Data_filtered!$F$2:$F$461,$A16, Data_filtered!$D$2:$D$461,"eucalipto",Data_filtered!$J$2:$J$461,"&lt;&gt;Incompleto"))</f>
        <v>-</v>
      </c>
      <c r="I16" s="107" t="str">
        <f>IF(SUMIFS(Data_filtered!$G$2:$G$461,Data_filtered!$A$2:$A$461,H$1,Data_filtered!$F$2:$F$461,$A16, Data_filtered!$D$2:$D$461,"mata",Data_filtered!$J$2:$J$461,"&lt;&gt;Incompleto")=0, "-", SUMIFS(Data_filtered!$G$2:$G$461,Data_filtered!$A$2:$A$461,H$1,Data_filtered!$F$2:$F$461,$A16, Data_filtered!$D$2:$D$461,"mata",Data_filtered!$J$2:$J$461,"&lt;&gt;Incompleto"))
</f>
        <v>-</v>
      </c>
      <c r="J16" s="106" t="str">
        <f>IF(SUMIFS(Data_filtered!$G$2:$G$461,Data_filtered!$A$2:$A$461,J$1,Data_filtered!$F$2:$F$461,$A16, Data_filtered!$D$2:$D$461,"eucalipto",Data_filtered!$J$2:$J$461,"&lt;&gt;Incompleto")=0, "-", SUMIFS(Data_filtered!$G$2:$G$461,Data_filtered!$A$2:$A$461,J$1,Data_filtered!$F$2:$F$461,$A16, Data_filtered!$D$2:$D$461,"eucalipto",Data_filtered!$J$2:$J$461,"&lt;&gt;Incompleto"))</f>
        <v>-</v>
      </c>
      <c r="K16" s="107" t="str">
        <f>IF(SUMIFS(Data_filtered!$G$2:$G$461,Data_filtered!$A$2:$A$461,J$1,Data_filtered!$F$2:$F$461,$A16, Data_filtered!$D$2:$D$461,"mata",Data_filtered!$J$2:$J$461,"&lt;&gt;Incompleto")=0, "-", SUMIFS(Data_filtered!$G$2:$G$461,Data_filtered!$A$2:$A$461,J$1,Data_filtered!$F$2:$F$461,$A16, Data_filtered!$D$2:$D$461,"mata",Data_filtered!$J$2:$J$461,"&lt;&gt;Incompleto"))
</f>
        <v>-</v>
      </c>
      <c r="L16" s="106" t="str">
        <f>IF(SUMIFS(Data_filtered!$G$2:$G$461,Data_filtered!$A$2:$A$461,L$1,Data_filtered!$F$2:$F$461,$A16, Data_filtered!$D$2:$D$461,"eucalipto",Data_filtered!$J$2:$J$461,"&lt;&gt;Incompleto")=0, "-", SUMIFS(Data_filtered!$G$2:$G$461,Data_filtered!$A$2:$A$461,L$1,Data_filtered!$F$2:$F$461,$A16, Data_filtered!$D$2:$D$461,"eucalipto",Data_filtered!$J$2:$J$461,"&lt;&gt;Incompleto"))</f>
        <v>-</v>
      </c>
      <c r="M16" s="107" t="str">
        <f>IF(SUMIFS(Data_filtered!$G$2:$G$461,Data_filtered!$A$2:$A$461,L$1,Data_filtered!$F$2:$F$461,$A16, Data_filtered!$D$2:$D$461,"mata",Data_filtered!$J$2:$J$461,"&lt;&gt;Incompleto")=0, "-", SUMIFS(Data_filtered!$G$2:$G$461,Data_filtered!$A$2:$A$461,L$1,Data_filtered!$F$2:$F$461,$A16, Data_filtered!$D$2:$D$461,"mata",Data_filtered!$J$2:$J$461,"&lt;&gt;Incompleto"))
</f>
        <v>-</v>
      </c>
      <c r="N16" s="106" t="str">
        <f>IF(SUMIFS(Data_filtered!$G$2:$G$461,Data_filtered!$A$2:$A$461,N$1,Data_filtered!$F$2:$F$461,$A16, Data_filtered!$D$2:$D$461,"eucalipto",Data_filtered!$J$2:$J$461,"&lt;&gt;Incompleto")=0, "-", SUMIFS(Data_filtered!$G$2:$G$461,Data_filtered!$A$2:$A$461,N$1,Data_filtered!$F$2:$F$461,$A16, Data_filtered!$D$2:$D$461,"eucalipto",Data_filtered!$J$2:$J$461,"&lt;&gt;Incompleto"))</f>
        <v>-</v>
      </c>
      <c r="O16" s="107" t="str">
        <f>IF(SUMIFS(Data_filtered!$G$2:$G$461,Data_filtered!$A$2:$A$461,N$1,Data_filtered!$F$2:$F$461,$A16, Data_filtered!$D$2:$D$461,"mata",Data_filtered!$J$2:$J$461,"&lt;&gt;Incompleto")=0, "-", SUMIFS(Data_filtered!$G$2:$G$461,Data_filtered!$A$2:$A$461,N$1,Data_filtered!$F$2:$F$461,$A16, Data_filtered!$D$2:$D$461,"mata",Data_filtered!$J$2:$J$461,"&lt;&gt;Incompleto"))
</f>
        <v>-</v>
      </c>
      <c r="P16" s="106" t="str">
        <f>IF(SUMIFS(Data_filtered!$G$2:$G$461,Data_filtered!$A$2:$A$461,P$1,Data_filtered!$F$2:$F$461,$A16, Data_filtered!$D$2:$D$461,"eucalipto",Data_filtered!$J$2:$J$461,"&lt;&gt;Incompleto")=0, "-", SUMIFS(Data_filtered!$G$2:$G$461,Data_filtered!$A$2:$A$461,P$1,Data_filtered!$F$2:$F$461,$A16, Data_filtered!$D$2:$D$461,"eucalipto",Data_filtered!$J$2:$J$461,"&lt;&gt;Incompleto"))</f>
        <v>-</v>
      </c>
      <c r="Q16" s="107" t="str">
        <f>IF(SUMIFS(Data_filtered!$G$2:$G$461,Data_filtered!$A$2:$A$461,P$1,Data_filtered!$F$2:$F$461,$A16, Data_filtered!$D$2:$D$461,"mata",Data_filtered!$J$2:$J$461,"&lt;&gt;Incompleto")=0, "-", SUMIFS(Data_filtered!$G$2:$G$461,Data_filtered!$A$2:$A$461,P$1,Data_filtered!$F$2:$F$461,$A16, Data_filtered!$D$2:$D$461,"mata",Data_filtered!$J$2:$J$461,"&lt;&gt;Incompleto"))
</f>
        <v>-</v>
      </c>
      <c r="R16" s="106" t="str">
        <f>IF(SUMIFS(Data_filtered!$G$2:$G$461,Data_filtered!$A$2:$A$461,R$1,Data_filtered!$F$2:$F$461,$A16, Data_filtered!$D$2:$D$461,"eucalipto",Data_filtered!$J$2:$J$461,"&lt;&gt;Incompleto")=0, "-", SUMIFS(Data_filtered!$G$2:$G$461,Data_filtered!$A$2:$A$461,R$1,Data_filtered!$F$2:$F$461,$A16, Data_filtered!$D$2:$D$461,"eucalipto",Data_filtered!$J$2:$J$461,"&lt;&gt;Incompleto"))</f>
        <v>-</v>
      </c>
      <c r="S16" s="107">
        <f>IF(SUMIFS(Data_filtered!$G$2:$G$461,Data_filtered!$A$2:$A$461,R$1,Data_filtered!$F$2:$F$461,$A16, Data_filtered!$D$2:$D$461,"mata",Data_filtered!$J$2:$J$461,"&lt;&gt;Incompleto")=0, "-", SUMIFS(Data_filtered!$G$2:$G$461,Data_filtered!$A$2:$A$461,R$1,Data_filtered!$F$2:$F$461,$A16, Data_filtered!$D$2:$D$461,"mata",Data_filtered!$J$2:$J$461,"&lt;&gt;Incompleto"))
</f>
        <v>1</v>
      </c>
      <c r="T16" s="106" t="str">
        <f>IF(SUMIFS(Data_filtered!$G$2:$G$461,Data_filtered!$A$2:$A$461,T$1,Data_filtered!$F$2:$F$461,$A16, Data_filtered!$D$2:$D$461,"eucalipto",Data_filtered!$J$2:$J$461,"&lt;&gt;Incompleto")=0, "-", SUMIFS(Data_filtered!$G$2:$G$461,Data_filtered!$A$2:$A$461,T$1,Data_filtered!$F$2:$F$461,$A16, Data_filtered!$D$2:$D$461,"eucalipto",Data_filtered!$J$2:$J$461,"&lt;&gt;Incompleto"))</f>
        <v>-</v>
      </c>
      <c r="U16" s="107">
        <f>IF(SUMIFS(Data_filtered!$G$2:$G$461,Data_filtered!$A$2:$A$461,T$1,Data_filtered!$F$2:$F$461,$A16, Data_filtered!$D$2:$D$461,"mata",Data_filtered!$J$2:$J$461,"&lt;&gt;Incompleto")=0, "-", SUMIFS(Data_filtered!$G$2:$G$461,Data_filtered!$A$2:$A$461,T$1,Data_filtered!$F$2:$F$461,$A16, Data_filtered!$D$2:$D$461,"mata",Data_filtered!$J$2:$J$461,"&lt;&gt;Incompleto"))
</f>
        <v>2</v>
      </c>
      <c r="V16" s="106" t="str">
        <f>IF(SUMIFS(Data_filtered!$G$2:$G$461,Data_filtered!$A$2:$A$461,V$1,Data_filtered!$F$2:$F$461,$A16, Data_filtered!$D$2:$D$461,"eucalipto",Data_filtered!$J$2:$J$461,"&lt;&gt;Incompleto")=0, "-", SUMIFS(Data_filtered!$G$2:$G$461,Data_filtered!$A$2:$A$461,V$1,Data_filtered!$F$2:$F$461,$A16, Data_filtered!$D$2:$D$461,"eucalipto",Data_filtered!$J$2:$J$461,"&lt;&gt;Incompleto"))</f>
        <v>-</v>
      </c>
      <c r="W16" s="107">
        <f>IF(SUMIFS(Data_filtered!$G$2:$G$461,Data_filtered!$A$2:$A$461,V$1,Data_filtered!$F$2:$F$461,$A16, Data_filtered!$D$2:$D$461,"mata",Data_filtered!$J$2:$J$461,"&lt;&gt;Incompleto")=0, "-", SUMIFS(Data_filtered!$G$2:$G$461,Data_filtered!$A$2:$A$461,V$1,Data_filtered!$F$2:$F$461,$A16, Data_filtered!$D$2:$D$461,"mata",Data_filtered!$J$2:$J$461,"&lt;&gt;Incompleto"))
</f>
        <v>1</v>
      </c>
      <c r="X16" s="106" t="str">
        <f>IF(SUMIFS(Data_filtered!$G$2:$G$461,Data_filtered!$A$2:$A$461,X$1,Data_filtered!$F$2:$F$461,$A16, Data_filtered!$D$2:$D$461,"eucalipto",Data_filtered!$J$2:$J$461,"&lt;&gt;Incompleto")=0, "-", SUMIFS(Data_filtered!$G$2:$G$461,Data_filtered!$A$2:$A$461,X$1,Data_filtered!$F$2:$F$461,$A16, Data_filtered!$D$2:$D$461,"eucalipto",Data_filtered!$J$2:$J$461,"&lt;&gt;Incompleto"))</f>
        <v>-</v>
      </c>
      <c r="Y16" s="107" t="str">
        <f>IF(SUMIFS(Data_filtered!$G$2:$G$461,Data_filtered!$A$2:$A$461,X$1,Data_filtered!$F$2:$F$461,$A16, Data_filtered!$D$2:$D$461,"mata",Data_filtered!$J$2:$J$461,"&lt;&gt;Incompleto")=0, "-", SUMIFS(Data_filtered!$G$2:$G$461,Data_filtered!$A$2:$A$461,X$1,Data_filtered!$F$2:$F$461,$A16, Data_filtered!$D$2:$D$461,"mata",Data_filtered!$J$2:$J$461,"&lt;&gt;Incompleto"))
</f>
        <v>-</v>
      </c>
      <c r="Z16" s="106" t="str">
        <f>IF(SUMIFS(Data_filtered!$G$2:$G$461,Data_filtered!$A$2:$A$461,Z$1,Data_filtered!$F$2:$F$461,$A16, Data_filtered!$D$2:$D$461,"eucalipto",Data_filtered!$J$2:$J$461,"&lt;&gt;Incompleto")=0, "-", SUMIFS(Data_filtered!$G$2:$G$461,Data_filtered!$A$2:$A$461,Z$1,Data_filtered!$F$2:$F$461,$A16, Data_filtered!$D$2:$D$461,"eucalipto",Data_filtered!$J$2:$J$461,"&lt;&gt;Incompleto"))</f>
        <v>-</v>
      </c>
      <c r="AA16" s="107" t="str">
        <f>IF(SUMIFS(Data_filtered!$G$2:$G$461,Data_filtered!$A$2:$A$461,Z$1,Data_filtered!$F$2:$F$461,$A16, Data_filtered!$D$2:$D$461,"mata",Data_filtered!$J$2:$J$461,"&lt;&gt;Incompleto")=0, "-", SUMIFS(Data_filtered!$G$2:$G$461,Data_filtered!$A$2:$A$461,Z$1,Data_filtered!$F$2:$F$461,$A16, Data_filtered!$D$2:$D$461,"mata",Data_filtered!$J$2:$J$461,"&lt;&gt;Incompleto"))
</f>
        <v>-</v>
      </c>
      <c r="AB16" s="106"/>
      <c r="AC16" s="107"/>
      <c r="AD16" s="106"/>
      <c r="AE16" s="107"/>
      <c r="AF16" s="106"/>
      <c r="AG16" s="107"/>
      <c r="AH16" s="106"/>
      <c r="AI16" s="107"/>
      <c r="AJ16" s="106"/>
      <c r="AK16" s="107"/>
      <c r="AL16" s="106"/>
      <c r="AM16" s="107"/>
      <c r="AN16" s="106"/>
      <c r="AO16" s="107"/>
      <c r="AP16" s="106"/>
      <c r="AQ16" s="107"/>
      <c r="AR16" s="106"/>
      <c r="AS16" s="107"/>
    </row>
    <row r="17">
      <c r="A17" s="15" t="str">
        <f>IFERROR(__xludf.DUMMYFUNCTION("""COMPUTED_VALUE"""),"Isoptera")</f>
        <v>Isoptera</v>
      </c>
      <c r="B17" s="106" t="str">
        <f>IF(SUMIFS(Data_filtered!$G$2:$G$461,Data_filtered!$A$2:$A$461,B$1,Data_filtered!$F$2:$F$461,$A17, Data_filtered!$D$2:$D$461,"eucalipto",Data_filtered!$J$2:$J$461,"&lt;&gt;Incompleto")=0, "-", SUMIFS(Data_filtered!$G$2:$G$461,Data_filtered!$A$2:$A$461,B$1,Data_filtered!$F$2:$F$461,$A17, Data_filtered!$D$2:$D$461,"eucalipto",Data_filtered!$J$2:$J$461,"&lt;&gt;Incompleto"))</f>
        <v>-</v>
      </c>
      <c r="C17" s="107" t="str">
        <f>IF(SUMIFS(Data_filtered!$G$2:$G$461,Data_filtered!$A$2:$A$461,B$1,Data_filtered!$F$2:$F$461,$A17, Data_filtered!$D$2:$D$461,"mata",Data_filtered!$J$2:$J$461,"&lt;&gt;Incompleto")=0, "-", SUMIFS(Data_filtered!$G$2:$G$461,Data_filtered!$A$2:$A$461,B$1,Data_filtered!$F$2:$F$461,$A17, Data_filtered!$D$2:$D$461,"mata",Data_filtered!$J$2:$J$461,"&lt;&gt;Incompleto"))
</f>
        <v>-</v>
      </c>
      <c r="D17" s="106" t="str">
        <f>IF(SUMIFS(Data_filtered!$G$2:$G$461,Data_filtered!$A$2:$A$461,D$1,Data_filtered!$F$2:$F$461,$A17, Data_filtered!$D$2:$D$461,"eucalipto",Data_filtered!$J$2:$J$461,"&lt;&gt;Incompleto")=0, "-", SUMIFS(Data_filtered!$G$2:$G$461,Data_filtered!$A$2:$A$461,D$1,Data_filtered!$F$2:$F$461,$A17, Data_filtered!$D$2:$D$461,"eucalipto",Data_filtered!$J$2:$J$461,"&lt;&gt;Incompleto"))</f>
        <v>-</v>
      </c>
      <c r="E17" s="107" t="str">
        <f>IF(SUMIFS(Data_filtered!$G$2:$G$461,Data_filtered!$A$2:$A$461,D$1,Data_filtered!$F$2:$F$461,$A17, Data_filtered!$D$2:$D$461,"mata",Data_filtered!$J$2:$J$461,"&lt;&gt;Incompleto")=0, "-", SUMIFS(Data_filtered!$G$2:$G$461,Data_filtered!$A$2:$A$461,D$1,Data_filtered!$F$2:$F$461,$A17, Data_filtered!$D$2:$D$461,"mata",Data_filtered!$J$2:$J$461,"&lt;&gt;Incompleto"))
</f>
        <v>-</v>
      </c>
      <c r="F17" s="106" t="str">
        <f>IF(SUMIFS(Data_filtered!$G$2:$G$461,Data_filtered!$A$2:$A$461,F$1,Data_filtered!$F$2:$F$461,$A17, Data_filtered!$D$2:$D$461,"eucalipto",Data_filtered!$J$2:$J$461,"&lt;&gt;Incompleto")=0, "-", SUMIFS(Data_filtered!$G$2:$G$461,Data_filtered!$A$2:$A$461,F$1,Data_filtered!$F$2:$F$461,$A17, Data_filtered!$D$2:$D$461,"eucalipto",Data_filtered!$J$2:$J$461,"&lt;&gt;Incompleto"))</f>
        <v>-</v>
      </c>
      <c r="G17" s="107">
        <f>IF(SUMIFS(Data_filtered!$G$2:$G$461,Data_filtered!$A$2:$A$461,F$1,Data_filtered!$F$2:$F$461,$A17, Data_filtered!$D$2:$D$461,"mata",Data_filtered!$J$2:$J$461,"&lt;&gt;Incompleto")=0, "-", SUMIFS(Data_filtered!$G$2:$G$461,Data_filtered!$A$2:$A$461,F$1,Data_filtered!$F$2:$F$461,$A17, Data_filtered!$D$2:$D$461,"mata",Data_filtered!$J$2:$J$461,"&lt;&gt;Incompleto"))
</f>
        <v>13</v>
      </c>
      <c r="H17" s="106" t="str">
        <f>IF(SUMIFS(Data_filtered!$G$2:$G$461,Data_filtered!$A$2:$A$461,H$1,Data_filtered!$F$2:$F$461,$A17, Data_filtered!$D$2:$D$461,"eucalipto",Data_filtered!$J$2:$J$461,"&lt;&gt;Incompleto")=0, "-", SUMIFS(Data_filtered!$G$2:$G$461,Data_filtered!$A$2:$A$461,H$1,Data_filtered!$F$2:$F$461,$A17, Data_filtered!$D$2:$D$461,"eucalipto",Data_filtered!$J$2:$J$461,"&lt;&gt;Incompleto"))</f>
        <v>-</v>
      </c>
      <c r="I17" s="107" t="str">
        <f>IF(SUMIFS(Data_filtered!$G$2:$G$461,Data_filtered!$A$2:$A$461,H$1,Data_filtered!$F$2:$F$461,$A17, Data_filtered!$D$2:$D$461,"mata",Data_filtered!$J$2:$J$461,"&lt;&gt;Incompleto")=0, "-", SUMIFS(Data_filtered!$G$2:$G$461,Data_filtered!$A$2:$A$461,H$1,Data_filtered!$F$2:$F$461,$A17, Data_filtered!$D$2:$D$461,"mata",Data_filtered!$J$2:$J$461,"&lt;&gt;Incompleto"))
</f>
        <v>-</v>
      </c>
      <c r="J17" s="106" t="str">
        <f>IF(SUMIFS(Data_filtered!$G$2:$G$461,Data_filtered!$A$2:$A$461,J$1,Data_filtered!$F$2:$F$461,$A17, Data_filtered!$D$2:$D$461,"eucalipto",Data_filtered!$J$2:$J$461,"&lt;&gt;Incompleto")=0, "-", SUMIFS(Data_filtered!$G$2:$G$461,Data_filtered!$A$2:$A$461,J$1,Data_filtered!$F$2:$F$461,$A17, Data_filtered!$D$2:$D$461,"eucalipto",Data_filtered!$J$2:$J$461,"&lt;&gt;Incompleto"))</f>
        <v>-</v>
      </c>
      <c r="K17" s="107" t="str">
        <f>IF(SUMIFS(Data_filtered!$G$2:$G$461,Data_filtered!$A$2:$A$461,J$1,Data_filtered!$F$2:$F$461,$A17, Data_filtered!$D$2:$D$461,"mata",Data_filtered!$J$2:$J$461,"&lt;&gt;Incompleto")=0, "-", SUMIFS(Data_filtered!$G$2:$G$461,Data_filtered!$A$2:$A$461,J$1,Data_filtered!$F$2:$F$461,$A17, Data_filtered!$D$2:$D$461,"mata",Data_filtered!$J$2:$J$461,"&lt;&gt;Incompleto"))
</f>
        <v>-</v>
      </c>
      <c r="L17" s="106" t="str">
        <f>IF(SUMIFS(Data_filtered!$G$2:$G$461,Data_filtered!$A$2:$A$461,L$1,Data_filtered!$F$2:$F$461,$A17, Data_filtered!$D$2:$D$461,"eucalipto",Data_filtered!$J$2:$J$461,"&lt;&gt;Incompleto")=0, "-", SUMIFS(Data_filtered!$G$2:$G$461,Data_filtered!$A$2:$A$461,L$1,Data_filtered!$F$2:$F$461,$A17, Data_filtered!$D$2:$D$461,"eucalipto",Data_filtered!$J$2:$J$461,"&lt;&gt;Incompleto"))</f>
        <v>-</v>
      </c>
      <c r="M17" s="107" t="str">
        <f>IF(SUMIFS(Data_filtered!$G$2:$G$461,Data_filtered!$A$2:$A$461,L$1,Data_filtered!$F$2:$F$461,$A17, Data_filtered!$D$2:$D$461,"mata",Data_filtered!$J$2:$J$461,"&lt;&gt;Incompleto")=0, "-", SUMIFS(Data_filtered!$G$2:$G$461,Data_filtered!$A$2:$A$461,L$1,Data_filtered!$F$2:$F$461,$A17, Data_filtered!$D$2:$D$461,"mata",Data_filtered!$J$2:$J$461,"&lt;&gt;Incompleto"))
</f>
        <v>-</v>
      </c>
      <c r="N17" s="106" t="str">
        <f>IF(SUMIFS(Data_filtered!$G$2:$G$461,Data_filtered!$A$2:$A$461,N$1,Data_filtered!$F$2:$F$461,$A17, Data_filtered!$D$2:$D$461,"eucalipto",Data_filtered!$J$2:$J$461,"&lt;&gt;Incompleto")=0, "-", SUMIFS(Data_filtered!$G$2:$G$461,Data_filtered!$A$2:$A$461,N$1,Data_filtered!$F$2:$F$461,$A17, Data_filtered!$D$2:$D$461,"eucalipto",Data_filtered!$J$2:$J$461,"&lt;&gt;Incompleto"))</f>
        <v>-</v>
      </c>
      <c r="O17" s="107" t="str">
        <f>IF(SUMIFS(Data_filtered!$G$2:$G$461,Data_filtered!$A$2:$A$461,N$1,Data_filtered!$F$2:$F$461,$A17, Data_filtered!$D$2:$D$461,"mata",Data_filtered!$J$2:$J$461,"&lt;&gt;Incompleto")=0, "-", SUMIFS(Data_filtered!$G$2:$G$461,Data_filtered!$A$2:$A$461,N$1,Data_filtered!$F$2:$F$461,$A17, Data_filtered!$D$2:$D$461,"mata",Data_filtered!$J$2:$J$461,"&lt;&gt;Incompleto"))
</f>
        <v>-</v>
      </c>
      <c r="P17" s="106" t="str">
        <f>IF(SUMIFS(Data_filtered!$G$2:$G$461,Data_filtered!$A$2:$A$461,P$1,Data_filtered!$F$2:$F$461,$A17, Data_filtered!$D$2:$D$461,"eucalipto",Data_filtered!$J$2:$J$461,"&lt;&gt;Incompleto")=0, "-", SUMIFS(Data_filtered!$G$2:$G$461,Data_filtered!$A$2:$A$461,P$1,Data_filtered!$F$2:$F$461,$A17, Data_filtered!$D$2:$D$461,"eucalipto",Data_filtered!$J$2:$J$461,"&lt;&gt;Incompleto"))</f>
        <v>-</v>
      </c>
      <c r="Q17" s="107" t="str">
        <f>IF(SUMIFS(Data_filtered!$G$2:$G$461,Data_filtered!$A$2:$A$461,P$1,Data_filtered!$F$2:$F$461,$A17, Data_filtered!$D$2:$D$461,"mata",Data_filtered!$J$2:$J$461,"&lt;&gt;Incompleto")=0, "-", SUMIFS(Data_filtered!$G$2:$G$461,Data_filtered!$A$2:$A$461,P$1,Data_filtered!$F$2:$F$461,$A17, Data_filtered!$D$2:$D$461,"mata",Data_filtered!$J$2:$J$461,"&lt;&gt;Incompleto"))
</f>
        <v>-</v>
      </c>
      <c r="R17" s="106" t="str">
        <f>IF(SUMIFS(Data_filtered!$G$2:$G$461,Data_filtered!$A$2:$A$461,R$1,Data_filtered!$F$2:$F$461,$A17, Data_filtered!$D$2:$D$461,"eucalipto",Data_filtered!$J$2:$J$461,"&lt;&gt;Incompleto")=0, "-", SUMIFS(Data_filtered!$G$2:$G$461,Data_filtered!$A$2:$A$461,R$1,Data_filtered!$F$2:$F$461,$A17, Data_filtered!$D$2:$D$461,"eucalipto",Data_filtered!$J$2:$J$461,"&lt;&gt;Incompleto"))</f>
        <v>-</v>
      </c>
      <c r="S17" s="107" t="str">
        <f>IF(SUMIFS(Data_filtered!$G$2:$G$461,Data_filtered!$A$2:$A$461,R$1,Data_filtered!$F$2:$F$461,$A17, Data_filtered!$D$2:$D$461,"mata",Data_filtered!$J$2:$J$461,"&lt;&gt;Incompleto")=0, "-", SUMIFS(Data_filtered!$G$2:$G$461,Data_filtered!$A$2:$A$461,R$1,Data_filtered!$F$2:$F$461,$A17, Data_filtered!$D$2:$D$461,"mata",Data_filtered!$J$2:$J$461,"&lt;&gt;Incompleto"))
</f>
        <v>-</v>
      </c>
      <c r="T17" s="106" t="str">
        <f>IF(SUMIFS(Data_filtered!$G$2:$G$461,Data_filtered!$A$2:$A$461,T$1,Data_filtered!$F$2:$F$461,$A17, Data_filtered!$D$2:$D$461,"eucalipto",Data_filtered!$J$2:$J$461,"&lt;&gt;Incompleto")=0, "-", SUMIFS(Data_filtered!$G$2:$G$461,Data_filtered!$A$2:$A$461,T$1,Data_filtered!$F$2:$F$461,$A17, Data_filtered!$D$2:$D$461,"eucalipto",Data_filtered!$J$2:$J$461,"&lt;&gt;Incompleto"))</f>
        <v>-</v>
      </c>
      <c r="U17" s="107" t="str">
        <f>IF(SUMIFS(Data_filtered!$G$2:$G$461,Data_filtered!$A$2:$A$461,T$1,Data_filtered!$F$2:$F$461,$A17, Data_filtered!$D$2:$D$461,"mata",Data_filtered!$J$2:$J$461,"&lt;&gt;Incompleto")=0, "-", SUMIFS(Data_filtered!$G$2:$G$461,Data_filtered!$A$2:$A$461,T$1,Data_filtered!$F$2:$F$461,$A17, Data_filtered!$D$2:$D$461,"mata",Data_filtered!$J$2:$J$461,"&lt;&gt;Incompleto"))
</f>
        <v>-</v>
      </c>
      <c r="V17" s="106" t="str">
        <f>IF(SUMIFS(Data_filtered!$G$2:$G$461,Data_filtered!$A$2:$A$461,V$1,Data_filtered!$F$2:$F$461,$A17, Data_filtered!$D$2:$D$461,"eucalipto",Data_filtered!$J$2:$J$461,"&lt;&gt;Incompleto")=0, "-", SUMIFS(Data_filtered!$G$2:$G$461,Data_filtered!$A$2:$A$461,V$1,Data_filtered!$F$2:$F$461,$A17, Data_filtered!$D$2:$D$461,"eucalipto",Data_filtered!$J$2:$J$461,"&lt;&gt;Incompleto"))</f>
        <v>-</v>
      </c>
      <c r="W17" s="107" t="str">
        <f>IF(SUMIFS(Data_filtered!$G$2:$G$461,Data_filtered!$A$2:$A$461,V$1,Data_filtered!$F$2:$F$461,$A17, Data_filtered!$D$2:$D$461,"mata",Data_filtered!$J$2:$J$461,"&lt;&gt;Incompleto")=0, "-", SUMIFS(Data_filtered!$G$2:$G$461,Data_filtered!$A$2:$A$461,V$1,Data_filtered!$F$2:$F$461,$A17, Data_filtered!$D$2:$D$461,"mata",Data_filtered!$J$2:$J$461,"&lt;&gt;Incompleto"))
</f>
        <v>-</v>
      </c>
      <c r="X17" s="106" t="str">
        <f>IF(SUMIFS(Data_filtered!$G$2:$G$461,Data_filtered!$A$2:$A$461,X$1,Data_filtered!$F$2:$F$461,$A17, Data_filtered!$D$2:$D$461,"eucalipto",Data_filtered!$J$2:$J$461,"&lt;&gt;Incompleto")=0, "-", SUMIFS(Data_filtered!$G$2:$G$461,Data_filtered!$A$2:$A$461,X$1,Data_filtered!$F$2:$F$461,$A17, Data_filtered!$D$2:$D$461,"eucalipto",Data_filtered!$J$2:$J$461,"&lt;&gt;Incompleto"))</f>
        <v>-</v>
      </c>
      <c r="Y17" s="107" t="str">
        <f>IF(SUMIFS(Data_filtered!$G$2:$G$461,Data_filtered!$A$2:$A$461,X$1,Data_filtered!$F$2:$F$461,$A17, Data_filtered!$D$2:$D$461,"mata",Data_filtered!$J$2:$J$461,"&lt;&gt;Incompleto")=0, "-", SUMIFS(Data_filtered!$G$2:$G$461,Data_filtered!$A$2:$A$461,X$1,Data_filtered!$F$2:$F$461,$A17, Data_filtered!$D$2:$D$461,"mata",Data_filtered!$J$2:$J$461,"&lt;&gt;Incompleto"))
</f>
        <v>-</v>
      </c>
      <c r="Z17" s="106" t="str">
        <f>IF(SUMIFS(Data_filtered!$G$2:$G$461,Data_filtered!$A$2:$A$461,Z$1,Data_filtered!$F$2:$F$461,$A17, Data_filtered!$D$2:$D$461,"eucalipto",Data_filtered!$J$2:$J$461,"&lt;&gt;Incompleto")=0, "-", SUMIFS(Data_filtered!$G$2:$G$461,Data_filtered!$A$2:$A$461,Z$1,Data_filtered!$F$2:$F$461,$A17, Data_filtered!$D$2:$D$461,"eucalipto",Data_filtered!$J$2:$J$461,"&lt;&gt;Incompleto"))</f>
        <v>-</v>
      </c>
      <c r="AA17" s="107" t="str">
        <f>IF(SUMIFS(Data_filtered!$G$2:$G$461,Data_filtered!$A$2:$A$461,Z$1,Data_filtered!$F$2:$F$461,$A17, Data_filtered!$D$2:$D$461,"mata",Data_filtered!$J$2:$J$461,"&lt;&gt;Incompleto")=0, "-", SUMIFS(Data_filtered!$G$2:$G$461,Data_filtered!$A$2:$A$461,Z$1,Data_filtered!$F$2:$F$461,$A17, Data_filtered!$D$2:$D$461,"mata",Data_filtered!$J$2:$J$461,"&lt;&gt;Incompleto"))
</f>
        <v>-</v>
      </c>
      <c r="AB17" s="106"/>
      <c r="AC17" s="107"/>
      <c r="AD17" s="106"/>
      <c r="AE17" s="107"/>
      <c r="AF17" s="106"/>
      <c r="AG17" s="107"/>
      <c r="AH17" s="106"/>
      <c r="AI17" s="107"/>
      <c r="AJ17" s="106"/>
      <c r="AK17" s="107"/>
      <c r="AL17" s="106"/>
      <c r="AM17" s="107"/>
      <c r="AN17" s="106"/>
      <c r="AO17" s="107"/>
      <c r="AP17" s="106"/>
      <c r="AQ17" s="107"/>
      <c r="AR17" s="106"/>
      <c r="AS17" s="107"/>
    </row>
    <row r="18">
      <c r="A18" s="15" t="str">
        <f>IFERROR(__xludf.DUMMYFUNCTION("""COMPUTED_VALUE"""),"Larva")</f>
        <v>Larva</v>
      </c>
      <c r="B18" s="106" t="str">
        <f>IF(SUMIFS(Data_filtered!$G$2:$G$461,Data_filtered!$A$2:$A$461,B$1,Data_filtered!$F$2:$F$461,$A18, Data_filtered!$D$2:$D$461,"eucalipto",Data_filtered!$J$2:$J$461,"&lt;&gt;Incompleto")=0, "-", SUMIFS(Data_filtered!$G$2:$G$461,Data_filtered!$A$2:$A$461,B$1,Data_filtered!$F$2:$F$461,$A18, Data_filtered!$D$2:$D$461,"eucalipto",Data_filtered!$J$2:$J$461,"&lt;&gt;Incompleto"))</f>
        <v>-</v>
      </c>
      <c r="C18" s="107" t="str">
        <f>IF(SUMIFS(Data_filtered!$G$2:$G$461,Data_filtered!$A$2:$A$461,B$1,Data_filtered!$F$2:$F$461,$A18, Data_filtered!$D$2:$D$461,"mata",Data_filtered!$J$2:$J$461,"&lt;&gt;Incompleto")=0, "-", SUMIFS(Data_filtered!$G$2:$G$461,Data_filtered!$A$2:$A$461,B$1,Data_filtered!$F$2:$F$461,$A18, Data_filtered!$D$2:$D$461,"mata",Data_filtered!$J$2:$J$461,"&lt;&gt;Incompleto"))
</f>
        <v>-</v>
      </c>
      <c r="D18" s="106" t="str">
        <f>IF(SUMIFS(Data_filtered!$G$2:$G$461,Data_filtered!$A$2:$A$461,D$1,Data_filtered!$F$2:$F$461,$A18, Data_filtered!$D$2:$D$461,"eucalipto",Data_filtered!$J$2:$J$461,"&lt;&gt;Incompleto")=0, "-", SUMIFS(Data_filtered!$G$2:$G$461,Data_filtered!$A$2:$A$461,D$1,Data_filtered!$F$2:$F$461,$A18, Data_filtered!$D$2:$D$461,"eucalipto",Data_filtered!$J$2:$J$461,"&lt;&gt;Incompleto"))</f>
        <v>-</v>
      </c>
      <c r="E18" s="107" t="str">
        <f>IF(SUMIFS(Data_filtered!$G$2:$G$461,Data_filtered!$A$2:$A$461,D$1,Data_filtered!$F$2:$F$461,$A18, Data_filtered!$D$2:$D$461,"mata",Data_filtered!$J$2:$J$461,"&lt;&gt;Incompleto")=0, "-", SUMIFS(Data_filtered!$G$2:$G$461,Data_filtered!$A$2:$A$461,D$1,Data_filtered!$F$2:$F$461,$A18, Data_filtered!$D$2:$D$461,"mata",Data_filtered!$J$2:$J$461,"&lt;&gt;Incompleto"))
</f>
        <v>-</v>
      </c>
      <c r="F18" s="106" t="str">
        <f>IF(SUMIFS(Data_filtered!$G$2:$G$461,Data_filtered!$A$2:$A$461,F$1,Data_filtered!$F$2:$F$461,$A18, Data_filtered!$D$2:$D$461,"eucalipto",Data_filtered!$J$2:$J$461,"&lt;&gt;Incompleto")=0, "-", SUMIFS(Data_filtered!$G$2:$G$461,Data_filtered!$A$2:$A$461,F$1,Data_filtered!$F$2:$F$461,$A18, Data_filtered!$D$2:$D$461,"eucalipto",Data_filtered!$J$2:$J$461,"&lt;&gt;Incompleto"))</f>
        <v>-</v>
      </c>
      <c r="G18" s="107" t="str">
        <f>IF(SUMIFS(Data_filtered!$G$2:$G$461,Data_filtered!$A$2:$A$461,F$1,Data_filtered!$F$2:$F$461,$A18, Data_filtered!$D$2:$D$461,"mata",Data_filtered!$J$2:$J$461,"&lt;&gt;Incompleto")=0, "-", SUMIFS(Data_filtered!$G$2:$G$461,Data_filtered!$A$2:$A$461,F$1,Data_filtered!$F$2:$F$461,$A18, Data_filtered!$D$2:$D$461,"mata",Data_filtered!$J$2:$J$461,"&lt;&gt;Incompleto"))
</f>
        <v>-</v>
      </c>
      <c r="H18" s="106" t="str">
        <f>IF(SUMIFS(Data_filtered!$G$2:$G$461,Data_filtered!$A$2:$A$461,H$1,Data_filtered!$F$2:$F$461,$A18, Data_filtered!$D$2:$D$461,"eucalipto",Data_filtered!$J$2:$J$461,"&lt;&gt;Incompleto")=0, "-", SUMIFS(Data_filtered!$G$2:$G$461,Data_filtered!$A$2:$A$461,H$1,Data_filtered!$F$2:$F$461,$A18, Data_filtered!$D$2:$D$461,"eucalipto",Data_filtered!$J$2:$J$461,"&lt;&gt;Incompleto"))</f>
        <v>-</v>
      </c>
      <c r="I18" s="107" t="str">
        <f>IF(SUMIFS(Data_filtered!$G$2:$G$461,Data_filtered!$A$2:$A$461,H$1,Data_filtered!$F$2:$F$461,$A18, Data_filtered!$D$2:$D$461,"mata",Data_filtered!$J$2:$J$461,"&lt;&gt;Incompleto")=0, "-", SUMIFS(Data_filtered!$G$2:$G$461,Data_filtered!$A$2:$A$461,H$1,Data_filtered!$F$2:$F$461,$A18, Data_filtered!$D$2:$D$461,"mata",Data_filtered!$J$2:$J$461,"&lt;&gt;Incompleto"))
</f>
        <v>-</v>
      </c>
      <c r="J18" s="106" t="str">
        <f>IF(SUMIFS(Data_filtered!$G$2:$G$461,Data_filtered!$A$2:$A$461,J$1,Data_filtered!$F$2:$F$461,$A18, Data_filtered!$D$2:$D$461,"eucalipto",Data_filtered!$J$2:$J$461,"&lt;&gt;Incompleto")=0, "-", SUMIFS(Data_filtered!$G$2:$G$461,Data_filtered!$A$2:$A$461,J$1,Data_filtered!$F$2:$F$461,$A18, Data_filtered!$D$2:$D$461,"eucalipto",Data_filtered!$J$2:$J$461,"&lt;&gt;Incompleto"))</f>
        <v>-</v>
      </c>
      <c r="K18" s="107" t="str">
        <f>IF(SUMIFS(Data_filtered!$G$2:$G$461,Data_filtered!$A$2:$A$461,J$1,Data_filtered!$F$2:$F$461,$A18, Data_filtered!$D$2:$D$461,"mata",Data_filtered!$J$2:$J$461,"&lt;&gt;Incompleto")=0, "-", SUMIFS(Data_filtered!$G$2:$G$461,Data_filtered!$A$2:$A$461,J$1,Data_filtered!$F$2:$F$461,$A18, Data_filtered!$D$2:$D$461,"mata",Data_filtered!$J$2:$J$461,"&lt;&gt;Incompleto"))
</f>
        <v>-</v>
      </c>
      <c r="L18" s="106" t="str">
        <f>IF(SUMIFS(Data_filtered!$G$2:$G$461,Data_filtered!$A$2:$A$461,L$1,Data_filtered!$F$2:$F$461,$A18, Data_filtered!$D$2:$D$461,"eucalipto",Data_filtered!$J$2:$J$461,"&lt;&gt;Incompleto")=0, "-", SUMIFS(Data_filtered!$G$2:$G$461,Data_filtered!$A$2:$A$461,L$1,Data_filtered!$F$2:$F$461,$A18, Data_filtered!$D$2:$D$461,"eucalipto",Data_filtered!$J$2:$J$461,"&lt;&gt;Incompleto"))</f>
        <v>-</v>
      </c>
      <c r="M18" s="107" t="str">
        <f>IF(SUMIFS(Data_filtered!$G$2:$G$461,Data_filtered!$A$2:$A$461,L$1,Data_filtered!$F$2:$F$461,$A18, Data_filtered!$D$2:$D$461,"mata",Data_filtered!$J$2:$J$461,"&lt;&gt;Incompleto")=0, "-", SUMIFS(Data_filtered!$G$2:$G$461,Data_filtered!$A$2:$A$461,L$1,Data_filtered!$F$2:$F$461,$A18, Data_filtered!$D$2:$D$461,"mata",Data_filtered!$J$2:$J$461,"&lt;&gt;Incompleto"))
</f>
        <v>-</v>
      </c>
      <c r="N18" s="106" t="str">
        <f>IF(SUMIFS(Data_filtered!$G$2:$G$461,Data_filtered!$A$2:$A$461,N$1,Data_filtered!$F$2:$F$461,$A18, Data_filtered!$D$2:$D$461,"eucalipto",Data_filtered!$J$2:$J$461,"&lt;&gt;Incompleto")=0, "-", SUMIFS(Data_filtered!$G$2:$G$461,Data_filtered!$A$2:$A$461,N$1,Data_filtered!$F$2:$F$461,$A18, Data_filtered!$D$2:$D$461,"eucalipto",Data_filtered!$J$2:$J$461,"&lt;&gt;Incompleto"))</f>
        <v>-</v>
      </c>
      <c r="O18" s="107" t="str">
        <f>IF(SUMIFS(Data_filtered!$G$2:$G$461,Data_filtered!$A$2:$A$461,N$1,Data_filtered!$F$2:$F$461,$A18, Data_filtered!$D$2:$D$461,"mata",Data_filtered!$J$2:$J$461,"&lt;&gt;Incompleto")=0, "-", SUMIFS(Data_filtered!$G$2:$G$461,Data_filtered!$A$2:$A$461,N$1,Data_filtered!$F$2:$F$461,$A18, Data_filtered!$D$2:$D$461,"mata",Data_filtered!$J$2:$J$461,"&lt;&gt;Incompleto"))
</f>
        <v>-</v>
      </c>
      <c r="P18" s="106" t="str">
        <f>IF(SUMIFS(Data_filtered!$G$2:$G$461,Data_filtered!$A$2:$A$461,P$1,Data_filtered!$F$2:$F$461,$A18, Data_filtered!$D$2:$D$461,"eucalipto",Data_filtered!$J$2:$J$461,"&lt;&gt;Incompleto")=0, "-", SUMIFS(Data_filtered!$G$2:$G$461,Data_filtered!$A$2:$A$461,P$1,Data_filtered!$F$2:$F$461,$A18, Data_filtered!$D$2:$D$461,"eucalipto",Data_filtered!$J$2:$J$461,"&lt;&gt;Incompleto"))</f>
        <v>-</v>
      </c>
      <c r="Q18" s="107" t="str">
        <f>IF(SUMIFS(Data_filtered!$G$2:$G$461,Data_filtered!$A$2:$A$461,P$1,Data_filtered!$F$2:$F$461,$A18, Data_filtered!$D$2:$D$461,"mata",Data_filtered!$J$2:$J$461,"&lt;&gt;Incompleto")=0, "-", SUMIFS(Data_filtered!$G$2:$G$461,Data_filtered!$A$2:$A$461,P$1,Data_filtered!$F$2:$F$461,$A18, Data_filtered!$D$2:$D$461,"mata",Data_filtered!$J$2:$J$461,"&lt;&gt;Incompleto"))
</f>
        <v>-</v>
      </c>
      <c r="R18" s="106" t="str">
        <f>IF(SUMIFS(Data_filtered!$G$2:$G$461,Data_filtered!$A$2:$A$461,R$1,Data_filtered!$F$2:$F$461,$A18, Data_filtered!$D$2:$D$461,"eucalipto",Data_filtered!$J$2:$J$461,"&lt;&gt;Incompleto")=0, "-", SUMIFS(Data_filtered!$G$2:$G$461,Data_filtered!$A$2:$A$461,R$1,Data_filtered!$F$2:$F$461,$A18, Data_filtered!$D$2:$D$461,"eucalipto",Data_filtered!$J$2:$J$461,"&lt;&gt;Incompleto"))</f>
        <v>-</v>
      </c>
      <c r="S18" s="107" t="str">
        <f>IF(SUMIFS(Data_filtered!$G$2:$G$461,Data_filtered!$A$2:$A$461,R$1,Data_filtered!$F$2:$F$461,$A18, Data_filtered!$D$2:$D$461,"mata",Data_filtered!$J$2:$J$461,"&lt;&gt;Incompleto")=0, "-", SUMIFS(Data_filtered!$G$2:$G$461,Data_filtered!$A$2:$A$461,R$1,Data_filtered!$F$2:$F$461,$A18, Data_filtered!$D$2:$D$461,"mata",Data_filtered!$J$2:$J$461,"&lt;&gt;Incompleto"))
</f>
        <v>-</v>
      </c>
      <c r="T18" s="106" t="str">
        <f>IF(SUMIFS(Data_filtered!$G$2:$G$461,Data_filtered!$A$2:$A$461,T$1,Data_filtered!$F$2:$F$461,$A18, Data_filtered!$D$2:$D$461,"eucalipto",Data_filtered!$J$2:$J$461,"&lt;&gt;Incompleto")=0, "-", SUMIFS(Data_filtered!$G$2:$G$461,Data_filtered!$A$2:$A$461,T$1,Data_filtered!$F$2:$F$461,$A18, Data_filtered!$D$2:$D$461,"eucalipto",Data_filtered!$J$2:$J$461,"&lt;&gt;Incompleto"))</f>
        <v>-</v>
      </c>
      <c r="U18" s="107" t="str">
        <f>IF(SUMIFS(Data_filtered!$G$2:$G$461,Data_filtered!$A$2:$A$461,T$1,Data_filtered!$F$2:$F$461,$A18, Data_filtered!$D$2:$D$461,"mata",Data_filtered!$J$2:$J$461,"&lt;&gt;Incompleto")=0, "-", SUMIFS(Data_filtered!$G$2:$G$461,Data_filtered!$A$2:$A$461,T$1,Data_filtered!$F$2:$F$461,$A18, Data_filtered!$D$2:$D$461,"mata",Data_filtered!$J$2:$J$461,"&lt;&gt;Incompleto"))
</f>
        <v>-</v>
      </c>
      <c r="V18" s="106" t="str">
        <f>IF(SUMIFS(Data_filtered!$G$2:$G$461,Data_filtered!$A$2:$A$461,V$1,Data_filtered!$F$2:$F$461,$A18, Data_filtered!$D$2:$D$461,"eucalipto",Data_filtered!$J$2:$J$461,"&lt;&gt;Incompleto")=0, "-", SUMIFS(Data_filtered!$G$2:$G$461,Data_filtered!$A$2:$A$461,V$1,Data_filtered!$F$2:$F$461,$A18, Data_filtered!$D$2:$D$461,"eucalipto",Data_filtered!$J$2:$J$461,"&lt;&gt;Incompleto"))</f>
        <v>-</v>
      </c>
      <c r="W18" s="107">
        <f>IF(SUMIFS(Data_filtered!$G$2:$G$461,Data_filtered!$A$2:$A$461,V$1,Data_filtered!$F$2:$F$461,$A18, Data_filtered!$D$2:$D$461,"mata",Data_filtered!$J$2:$J$461,"&lt;&gt;Incompleto")=0, "-", SUMIFS(Data_filtered!$G$2:$G$461,Data_filtered!$A$2:$A$461,V$1,Data_filtered!$F$2:$F$461,$A18, Data_filtered!$D$2:$D$461,"mata",Data_filtered!$J$2:$J$461,"&lt;&gt;Incompleto"))
</f>
        <v>1</v>
      </c>
      <c r="X18" s="106" t="str">
        <f>IF(SUMIFS(Data_filtered!$G$2:$G$461,Data_filtered!$A$2:$A$461,X$1,Data_filtered!$F$2:$F$461,$A18, Data_filtered!$D$2:$D$461,"eucalipto",Data_filtered!$J$2:$J$461,"&lt;&gt;Incompleto")=0, "-", SUMIFS(Data_filtered!$G$2:$G$461,Data_filtered!$A$2:$A$461,X$1,Data_filtered!$F$2:$F$461,$A18, Data_filtered!$D$2:$D$461,"eucalipto",Data_filtered!$J$2:$J$461,"&lt;&gt;Incompleto"))</f>
        <v>-</v>
      </c>
      <c r="Y18" s="107" t="str">
        <f>IF(SUMIFS(Data_filtered!$G$2:$G$461,Data_filtered!$A$2:$A$461,X$1,Data_filtered!$F$2:$F$461,$A18, Data_filtered!$D$2:$D$461,"mata",Data_filtered!$J$2:$J$461,"&lt;&gt;Incompleto")=0, "-", SUMIFS(Data_filtered!$G$2:$G$461,Data_filtered!$A$2:$A$461,X$1,Data_filtered!$F$2:$F$461,$A18, Data_filtered!$D$2:$D$461,"mata",Data_filtered!$J$2:$J$461,"&lt;&gt;Incompleto"))
</f>
        <v>-</v>
      </c>
      <c r="Z18" s="106" t="str">
        <f>IF(SUMIFS(Data_filtered!$G$2:$G$461,Data_filtered!$A$2:$A$461,Z$1,Data_filtered!$F$2:$F$461,$A18, Data_filtered!$D$2:$D$461,"eucalipto",Data_filtered!$J$2:$J$461,"&lt;&gt;Incompleto")=0, "-", SUMIFS(Data_filtered!$G$2:$G$461,Data_filtered!$A$2:$A$461,Z$1,Data_filtered!$F$2:$F$461,$A18, Data_filtered!$D$2:$D$461,"eucalipto",Data_filtered!$J$2:$J$461,"&lt;&gt;Incompleto"))</f>
        <v>-</v>
      </c>
      <c r="AA18" s="107" t="str">
        <f>IF(SUMIFS(Data_filtered!$G$2:$G$461,Data_filtered!$A$2:$A$461,Z$1,Data_filtered!$F$2:$F$461,$A18, Data_filtered!$D$2:$D$461,"mata",Data_filtered!$J$2:$J$461,"&lt;&gt;Incompleto")=0, "-", SUMIFS(Data_filtered!$G$2:$G$461,Data_filtered!$A$2:$A$461,Z$1,Data_filtered!$F$2:$F$461,$A18, Data_filtered!$D$2:$D$461,"mata",Data_filtered!$J$2:$J$461,"&lt;&gt;Incompleto"))
</f>
        <v>-</v>
      </c>
      <c r="AB18" s="106"/>
      <c r="AC18" s="107"/>
      <c r="AD18" s="106"/>
      <c r="AE18" s="107"/>
      <c r="AF18" s="106"/>
      <c r="AG18" s="107"/>
      <c r="AH18" s="106"/>
      <c r="AI18" s="107"/>
      <c r="AJ18" s="106"/>
      <c r="AK18" s="107"/>
      <c r="AL18" s="106"/>
      <c r="AM18" s="107"/>
      <c r="AN18" s="106"/>
      <c r="AO18" s="107"/>
      <c r="AP18" s="106"/>
      <c r="AQ18" s="107"/>
      <c r="AR18" s="106"/>
      <c r="AS18" s="107"/>
    </row>
    <row r="19">
      <c r="A19" s="15" t="str">
        <f>IFERROR(__xludf.DUMMYFUNCTION("""COMPUTED_VALUE"""),"Lepidoptera Larva")</f>
        <v>Lepidoptera Larva</v>
      </c>
      <c r="B19" s="106" t="str">
        <f>IF(SUMIFS(Data_filtered!$G$2:$G$461,Data_filtered!$A$2:$A$461,B$1,Data_filtered!$F$2:$F$461,$A19, Data_filtered!$D$2:$D$461,"eucalipto",Data_filtered!$J$2:$J$461,"&lt;&gt;Incompleto")=0, "-", SUMIFS(Data_filtered!$G$2:$G$461,Data_filtered!$A$2:$A$461,B$1,Data_filtered!$F$2:$F$461,$A19, Data_filtered!$D$2:$D$461,"eucalipto",Data_filtered!$J$2:$J$461,"&lt;&gt;Incompleto"))</f>
        <v>-</v>
      </c>
      <c r="C19" s="107" t="str">
        <f>IF(SUMIFS(Data_filtered!$G$2:$G$461,Data_filtered!$A$2:$A$461,B$1,Data_filtered!$F$2:$F$461,$A19, Data_filtered!$D$2:$D$461,"mata",Data_filtered!$J$2:$J$461,"&lt;&gt;Incompleto")=0, "-", SUMIFS(Data_filtered!$G$2:$G$461,Data_filtered!$A$2:$A$461,B$1,Data_filtered!$F$2:$F$461,$A19, Data_filtered!$D$2:$D$461,"mata",Data_filtered!$J$2:$J$461,"&lt;&gt;Incompleto"))
</f>
        <v>-</v>
      </c>
      <c r="D19" s="106" t="str">
        <f>IF(SUMIFS(Data_filtered!$G$2:$G$461,Data_filtered!$A$2:$A$461,D$1,Data_filtered!$F$2:$F$461,$A19, Data_filtered!$D$2:$D$461,"eucalipto",Data_filtered!$J$2:$J$461,"&lt;&gt;Incompleto")=0, "-", SUMIFS(Data_filtered!$G$2:$G$461,Data_filtered!$A$2:$A$461,D$1,Data_filtered!$F$2:$F$461,$A19, Data_filtered!$D$2:$D$461,"eucalipto",Data_filtered!$J$2:$J$461,"&lt;&gt;Incompleto"))</f>
        <v>-</v>
      </c>
      <c r="E19" s="107" t="str">
        <f>IF(SUMIFS(Data_filtered!$G$2:$G$461,Data_filtered!$A$2:$A$461,D$1,Data_filtered!$F$2:$F$461,$A19, Data_filtered!$D$2:$D$461,"mata",Data_filtered!$J$2:$J$461,"&lt;&gt;Incompleto")=0, "-", SUMIFS(Data_filtered!$G$2:$G$461,Data_filtered!$A$2:$A$461,D$1,Data_filtered!$F$2:$F$461,$A19, Data_filtered!$D$2:$D$461,"mata",Data_filtered!$J$2:$J$461,"&lt;&gt;Incompleto"))
</f>
        <v>-</v>
      </c>
      <c r="F19" s="106" t="str">
        <f>IF(SUMIFS(Data_filtered!$G$2:$G$461,Data_filtered!$A$2:$A$461,F$1,Data_filtered!$F$2:$F$461,$A19, Data_filtered!$D$2:$D$461,"eucalipto",Data_filtered!$J$2:$J$461,"&lt;&gt;Incompleto")=0, "-", SUMIFS(Data_filtered!$G$2:$G$461,Data_filtered!$A$2:$A$461,F$1,Data_filtered!$F$2:$F$461,$A19, Data_filtered!$D$2:$D$461,"eucalipto",Data_filtered!$J$2:$J$461,"&lt;&gt;Incompleto"))</f>
        <v>-</v>
      </c>
      <c r="G19" s="107" t="str">
        <f>IF(SUMIFS(Data_filtered!$G$2:$G$461,Data_filtered!$A$2:$A$461,F$1,Data_filtered!$F$2:$F$461,$A19, Data_filtered!$D$2:$D$461,"mata",Data_filtered!$J$2:$J$461,"&lt;&gt;Incompleto")=0, "-", SUMIFS(Data_filtered!$G$2:$G$461,Data_filtered!$A$2:$A$461,F$1,Data_filtered!$F$2:$F$461,$A19, Data_filtered!$D$2:$D$461,"mata",Data_filtered!$J$2:$J$461,"&lt;&gt;Incompleto"))
</f>
        <v>-</v>
      </c>
      <c r="H19" s="106" t="str">
        <f>IF(SUMIFS(Data_filtered!$G$2:$G$461,Data_filtered!$A$2:$A$461,H$1,Data_filtered!$F$2:$F$461,$A19, Data_filtered!$D$2:$D$461,"eucalipto",Data_filtered!$J$2:$J$461,"&lt;&gt;Incompleto")=0, "-", SUMIFS(Data_filtered!$G$2:$G$461,Data_filtered!$A$2:$A$461,H$1,Data_filtered!$F$2:$F$461,$A19, Data_filtered!$D$2:$D$461,"eucalipto",Data_filtered!$J$2:$J$461,"&lt;&gt;Incompleto"))</f>
        <v>-</v>
      </c>
      <c r="I19" s="107" t="str">
        <f>IF(SUMIFS(Data_filtered!$G$2:$G$461,Data_filtered!$A$2:$A$461,H$1,Data_filtered!$F$2:$F$461,$A19, Data_filtered!$D$2:$D$461,"mata",Data_filtered!$J$2:$J$461,"&lt;&gt;Incompleto")=0, "-", SUMIFS(Data_filtered!$G$2:$G$461,Data_filtered!$A$2:$A$461,H$1,Data_filtered!$F$2:$F$461,$A19, Data_filtered!$D$2:$D$461,"mata",Data_filtered!$J$2:$J$461,"&lt;&gt;Incompleto"))
</f>
        <v>-</v>
      </c>
      <c r="J19" s="106" t="str">
        <f>IF(SUMIFS(Data_filtered!$G$2:$G$461,Data_filtered!$A$2:$A$461,J$1,Data_filtered!$F$2:$F$461,$A19, Data_filtered!$D$2:$D$461,"eucalipto",Data_filtered!$J$2:$J$461,"&lt;&gt;Incompleto")=0, "-", SUMIFS(Data_filtered!$G$2:$G$461,Data_filtered!$A$2:$A$461,J$1,Data_filtered!$F$2:$F$461,$A19, Data_filtered!$D$2:$D$461,"eucalipto",Data_filtered!$J$2:$J$461,"&lt;&gt;Incompleto"))</f>
        <v>-</v>
      </c>
      <c r="K19" s="107" t="str">
        <f>IF(SUMIFS(Data_filtered!$G$2:$G$461,Data_filtered!$A$2:$A$461,J$1,Data_filtered!$F$2:$F$461,$A19, Data_filtered!$D$2:$D$461,"mata",Data_filtered!$J$2:$J$461,"&lt;&gt;Incompleto")=0, "-", SUMIFS(Data_filtered!$G$2:$G$461,Data_filtered!$A$2:$A$461,J$1,Data_filtered!$F$2:$F$461,$A19, Data_filtered!$D$2:$D$461,"mata",Data_filtered!$J$2:$J$461,"&lt;&gt;Incompleto"))
</f>
        <v>-</v>
      </c>
      <c r="L19" s="106">
        <f>IF(SUMIFS(Data_filtered!$G$2:$G$461,Data_filtered!$A$2:$A$461,L$1,Data_filtered!$F$2:$F$461,$A19, Data_filtered!$D$2:$D$461,"eucalipto",Data_filtered!$J$2:$J$461,"&lt;&gt;Incompleto")=0, "-", SUMIFS(Data_filtered!$G$2:$G$461,Data_filtered!$A$2:$A$461,L$1,Data_filtered!$F$2:$F$461,$A19, Data_filtered!$D$2:$D$461,"eucalipto",Data_filtered!$J$2:$J$461,"&lt;&gt;Incompleto"))</f>
        <v>2</v>
      </c>
      <c r="M19" s="107" t="str">
        <f>IF(SUMIFS(Data_filtered!$G$2:$G$461,Data_filtered!$A$2:$A$461,L$1,Data_filtered!$F$2:$F$461,$A19, Data_filtered!$D$2:$D$461,"mata",Data_filtered!$J$2:$J$461,"&lt;&gt;Incompleto")=0, "-", SUMIFS(Data_filtered!$G$2:$G$461,Data_filtered!$A$2:$A$461,L$1,Data_filtered!$F$2:$F$461,$A19, Data_filtered!$D$2:$D$461,"mata",Data_filtered!$J$2:$J$461,"&lt;&gt;Incompleto"))
</f>
        <v>-</v>
      </c>
      <c r="N19" s="106" t="str">
        <f>IF(SUMIFS(Data_filtered!$G$2:$G$461,Data_filtered!$A$2:$A$461,N$1,Data_filtered!$F$2:$F$461,$A19, Data_filtered!$D$2:$D$461,"eucalipto",Data_filtered!$J$2:$J$461,"&lt;&gt;Incompleto")=0, "-", SUMIFS(Data_filtered!$G$2:$G$461,Data_filtered!$A$2:$A$461,N$1,Data_filtered!$F$2:$F$461,$A19, Data_filtered!$D$2:$D$461,"eucalipto",Data_filtered!$J$2:$J$461,"&lt;&gt;Incompleto"))</f>
        <v>-</v>
      </c>
      <c r="O19" s="107" t="str">
        <f>IF(SUMIFS(Data_filtered!$G$2:$G$461,Data_filtered!$A$2:$A$461,N$1,Data_filtered!$F$2:$F$461,$A19, Data_filtered!$D$2:$D$461,"mata",Data_filtered!$J$2:$J$461,"&lt;&gt;Incompleto")=0, "-", SUMIFS(Data_filtered!$G$2:$G$461,Data_filtered!$A$2:$A$461,N$1,Data_filtered!$F$2:$F$461,$A19, Data_filtered!$D$2:$D$461,"mata",Data_filtered!$J$2:$J$461,"&lt;&gt;Incompleto"))
</f>
        <v>-</v>
      </c>
      <c r="P19" s="106" t="str">
        <f>IF(SUMIFS(Data_filtered!$G$2:$G$461,Data_filtered!$A$2:$A$461,P$1,Data_filtered!$F$2:$F$461,$A19, Data_filtered!$D$2:$D$461,"eucalipto",Data_filtered!$J$2:$J$461,"&lt;&gt;Incompleto")=0, "-", SUMIFS(Data_filtered!$G$2:$G$461,Data_filtered!$A$2:$A$461,P$1,Data_filtered!$F$2:$F$461,$A19, Data_filtered!$D$2:$D$461,"eucalipto",Data_filtered!$J$2:$J$461,"&lt;&gt;Incompleto"))</f>
        <v>-</v>
      </c>
      <c r="Q19" s="107" t="str">
        <f>IF(SUMIFS(Data_filtered!$G$2:$G$461,Data_filtered!$A$2:$A$461,P$1,Data_filtered!$F$2:$F$461,$A19, Data_filtered!$D$2:$D$461,"mata",Data_filtered!$J$2:$J$461,"&lt;&gt;Incompleto")=0, "-", SUMIFS(Data_filtered!$G$2:$G$461,Data_filtered!$A$2:$A$461,P$1,Data_filtered!$F$2:$F$461,$A19, Data_filtered!$D$2:$D$461,"mata",Data_filtered!$J$2:$J$461,"&lt;&gt;Incompleto"))
</f>
        <v>-</v>
      </c>
      <c r="R19" s="106" t="str">
        <f>IF(SUMIFS(Data_filtered!$G$2:$G$461,Data_filtered!$A$2:$A$461,R$1,Data_filtered!$F$2:$F$461,$A19, Data_filtered!$D$2:$D$461,"eucalipto",Data_filtered!$J$2:$J$461,"&lt;&gt;Incompleto")=0, "-", SUMIFS(Data_filtered!$G$2:$G$461,Data_filtered!$A$2:$A$461,R$1,Data_filtered!$F$2:$F$461,$A19, Data_filtered!$D$2:$D$461,"eucalipto",Data_filtered!$J$2:$J$461,"&lt;&gt;Incompleto"))</f>
        <v>-</v>
      </c>
      <c r="S19" s="107" t="str">
        <f>IF(SUMIFS(Data_filtered!$G$2:$G$461,Data_filtered!$A$2:$A$461,R$1,Data_filtered!$F$2:$F$461,$A19, Data_filtered!$D$2:$D$461,"mata",Data_filtered!$J$2:$J$461,"&lt;&gt;Incompleto")=0, "-", SUMIFS(Data_filtered!$G$2:$G$461,Data_filtered!$A$2:$A$461,R$1,Data_filtered!$F$2:$F$461,$A19, Data_filtered!$D$2:$D$461,"mata",Data_filtered!$J$2:$J$461,"&lt;&gt;Incompleto"))
</f>
        <v>-</v>
      </c>
      <c r="T19" s="106" t="str">
        <f>IF(SUMIFS(Data_filtered!$G$2:$G$461,Data_filtered!$A$2:$A$461,T$1,Data_filtered!$F$2:$F$461,$A19, Data_filtered!$D$2:$D$461,"eucalipto",Data_filtered!$J$2:$J$461,"&lt;&gt;Incompleto")=0, "-", SUMIFS(Data_filtered!$G$2:$G$461,Data_filtered!$A$2:$A$461,T$1,Data_filtered!$F$2:$F$461,$A19, Data_filtered!$D$2:$D$461,"eucalipto",Data_filtered!$J$2:$J$461,"&lt;&gt;Incompleto"))</f>
        <v>-</v>
      </c>
      <c r="U19" s="107" t="str">
        <f>IF(SUMIFS(Data_filtered!$G$2:$G$461,Data_filtered!$A$2:$A$461,T$1,Data_filtered!$F$2:$F$461,$A19, Data_filtered!$D$2:$D$461,"mata",Data_filtered!$J$2:$J$461,"&lt;&gt;Incompleto")=0, "-", SUMIFS(Data_filtered!$G$2:$G$461,Data_filtered!$A$2:$A$461,T$1,Data_filtered!$F$2:$F$461,$A19, Data_filtered!$D$2:$D$461,"mata",Data_filtered!$J$2:$J$461,"&lt;&gt;Incompleto"))
</f>
        <v>-</v>
      </c>
      <c r="V19" s="106" t="str">
        <f>IF(SUMIFS(Data_filtered!$G$2:$G$461,Data_filtered!$A$2:$A$461,V$1,Data_filtered!$F$2:$F$461,$A19, Data_filtered!$D$2:$D$461,"eucalipto",Data_filtered!$J$2:$J$461,"&lt;&gt;Incompleto")=0, "-", SUMIFS(Data_filtered!$G$2:$G$461,Data_filtered!$A$2:$A$461,V$1,Data_filtered!$F$2:$F$461,$A19, Data_filtered!$D$2:$D$461,"eucalipto",Data_filtered!$J$2:$J$461,"&lt;&gt;Incompleto"))</f>
        <v>-</v>
      </c>
      <c r="W19" s="107">
        <f>IF(SUMIFS(Data_filtered!$G$2:$G$461,Data_filtered!$A$2:$A$461,V$1,Data_filtered!$F$2:$F$461,$A19, Data_filtered!$D$2:$D$461,"mata",Data_filtered!$J$2:$J$461,"&lt;&gt;Incompleto")=0, "-", SUMIFS(Data_filtered!$G$2:$G$461,Data_filtered!$A$2:$A$461,V$1,Data_filtered!$F$2:$F$461,$A19, Data_filtered!$D$2:$D$461,"mata",Data_filtered!$J$2:$J$461,"&lt;&gt;Incompleto"))
</f>
        <v>1</v>
      </c>
      <c r="X19" s="106" t="str">
        <f>IF(SUMIFS(Data_filtered!$G$2:$G$461,Data_filtered!$A$2:$A$461,X$1,Data_filtered!$F$2:$F$461,$A19, Data_filtered!$D$2:$D$461,"eucalipto",Data_filtered!$J$2:$J$461,"&lt;&gt;Incompleto")=0, "-", SUMIFS(Data_filtered!$G$2:$G$461,Data_filtered!$A$2:$A$461,X$1,Data_filtered!$F$2:$F$461,$A19, Data_filtered!$D$2:$D$461,"eucalipto",Data_filtered!$J$2:$J$461,"&lt;&gt;Incompleto"))</f>
        <v>-</v>
      </c>
      <c r="Y19" s="107" t="str">
        <f>IF(SUMIFS(Data_filtered!$G$2:$G$461,Data_filtered!$A$2:$A$461,X$1,Data_filtered!$F$2:$F$461,$A19, Data_filtered!$D$2:$D$461,"mata",Data_filtered!$J$2:$J$461,"&lt;&gt;Incompleto")=0, "-", SUMIFS(Data_filtered!$G$2:$G$461,Data_filtered!$A$2:$A$461,X$1,Data_filtered!$F$2:$F$461,$A19, Data_filtered!$D$2:$D$461,"mata",Data_filtered!$J$2:$J$461,"&lt;&gt;Incompleto"))
</f>
        <v>-</v>
      </c>
      <c r="Z19" s="106" t="str">
        <f>IF(SUMIFS(Data_filtered!$G$2:$G$461,Data_filtered!$A$2:$A$461,Z$1,Data_filtered!$F$2:$F$461,$A19, Data_filtered!$D$2:$D$461,"eucalipto",Data_filtered!$J$2:$J$461,"&lt;&gt;Incompleto")=0, "-", SUMIFS(Data_filtered!$G$2:$G$461,Data_filtered!$A$2:$A$461,Z$1,Data_filtered!$F$2:$F$461,$A19, Data_filtered!$D$2:$D$461,"eucalipto",Data_filtered!$J$2:$J$461,"&lt;&gt;Incompleto"))</f>
        <v>-</v>
      </c>
      <c r="AA19" s="107" t="str">
        <f>IF(SUMIFS(Data_filtered!$G$2:$G$461,Data_filtered!$A$2:$A$461,Z$1,Data_filtered!$F$2:$F$461,$A19, Data_filtered!$D$2:$D$461,"mata",Data_filtered!$J$2:$J$461,"&lt;&gt;Incompleto")=0, "-", SUMIFS(Data_filtered!$G$2:$G$461,Data_filtered!$A$2:$A$461,Z$1,Data_filtered!$F$2:$F$461,$A19, Data_filtered!$D$2:$D$461,"mata",Data_filtered!$J$2:$J$461,"&lt;&gt;Incompleto"))
</f>
        <v>-</v>
      </c>
      <c r="AB19" s="106"/>
      <c r="AC19" s="107"/>
      <c r="AD19" s="106"/>
      <c r="AE19" s="107"/>
      <c r="AF19" s="106"/>
      <c r="AG19" s="107"/>
      <c r="AH19" s="106"/>
      <c r="AI19" s="107"/>
      <c r="AJ19" s="106"/>
      <c r="AK19" s="107"/>
      <c r="AL19" s="106"/>
      <c r="AM19" s="107"/>
      <c r="AN19" s="106"/>
      <c r="AO19" s="107"/>
      <c r="AP19" s="106"/>
      <c r="AQ19" s="107"/>
      <c r="AR19" s="106"/>
      <c r="AS19" s="107"/>
    </row>
    <row r="20">
      <c r="A20" s="15" t="str">
        <f>IFERROR(__xludf.DUMMYFUNCTION("""COMPUTED_VALUE"""),"Mosca")</f>
        <v>Mosca</v>
      </c>
      <c r="B20" s="106" t="str">
        <f>IF(SUMIFS(Data_filtered!$G$2:$G$461,Data_filtered!$A$2:$A$461,B$1,Data_filtered!$F$2:$F$461,$A20, Data_filtered!$D$2:$D$461,"eucalipto",Data_filtered!$J$2:$J$461,"&lt;&gt;Incompleto")=0, "-", SUMIFS(Data_filtered!$G$2:$G$461,Data_filtered!$A$2:$A$461,B$1,Data_filtered!$F$2:$F$461,$A20, Data_filtered!$D$2:$D$461,"eucalipto",Data_filtered!$J$2:$J$461,"&lt;&gt;Incompleto"))</f>
        <v>-</v>
      </c>
      <c r="C20" s="107" t="str">
        <f>IF(SUMIFS(Data_filtered!$G$2:$G$461,Data_filtered!$A$2:$A$461,B$1,Data_filtered!$F$2:$F$461,$A20, Data_filtered!$D$2:$D$461,"mata",Data_filtered!$J$2:$J$461,"&lt;&gt;Incompleto")=0, "-", SUMIFS(Data_filtered!$G$2:$G$461,Data_filtered!$A$2:$A$461,B$1,Data_filtered!$F$2:$F$461,$A20, Data_filtered!$D$2:$D$461,"mata",Data_filtered!$J$2:$J$461,"&lt;&gt;Incompleto"))
</f>
        <v>-</v>
      </c>
      <c r="D20" s="106" t="str">
        <f>IF(SUMIFS(Data_filtered!$G$2:$G$461,Data_filtered!$A$2:$A$461,D$1,Data_filtered!$F$2:$F$461,$A20, Data_filtered!$D$2:$D$461,"eucalipto",Data_filtered!$J$2:$J$461,"&lt;&gt;Incompleto")=0, "-", SUMIFS(Data_filtered!$G$2:$G$461,Data_filtered!$A$2:$A$461,D$1,Data_filtered!$F$2:$F$461,$A20, Data_filtered!$D$2:$D$461,"eucalipto",Data_filtered!$J$2:$J$461,"&lt;&gt;Incompleto"))</f>
        <v>-</v>
      </c>
      <c r="E20" s="107" t="str">
        <f>IF(SUMIFS(Data_filtered!$G$2:$G$461,Data_filtered!$A$2:$A$461,D$1,Data_filtered!$F$2:$F$461,$A20, Data_filtered!$D$2:$D$461,"mata",Data_filtered!$J$2:$J$461,"&lt;&gt;Incompleto")=0, "-", SUMIFS(Data_filtered!$G$2:$G$461,Data_filtered!$A$2:$A$461,D$1,Data_filtered!$F$2:$F$461,$A20, Data_filtered!$D$2:$D$461,"mata",Data_filtered!$J$2:$J$461,"&lt;&gt;Incompleto"))
</f>
        <v>-</v>
      </c>
      <c r="F20" s="106" t="str">
        <f>IF(SUMIFS(Data_filtered!$G$2:$G$461,Data_filtered!$A$2:$A$461,F$1,Data_filtered!$F$2:$F$461,$A20, Data_filtered!$D$2:$D$461,"eucalipto",Data_filtered!$J$2:$J$461,"&lt;&gt;Incompleto")=0, "-", SUMIFS(Data_filtered!$G$2:$G$461,Data_filtered!$A$2:$A$461,F$1,Data_filtered!$F$2:$F$461,$A20, Data_filtered!$D$2:$D$461,"eucalipto",Data_filtered!$J$2:$J$461,"&lt;&gt;Incompleto"))</f>
        <v>-</v>
      </c>
      <c r="G20" s="107">
        <f>IF(SUMIFS(Data_filtered!$G$2:$G$461,Data_filtered!$A$2:$A$461,F$1,Data_filtered!$F$2:$F$461,$A20, Data_filtered!$D$2:$D$461,"mata",Data_filtered!$J$2:$J$461,"&lt;&gt;Incompleto")=0, "-", SUMIFS(Data_filtered!$G$2:$G$461,Data_filtered!$A$2:$A$461,F$1,Data_filtered!$F$2:$F$461,$A20, Data_filtered!$D$2:$D$461,"mata",Data_filtered!$J$2:$J$461,"&lt;&gt;Incompleto"))
</f>
        <v>1</v>
      </c>
      <c r="H20" s="106" t="str">
        <f>IF(SUMIFS(Data_filtered!$G$2:$G$461,Data_filtered!$A$2:$A$461,H$1,Data_filtered!$F$2:$F$461,$A20, Data_filtered!$D$2:$D$461,"eucalipto",Data_filtered!$J$2:$J$461,"&lt;&gt;Incompleto")=0, "-", SUMIFS(Data_filtered!$G$2:$G$461,Data_filtered!$A$2:$A$461,H$1,Data_filtered!$F$2:$F$461,$A20, Data_filtered!$D$2:$D$461,"eucalipto",Data_filtered!$J$2:$J$461,"&lt;&gt;Incompleto"))</f>
        <v>-</v>
      </c>
      <c r="I20" s="107" t="str">
        <f>IF(SUMIFS(Data_filtered!$G$2:$G$461,Data_filtered!$A$2:$A$461,H$1,Data_filtered!$F$2:$F$461,$A20, Data_filtered!$D$2:$D$461,"mata",Data_filtered!$J$2:$J$461,"&lt;&gt;Incompleto")=0, "-", SUMIFS(Data_filtered!$G$2:$G$461,Data_filtered!$A$2:$A$461,H$1,Data_filtered!$F$2:$F$461,$A20, Data_filtered!$D$2:$D$461,"mata",Data_filtered!$J$2:$J$461,"&lt;&gt;Incompleto"))
</f>
        <v>-</v>
      </c>
      <c r="J20" s="106" t="str">
        <f>IF(SUMIFS(Data_filtered!$G$2:$G$461,Data_filtered!$A$2:$A$461,J$1,Data_filtered!$F$2:$F$461,$A20, Data_filtered!$D$2:$D$461,"eucalipto",Data_filtered!$J$2:$J$461,"&lt;&gt;Incompleto")=0, "-", SUMIFS(Data_filtered!$G$2:$G$461,Data_filtered!$A$2:$A$461,J$1,Data_filtered!$F$2:$F$461,$A20, Data_filtered!$D$2:$D$461,"eucalipto",Data_filtered!$J$2:$J$461,"&lt;&gt;Incompleto"))</f>
        <v>-</v>
      </c>
      <c r="K20" s="107" t="str">
        <f>IF(SUMIFS(Data_filtered!$G$2:$G$461,Data_filtered!$A$2:$A$461,J$1,Data_filtered!$F$2:$F$461,$A20, Data_filtered!$D$2:$D$461,"mata",Data_filtered!$J$2:$J$461,"&lt;&gt;Incompleto")=0, "-", SUMIFS(Data_filtered!$G$2:$G$461,Data_filtered!$A$2:$A$461,J$1,Data_filtered!$F$2:$F$461,$A20, Data_filtered!$D$2:$D$461,"mata",Data_filtered!$J$2:$J$461,"&lt;&gt;Incompleto"))
</f>
        <v>-</v>
      </c>
      <c r="L20" s="106" t="str">
        <f>IF(SUMIFS(Data_filtered!$G$2:$G$461,Data_filtered!$A$2:$A$461,L$1,Data_filtered!$F$2:$F$461,$A20, Data_filtered!$D$2:$D$461,"eucalipto",Data_filtered!$J$2:$J$461,"&lt;&gt;Incompleto")=0, "-", SUMIFS(Data_filtered!$G$2:$G$461,Data_filtered!$A$2:$A$461,L$1,Data_filtered!$F$2:$F$461,$A20, Data_filtered!$D$2:$D$461,"eucalipto",Data_filtered!$J$2:$J$461,"&lt;&gt;Incompleto"))</f>
        <v>-</v>
      </c>
      <c r="M20" s="107" t="str">
        <f>IF(SUMIFS(Data_filtered!$G$2:$G$461,Data_filtered!$A$2:$A$461,L$1,Data_filtered!$F$2:$F$461,$A20, Data_filtered!$D$2:$D$461,"mata",Data_filtered!$J$2:$J$461,"&lt;&gt;Incompleto")=0, "-", SUMIFS(Data_filtered!$G$2:$G$461,Data_filtered!$A$2:$A$461,L$1,Data_filtered!$F$2:$F$461,$A20, Data_filtered!$D$2:$D$461,"mata",Data_filtered!$J$2:$J$461,"&lt;&gt;Incompleto"))
</f>
        <v>-</v>
      </c>
      <c r="N20" s="106" t="str">
        <f>IF(SUMIFS(Data_filtered!$G$2:$G$461,Data_filtered!$A$2:$A$461,N$1,Data_filtered!$F$2:$F$461,$A20, Data_filtered!$D$2:$D$461,"eucalipto",Data_filtered!$J$2:$J$461,"&lt;&gt;Incompleto")=0, "-", SUMIFS(Data_filtered!$G$2:$G$461,Data_filtered!$A$2:$A$461,N$1,Data_filtered!$F$2:$F$461,$A20, Data_filtered!$D$2:$D$461,"eucalipto",Data_filtered!$J$2:$J$461,"&lt;&gt;Incompleto"))</f>
        <v>-</v>
      </c>
      <c r="O20" s="107" t="str">
        <f>IF(SUMIFS(Data_filtered!$G$2:$G$461,Data_filtered!$A$2:$A$461,N$1,Data_filtered!$F$2:$F$461,$A20, Data_filtered!$D$2:$D$461,"mata",Data_filtered!$J$2:$J$461,"&lt;&gt;Incompleto")=0, "-", SUMIFS(Data_filtered!$G$2:$G$461,Data_filtered!$A$2:$A$461,N$1,Data_filtered!$F$2:$F$461,$A20, Data_filtered!$D$2:$D$461,"mata",Data_filtered!$J$2:$J$461,"&lt;&gt;Incompleto"))
</f>
        <v>-</v>
      </c>
      <c r="P20" s="106" t="str">
        <f>IF(SUMIFS(Data_filtered!$G$2:$G$461,Data_filtered!$A$2:$A$461,P$1,Data_filtered!$F$2:$F$461,$A20, Data_filtered!$D$2:$D$461,"eucalipto",Data_filtered!$J$2:$J$461,"&lt;&gt;Incompleto")=0, "-", SUMIFS(Data_filtered!$G$2:$G$461,Data_filtered!$A$2:$A$461,P$1,Data_filtered!$F$2:$F$461,$A20, Data_filtered!$D$2:$D$461,"eucalipto",Data_filtered!$J$2:$J$461,"&lt;&gt;Incompleto"))</f>
        <v>-</v>
      </c>
      <c r="Q20" s="107" t="str">
        <f>IF(SUMIFS(Data_filtered!$G$2:$G$461,Data_filtered!$A$2:$A$461,P$1,Data_filtered!$F$2:$F$461,$A20, Data_filtered!$D$2:$D$461,"mata",Data_filtered!$J$2:$J$461,"&lt;&gt;Incompleto")=0, "-", SUMIFS(Data_filtered!$G$2:$G$461,Data_filtered!$A$2:$A$461,P$1,Data_filtered!$F$2:$F$461,$A20, Data_filtered!$D$2:$D$461,"mata",Data_filtered!$J$2:$J$461,"&lt;&gt;Incompleto"))
</f>
        <v>-</v>
      </c>
      <c r="R20" s="106" t="str">
        <f>IF(SUMIFS(Data_filtered!$G$2:$G$461,Data_filtered!$A$2:$A$461,R$1,Data_filtered!$F$2:$F$461,$A20, Data_filtered!$D$2:$D$461,"eucalipto",Data_filtered!$J$2:$J$461,"&lt;&gt;Incompleto")=0, "-", SUMIFS(Data_filtered!$G$2:$G$461,Data_filtered!$A$2:$A$461,R$1,Data_filtered!$F$2:$F$461,$A20, Data_filtered!$D$2:$D$461,"eucalipto",Data_filtered!$J$2:$J$461,"&lt;&gt;Incompleto"))</f>
        <v>-</v>
      </c>
      <c r="S20" s="107" t="str">
        <f>IF(SUMIFS(Data_filtered!$G$2:$G$461,Data_filtered!$A$2:$A$461,R$1,Data_filtered!$F$2:$F$461,$A20, Data_filtered!$D$2:$D$461,"mata",Data_filtered!$J$2:$J$461,"&lt;&gt;Incompleto")=0, "-", SUMIFS(Data_filtered!$G$2:$G$461,Data_filtered!$A$2:$A$461,R$1,Data_filtered!$F$2:$F$461,$A20, Data_filtered!$D$2:$D$461,"mata",Data_filtered!$J$2:$J$461,"&lt;&gt;Incompleto"))
</f>
        <v>-</v>
      </c>
      <c r="T20" s="106" t="str">
        <f>IF(SUMIFS(Data_filtered!$G$2:$G$461,Data_filtered!$A$2:$A$461,T$1,Data_filtered!$F$2:$F$461,$A20, Data_filtered!$D$2:$D$461,"eucalipto",Data_filtered!$J$2:$J$461,"&lt;&gt;Incompleto")=0, "-", SUMIFS(Data_filtered!$G$2:$G$461,Data_filtered!$A$2:$A$461,T$1,Data_filtered!$F$2:$F$461,$A20, Data_filtered!$D$2:$D$461,"eucalipto",Data_filtered!$J$2:$J$461,"&lt;&gt;Incompleto"))</f>
        <v>-</v>
      </c>
      <c r="U20" s="107" t="str">
        <f>IF(SUMIFS(Data_filtered!$G$2:$G$461,Data_filtered!$A$2:$A$461,T$1,Data_filtered!$F$2:$F$461,$A20, Data_filtered!$D$2:$D$461,"mata",Data_filtered!$J$2:$J$461,"&lt;&gt;Incompleto")=0, "-", SUMIFS(Data_filtered!$G$2:$G$461,Data_filtered!$A$2:$A$461,T$1,Data_filtered!$F$2:$F$461,$A20, Data_filtered!$D$2:$D$461,"mata",Data_filtered!$J$2:$J$461,"&lt;&gt;Incompleto"))
</f>
        <v>-</v>
      </c>
      <c r="V20" s="106" t="str">
        <f>IF(SUMIFS(Data_filtered!$G$2:$G$461,Data_filtered!$A$2:$A$461,V$1,Data_filtered!$F$2:$F$461,$A20, Data_filtered!$D$2:$D$461,"eucalipto",Data_filtered!$J$2:$J$461,"&lt;&gt;Incompleto")=0, "-", SUMIFS(Data_filtered!$G$2:$G$461,Data_filtered!$A$2:$A$461,V$1,Data_filtered!$F$2:$F$461,$A20, Data_filtered!$D$2:$D$461,"eucalipto",Data_filtered!$J$2:$J$461,"&lt;&gt;Incompleto"))</f>
        <v>-</v>
      </c>
      <c r="W20" s="107" t="str">
        <f>IF(SUMIFS(Data_filtered!$G$2:$G$461,Data_filtered!$A$2:$A$461,V$1,Data_filtered!$F$2:$F$461,$A20, Data_filtered!$D$2:$D$461,"mata",Data_filtered!$J$2:$J$461,"&lt;&gt;Incompleto")=0, "-", SUMIFS(Data_filtered!$G$2:$G$461,Data_filtered!$A$2:$A$461,V$1,Data_filtered!$F$2:$F$461,$A20, Data_filtered!$D$2:$D$461,"mata",Data_filtered!$J$2:$J$461,"&lt;&gt;Incompleto"))
</f>
        <v>-</v>
      </c>
      <c r="X20" s="106" t="str">
        <f>IF(SUMIFS(Data_filtered!$G$2:$G$461,Data_filtered!$A$2:$A$461,X$1,Data_filtered!$F$2:$F$461,$A20, Data_filtered!$D$2:$D$461,"eucalipto",Data_filtered!$J$2:$J$461,"&lt;&gt;Incompleto")=0, "-", SUMIFS(Data_filtered!$G$2:$G$461,Data_filtered!$A$2:$A$461,X$1,Data_filtered!$F$2:$F$461,$A20, Data_filtered!$D$2:$D$461,"eucalipto",Data_filtered!$J$2:$J$461,"&lt;&gt;Incompleto"))</f>
        <v>-</v>
      </c>
      <c r="Y20" s="107" t="str">
        <f>IF(SUMIFS(Data_filtered!$G$2:$G$461,Data_filtered!$A$2:$A$461,X$1,Data_filtered!$F$2:$F$461,$A20, Data_filtered!$D$2:$D$461,"mata",Data_filtered!$J$2:$J$461,"&lt;&gt;Incompleto")=0, "-", SUMIFS(Data_filtered!$G$2:$G$461,Data_filtered!$A$2:$A$461,X$1,Data_filtered!$F$2:$F$461,$A20, Data_filtered!$D$2:$D$461,"mata",Data_filtered!$J$2:$J$461,"&lt;&gt;Incompleto"))
</f>
        <v>-</v>
      </c>
      <c r="Z20" s="106" t="str">
        <f>IF(SUMIFS(Data_filtered!$G$2:$G$461,Data_filtered!$A$2:$A$461,Z$1,Data_filtered!$F$2:$F$461,$A20, Data_filtered!$D$2:$D$461,"eucalipto",Data_filtered!$J$2:$J$461,"&lt;&gt;Incompleto")=0, "-", SUMIFS(Data_filtered!$G$2:$G$461,Data_filtered!$A$2:$A$461,Z$1,Data_filtered!$F$2:$F$461,$A20, Data_filtered!$D$2:$D$461,"eucalipto",Data_filtered!$J$2:$J$461,"&lt;&gt;Incompleto"))</f>
        <v>-</v>
      </c>
      <c r="AA20" s="107" t="str">
        <f>IF(SUMIFS(Data_filtered!$G$2:$G$461,Data_filtered!$A$2:$A$461,Z$1,Data_filtered!$F$2:$F$461,$A20, Data_filtered!$D$2:$D$461,"mata",Data_filtered!$J$2:$J$461,"&lt;&gt;Incompleto")=0, "-", SUMIFS(Data_filtered!$G$2:$G$461,Data_filtered!$A$2:$A$461,Z$1,Data_filtered!$F$2:$F$461,$A20, Data_filtered!$D$2:$D$461,"mata",Data_filtered!$J$2:$J$461,"&lt;&gt;Incompleto"))
</f>
        <v>-</v>
      </c>
      <c r="AB20" s="106"/>
      <c r="AC20" s="107"/>
      <c r="AD20" s="106"/>
      <c r="AE20" s="107"/>
      <c r="AF20" s="106"/>
      <c r="AG20" s="107"/>
      <c r="AH20" s="106"/>
      <c r="AI20" s="107"/>
      <c r="AJ20" s="106"/>
      <c r="AK20" s="107"/>
      <c r="AL20" s="106"/>
      <c r="AM20" s="107"/>
      <c r="AN20" s="106"/>
      <c r="AO20" s="107"/>
      <c r="AP20" s="106"/>
      <c r="AQ20" s="107"/>
      <c r="AR20" s="106"/>
      <c r="AS20" s="107"/>
    </row>
    <row r="21">
      <c r="A21" s="15" t="str">
        <f>IFERROR(__xludf.DUMMYFUNCTION("""COMPUTED_VALUE"""),"Opiliones")</f>
        <v>Opiliones</v>
      </c>
      <c r="B21" s="106" t="str">
        <f>IF(SUMIFS(Data_filtered!$G$2:$G$461,Data_filtered!$A$2:$A$461,B$1,Data_filtered!$F$2:$F$461,$A21, Data_filtered!$D$2:$D$461,"eucalipto",Data_filtered!$J$2:$J$461,"&lt;&gt;Incompleto")=0, "-", SUMIFS(Data_filtered!$G$2:$G$461,Data_filtered!$A$2:$A$461,B$1,Data_filtered!$F$2:$F$461,$A21, Data_filtered!$D$2:$D$461,"eucalipto",Data_filtered!$J$2:$J$461,"&lt;&gt;Incompleto"))</f>
        <v>-</v>
      </c>
      <c r="C21" s="107">
        <f>IF(SUMIFS(Data_filtered!$G$2:$G$461,Data_filtered!$A$2:$A$461,B$1,Data_filtered!$F$2:$F$461,$A21, Data_filtered!$D$2:$D$461,"mata",Data_filtered!$J$2:$J$461,"&lt;&gt;Incompleto")=0, "-", SUMIFS(Data_filtered!$G$2:$G$461,Data_filtered!$A$2:$A$461,B$1,Data_filtered!$F$2:$F$461,$A21, Data_filtered!$D$2:$D$461,"mata",Data_filtered!$J$2:$J$461,"&lt;&gt;Incompleto"))
</f>
        <v>1</v>
      </c>
      <c r="D21" s="106" t="str">
        <f>IF(SUMIFS(Data_filtered!$G$2:$G$461,Data_filtered!$A$2:$A$461,D$1,Data_filtered!$F$2:$F$461,$A21, Data_filtered!$D$2:$D$461,"eucalipto",Data_filtered!$J$2:$J$461,"&lt;&gt;Incompleto")=0, "-", SUMIFS(Data_filtered!$G$2:$G$461,Data_filtered!$A$2:$A$461,D$1,Data_filtered!$F$2:$F$461,$A21, Data_filtered!$D$2:$D$461,"eucalipto",Data_filtered!$J$2:$J$461,"&lt;&gt;Incompleto"))</f>
        <v>-</v>
      </c>
      <c r="E21" s="107" t="str">
        <f>IF(SUMIFS(Data_filtered!$G$2:$G$461,Data_filtered!$A$2:$A$461,D$1,Data_filtered!$F$2:$F$461,$A21, Data_filtered!$D$2:$D$461,"mata",Data_filtered!$J$2:$J$461,"&lt;&gt;Incompleto")=0, "-", SUMIFS(Data_filtered!$G$2:$G$461,Data_filtered!$A$2:$A$461,D$1,Data_filtered!$F$2:$F$461,$A21, Data_filtered!$D$2:$D$461,"mata",Data_filtered!$J$2:$J$461,"&lt;&gt;Incompleto"))
</f>
        <v>-</v>
      </c>
      <c r="F21" s="106" t="str">
        <f>IF(SUMIFS(Data_filtered!$G$2:$G$461,Data_filtered!$A$2:$A$461,F$1,Data_filtered!$F$2:$F$461,$A21, Data_filtered!$D$2:$D$461,"eucalipto",Data_filtered!$J$2:$J$461,"&lt;&gt;Incompleto")=0, "-", SUMIFS(Data_filtered!$G$2:$G$461,Data_filtered!$A$2:$A$461,F$1,Data_filtered!$F$2:$F$461,$A21, Data_filtered!$D$2:$D$461,"eucalipto",Data_filtered!$J$2:$J$461,"&lt;&gt;Incompleto"))</f>
        <v>-</v>
      </c>
      <c r="G21" s="107" t="str">
        <f>IF(SUMIFS(Data_filtered!$G$2:$G$461,Data_filtered!$A$2:$A$461,F$1,Data_filtered!$F$2:$F$461,$A21, Data_filtered!$D$2:$D$461,"mata",Data_filtered!$J$2:$J$461,"&lt;&gt;Incompleto")=0, "-", SUMIFS(Data_filtered!$G$2:$G$461,Data_filtered!$A$2:$A$461,F$1,Data_filtered!$F$2:$F$461,$A21, Data_filtered!$D$2:$D$461,"mata",Data_filtered!$J$2:$J$461,"&lt;&gt;Incompleto"))
</f>
        <v>-</v>
      </c>
      <c r="H21" s="106">
        <f>IF(SUMIFS(Data_filtered!$G$2:$G$461,Data_filtered!$A$2:$A$461,H$1,Data_filtered!$F$2:$F$461,$A21, Data_filtered!$D$2:$D$461,"eucalipto",Data_filtered!$J$2:$J$461,"&lt;&gt;Incompleto")=0, "-", SUMIFS(Data_filtered!$G$2:$G$461,Data_filtered!$A$2:$A$461,H$1,Data_filtered!$F$2:$F$461,$A21, Data_filtered!$D$2:$D$461,"eucalipto",Data_filtered!$J$2:$J$461,"&lt;&gt;Incompleto"))</f>
        <v>3</v>
      </c>
      <c r="I21" s="107" t="str">
        <f>IF(SUMIFS(Data_filtered!$G$2:$G$461,Data_filtered!$A$2:$A$461,H$1,Data_filtered!$F$2:$F$461,$A21, Data_filtered!$D$2:$D$461,"mata",Data_filtered!$J$2:$J$461,"&lt;&gt;Incompleto")=0, "-", SUMIFS(Data_filtered!$G$2:$G$461,Data_filtered!$A$2:$A$461,H$1,Data_filtered!$F$2:$F$461,$A21, Data_filtered!$D$2:$D$461,"mata",Data_filtered!$J$2:$J$461,"&lt;&gt;Incompleto"))
</f>
        <v>-</v>
      </c>
      <c r="J21" s="106" t="str">
        <f>IF(SUMIFS(Data_filtered!$G$2:$G$461,Data_filtered!$A$2:$A$461,J$1,Data_filtered!$F$2:$F$461,$A21, Data_filtered!$D$2:$D$461,"eucalipto",Data_filtered!$J$2:$J$461,"&lt;&gt;Incompleto")=0, "-", SUMIFS(Data_filtered!$G$2:$G$461,Data_filtered!$A$2:$A$461,J$1,Data_filtered!$F$2:$F$461,$A21, Data_filtered!$D$2:$D$461,"eucalipto",Data_filtered!$J$2:$J$461,"&lt;&gt;Incompleto"))</f>
        <v>-</v>
      </c>
      <c r="K21" s="107" t="str">
        <f>IF(SUMIFS(Data_filtered!$G$2:$G$461,Data_filtered!$A$2:$A$461,J$1,Data_filtered!$F$2:$F$461,$A21, Data_filtered!$D$2:$D$461,"mata",Data_filtered!$J$2:$J$461,"&lt;&gt;Incompleto")=0, "-", SUMIFS(Data_filtered!$G$2:$G$461,Data_filtered!$A$2:$A$461,J$1,Data_filtered!$F$2:$F$461,$A21, Data_filtered!$D$2:$D$461,"mata",Data_filtered!$J$2:$J$461,"&lt;&gt;Incompleto"))
</f>
        <v>-</v>
      </c>
      <c r="L21" s="106" t="str">
        <f>IF(SUMIFS(Data_filtered!$G$2:$G$461,Data_filtered!$A$2:$A$461,L$1,Data_filtered!$F$2:$F$461,$A21, Data_filtered!$D$2:$D$461,"eucalipto",Data_filtered!$J$2:$J$461,"&lt;&gt;Incompleto")=0, "-", SUMIFS(Data_filtered!$G$2:$G$461,Data_filtered!$A$2:$A$461,L$1,Data_filtered!$F$2:$F$461,$A21, Data_filtered!$D$2:$D$461,"eucalipto",Data_filtered!$J$2:$J$461,"&lt;&gt;Incompleto"))</f>
        <v>-</v>
      </c>
      <c r="M21" s="107" t="str">
        <f>IF(SUMIFS(Data_filtered!$G$2:$G$461,Data_filtered!$A$2:$A$461,L$1,Data_filtered!$F$2:$F$461,$A21, Data_filtered!$D$2:$D$461,"mata",Data_filtered!$J$2:$J$461,"&lt;&gt;Incompleto")=0, "-", SUMIFS(Data_filtered!$G$2:$G$461,Data_filtered!$A$2:$A$461,L$1,Data_filtered!$F$2:$F$461,$A21, Data_filtered!$D$2:$D$461,"mata",Data_filtered!$J$2:$J$461,"&lt;&gt;Incompleto"))
</f>
        <v>-</v>
      </c>
      <c r="N21" s="106" t="str">
        <f>IF(SUMIFS(Data_filtered!$G$2:$G$461,Data_filtered!$A$2:$A$461,N$1,Data_filtered!$F$2:$F$461,$A21, Data_filtered!$D$2:$D$461,"eucalipto",Data_filtered!$J$2:$J$461,"&lt;&gt;Incompleto")=0, "-", SUMIFS(Data_filtered!$G$2:$G$461,Data_filtered!$A$2:$A$461,N$1,Data_filtered!$F$2:$F$461,$A21, Data_filtered!$D$2:$D$461,"eucalipto",Data_filtered!$J$2:$J$461,"&lt;&gt;Incompleto"))</f>
        <v>-</v>
      </c>
      <c r="O21" s="107" t="str">
        <f>IF(SUMIFS(Data_filtered!$G$2:$G$461,Data_filtered!$A$2:$A$461,N$1,Data_filtered!$F$2:$F$461,$A21, Data_filtered!$D$2:$D$461,"mata",Data_filtered!$J$2:$J$461,"&lt;&gt;Incompleto")=0, "-", SUMIFS(Data_filtered!$G$2:$G$461,Data_filtered!$A$2:$A$461,N$1,Data_filtered!$F$2:$F$461,$A21, Data_filtered!$D$2:$D$461,"mata",Data_filtered!$J$2:$J$461,"&lt;&gt;Incompleto"))
</f>
        <v>-</v>
      </c>
      <c r="P21" s="106" t="str">
        <f>IF(SUMIFS(Data_filtered!$G$2:$G$461,Data_filtered!$A$2:$A$461,P$1,Data_filtered!$F$2:$F$461,$A21, Data_filtered!$D$2:$D$461,"eucalipto",Data_filtered!$J$2:$J$461,"&lt;&gt;Incompleto")=0, "-", SUMIFS(Data_filtered!$G$2:$G$461,Data_filtered!$A$2:$A$461,P$1,Data_filtered!$F$2:$F$461,$A21, Data_filtered!$D$2:$D$461,"eucalipto",Data_filtered!$J$2:$J$461,"&lt;&gt;Incompleto"))</f>
        <v>-</v>
      </c>
      <c r="Q21" s="107" t="str">
        <f>IF(SUMIFS(Data_filtered!$G$2:$G$461,Data_filtered!$A$2:$A$461,P$1,Data_filtered!$F$2:$F$461,$A21, Data_filtered!$D$2:$D$461,"mata",Data_filtered!$J$2:$J$461,"&lt;&gt;Incompleto")=0, "-", SUMIFS(Data_filtered!$G$2:$G$461,Data_filtered!$A$2:$A$461,P$1,Data_filtered!$F$2:$F$461,$A21, Data_filtered!$D$2:$D$461,"mata",Data_filtered!$J$2:$J$461,"&lt;&gt;Incompleto"))
</f>
        <v>-</v>
      </c>
      <c r="R21" s="106" t="str">
        <f>IF(SUMIFS(Data_filtered!$G$2:$G$461,Data_filtered!$A$2:$A$461,R$1,Data_filtered!$F$2:$F$461,$A21, Data_filtered!$D$2:$D$461,"eucalipto",Data_filtered!$J$2:$J$461,"&lt;&gt;Incompleto")=0, "-", SUMIFS(Data_filtered!$G$2:$G$461,Data_filtered!$A$2:$A$461,R$1,Data_filtered!$F$2:$F$461,$A21, Data_filtered!$D$2:$D$461,"eucalipto",Data_filtered!$J$2:$J$461,"&lt;&gt;Incompleto"))</f>
        <v>-</v>
      </c>
      <c r="S21" s="107" t="str">
        <f>IF(SUMIFS(Data_filtered!$G$2:$G$461,Data_filtered!$A$2:$A$461,R$1,Data_filtered!$F$2:$F$461,$A21, Data_filtered!$D$2:$D$461,"mata",Data_filtered!$J$2:$J$461,"&lt;&gt;Incompleto")=0, "-", SUMIFS(Data_filtered!$G$2:$G$461,Data_filtered!$A$2:$A$461,R$1,Data_filtered!$F$2:$F$461,$A21, Data_filtered!$D$2:$D$461,"mata",Data_filtered!$J$2:$J$461,"&lt;&gt;Incompleto"))
</f>
        <v>-</v>
      </c>
      <c r="T21" s="106" t="str">
        <f>IF(SUMIFS(Data_filtered!$G$2:$G$461,Data_filtered!$A$2:$A$461,T$1,Data_filtered!$F$2:$F$461,$A21, Data_filtered!$D$2:$D$461,"eucalipto",Data_filtered!$J$2:$J$461,"&lt;&gt;Incompleto")=0, "-", SUMIFS(Data_filtered!$G$2:$G$461,Data_filtered!$A$2:$A$461,T$1,Data_filtered!$F$2:$F$461,$A21, Data_filtered!$D$2:$D$461,"eucalipto",Data_filtered!$J$2:$J$461,"&lt;&gt;Incompleto"))</f>
        <v>-</v>
      </c>
      <c r="U21" s="107" t="str">
        <f>IF(SUMIFS(Data_filtered!$G$2:$G$461,Data_filtered!$A$2:$A$461,T$1,Data_filtered!$F$2:$F$461,$A21, Data_filtered!$D$2:$D$461,"mata",Data_filtered!$J$2:$J$461,"&lt;&gt;Incompleto")=0, "-", SUMIFS(Data_filtered!$G$2:$G$461,Data_filtered!$A$2:$A$461,T$1,Data_filtered!$F$2:$F$461,$A21, Data_filtered!$D$2:$D$461,"mata",Data_filtered!$J$2:$J$461,"&lt;&gt;Incompleto"))
</f>
        <v>-</v>
      </c>
      <c r="V21" s="106" t="str">
        <f>IF(SUMIFS(Data_filtered!$G$2:$G$461,Data_filtered!$A$2:$A$461,V$1,Data_filtered!$F$2:$F$461,$A21, Data_filtered!$D$2:$D$461,"eucalipto",Data_filtered!$J$2:$J$461,"&lt;&gt;Incompleto")=0, "-", SUMIFS(Data_filtered!$G$2:$G$461,Data_filtered!$A$2:$A$461,V$1,Data_filtered!$F$2:$F$461,$A21, Data_filtered!$D$2:$D$461,"eucalipto",Data_filtered!$J$2:$J$461,"&lt;&gt;Incompleto"))</f>
        <v>-</v>
      </c>
      <c r="W21" s="107">
        <f>IF(SUMIFS(Data_filtered!$G$2:$G$461,Data_filtered!$A$2:$A$461,V$1,Data_filtered!$F$2:$F$461,$A21, Data_filtered!$D$2:$D$461,"mata",Data_filtered!$J$2:$J$461,"&lt;&gt;Incompleto")=0, "-", SUMIFS(Data_filtered!$G$2:$G$461,Data_filtered!$A$2:$A$461,V$1,Data_filtered!$F$2:$F$461,$A21, Data_filtered!$D$2:$D$461,"mata",Data_filtered!$J$2:$J$461,"&lt;&gt;Incompleto"))
</f>
        <v>7</v>
      </c>
      <c r="X21" s="106" t="str">
        <f>IF(SUMIFS(Data_filtered!$G$2:$G$461,Data_filtered!$A$2:$A$461,X$1,Data_filtered!$F$2:$F$461,$A21, Data_filtered!$D$2:$D$461,"eucalipto",Data_filtered!$J$2:$J$461,"&lt;&gt;Incompleto")=0, "-", SUMIFS(Data_filtered!$G$2:$G$461,Data_filtered!$A$2:$A$461,X$1,Data_filtered!$F$2:$F$461,$A21, Data_filtered!$D$2:$D$461,"eucalipto",Data_filtered!$J$2:$J$461,"&lt;&gt;Incompleto"))</f>
        <v>-</v>
      </c>
      <c r="Y21" s="107">
        <f>IF(SUMIFS(Data_filtered!$G$2:$G$461,Data_filtered!$A$2:$A$461,X$1,Data_filtered!$F$2:$F$461,$A21, Data_filtered!$D$2:$D$461,"mata",Data_filtered!$J$2:$J$461,"&lt;&gt;Incompleto")=0, "-", SUMIFS(Data_filtered!$G$2:$G$461,Data_filtered!$A$2:$A$461,X$1,Data_filtered!$F$2:$F$461,$A21, Data_filtered!$D$2:$D$461,"mata",Data_filtered!$J$2:$J$461,"&lt;&gt;Incompleto"))
</f>
        <v>1</v>
      </c>
      <c r="Z21" s="106" t="str">
        <f>IF(SUMIFS(Data_filtered!$G$2:$G$461,Data_filtered!$A$2:$A$461,Z$1,Data_filtered!$F$2:$F$461,$A21, Data_filtered!$D$2:$D$461,"eucalipto",Data_filtered!$J$2:$J$461,"&lt;&gt;Incompleto")=0, "-", SUMIFS(Data_filtered!$G$2:$G$461,Data_filtered!$A$2:$A$461,Z$1,Data_filtered!$F$2:$F$461,$A21, Data_filtered!$D$2:$D$461,"eucalipto",Data_filtered!$J$2:$J$461,"&lt;&gt;Incompleto"))</f>
        <v>-</v>
      </c>
      <c r="AA21" s="107" t="str">
        <f>IF(SUMIFS(Data_filtered!$G$2:$G$461,Data_filtered!$A$2:$A$461,Z$1,Data_filtered!$F$2:$F$461,$A21, Data_filtered!$D$2:$D$461,"mata",Data_filtered!$J$2:$J$461,"&lt;&gt;Incompleto")=0, "-", SUMIFS(Data_filtered!$G$2:$G$461,Data_filtered!$A$2:$A$461,Z$1,Data_filtered!$F$2:$F$461,$A21, Data_filtered!$D$2:$D$461,"mata",Data_filtered!$J$2:$J$461,"&lt;&gt;Incompleto"))
</f>
        <v>-</v>
      </c>
      <c r="AB21" s="106"/>
      <c r="AC21" s="107"/>
      <c r="AD21" s="106"/>
      <c r="AE21" s="107"/>
      <c r="AF21" s="106"/>
      <c r="AG21" s="107"/>
      <c r="AH21" s="106"/>
      <c r="AI21" s="107"/>
      <c r="AJ21" s="106"/>
      <c r="AK21" s="107"/>
      <c r="AL21" s="106"/>
      <c r="AM21" s="107"/>
      <c r="AN21" s="106"/>
      <c r="AO21" s="107"/>
      <c r="AP21" s="106"/>
      <c r="AQ21" s="107"/>
      <c r="AR21" s="106"/>
      <c r="AS21" s="107"/>
    </row>
    <row r="22">
      <c r="A22" s="15" t="str">
        <f>IFERROR(__xludf.DUMMYFUNCTION("""COMPUTED_VALUE"""),"Orthoptera")</f>
        <v>Orthoptera</v>
      </c>
      <c r="B22" s="106" t="str">
        <f>IF(SUMIFS(Data_filtered!$G$2:$G$461,Data_filtered!$A$2:$A$461,B$1,Data_filtered!$F$2:$F$461,$A22, Data_filtered!$D$2:$D$461,"eucalipto",Data_filtered!$J$2:$J$461,"&lt;&gt;Incompleto")=0, "-", SUMIFS(Data_filtered!$G$2:$G$461,Data_filtered!$A$2:$A$461,B$1,Data_filtered!$F$2:$F$461,$A22, Data_filtered!$D$2:$D$461,"eucalipto",Data_filtered!$J$2:$J$461,"&lt;&gt;Incompleto"))</f>
        <v>-</v>
      </c>
      <c r="C22" s="107" t="str">
        <f>IF(SUMIFS(Data_filtered!$G$2:$G$461,Data_filtered!$A$2:$A$461,B$1,Data_filtered!$F$2:$F$461,$A22, Data_filtered!$D$2:$D$461,"mata",Data_filtered!$J$2:$J$461,"&lt;&gt;Incompleto")=0, "-", SUMIFS(Data_filtered!$G$2:$G$461,Data_filtered!$A$2:$A$461,B$1,Data_filtered!$F$2:$F$461,$A22, Data_filtered!$D$2:$D$461,"mata",Data_filtered!$J$2:$J$461,"&lt;&gt;Incompleto"))
</f>
        <v>-</v>
      </c>
      <c r="D22" s="106" t="str">
        <f>IF(SUMIFS(Data_filtered!$G$2:$G$461,Data_filtered!$A$2:$A$461,D$1,Data_filtered!$F$2:$F$461,$A22, Data_filtered!$D$2:$D$461,"eucalipto",Data_filtered!$J$2:$J$461,"&lt;&gt;Incompleto")=0, "-", SUMIFS(Data_filtered!$G$2:$G$461,Data_filtered!$A$2:$A$461,D$1,Data_filtered!$F$2:$F$461,$A22, Data_filtered!$D$2:$D$461,"eucalipto",Data_filtered!$J$2:$J$461,"&lt;&gt;Incompleto"))</f>
        <v>-</v>
      </c>
      <c r="E22" s="107" t="str">
        <f>IF(SUMIFS(Data_filtered!$G$2:$G$461,Data_filtered!$A$2:$A$461,D$1,Data_filtered!$F$2:$F$461,$A22, Data_filtered!$D$2:$D$461,"mata",Data_filtered!$J$2:$J$461,"&lt;&gt;Incompleto")=0, "-", SUMIFS(Data_filtered!$G$2:$G$461,Data_filtered!$A$2:$A$461,D$1,Data_filtered!$F$2:$F$461,$A22, Data_filtered!$D$2:$D$461,"mata",Data_filtered!$J$2:$J$461,"&lt;&gt;Incompleto"))
</f>
        <v>-</v>
      </c>
      <c r="F22" s="106" t="str">
        <f>IF(SUMIFS(Data_filtered!$G$2:$G$461,Data_filtered!$A$2:$A$461,F$1,Data_filtered!$F$2:$F$461,$A22, Data_filtered!$D$2:$D$461,"eucalipto",Data_filtered!$J$2:$J$461,"&lt;&gt;Incompleto")=0, "-", SUMIFS(Data_filtered!$G$2:$G$461,Data_filtered!$A$2:$A$461,F$1,Data_filtered!$F$2:$F$461,$A22, Data_filtered!$D$2:$D$461,"eucalipto",Data_filtered!$J$2:$J$461,"&lt;&gt;Incompleto"))</f>
        <v>-</v>
      </c>
      <c r="G22" s="107" t="str">
        <f>IF(SUMIFS(Data_filtered!$G$2:$G$461,Data_filtered!$A$2:$A$461,F$1,Data_filtered!$F$2:$F$461,$A22, Data_filtered!$D$2:$D$461,"mata",Data_filtered!$J$2:$J$461,"&lt;&gt;Incompleto")=0, "-", SUMIFS(Data_filtered!$G$2:$G$461,Data_filtered!$A$2:$A$461,F$1,Data_filtered!$F$2:$F$461,$A22, Data_filtered!$D$2:$D$461,"mata",Data_filtered!$J$2:$J$461,"&lt;&gt;Incompleto"))
</f>
        <v>-</v>
      </c>
      <c r="H22" s="106" t="str">
        <f>IF(SUMIFS(Data_filtered!$G$2:$G$461,Data_filtered!$A$2:$A$461,H$1,Data_filtered!$F$2:$F$461,$A22, Data_filtered!$D$2:$D$461,"eucalipto",Data_filtered!$J$2:$J$461,"&lt;&gt;Incompleto")=0, "-", SUMIFS(Data_filtered!$G$2:$G$461,Data_filtered!$A$2:$A$461,H$1,Data_filtered!$F$2:$F$461,$A22, Data_filtered!$D$2:$D$461,"eucalipto",Data_filtered!$J$2:$J$461,"&lt;&gt;Incompleto"))</f>
        <v>-</v>
      </c>
      <c r="I22" s="107" t="str">
        <f>IF(SUMIFS(Data_filtered!$G$2:$G$461,Data_filtered!$A$2:$A$461,H$1,Data_filtered!$F$2:$F$461,$A22, Data_filtered!$D$2:$D$461,"mata",Data_filtered!$J$2:$J$461,"&lt;&gt;Incompleto")=0, "-", SUMIFS(Data_filtered!$G$2:$G$461,Data_filtered!$A$2:$A$461,H$1,Data_filtered!$F$2:$F$461,$A22, Data_filtered!$D$2:$D$461,"mata",Data_filtered!$J$2:$J$461,"&lt;&gt;Incompleto"))
</f>
        <v>-</v>
      </c>
      <c r="J22" s="106" t="str">
        <f>IF(SUMIFS(Data_filtered!$G$2:$G$461,Data_filtered!$A$2:$A$461,J$1,Data_filtered!$F$2:$F$461,$A22, Data_filtered!$D$2:$D$461,"eucalipto",Data_filtered!$J$2:$J$461,"&lt;&gt;Incompleto")=0, "-", SUMIFS(Data_filtered!$G$2:$G$461,Data_filtered!$A$2:$A$461,J$1,Data_filtered!$F$2:$F$461,$A22, Data_filtered!$D$2:$D$461,"eucalipto",Data_filtered!$J$2:$J$461,"&lt;&gt;Incompleto"))</f>
        <v>-</v>
      </c>
      <c r="K22" s="107" t="str">
        <f>IF(SUMIFS(Data_filtered!$G$2:$G$461,Data_filtered!$A$2:$A$461,J$1,Data_filtered!$F$2:$F$461,$A22, Data_filtered!$D$2:$D$461,"mata",Data_filtered!$J$2:$J$461,"&lt;&gt;Incompleto")=0, "-", SUMIFS(Data_filtered!$G$2:$G$461,Data_filtered!$A$2:$A$461,J$1,Data_filtered!$F$2:$F$461,$A22, Data_filtered!$D$2:$D$461,"mata",Data_filtered!$J$2:$J$461,"&lt;&gt;Incompleto"))
</f>
        <v>-</v>
      </c>
      <c r="L22" s="106" t="str">
        <f>IF(SUMIFS(Data_filtered!$G$2:$G$461,Data_filtered!$A$2:$A$461,L$1,Data_filtered!$F$2:$F$461,$A22, Data_filtered!$D$2:$D$461,"eucalipto",Data_filtered!$J$2:$J$461,"&lt;&gt;Incompleto")=0, "-", SUMIFS(Data_filtered!$G$2:$G$461,Data_filtered!$A$2:$A$461,L$1,Data_filtered!$F$2:$F$461,$A22, Data_filtered!$D$2:$D$461,"eucalipto",Data_filtered!$J$2:$J$461,"&lt;&gt;Incompleto"))</f>
        <v>-</v>
      </c>
      <c r="M22" s="107" t="str">
        <f>IF(SUMIFS(Data_filtered!$G$2:$G$461,Data_filtered!$A$2:$A$461,L$1,Data_filtered!$F$2:$F$461,$A22, Data_filtered!$D$2:$D$461,"mata",Data_filtered!$J$2:$J$461,"&lt;&gt;Incompleto")=0, "-", SUMIFS(Data_filtered!$G$2:$G$461,Data_filtered!$A$2:$A$461,L$1,Data_filtered!$F$2:$F$461,$A22, Data_filtered!$D$2:$D$461,"mata",Data_filtered!$J$2:$J$461,"&lt;&gt;Incompleto"))
</f>
        <v>-</v>
      </c>
      <c r="N22" s="106" t="str">
        <f>IF(SUMIFS(Data_filtered!$G$2:$G$461,Data_filtered!$A$2:$A$461,N$1,Data_filtered!$F$2:$F$461,$A22, Data_filtered!$D$2:$D$461,"eucalipto",Data_filtered!$J$2:$J$461,"&lt;&gt;Incompleto")=0, "-", SUMIFS(Data_filtered!$G$2:$G$461,Data_filtered!$A$2:$A$461,N$1,Data_filtered!$F$2:$F$461,$A22, Data_filtered!$D$2:$D$461,"eucalipto",Data_filtered!$J$2:$J$461,"&lt;&gt;Incompleto"))</f>
        <v>-</v>
      </c>
      <c r="O22" s="107" t="str">
        <f>IF(SUMIFS(Data_filtered!$G$2:$G$461,Data_filtered!$A$2:$A$461,N$1,Data_filtered!$F$2:$F$461,$A22, Data_filtered!$D$2:$D$461,"mata",Data_filtered!$J$2:$J$461,"&lt;&gt;Incompleto")=0, "-", SUMIFS(Data_filtered!$G$2:$G$461,Data_filtered!$A$2:$A$461,N$1,Data_filtered!$F$2:$F$461,$A22, Data_filtered!$D$2:$D$461,"mata",Data_filtered!$J$2:$J$461,"&lt;&gt;Incompleto"))
</f>
        <v>-</v>
      </c>
      <c r="P22" s="106" t="str">
        <f>IF(SUMIFS(Data_filtered!$G$2:$G$461,Data_filtered!$A$2:$A$461,P$1,Data_filtered!$F$2:$F$461,$A22, Data_filtered!$D$2:$D$461,"eucalipto",Data_filtered!$J$2:$J$461,"&lt;&gt;Incompleto")=0, "-", SUMIFS(Data_filtered!$G$2:$G$461,Data_filtered!$A$2:$A$461,P$1,Data_filtered!$F$2:$F$461,$A22, Data_filtered!$D$2:$D$461,"eucalipto",Data_filtered!$J$2:$J$461,"&lt;&gt;Incompleto"))</f>
        <v>-</v>
      </c>
      <c r="Q22" s="107" t="str">
        <f>IF(SUMIFS(Data_filtered!$G$2:$G$461,Data_filtered!$A$2:$A$461,P$1,Data_filtered!$F$2:$F$461,$A22, Data_filtered!$D$2:$D$461,"mata",Data_filtered!$J$2:$J$461,"&lt;&gt;Incompleto")=0, "-", SUMIFS(Data_filtered!$G$2:$G$461,Data_filtered!$A$2:$A$461,P$1,Data_filtered!$F$2:$F$461,$A22, Data_filtered!$D$2:$D$461,"mata",Data_filtered!$J$2:$J$461,"&lt;&gt;Incompleto"))
</f>
        <v>-</v>
      </c>
      <c r="R22" s="106" t="str">
        <f>IF(SUMIFS(Data_filtered!$G$2:$G$461,Data_filtered!$A$2:$A$461,R$1,Data_filtered!$F$2:$F$461,$A22, Data_filtered!$D$2:$D$461,"eucalipto",Data_filtered!$J$2:$J$461,"&lt;&gt;Incompleto")=0, "-", SUMIFS(Data_filtered!$G$2:$G$461,Data_filtered!$A$2:$A$461,R$1,Data_filtered!$F$2:$F$461,$A22, Data_filtered!$D$2:$D$461,"eucalipto",Data_filtered!$J$2:$J$461,"&lt;&gt;Incompleto"))</f>
        <v>-</v>
      </c>
      <c r="S22" s="107" t="str">
        <f>IF(SUMIFS(Data_filtered!$G$2:$G$461,Data_filtered!$A$2:$A$461,R$1,Data_filtered!$F$2:$F$461,$A22, Data_filtered!$D$2:$D$461,"mata",Data_filtered!$J$2:$J$461,"&lt;&gt;Incompleto")=0, "-", SUMIFS(Data_filtered!$G$2:$G$461,Data_filtered!$A$2:$A$461,R$1,Data_filtered!$F$2:$F$461,$A22, Data_filtered!$D$2:$D$461,"mata",Data_filtered!$J$2:$J$461,"&lt;&gt;Incompleto"))
</f>
        <v>-</v>
      </c>
      <c r="T22" s="106" t="str">
        <f>IF(SUMIFS(Data_filtered!$G$2:$G$461,Data_filtered!$A$2:$A$461,T$1,Data_filtered!$F$2:$F$461,$A22, Data_filtered!$D$2:$D$461,"eucalipto",Data_filtered!$J$2:$J$461,"&lt;&gt;Incompleto")=0, "-", SUMIFS(Data_filtered!$G$2:$G$461,Data_filtered!$A$2:$A$461,T$1,Data_filtered!$F$2:$F$461,$A22, Data_filtered!$D$2:$D$461,"eucalipto",Data_filtered!$J$2:$J$461,"&lt;&gt;Incompleto"))</f>
        <v>-</v>
      </c>
      <c r="U22" s="107" t="str">
        <f>IF(SUMIFS(Data_filtered!$G$2:$G$461,Data_filtered!$A$2:$A$461,T$1,Data_filtered!$F$2:$F$461,$A22, Data_filtered!$D$2:$D$461,"mata",Data_filtered!$J$2:$J$461,"&lt;&gt;Incompleto")=0, "-", SUMIFS(Data_filtered!$G$2:$G$461,Data_filtered!$A$2:$A$461,T$1,Data_filtered!$F$2:$F$461,$A22, Data_filtered!$D$2:$D$461,"mata",Data_filtered!$J$2:$J$461,"&lt;&gt;Incompleto"))
</f>
        <v>-</v>
      </c>
      <c r="V22" s="106" t="str">
        <f>IF(SUMIFS(Data_filtered!$G$2:$G$461,Data_filtered!$A$2:$A$461,V$1,Data_filtered!$F$2:$F$461,$A22, Data_filtered!$D$2:$D$461,"eucalipto",Data_filtered!$J$2:$J$461,"&lt;&gt;Incompleto")=0, "-", SUMIFS(Data_filtered!$G$2:$G$461,Data_filtered!$A$2:$A$461,V$1,Data_filtered!$F$2:$F$461,$A22, Data_filtered!$D$2:$D$461,"eucalipto",Data_filtered!$J$2:$J$461,"&lt;&gt;Incompleto"))</f>
        <v>-</v>
      </c>
      <c r="W22" s="107" t="str">
        <f>IF(SUMIFS(Data_filtered!$G$2:$G$461,Data_filtered!$A$2:$A$461,V$1,Data_filtered!$F$2:$F$461,$A22, Data_filtered!$D$2:$D$461,"mata",Data_filtered!$J$2:$J$461,"&lt;&gt;Incompleto")=0, "-", SUMIFS(Data_filtered!$G$2:$G$461,Data_filtered!$A$2:$A$461,V$1,Data_filtered!$F$2:$F$461,$A22, Data_filtered!$D$2:$D$461,"mata",Data_filtered!$J$2:$J$461,"&lt;&gt;Incompleto"))
</f>
        <v>-</v>
      </c>
      <c r="X22" s="106" t="str">
        <f>IF(SUMIFS(Data_filtered!$G$2:$G$461,Data_filtered!$A$2:$A$461,X$1,Data_filtered!$F$2:$F$461,$A22, Data_filtered!$D$2:$D$461,"eucalipto",Data_filtered!$J$2:$J$461,"&lt;&gt;Incompleto")=0, "-", SUMIFS(Data_filtered!$G$2:$G$461,Data_filtered!$A$2:$A$461,X$1,Data_filtered!$F$2:$F$461,$A22, Data_filtered!$D$2:$D$461,"eucalipto",Data_filtered!$J$2:$J$461,"&lt;&gt;Incompleto"))</f>
        <v>-</v>
      </c>
      <c r="Y22" s="107" t="str">
        <f>IF(SUMIFS(Data_filtered!$G$2:$G$461,Data_filtered!$A$2:$A$461,X$1,Data_filtered!$F$2:$F$461,$A22, Data_filtered!$D$2:$D$461,"mata",Data_filtered!$J$2:$J$461,"&lt;&gt;Incompleto")=0, "-", SUMIFS(Data_filtered!$G$2:$G$461,Data_filtered!$A$2:$A$461,X$1,Data_filtered!$F$2:$F$461,$A22, Data_filtered!$D$2:$D$461,"mata",Data_filtered!$J$2:$J$461,"&lt;&gt;Incompleto"))
</f>
        <v>-</v>
      </c>
      <c r="Z22" s="106" t="str">
        <f>IF(SUMIFS(Data_filtered!$G$2:$G$461,Data_filtered!$A$2:$A$461,Z$1,Data_filtered!$F$2:$F$461,$A22, Data_filtered!$D$2:$D$461,"eucalipto",Data_filtered!$J$2:$J$461,"&lt;&gt;Incompleto")=0, "-", SUMIFS(Data_filtered!$G$2:$G$461,Data_filtered!$A$2:$A$461,Z$1,Data_filtered!$F$2:$F$461,$A22, Data_filtered!$D$2:$D$461,"eucalipto",Data_filtered!$J$2:$J$461,"&lt;&gt;Incompleto"))</f>
        <v>-</v>
      </c>
      <c r="AA22" s="107" t="str">
        <f>IF(SUMIFS(Data_filtered!$G$2:$G$461,Data_filtered!$A$2:$A$461,Z$1,Data_filtered!$F$2:$F$461,$A22, Data_filtered!$D$2:$D$461,"mata",Data_filtered!$J$2:$J$461,"&lt;&gt;Incompleto")=0, "-", SUMIFS(Data_filtered!$G$2:$G$461,Data_filtered!$A$2:$A$461,Z$1,Data_filtered!$F$2:$F$461,$A22, Data_filtered!$D$2:$D$461,"mata",Data_filtered!$J$2:$J$461,"&lt;&gt;Incompleto"))
</f>
        <v>-</v>
      </c>
      <c r="AB22" s="106"/>
      <c r="AC22" s="107"/>
      <c r="AD22" s="106"/>
      <c r="AE22" s="107"/>
      <c r="AF22" s="106"/>
      <c r="AG22" s="107"/>
      <c r="AH22" s="106"/>
      <c r="AI22" s="107"/>
      <c r="AJ22" s="106"/>
      <c r="AK22" s="107"/>
      <c r="AL22" s="106"/>
      <c r="AM22" s="107"/>
      <c r="AN22" s="106"/>
      <c r="AO22" s="107"/>
      <c r="AP22" s="106"/>
      <c r="AQ22" s="107"/>
      <c r="AR22" s="106"/>
      <c r="AS22" s="107"/>
    </row>
    <row r="23">
      <c r="A23" s="15" t="str">
        <f>IFERROR(__xludf.DUMMYFUNCTION("""COMPUTED_VALUE"""),"Pterygota")</f>
        <v>Pterygota</v>
      </c>
      <c r="B23" s="106" t="str">
        <f>IF(SUMIFS(Data_filtered!$G$2:$G$461,Data_filtered!$A$2:$A$461,B$1,Data_filtered!$F$2:$F$461,$A23, Data_filtered!$D$2:$D$461,"eucalipto",Data_filtered!$J$2:$J$461,"&lt;&gt;Incompleto")=0, "-", SUMIFS(Data_filtered!$G$2:$G$461,Data_filtered!$A$2:$A$461,B$1,Data_filtered!$F$2:$F$461,$A23, Data_filtered!$D$2:$D$461,"eucalipto",Data_filtered!$J$2:$J$461,"&lt;&gt;Incompleto"))</f>
        <v>-</v>
      </c>
      <c r="C23" s="107" t="str">
        <f>IF(SUMIFS(Data_filtered!$G$2:$G$461,Data_filtered!$A$2:$A$461,B$1,Data_filtered!$F$2:$F$461,$A23, Data_filtered!$D$2:$D$461,"mata",Data_filtered!$J$2:$J$461,"&lt;&gt;Incompleto")=0, "-", SUMIFS(Data_filtered!$G$2:$G$461,Data_filtered!$A$2:$A$461,B$1,Data_filtered!$F$2:$F$461,$A23, Data_filtered!$D$2:$D$461,"mata",Data_filtered!$J$2:$J$461,"&lt;&gt;Incompleto"))
</f>
        <v>-</v>
      </c>
      <c r="D23" s="106" t="str">
        <f>IF(SUMIFS(Data_filtered!$G$2:$G$461,Data_filtered!$A$2:$A$461,D$1,Data_filtered!$F$2:$F$461,$A23, Data_filtered!$D$2:$D$461,"eucalipto",Data_filtered!$J$2:$J$461,"&lt;&gt;Incompleto")=0, "-", SUMIFS(Data_filtered!$G$2:$G$461,Data_filtered!$A$2:$A$461,D$1,Data_filtered!$F$2:$F$461,$A23, Data_filtered!$D$2:$D$461,"eucalipto",Data_filtered!$J$2:$J$461,"&lt;&gt;Incompleto"))</f>
        <v>-</v>
      </c>
      <c r="E23" s="107" t="str">
        <f>IF(SUMIFS(Data_filtered!$G$2:$G$461,Data_filtered!$A$2:$A$461,D$1,Data_filtered!$F$2:$F$461,$A23, Data_filtered!$D$2:$D$461,"mata",Data_filtered!$J$2:$J$461,"&lt;&gt;Incompleto")=0, "-", SUMIFS(Data_filtered!$G$2:$G$461,Data_filtered!$A$2:$A$461,D$1,Data_filtered!$F$2:$F$461,$A23, Data_filtered!$D$2:$D$461,"mata",Data_filtered!$J$2:$J$461,"&lt;&gt;Incompleto"))
</f>
        <v>-</v>
      </c>
      <c r="F23" s="106" t="str">
        <f>IF(SUMIFS(Data_filtered!$G$2:$G$461,Data_filtered!$A$2:$A$461,F$1,Data_filtered!$F$2:$F$461,$A23, Data_filtered!$D$2:$D$461,"eucalipto",Data_filtered!$J$2:$J$461,"&lt;&gt;Incompleto")=0, "-", SUMIFS(Data_filtered!$G$2:$G$461,Data_filtered!$A$2:$A$461,F$1,Data_filtered!$F$2:$F$461,$A23, Data_filtered!$D$2:$D$461,"eucalipto",Data_filtered!$J$2:$J$461,"&lt;&gt;Incompleto"))</f>
        <v>-</v>
      </c>
      <c r="G23" s="107" t="str">
        <f>IF(SUMIFS(Data_filtered!$G$2:$G$461,Data_filtered!$A$2:$A$461,F$1,Data_filtered!$F$2:$F$461,$A23, Data_filtered!$D$2:$D$461,"mata",Data_filtered!$J$2:$J$461,"&lt;&gt;Incompleto")=0, "-", SUMIFS(Data_filtered!$G$2:$G$461,Data_filtered!$A$2:$A$461,F$1,Data_filtered!$F$2:$F$461,$A23, Data_filtered!$D$2:$D$461,"mata",Data_filtered!$J$2:$J$461,"&lt;&gt;Incompleto"))
</f>
        <v>-</v>
      </c>
      <c r="H23" s="106" t="str">
        <f>IF(SUMIFS(Data_filtered!$G$2:$G$461,Data_filtered!$A$2:$A$461,H$1,Data_filtered!$F$2:$F$461,$A23, Data_filtered!$D$2:$D$461,"eucalipto",Data_filtered!$J$2:$J$461,"&lt;&gt;Incompleto")=0, "-", SUMIFS(Data_filtered!$G$2:$G$461,Data_filtered!$A$2:$A$461,H$1,Data_filtered!$F$2:$F$461,$A23, Data_filtered!$D$2:$D$461,"eucalipto",Data_filtered!$J$2:$J$461,"&lt;&gt;Incompleto"))</f>
        <v>-</v>
      </c>
      <c r="I23" s="107" t="str">
        <f>IF(SUMIFS(Data_filtered!$G$2:$G$461,Data_filtered!$A$2:$A$461,H$1,Data_filtered!$F$2:$F$461,$A23, Data_filtered!$D$2:$D$461,"mata",Data_filtered!$J$2:$J$461,"&lt;&gt;Incompleto")=0, "-", SUMIFS(Data_filtered!$G$2:$G$461,Data_filtered!$A$2:$A$461,H$1,Data_filtered!$F$2:$F$461,$A23, Data_filtered!$D$2:$D$461,"mata",Data_filtered!$J$2:$J$461,"&lt;&gt;Incompleto"))
</f>
        <v>-</v>
      </c>
      <c r="J23" s="106" t="str">
        <f>IF(SUMIFS(Data_filtered!$G$2:$G$461,Data_filtered!$A$2:$A$461,J$1,Data_filtered!$F$2:$F$461,$A23, Data_filtered!$D$2:$D$461,"eucalipto",Data_filtered!$J$2:$J$461,"&lt;&gt;Incompleto")=0, "-", SUMIFS(Data_filtered!$G$2:$G$461,Data_filtered!$A$2:$A$461,J$1,Data_filtered!$F$2:$F$461,$A23, Data_filtered!$D$2:$D$461,"eucalipto",Data_filtered!$J$2:$J$461,"&lt;&gt;Incompleto"))</f>
        <v>-</v>
      </c>
      <c r="K23" s="107" t="str">
        <f>IF(SUMIFS(Data_filtered!$G$2:$G$461,Data_filtered!$A$2:$A$461,J$1,Data_filtered!$F$2:$F$461,$A23, Data_filtered!$D$2:$D$461,"mata",Data_filtered!$J$2:$J$461,"&lt;&gt;Incompleto")=0, "-", SUMIFS(Data_filtered!$G$2:$G$461,Data_filtered!$A$2:$A$461,J$1,Data_filtered!$F$2:$F$461,$A23, Data_filtered!$D$2:$D$461,"mata",Data_filtered!$J$2:$J$461,"&lt;&gt;Incompleto"))
</f>
        <v>-</v>
      </c>
      <c r="L23" s="106" t="str">
        <f>IF(SUMIFS(Data_filtered!$G$2:$G$461,Data_filtered!$A$2:$A$461,L$1,Data_filtered!$F$2:$F$461,$A23, Data_filtered!$D$2:$D$461,"eucalipto",Data_filtered!$J$2:$J$461,"&lt;&gt;Incompleto")=0, "-", SUMIFS(Data_filtered!$G$2:$G$461,Data_filtered!$A$2:$A$461,L$1,Data_filtered!$F$2:$F$461,$A23, Data_filtered!$D$2:$D$461,"eucalipto",Data_filtered!$J$2:$J$461,"&lt;&gt;Incompleto"))</f>
        <v>-</v>
      </c>
      <c r="M23" s="107" t="str">
        <f>IF(SUMIFS(Data_filtered!$G$2:$G$461,Data_filtered!$A$2:$A$461,L$1,Data_filtered!$F$2:$F$461,$A23, Data_filtered!$D$2:$D$461,"mata",Data_filtered!$J$2:$J$461,"&lt;&gt;Incompleto")=0, "-", SUMIFS(Data_filtered!$G$2:$G$461,Data_filtered!$A$2:$A$461,L$1,Data_filtered!$F$2:$F$461,$A23, Data_filtered!$D$2:$D$461,"mata",Data_filtered!$J$2:$J$461,"&lt;&gt;Incompleto"))
</f>
        <v>-</v>
      </c>
      <c r="N23" s="106" t="str">
        <f>IF(SUMIFS(Data_filtered!$G$2:$G$461,Data_filtered!$A$2:$A$461,N$1,Data_filtered!$F$2:$F$461,$A23, Data_filtered!$D$2:$D$461,"eucalipto",Data_filtered!$J$2:$J$461,"&lt;&gt;Incompleto")=0, "-", SUMIFS(Data_filtered!$G$2:$G$461,Data_filtered!$A$2:$A$461,N$1,Data_filtered!$F$2:$F$461,$A23, Data_filtered!$D$2:$D$461,"eucalipto",Data_filtered!$J$2:$J$461,"&lt;&gt;Incompleto"))</f>
        <v>-</v>
      </c>
      <c r="O23" s="107">
        <f>IF(SUMIFS(Data_filtered!$G$2:$G$461,Data_filtered!$A$2:$A$461,N$1,Data_filtered!$F$2:$F$461,$A23, Data_filtered!$D$2:$D$461,"mata",Data_filtered!$J$2:$J$461,"&lt;&gt;Incompleto")=0, "-", SUMIFS(Data_filtered!$G$2:$G$461,Data_filtered!$A$2:$A$461,N$1,Data_filtered!$F$2:$F$461,$A23, Data_filtered!$D$2:$D$461,"mata",Data_filtered!$J$2:$J$461,"&lt;&gt;Incompleto"))
</f>
        <v>1</v>
      </c>
      <c r="P23" s="106" t="str">
        <f>IF(SUMIFS(Data_filtered!$G$2:$G$461,Data_filtered!$A$2:$A$461,P$1,Data_filtered!$F$2:$F$461,$A23, Data_filtered!$D$2:$D$461,"eucalipto",Data_filtered!$J$2:$J$461,"&lt;&gt;Incompleto")=0, "-", SUMIFS(Data_filtered!$G$2:$G$461,Data_filtered!$A$2:$A$461,P$1,Data_filtered!$F$2:$F$461,$A23, Data_filtered!$D$2:$D$461,"eucalipto",Data_filtered!$J$2:$J$461,"&lt;&gt;Incompleto"))</f>
        <v>-</v>
      </c>
      <c r="Q23" s="107" t="str">
        <f>IF(SUMIFS(Data_filtered!$G$2:$G$461,Data_filtered!$A$2:$A$461,P$1,Data_filtered!$F$2:$F$461,$A23, Data_filtered!$D$2:$D$461,"mata",Data_filtered!$J$2:$J$461,"&lt;&gt;Incompleto")=0, "-", SUMIFS(Data_filtered!$G$2:$G$461,Data_filtered!$A$2:$A$461,P$1,Data_filtered!$F$2:$F$461,$A23, Data_filtered!$D$2:$D$461,"mata",Data_filtered!$J$2:$J$461,"&lt;&gt;Incompleto"))
</f>
        <v>-</v>
      </c>
      <c r="R23" s="106" t="str">
        <f>IF(SUMIFS(Data_filtered!$G$2:$G$461,Data_filtered!$A$2:$A$461,R$1,Data_filtered!$F$2:$F$461,$A23, Data_filtered!$D$2:$D$461,"eucalipto",Data_filtered!$J$2:$J$461,"&lt;&gt;Incompleto")=0, "-", SUMIFS(Data_filtered!$G$2:$G$461,Data_filtered!$A$2:$A$461,R$1,Data_filtered!$F$2:$F$461,$A23, Data_filtered!$D$2:$D$461,"eucalipto",Data_filtered!$J$2:$J$461,"&lt;&gt;Incompleto"))</f>
        <v>-</v>
      </c>
      <c r="S23" s="107" t="str">
        <f>IF(SUMIFS(Data_filtered!$G$2:$G$461,Data_filtered!$A$2:$A$461,R$1,Data_filtered!$F$2:$F$461,$A23, Data_filtered!$D$2:$D$461,"mata",Data_filtered!$J$2:$J$461,"&lt;&gt;Incompleto")=0, "-", SUMIFS(Data_filtered!$G$2:$G$461,Data_filtered!$A$2:$A$461,R$1,Data_filtered!$F$2:$F$461,$A23, Data_filtered!$D$2:$D$461,"mata",Data_filtered!$J$2:$J$461,"&lt;&gt;Incompleto"))
</f>
        <v>-</v>
      </c>
      <c r="T23" s="106" t="str">
        <f>IF(SUMIFS(Data_filtered!$G$2:$G$461,Data_filtered!$A$2:$A$461,T$1,Data_filtered!$F$2:$F$461,$A23, Data_filtered!$D$2:$D$461,"eucalipto",Data_filtered!$J$2:$J$461,"&lt;&gt;Incompleto")=0, "-", SUMIFS(Data_filtered!$G$2:$G$461,Data_filtered!$A$2:$A$461,T$1,Data_filtered!$F$2:$F$461,$A23, Data_filtered!$D$2:$D$461,"eucalipto",Data_filtered!$J$2:$J$461,"&lt;&gt;Incompleto"))</f>
        <v>-</v>
      </c>
      <c r="U23" s="107" t="str">
        <f>IF(SUMIFS(Data_filtered!$G$2:$G$461,Data_filtered!$A$2:$A$461,T$1,Data_filtered!$F$2:$F$461,$A23, Data_filtered!$D$2:$D$461,"mata",Data_filtered!$J$2:$J$461,"&lt;&gt;Incompleto")=0, "-", SUMIFS(Data_filtered!$G$2:$G$461,Data_filtered!$A$2:$A$461,T$1,Data_filtered!$F$2:$F$461,$A23, Data_filtered!$D$2:$D$461,"mata",Data_filtered!$J$2:$J$461,"&lt;&gt;Incompleto"))
</f>
        <v>-</v>
      </c>
      <c r="V23" s="106" t="str">
        <f>IF(SUMIFS(Data_filtered!$G$2:$G$461,Data_filtered!$A$2:$A$461,V$1,Data_filtered!$F$2:$F$461,$A23, Data_filtered!$D$2:$D$461,"eucalipto",Data_filtered!$J$2:$J$461,"&lt;&gt;Incompleto")=0, "-", SUMIFS(Data_filtered!$G$2:$G$461,Data_filtered!$A$2:$A$461,V$1,Data_filtered!$F$2:$F$461,$A23, Data_filtered!$D$2:$D$461,"eucalipto",Data_filtered!$J$2:$J$461,"&lt;&gt;Incompleto"))</f>
        <v>-</v>
      </c>
      <c r="W23" s="107" t="str">
        <f>IF(SUMIFS(Data_filtered!$G$2:$G$461,Data_filtered!$A$2:$A$461,V$1,Data_filtered!$F$2:$F$461,$A23, Data_filtered!$D$2:$D$461,"mata",Data_filtered!$J$2:$J$461,"&lt;&gt;Incompleto")=0, "-", SUMIFS(Data_filtered!$G$2:$G$461,Data_filtered!$A$2:$A$461,V$1,Data_filtered!$F$2:$F$461,$A23, Data_filtered!$D$2:$D$461,"mata",Data_filtered!$J$2:$J$461,"&lt;&gt;Incompleto"))
</f>
        <v>-</v>
      </c>
      <c r="X23" s="106" t="str">
        <f>IF(SUMIFS(Data_filtered!$G$2:$G$461,Data_filtered!$A$2:$A$461,X$1,Data_filtered!$F$2:$F$461,$A23, Data_filtered!$D$2:$D$461,"eucalipto",Data_filtered!$J$2:$J$461,"&lt;&gt;Incompleto")=0, "-", SUMIFS(Data_filtered!$G$2:$G$461,Data_filtered!$A$2:$A$461,X$1,Data_filtered!$F$2:$F$461,$A23, Data_filtered!$D$2:$D$461,"eucalipto",Data_filtered!$J$2:$J$461,"&lt;&gt;Incompleto"))</f>
        <v>-</v>
      </c>
      <c r="Y23" s="107" t="str">
        <f>IF(SUMIFS(Data_filtered!$G$2:$G$461,Data_filtered!$A$2:$A$461,X$1,Data_filtered!$F$2:$F$461,$A23, Data_filtered!$D$2:$D$461,"mata",Data_filtered!$J$2:$J$461,"&lt;&gt;Incompleto")=0, "-", SUMIFS(Data_filtered!$G$2:$G$461,Data_filtered!$A$2:$A$461,X$1,Data_filtered!$F$2:$F$461,$A23, Data_filtered!$D$2:$D$461,"mata",Data_filtered!$J$2:$J$461,"&lt;&gt;Incompleto"))
</f>
        <v>-</v>
      </c>
      <c r="Z23" s="106" t="str">
        <f>IF(SUMIFS(Data_filtered!$G$2:$G$461,Data_filtered!$A$2:$A$461,Z$1,Data_filtered!$F$2:$F$461,$A23, Data_filtered!$D$2:$D$461,"eucalipto",Data_filtered!$J$2:$J$461,"&lt;&gt;Incompleto")=0, "-", SUMIFS(Data_filtered!$G$2:$G$461,Data_filtered!$A$2:$A$461,Z$1,Data_filtered!$F$2:$F$461,$A23, Data_filtered!$D$2:$D$461,"eucalipto",Data_filtered!$J$2:$J$461,"&lt;&gt;Incompleto"))</f>
        <v>-</v>
      </c>
      <c r="AA23" s="107" t="str">
        <f>IF(SUMIFS(Data_filtered!$G$2:$G$461,Data_filtered!$A$2:$A$461,Z$1,Data_filtered!$F$2:$F$461,$A23, Data_filtered!$D$2:$D$461,"mata",Data_filtered!$J$2:$J$461,"&lt;&gt;Incompleto")=0, "-", SUMIFS(Data_filtered!$G$2:$G$461,Data_filtered!$A$2:$A$461,Z$1,Data_filtered!$F$2:$F$461,$A23, Data_filtered!$D$2:$D$461,"mata",Data_filtered!$J$2:$J$461,"&lt;&gt;Incompleto"))
</f>
        <v>-</v>
      </c>
      <c r="AB23" s="106"/>
      <c r="AC23" s="107"/>
      <c r="AD23" s="106"/>
      <c r="AE23" s="107"/>
      <c r="AF23" s="106"/>
      <c r="AG23" s="107"/>
      <c r="AH23" s="106"/>
      <c r="AI23" s="107"/>
      <c r="AJ23" s="106"/>
      <c r="AK23" s="107"/>
      <c r="AL23" s="106"/>
      <c r="AM23" s="107"/>
      <c r="AN23" s="106"/>
      <c r="AO23" s="107"/>
      <c r="AP23" s="106"/>
      <c r="AQ23" s="107"/>
      <c r="AR23" s="106"/>
      <c r="AS23" s="107"/>
    </row>
    <row r="24">
      <c r="A24" s="15" t="str">
        <f>IFERROR(__xludf.DUMMYFUNCTION("""COMPUTED_VALUE"""),"Staphylinidae")</f>
        <v>Staphylinidae</v>
      </c>
      <c r="B24" s="106" t="str">
        <f>IF(SUMIFS(Data_filtered!$G$2:$G$461,Data_filtered!$A$2:$A$461,B$1,Data_filtered!$F$2:$F$461,$A24, Data_filtered!$D$2:$D$461,"eucalipto",Data_filtered!$J$2:$J$461,"&lt;&gt;Incompleto")=0, "-", SUMIFS(Data_filtered!$G$2:$G$461,Data_filtered!$A$2:$A$461,B$1,Data_filtered!$F$2:$F$461,$A24, Data_filtered!$D$2:$D$461,"eucalipto",Data_filtered!$J$2:$J$461,"&lt;&gt;Incompleto"))</f>
        <v>-</v>
      </c>
      <c r="C24" s="107" t="str">
        <f>IF(SUMIFS(Data_filtered!$G$2:$G$461,Data_filtered!$A$2:$A$461,B$1,Data_filtered!$F$2:$F$461,$A24, Data_filtered!$D$2:$D$461,"mata",Data_filtered!$J$2:$J$461,"&lt;&gt;Incompleto")=0, "-", SUMIFS(Data_filtered!$G$2:$G$461,Data_filtered!$A$2:$A$461,B$1,Data_filtered!$F$2:$F$461,$A24, Data_filtered!$D$2:$D$461,"mata",Data_filtered!$J$2:$J$461,"&lt;&gt;Incompleto"))
</f>
        <v>-</v>
      </c>
      <c r="D24" s="106" t="str">
        <f>IF(SUMIFS(Data_filtered!$G$2:$G$461,Data_filtered!$A$2:$A$461,D$1,Data_filtered!$F$2:$F$461,$A24, Data_filtered!$D$2:$D$461,"eucalipto",Data_filtered!$J$2:$J$461,"&lt;&gt;Incompleto")=0, "-", SUMIFS(Data_filtered!$G$2:$G$461,Data_filtered!$A$2:$A$461,D$1,Data_filtered!$F$2:$F$461,$A24, Data_filtered!$D$2:$D$461,"eucalipto",Data_filtered!$J$2:$J$461,"&lt;&gt;Incompleto"))</f>
        <v>-</v>
      </c>
      <c r="E24" s="107" t="str">
        <f>IF(SUMIFS(Data_filtered!$G$2:$G$461,Data_filtered!$A$2:$A$461,D$1,Data_filtered!$F$2:$F$461,$A24, Data_filtered!$D$2:$D$461,"mata",Data_filtered!$J$2:$J$461,"&lt;&gt;Incompleto")=0, "-", SUMIFS(Data_filtered!$G$2:$G$461,Data_filtered!$A$2:$A$461,D$1,Data_filtered!$F$2:$F$461,$A24, Data_filtered!$D$2:$D$461,"mata",Data_filtered!$J$2:$J$461,"&lt;&gt;Incompleto"))
</f>
        <v>-</v>
      </c>
      <c r="F24" s="106" t="str">
        <f>IF(SUMIFS(Data_filtered!$G$2:$G$461,Data_filtered!$A$2:$A$461,F$1,Data_filtered!$F$2:$F$461,$A24, Data_filtered!$D$2:$D$461,"eucalipto",Data_filtered!$J$2:$J$461,"&lt;&gt;Incompleto")=0, "-", SUMIFS(Data_filtered!$G$2:$G$461,Data_filtered!$A$2:$A$461,F$1,Data_filtered!$F$2:$F$461,$A24, Data_filtered!$D$2:$D$461,"eucalipto",Data_filtered!$J$2:$J$461,"&lt;&gt;Incompleto"))</f>
        <v>-</v>
      </c>
      <c r="G24" s="107" t="str">
        <f>IF(SUMIFS(Data_filtered!$G$2:$G$461,Data_filtered!$A$2:$A$461,F$1,Data_filtered!$F$2:$F$461,$A24, Data_filtered!$D$2:$D$461,"mata",Data_filtered!$J$2:$J$461,"&lt;&gt;Incompleto")=0, "-", SUMIFS(Data_filtered!$G$2:$G$461,Data_filtered!$A$2:$A$461,F$1,Data_filtered!$F$2:$F$461,$A24, Data_filtered!$D$2:$D$461,"mata",Data_filtered!$J$2:$J$461,"&lt;&gt;Incompleto"))
</f>
        <v>-</v>
      </c>
      <c r="H24" s="106">
        <f>IF(SUMIFS(Data_filtered!$G$2:$G$461,Data_filtered!$A$2:$A$461,H$1,Data_filtered!$F$2:$F$461,$A24, Data_filtered!$D$2:$D$461,"eucalipto",Data_filtered!$J$2:$J$461,"&lt;&gt;Incompleto")=0, "-", SUMIFS(Data_filtered!$G$2:$G$461,Data_filtered!$A$2:$A$461,H$1,Data_filtered!$F$2:$F$461,$A24, Data_filtered!$D$2:$D$461,"eucalipto",Data_filtered!$J$2:$J$461,"&lt;&gt;Incompleto"))</f>
        <v>1</v>
      </c>
      <c r="I24" s="107" t="str">
        <f>IF(SUMIFS(Data_filtered!$G$2:$G$461,Data_filtered!$A$2:$A$461,H$1,Data_filtered!$F$2:$F$461,$A24, Data_filtered!$D$2:$D$461,"mata",Data_filtered!$J$2:$J$461,"&lt;&gt;Incompleto")=0, "-", SUMIFS(Data_filtered!$G$2:$G$461,Data_filtered!$A$2:$A$461,H$1,Data_filtered!$F$2:$F$461,$A24, Data_filtered!$D$2:$D$461,"mata",Data_filtered!$J$2:$J$461,"&lt;&gt;Incompleto"))
</f>
        <v>-</v>
      </c>
      <c r="J24" s="106" t="str">
        <f>IF(SUMIFS(Data_filtered!$G$2:$G$461,Data_filtered!$A$2:$A$461,J$1,Data_filtered!$F$2:$F$461,$A24, Data_filtered!$D$2:$D$461,"eucalipto",Data_filtered!$J$2:$J$461,"&lt;&gt;Incompleto")=0, "-", SUMIFS(Data_filtered!$G$2:$G$461,Data_filtered!$A$2:$A$461,J$1,Data_filtered!$F$2:$F$461,$A24, Data_filtered!$D$2:$D$461,"eucalipto",Data_filtered!$J$2:$J$461,"&lt;&gt;Incompleto"))</f>
        <v>-</v>
      </c>
      <c r="K24" s="107" t="str">
        <f>IF(SUMIFS(Data_filtered!$G$2:$G$461,Data_filtered!$A$2:$A$461,J$1,Data_filtered!$F$2:$F$461,$A24, Data_filtered!$D$2:$D$461,"mata",Data_filtered!$J$2:$J$461,"&lt;&gt;Incompleto")=0, "-", SUMIFS(Data_filtered!$G$2:$G$461,Data_filtered!$A$2:$A$461,J$1,Data_filtered!$F$2:$F$461,$A24, Data_filtered!$D$2:$D$461,"mata",Data_filtered!$J$2:$J$461,"&lt;&gt;Incompleto"))
</f>
        <v>-</v>
      </c>
      <c r="L24" s="106">
        <f>IF(SUMIFS(Data_filtered!$G$2:$G$461,Data_filtered!$A$2:$A$461,L$1,Data_filtered!$F$2:$F$461,$A24, Data_filtered!$D$2:$D$461,"eucalipto",Data_filtered!$J$2:$J$461,"&lt;&gt;Incompleto")=0, "-", SUMIFS(Data_filtered!$G$2:$G$461,Data_filtered!$A$2:$A$461,L$1,Data_filtered!$F$2:$F$461,$A24, Data_filtered!$D$2:$D$461,"eucalipto",Data_filtered!$J$2:$J$461,"&lt;&gt;Incompleto"))</f>
        <v>1</v>
      </c>
      <c r="M24" s="107" t="str">
        <f>IF(SUMIFS(Data_filtered!$G$2:$G$461,Data_filtered!$A$2:$A$461,L$1,Data_filtered!$F$2:$F$461,$A24, Data_filtered!$D$2:$D$461,"mata",Data_filtered!$J$2:$J$461,"&lt;&gt;Incompleto")=0, "-", SUMIFS(Data_filtered!$G$2:$G$461,Data_filtered!$A$2:$A$461,L$1,Data_filtered!$F$2:$F$461,$A24, Data_filtered!$D$2:$D$461,"mata",Data_filtered!$J$2:$J$461,"&lt;&gt;Incompleto"))
</f>
        <v>-</v>
      </c>
      <c r="N24" s="106" t="str">
        <f>IF(SUMIFS(Data_filtered!$G$2:$G$461,Data_filtered!$A$2:$A$461,N$1,Data_filtered!$F$2:$F$461,$A24, Data_filtered!$D$2:$D$461,"eucalipto",Data_filtered!$J$2:$J$461,"&lt;&gt;Incompleto")=0, "-", SUMIFS(Data_filtered!$G$2:$G$461,Data_filtered!$A$2:$A$461,N$1,Data_filtered!$F$2:$F$461,$A24, Data_filtered!$D$2:$D$461,"eucalipto",Data_filtered!$J$2:$J$461,"&lt;&gt;Incompleto"))</f>
        <v>-</v>
      </c>
      <c r="O24" s="107" t="str">
        <f>IF(SUMIFS(Data_filtered!$G$2:$G$461,Data_filtered!$A$2:$A$461,N$1,Data_filtered!$F$2:$F$461,$A24, Data_filtered!$D$2:$D$461,"mata",Data_filtered!$J$2:$J$461,"&lt;&gt;Incompleto")=0, "-", SUMIFS(Data_filtered!$G$2:$G$461,Data_filtered!$A$2:$A$461,N$1,Data_filtered!$F$2:$F$461,$A24, Data_filtered!$D$2:$D$461,"mata",Data_filtered!$J$2:$J$461,"&lt;&gt;Incompleto"))
</f>
        <v>-</v>
      </c>
      <c r="P24" s="106" t="str">
        <f>IF(SUMIFS(Data_filtered!$G$2:$G$461,Data_filtered!$A$2:$A$461,P$1,Data_filtered!$F$2:$F$461,$A24, Data_filtered!$D$2:$D$461,"eucalipto",Data_filtered!$J$2:$J$461,"&lt;&gt;Incompleto")=0, "-", SUMIFS(Data_filtered!$G$2:$G$461,Data_filtered!$A$2:$A$461,P$1,Data_filtered!$F$2:$F$461,$A24, Data_filtered!$D$2:$D$461,"eucalipto",Data_filtered!$J$2:$J$461,"&lt;&gt;Incompleto"))</f>
        <v>-</v>
      </c>
      <c r="Q24" s="107">
        <f>IF(SUMIFS(Data_filtered!$G$2:$G$461,Data_filtered!$A$2:$A$461,P$1,Data_filtered!$F$2:$F$461,$A24, Data_filtered!$D$2:$D$461,"mata",Data_filtered!$J$2:$J$461,"&lt;&gt;Incompleto")=0, "-", SUMIFS(Data_filtered!$G$2:$G$461,Data_filtered!$A$2:$A$461,P$1,Data_filtered!$F$2:$F$461,$A24, Data_filtered!$D$2:$D$461,"mata",Data_filtered!$J$2:$J$461,"&lt;&gt;Incompleto"))
</f>
        <v>2</v>
      </c>
      <c r="R24" s="106" t="str">
        <f>IF(SUMIFS(Data_filtered!$G$2:$G$461,Data_filtered!$A$2:$A$461,R$1,Data_filtered!$F$2:$F$461,$A24, Data_filtered!$D$2:$D$461,"eucalipto",Data_filtered!$J$2:$J$461,"&lt;&gt;Incompleto")=0, "-", SUMIFS(Data_filtered!$G$2:$G$461,Data_filtered!$A$2:$A$461,R$1,Data_filtered!$F$2:$F$461,$A24, Data_filtered!$D$2:$D$461,"eucalipto",Data_filtered!$J$2:$J$461,"&lt;&gt;Incompleto"))</f>
        <v>-</v>
      </c>
      <c r="S24" s="107">
        <f>IF(SUMIFS(Data_filtered!$G$2:$G$461,Data_filtered!$A$2:$A$461,R$1,Data_filtered!$F$2:$F$461,$A24, Data_filtered!$D$2:$D$461,"mata",Data_filtered!$J$2:$J$461,"&lt;&gt;Incompleto")=0, "-", SUMIFS(Data_filtered!$G$2:$G$461,Data_filtered!$A$2:$A$461,R$1,Data_filtered!$F$2:$F$461,$A24, Data_filtered!$D$2:$D$461,"mata",Data_filtered!$J$2:$J$461,"&lt;&gt;Incompleto"))
</f>
        <v>1</v>
      </c>
      <c r="T24" s="106" t="str">
        <f>IF(SUMIFS(Data_filtered!$G$2:$G$461,Data_filtered!$A$2:$A$461,T$1,Data_filtered!$F$2:$F$461,$A24, Data_filtered!$D$2:$D$461,"eucalipto",Data_filtered!$J$2:$J$461,"&lt;&gt;Incompleto")=0, "-", SUMIFS(Data_filtered!$G$2:$G$461,Data_filtered!$A$2:$A$461,T$1,Data_filtered!$F$2:$F$461,$A24, Data_filtered!$D$2:$D$461,"eucalipto",Data_filtered!$J$2:$J$461,"&lt;&gt;Incompleto"))</f>
        <v>-</v>
      </c>
      <c r="U24" s="107" t="str">
        <f>IF(SUMIFS(Data_filtered!$G$2:$G$461,Data_filtered!$A$2:$A$461,T$1,Data_filtered!$F$2:$F$461,$A24, Data_filtered!$D$2:$D$461,"mata",Data_filtered!$J$2:$J$461,"&lt;&gt;Incompleto")=0, "-", SUMIFS(Data_filtered!$G$2:$G$461,Data_filtered!$A$2:$A$461,T$1,Data_filtered!$F$2:$F$461,$A24, Data_filtered!$D$2:$D$461,"mata",Data_filtered!$J$2:$J$461,"&lt;&gt;Incompleto"))
</f>
        <v>-</v>
      </c>
      <c r="V24" s="106" t="str">
        <f>IF(SUMIFS(Data_filtered!$G$2:$G$461,Data_filtered!$A$2:$A$461,V$1,Data_filtered!$F$2:$F$461,$A24, Data_filtered!$D$2:$D$461,"eucalipto",Data_filtered!$J$2:$J$461,"&lt;&gt;Incompleto")=0, "-", SUMIFS(Data_filtered!$G$2:$G$461,Data_filtered!$A$2:$A$461,V$1,Data_filtered!$F$2:$F$461,$A24, Data_filtered!$D$2:$D$461,"eucalipto",Data_filtered!$J$2:$J$461,"&lt;&gt;Incompleto"))</f>
        <v>-</v>
      </c>
      <c r="W24" s="107">
        <f>IF(SUMIFS(Data_filtered!$G$2:$G$461,Data_filtered!$A$2:$A$461,V$1,Data_filtered!$F$2:$F$461,$A24, Data_filtered!$D$2:$D$461,"mata",Data_filtered!$J$2:$J$461,"&lt;&gt;Incompleto")=0, "-", SUMIFS(Data_filtered!$G$2:$G$461,Data_filtered!$A$2:$A$461,V$1,Data_filtered!$F$2:$F$461,$A24, Data_filtered!$D$2:$D$461,"mata",Data_filtered!$J$2:$J$461,"&lt;&gt;Incompleto"))
</f>
        <v>4</v>
      </c>
      <c r="X24" s="106" t="str">
        <f>IF(SUMIFS(Data_filtered!$G$2:$G$461,Data_filtered!$A$2:$A$461,X$1,Data_filtered!$F$2:$F$461,$A24, Data_filtered!$D$2:$D$461,"eucalipto",Data_filtered!$J$2:$J$461,"&lt;&gt;Incompleto")=0, "-", SUMIFS(Data_filtered!$G$2:$G$461,Data_filtered!$A$2:$A$461,X$1,Data_filtered!$F$2:$F$461,$A24, Data_filtered!$D$2:$D$461,"eucalipto",Data_filtered!$J$2:$J$461,"&lt;&gt;Incompleto"))</f>
        <v>-</v>
      </c>
      <c r="Y24" s="107" t="str">
        <f>IF(SUMIFS(Data_filtered!$G$2:$G$461,Data_filtered!$A$2:$A$461,X$1,Data_filtered!$F$2:$F$461,$A24, Data_filtered!$D$2:$D$461,"mata",Data_filtered!$J$2:$J$461,"&lt;&gt;Incompleto")=0, "-", SUMIFS(Data_filtered!$G$2:$G$461,Data_filtered!$A$2:$A$461,X$1,Data_filtered!$F$2:$F$461,$A24, Data_filtered!$D$2:$D$461,"mata",Data_filtered!$J$2:$J$461,"&lt;&gt;Incompleto"))
</f>
        <v>-</v>
      </c>
      <c r="Z24" s="106" t="str">
        <f>IF(SUMIFS(Data_filtered!$G$2:$G$461,Data_filtered!$A$2:$A$461,Z$1,Data_filtered!$F$2:$F$461,$A24, Data_filtered!$D$2:$D$461,"eucalipto",Data_filtered!$J$2:$J$461,"&lt;&gt;Incompleto")=0, "-", SUMIFS(Data_filtered!$G$2:$G$461,Data_filtered!$A$2:$A$461,Z$1,Data_filtered!$F$2:$F$461,$A24, Data_filtered!$D$2:$D$461,"eucalipto",Data_filtered!$J$2:$J$461,"&lt;&gt;Incompleto"))</f>
        <v>-</v>
      </c>
      <c r="AA24" s="107" t="str">
        <f>IF(SUMIFS(Data_filtered!$G$2:$G$461,Data_filtered!$A$2:$A$461,Z$1,Data_filtered!$F$2:$F$461,$A24, Data_filtered!$D$2:$D$461,"mata",Data_filtered!$J$2:$J$461,"&lt;&gt;Incompleto")=0, "-", SUMIFS(Data_filtered!$G$2:$G$461,Data_filtered!$A$2:$A$461,Z$1,Data_filtered!$F$2:$F$461,$A24, Data_filtered!$D$2:$D$461,"mata",Data_filtered!$J$2:$J$461,"&lt;&gt;Incompleto"))
</f>
        <v>-</v>
      </c>
      <c r="AB24" s="106"/>
      <c r="AC24" s="107"/>
      <c r="AD24" s="106"/>
      <c r="AE24" s="107"/>
      <c r="AF24" s="106"/>
      <c r="AG24" s="107"/>
      <c r="AH24" s="106"/>
      <c r="AI24" s="107"/>
      <c r="AJ24" s="106"/>
      <c r="AK24" s="107"/>
      <c r="AL24" s="106"/>
      <c r="AM24" s="107"/>
      <c r="AN24" s="106"/>
      <c r="AO24" s="107"/>
      <c r="AP24" s="106"/>
      <c r="AQ24" s="107"/>
      <c r="AR24" s="106"/>
      <c r="AS24" s="107"/>
    </row>
    <row r="25">
      <c r="A25" s="15" t="str">
        <f>IFERROR(__xludf.DUMMYFUNCTION("""COMPUTED_VALUE"""),"Thysanoptera")</f>
        <v>Thysanoptera</v>
      </c>
      <c r="B25" s="106" t="str">
        <f>IF(SUMIFS(Data_filtered!$G$2:$G$461,Data_filtered!$A$2:$A$461,B$1,Data_filtered!$F$2:$F$461,$A25, Data_filtered!$D$2:$D$461,"eucalipto",Data_filtered!$J$2:$J$461,"&lt;&gt;Incompleto")=0, "-", SUMIFS(Data_filtered!$G$2:$G$461,Data_filtered!$A$2:$A$461,B$1,Data_filtered!$F$2:$F$461,$A25, Data_filtered!$D$2:$D$461,"eucalipto",Data_filtered!$J$2:$J$461,"&lt;&gt;Incompleto"))</f>
        <v>-</v>
      </c>
      <c r="C25" s="107" t="str">
        <f>IF(SUMIFS(Data_filtered!$G$2:$G$461,Data_filtered!$A$2:$A$461,B$1,Data_filtered!$F$2:$F$461,$A25, Data_filtered!$D$2:$D$461,"mata",Data_filtered!$J$2:$J$461,"&lt;&gt;Incompleto")=0, "-", SUMIFS(Data_filtered!$G$2:$G$461,Data_filtered!$A$2:$A$461,B$1,Data_filtered!$F$2:$F$461,$A25, Data_filtered!$D$2:$D$461,"mata",Data_filtered!$J$2:$J$461,"&lt;&gt;Incompleto"))
</f>
        <v>-</v>
      </c>
      <c r="D25" s="106" t="str">
        <f>IF(SUMIFS(Data_filtered!$G$2:$G$461,Data_filtered!$A$2:$A$461,D$1,Data_filtered!$F$2:$F$461,$A25, Data_filtered!$D$2:$D$461,"eucalipto",Data_filtered!$J$2:$J$461,"&lt;&gt;Incompleto")=0, "-", SUMIFS(Data_filtered!$G$2:$G$461,Data_filtered!$A$2:$A$461,D$1,Data_filtered!$F$2:$F$461,$A25, Data_filtered!$D$2:$D$461,"eucalipto",Data_filtered!$J$2:$J$461,"&lt;&gt;Incompleto"))</f>
        <v>-</v>
      </c>
      <c r="E25" s="107" t="str">
        <f>IF(SUMIFS(Data_filtered!$G$2:$G$461,Data_filtered!$A$2:$A$461,D$1,Data_filtered!$F$2:$F$461,$A25, Data_filtered!$D$2:$D$461,"mata",Data_filtered!$J$2:$J$461,"&lt;&gt;Incompleto")=0, "-", SUMIFS(Data_filtered!$G$2:$G$461,Data_filtered!$A$2:$A$461,D$1,Data_filtered!$F$2:$F$461,$A25, Data_filtered!$D$2:$D$461,"mata",Data_filtered!$J$2:$J$461,"&lt;&gt;Incompleto"))
</f>
        <v>-</v>
      </c>
      <c r="F25" s="106" t="str">
        <f>IF(SUMIFS(Data_filtered!$G$2:$G$461,Data_filtered!$A$2:$A$461,F$1,Data_filtered!$F$2:$F$461,$A25, Data_filtered!$D$2:$D$461,"eucalipto",Data_filtered!$J$2:$J$461,"&lt;&gt;Incompleto")=0, "-", SUMIFS(Data_filtered!$G$2:$G$461,Data_filtered!$A$2:$A$461,F$1,Data_filtered!$F$2:$F$461,$A25, Data_filtered!$D$2:$D$461,"eucalipto",Data_filtered!$J$2:$J$461,"&lt;&gt;Incompleto"))</f>
        <v>-</v>
      </c>
      <c r="G25" s="107" t="str">
        <f>IF(SUMIFS(Data_filtered!$G$2:$G$461,Data_filtered!$A$2:$A$461,F$1,Data_filtered!$F$2:$F$461,$A25, Data_filtered!$D$2:$D$461,"mata",Data_filtered!$J$2:$J$461,"&lt;&gt;Incompleto")=0, "-", SUMIFS(Data_filtered!$G$2:$G$461,Data_filtered!$A$2:$A$461,F$1,Data_filtered!$F$2:$F$461,$A25, Data_filtered!$D$2:$D$461,"mata",Data_filtered!$J$2:$J$461,"&lt;&gt;Incompleto"))
</f>
        <v>-</v>
      </c>
      <c r="H25" s="106" t="str">
        <f>IF(SUMIFS(Data_filtered!$G$2:$G$461,Data_filtered!$A$2:$A$461,H$1,Data_filtered!$F$2:$F$461,$A25, Data_filtered!$D$2:$D$461,"eucalipto",Data_filtered!$J$2:$J$461,"&lt;&gt;Incompleto")=0, "-", SUMIFS(Data_filtered!$G$2:$G$461,Data_filtered!$A$2:$A$461,H$1,Data_filtered!$F$2:$F$461,$A25, Data_filtered!$D$2:$D$461,"eucalipto",Data_filtered!$J$2:$J$461,"&lt;&gt;Incompleto"))</f>
        <v>-</v>
      </c>
      <c r="I25" s="107" t="str">
        <f>IF(SUMIFS(Data_filtered!$G$2:$G$461,Data_filtered!$A$2:$A$461,H$1,Data_filtered!$F$2:$F$461,$A25, Data_filtered!$D$2:$D$461,"mata",Data_filtered!$J$2:$J$461,"&lt;&gt;Incompleto")=0, "-", SUMIFS(Data_filtered!$G$2:$G$461,Data_filtered!$A$2:$A$461,H$1,Data_filtered!$F$2:$F$461,$A25, Data_filtered!$D$2:$D$461,"mata",Data_filtered!$J$2:$J$461,"&lt;&gt;Incompleto"))
</f>
        <v>-</v>
      </c>
      <c r="J25" s="106" t="str">
        <f>IF(SUMIFS(Data_filtered!$G$2:$G$461,Data_filtered!$A$2:$A$461,J$1,Data_filtered!$F$2:$F$461,$A25, Data_filtered!$D$2:$D$461,"eucalipto",Data_filtered!$J$2:$J$461,"&lt;&gt;Incompleto")=0, "-", SUMIFS(Data_filtered!$G$2:$G$461,Data_filtered!$A$2:$A$461,J$1,Data_filtered!$F$2:$F$461,$A25, Data_filtered!$D$2:$D$461,"eucalipto",Data_filtered!$J$2:$J$461,"&lt;&gt;Incompleto"))</f>
        <v>-</v>
      </c>
      <c r="K25" s="107" t="str">
        <f>IF(SUMIFS(Data_filtered!$G$2:$G$461,Data_filtered!$A$2:$A$461,J$1,Data_filtered!$F$2:$F$461,$A25, Data_filtered!$D$2:$D$461,"mata",Data_filtered!$J$2:$J$461,"&lt;&gt;Incompleto")=0, "-", SUMIFS(Data_filtered!$G$2:$G$461,Data_filtered!$A$2:$A$461,J$1,Data_filtered!$F$2:$F$461,$A25, Data_filtered!$D$2:$D$461,"mata",Data_filtered!$J$2:$J$461,"&lt;&gt;Incompleto"))
</f>
        <v>-</v>
      </c>
      <c r="L25" s="106" t="str">
        <f>IF(SUMIFS(Data_filtered!$G$2:$G$461,Data_filtered!$A$2:$A$461,L$1,Data_filtered!$F$2:$F$461,$A25, Data_filtered!$D$2:$D$461,"eucalipto",Data_filtered!$J$2:$J$461,"&lt;&gt;Incompleto")=0, "-", SUMIFS(Data_filtered!$G$2:$G$461,Data_filtered!$A$2:$A$461,L$1,Data_filtered!$F$2:$F$461,$A25, Data_filtered!$D$2:$D$461,"eucalipto",Data_filtered!$J$2:$J$461,"&lt;&gt;Incompleto"))</f>
        <v>-</v>
      </c>
      <c r="M25" s="107" t="str">
        <f>IF(SUMIFS(Data_filtered!$G$2:$G$461,Data_filtered!$A$2:$A$461,L$1,Data_filtered!$F$2:$F$461,$A25, Data_filtered!$D$2:$D$461,"mata",Data_filtered!$J$2:$J$461,"&lt;&gt;Incompleto")=0, "-", SUMIFS(Data_filtered!$G$2:$G$461,Data_filtered!$A$2:$A$461,L$1,Data_filtered!$F$2:$F$461,$A25, Data_filtered!$D$2:$D$461,"mata",Data_filtered!$J$2:$J$461,"&lt;&gt;Incompleto"))
</f>
        <v>-</v>
      </c>
      <c r="N25" s="106" t="str">
        <f>IF(SUMIFS(Data_filtered!$G$2:$G$461,Data_filtered!$A$2:$A$461,N$1,Data_filtered!$F$2:$F$461,$A25, Data_filtered!$D$2:$D$461,"eucalipto",Data_filtered!$J$2:$J$461,"&lt;&gt;Incompleto")=0, "-", SUMIFS(Data_filtered!$G$2:$G$461,Data_filtered!$A$2:$A$461,N$1,Data_filtered!$F$2:$F$461,$A25, Data_filtered!$D$2:$D$461,"eucalipto",Data_filtered!$J$2:$J$461,"&lt;&gt;Incompleto"))</f>
        <v>-</v>
      </c>
      <c r="O25" s="107" t="str">
        <f>IF(SUMIFS(Data_filtered!$G$2:$G$461,Data_filtered!$A$2:$A$461,N$1,Data_filtered!$F$2:$F$461,$A25, Data_filtered!$D$2:$D$461,"mata",Data_filtered!$J$2:$J$461,"&lt;&gt;Incompleto")=0, "-", SUMIFS(Data_filtered!$G$2:$G$461,Data_filtered!$A$2:$A$461,N$1,Data_filtered!$F$2:$F$461,$A25, Data_filtered!$D$2:$D$461,"mata",Data_filtered!$J$2:$J$461,"&lt;&gt;Incompleto"))
</f>
        <v>-</v>
      </c>
      <c r="P25" s="106" t="str">
        <f>IF(SUMIFS(Data_filtered!$G$2:$G$461,Data_filtered!$A$2:$A$461,P$1,Data_filtered!$F$2:$F$461,$A25, Data_filtered!$D$2:$D$461,"eucalipto",Data_filtered!$J$2:$J$461,"&lt;&gt;Incompleto")=0, "-", SUMIFS(Data_filtered!$G$2:$G$461,Data_filtered!$A$2:$A$461,P$1,Data_filtered!$F$2:$F$461,$A25, Data_filtered!$D$2:$D$461,"eucalipto",Data_filtered!$J$2:$J$461,"&lt;&gt;Incompleto"))</f>
        <v>-</v>
      </c>
      <c r="Q25" s="107" t="str">
        <f>IF(SUMIFS(Data_filtered!$G$2:$G$461,Data_filtered!$A$2:$A$461,P$1,Data_filtered!$F$2:$F$461,$A25, Data_filtered!$D$2:$D$461,"mata",Data_filtered!$J$2:$J$461,"&lt;&gt;Incompleto")=0, "-", SUMIFS(Data_filtered!$G$2:$G$461,Data_filtered!$A$2:$A$461,P$1,Data_filtered!$F$2:$F$461,$A25, Data_filtered!$D$2:$D$461,"mata",Data_filtered!$J$2:$J$461,"&lt;&gt;Incompleto"))
</f>
        <v>-</v>
      </c>
      <c r="R25" s="106" t="str">
        <f>IF(SUMIFS(Data_filtered!$G$2:$G$461,Data_filtered!$A$2:$A$461,R$1,Data_filtered!$F$2:$F$461,$A25, Data_filtered!$D$2:$D$461,"eucalipto",Data_filtered!$J$2:$J$461,"&lt;&gt;Incompleto")=0, "-", SUMIFS(Data_filtered!$G$2:$G$461,Data_filtered!$A$2:$A$461,R$1,Data_filtered!$F$2:$F$461,$A25, Data_filtered!$D$2:$D$461,"eucalipto",Data_filtered!$J$2:$J$461,"&lt;&gt;Incompleto"))</f>
        <v>-</v>
      </c>
      <c r="S25" s="107" t="str">
        <f>IF(SUMIFS(Data_filtered!$G$2:$G$461,Data_filtered!$A$2:$A$461,R$1,Data_filtered!$F$2:$F$461,$A25, Data_filtered!$D$2:$D$461,"mata",Data_filtered!$J$2:$J$461,"&lt;&gt;Incompleto")=0, "-", SUMIFS(Data_filtered!$G$2:$G$461,Data_filtered!$A$2:$A$461,R$1,Data_filtered!$F$2:$F$461,$A25, Data_filtered!$D$2:$D$461,"mata",Data_filtered!$J$2:$J$461,"&lt;&gt;Incompleto"))
</f>
        <v>-</v>
      </c>
      <c r="T25" s="106" t="str">
        <f>IF(SUMIFS(Data_filtered!$G$2:$G$461,Data_filtered!$A$2:$A$461,T$1,Data_filtered!$F$2:$F$461,$A25, Data_filtered!$D$2:$D$461,"eucalipto",Data_filtered!$J$2:$J$461,"&lt;&gt;Incompleto")=0, "-", SUMIFS(Data_filtered!$G$2:$G$461,Data_filtered!$A$2:$A$461,T$1,Data_filtered!$F$2:$F$461,$A25, Data_filtered!$D$2:$D$461,"eucalipto",Data_filtered!$J$2:$J$461,"&lt;&gt;Incompleto"))</f>
        <v>-</v>
      </c>
      <c r="U25" s="107" t="str">
        <f>IF(SUMIFS(Data_filtered!$G$2:$G$461,Data_filtered!$A$2:$A$461,T$1,Data_filtered!$F$2:$F$461,$A25, Data_filtered!$D$2:$D$461,"mata",Data_filtered!$J$2:$J$461,"&lt;&gt;Incompleto")=0, "-", SUMIFS(Data_filtered!$G$2:$G$461,Data_filtered!$A$2:$A$461,T$1,Data_filtered!$F$2:$F$461,$A25, Data_filtered!$D$2:$D$461,"mata",Data_filtered!$J$2:$J$461,"&lt;&gt;Incompleto"))
</f>
        <v>-</v>
      </c>
      <c r="V25" s="106" t="str">
        <f>IF(SUMIFS(Data_filtered!$G$2:$G$461,Data_filtered!$A$2:$A$461,V$1,Data_filtered!$F$2:$F$461,$A25, Data_filtered!$D$2:$D$461,"eucalipto",Data_filtered!$J$2:$J$461,"&lt;&gt;Incompleto")=0, "-", SUMIFS(Data_filtered!$G$2:$G$461,Data_filtered!$A$2:$A$461,V$1,Data_filtered!$F$2:$F$461,$A25, Data_filtered!$D$2:$D$461,"eucalipto",Data_filtered!$J$2:$J$461,"&lt;&gt;Incompleto"))</f>
        <v>-</v>
      </c>
      <c r="W25" s="107" t="str">
        <f>IF(SUMIFS(Data_filtered!$G$2:$G$461,Data_filtered!$A$2:$A$461,V$1,Data_filtered!$F$2:$F$461,$A25, Data_filtered!$D$2:$D$461,"mata",Data_filtered!$J$2:$J$461,"&lt;&gt;Incompleto")=0, "-", SUMIFS(Data_filtered!$G$2:$G$461,Data_filtered!$A$2:$A$461,V$1,Data_filtered!$F$2:$F$461,$A25, Data_filtered!$D$2:$D$461,"mata",Data_filtered!$J$2:$J$461,"&lt;&gt;Incompleto"))
</f>
        <v>-</v>
      </c>
      <c r="X25" s="106" t="str">
        <f>IF(SUMIFS(Data_filtered!$G$2:$G$461,Data_filtered!$A$2:$A$461,X$1,Data_filtered!$F$2:$F$461,$A25, Data_filtered!$D$2:$D$461,"eucalipto",Data_filtered!$J$2:$J$461,"&lt;&gt;Incompleto")=0, "-", SUMIFS(Data_filtered!$G$2:$G$461,Data_filtered!$A$2:$A$461,X$1,Data_filtered!$F$2:$F$461,$A25, Data_filtered!$D$2:$D$461,"eucalipto",Data_filtered!$J$2:$J$461,"&lt;&gt;Incompleto"))</f>
        <v>-</v>
      </c>
      <c r="Y25" s="107" t="str">
        <f>IF(SUMIFS(Data_filtered!$G$2:$G$461,Data_filtered!$A$2:$A$461,X$1,Data_filtered!$F$2:$F$461,$A25, Data_filtered!$D$2:$D$461,"mata",Data_filtered!$J$2:$J$461,"&lt;&gt;Incompleto")=0, "-", SUMIFS(Data_filtered!$G$2:$G$461,Data_filtered!$A$2:$A$461,X$1,Data_filtered!$F$2:$F$461,$A25, Data_filtered!$D$2:$D$461,"mata",Data_filtered!$J$2:$J$461,"&lt;&gt;Incompleto"))
</f>
        <v>-</v>
      </c>
      <c r="Z25" s="106" t="str">
        <f>IF(SUMIFS(Data_filtered!$G$2:$G$461,Data_filtered!$A$2:$A$461,Z$1,Data_filtered!$F$2:$F$461,$A25, Data_filtered!$D$2:$D$461,"eucalipto",Data_filtered!$J$2:$J$461,"&lt;&gt;Incompleto")=0, "-", SUMIFS(Data_filtered!$G$2:$G$461,Data_filtered!$A$2:$A$461,Z$1,Data_filtered!$F$2:$F$461,$A25, Data_filtered!$D$2:$D$461,"eucalipto",Data_filtered!$J$2:$J$461,"&lt;&gt;Incompleto"))</f>
        <v>-</v>
      </c>
      <c r="AA25" s="107" t="str">
        <f>IF(SUMIFS(Data_filtered!$G$2:$G$461,Data_filtered!$A$2:$A$461,Z$1,Data_filtered!$F$2:$F$461,$A25, Data_filtered!$D$2:$D$461,"mata",Data_filtered!$J$2:$J$461,"&lt;&gt;Incompleto")=0, "-", SUMIFS(Data_filtered!$G$2:$G$461,Data_filtered!$A$2:$A$461,Z$1,Data_filtered!$F$2:$F$461,$A25, Data_filtered!$D$2:$D$461,"mata",Data_filtered!$J$2:$J$461,"&lt;&gt;Incompleto"))
</f>
        <v>-</v>
      </c>
      <c r="AB25" s="106"/>
      <c r="AC25" s="107"/>
      <c r="AD25" s="106"/>
      <c r="AE25" s="107"/>
      <c r="AF25" s="106"/>
      <c r="AG25" s="107"/>
      <c r="AH25" s="106"/>
      <c r="AI25" s="107"/>
      <c r="AJ25" s="106"/>
      <c r="AK25" s="107"/>
      <c r="AL25" s="106"/>
      <c r="AM25" s="107"/>
      <c r="AN25" s="106"/>
      <c r="AO25" s="107"/>
      <c r="AP25" s="106"/>
      <c r="AQ25" s="107"/>
      <c r="AR25" s="106"/>
      <c r="AS25" s="107"/>
    </row>
    <row r="26">
      <c r="A26" s="15" t="str">
        <f>IFERROR(__xludf.DUMMYFUNCTION("""COMPUTED_VALUE"""),"Vespa")</f>
        <v>Vespa</v>
      </c>
      <c r="B26" s="106" t="str">
        <f>IF(SUMIFS(Data_filtered!$G$2:$G$461,Data_filtered!$A$2:$A$461,B$1,Data_filtered!$F$2:$F$461,$A26, Data_filtered!$D$2:$D$461,"eucalipto",Data_filtered!$J$2:$J$461,"&lt;&gt;Incompleto")=0, "-", SUMIFS(Data_filtered!$G$2:$G$461,Data_filtered!$A$2:$A$461,B$1,Data_filtered!$F$2:$F$461,$A26, Data_filtered!$D$2:$D$461,"eucalipto",Data_filtered!$J$2:$J$461,"&lt;&gt;Incompleto"))</f>
        <v>-</v>
      </c>
      <c r="C26" s="107" t="str">
        <f>IF(SUMIFS(Data_filtered!$G$2:$G$461,Data_filtered!$A$2:$A$461,B$1,Data_filtered!$F$2:$F$461,$A26, Data_filtered!$D$2:$D$461,"mata",Data_filtered!$J$2:$J$461,"&lt;&gt;Incompleto")=0, "-", SUMIFS(Data_filtered!$G$2:$G$461,Data_filtered!$A$2:$A$461,B$1,Data_filtered!$F$2:$F$461,$A26, Data_filtered!$D$2:$D$461,"mata",Data_filtered!$J$2:$J$461,"&lt;&gt;Incompleto"))
</f>
        <v>-</v>
      </c>
      <c r="D26" s="106" t="str">
        <f>IF(SUMIFS(Data_filtered!$G$2:$G$461,Data_filtered!$A$2:$A$461,D$1,Data_filtered!$F$2:$F$461,$A26, Data_filtered!$D$2:$D$461,"eucalipto",Data_filtered!$J$2:$J$461,"&lt;&gt;Incompleto")=0, "-", SUMIFS(Data_filtered!$G$2:$G$461,Data_filtered!$A$2:$A$461,D$1,Data_filtered!$F$2:$F$461,$A26, Data_filtered!$D$2:$D$461,"eucalipto",Data_filtered!$J$2:$J$461,"&lt;&gt;Incompleto"))</f>
        <v>-</v>
      </c>
      <c r="E26" s="107" t="str">
        <f>IF(SUMIFS(Data_filtered!$G$2:$G$461,Data_filtered!$A$2:$A$461,D$1,Data_filtered!$F$2:$F$461,$A26, Data_filtered!$D$2:$D$461,"mata",Data_filtered!$J$2:$J$461,"&lt;&gt;Incompleto")=0, "-", SUMIFS(Data_filtered!$G$2:$G$461,Data_filtered!$A$2:$A$461,D$1,Data_filtered!$F$2:$F$461,$A26, Data_filtered!$D$2:$D$461,"mata",Data_filtered!$J$2:$J$461,"&lt;&gt;Incompleto"))
</f>
        <v>-</v>
      </c>
      <c r="F26" s="106" t="str">
        <f>IF(SUMIFS(Data_filtered!$G$2:$G$461,Data_filtered!$A$2:$A$461,F$1,Data_filtered!$F$2:$F$461,$A26, Data_filtered!$D$2:$D$461,"eucalipto",Data_filtered!$J$2:$J$461,"&lt;&gt;Incompleto")=0, "-", SUMIFS(Data_filtered!$G$2:$G$461,Data_filtered!$A$2:$A$461,F$1,Data_filtered!$F$2:$F$461,$A26, Data_filtered!$D$2:$D$461,"eucalipto",Data_filtered!$J$2:$J$461,"&lt;&gt;Incompleto"))</f>
        <v>-</v>
      </c>
      <c r="G26" s="107" t="str">
        <f>IF(SUMIFS(Data_filtered!$G$2:$G$461,Data_filtered!$A$2:$A$461,F$1,Data_filtered!$F$2:$F$461,$A26, Data_filtered!$D$2:$D$461,"mata",Data_filtered!$J$2:$J$461,"&lt;&gt;Incompleto")=0, "-", SUMIFS(Data_filtered!$G$2:$G$461,Data_filtered!$A$2:$A$461,F$1,Data_filtered!$F$2:$F$461,$A26, Data_filtered!$D$2:$D$461,"mata",Data_filtered!$J$2:$J$461,"&lt;&gt;Incompleto"))
</f>
        <v>-</v>
      </c>
      <c r="H26" s="106" t="str">
        <f>IF(SUMIFS(Data_filtered!$G$2:$G$461,Data_filtered!$A$2:$A$461,H$1,Data_filtered!$F$2:$F$461,$A26, Data_filtered!$D$2:$D$461,"eucalipto",Data_filtered!$J$2:$J$461,"&lt;&gt;Incompleto")=0, "-", SUMIFS(Data_filtered!$G$2:$G$461,Data_filtered!$A$2:$A$461,H$1,Data_filtered!$F$2:$F$461,$A26, Data_filtered!$D$2:$D$461,"eucalipto",Data_filtered!$J$2:$J$461,"&lt;&gt;Incompleto"))</f>
        <v>-</v>
      </c>
      <c r="I26" s="107" t="str">
        <f>IF(SUMIFS(Data_filtered!$G$2:$G$461,Data_filtered!$A$2:$A$461,H$1,Data_filtered!$F$2:$F$461,$A26, Data_filtered!$D$2:$D$461,"mata",Data_filtered!$J$2:$J$461,"&lt;&gt;Incompleto")=0, "-", SUMIFS(Data_filtered!$G$2:$G$461,Data_filtered!$A$2:$A$461,H$1,Data_filtered!$F$2:$F$461,$A26, Data_filtered!$D$2:$D$461,"mata",Data_filtered!$J$2:$J$461,"&lt;&gt;Incompleto"))
</f>
        <v>-</v>
      </c>
      <c r="J26" s="106" t="str">
        <f>IF(SUMIFS(Data_filtered!$G$2:$G$461,Data_filtered!$A$2:$A$461,J$1,Data_filtered!$F$2:$F$461,$A26, Data_filtered!$D$2:$D$461,"eucalipto",Data_filtered!$J$2:$J$461,"&lt;&gt;Incompleto")=0, "-", SUMIFS(Data_filtered!$G$2:$G$461,Data_filtered!$A$2:$A$461,J$1,Data_filtered!$F$2:$F$461,$A26, Data_filtered!$D$2:$D$461,"eucalipto",Data_filtered!$J$2:$J$461,"&lt;&gt;Incompleto"))</f>
        <v>-</v>
      </c>
      <c r="K26" s="107">
        <f>IF(SUMIFS(Data_filtered!$G$2:$G$461,Data_filtered!$A$2:$A$461,J$1,Data_filtered!$F$2:$F$461,$A26, Data_filtered!$D$2:$D$461,"mata",Data_filtered!$J$2:$J$461,"&lt;&gt;Incompleto")=0, "-", SUMIFS(Data_filtered!$G$2:$G$461,Data_filtered!$A$2:$A$461,J$1,Data_filtered!$F$2:$F$461,$A26, Data_filtered!$D$2:$D$461,"mata",Data_filtered!$J$2:$J$461,"&lt;&gt;Incompleto"))
</f>
        <v>1</v>
      </c>
      <c r="L26" s="106">
        <f>IF(SUMIFS(Data_filtered!$G$2:$G$461,Data_filtered!$A$2:$A$461,L$1,Data_filtered!$F$2:$F$461,$A26, Data_filtered!$D$2:$D$461,"eucalipto",Data_filtered!$J$2:$J$461,"&lt;&gt;Incompleto")=0, "-", SUMIFS(Data_filtered!$G$2:$G$461,Data_filtered!$A$2:$A$461,L$1,Data_filtered!$F$2:$F$461,$A26, Data_filtered!$D$2:$D$461,"eucalipto",Data_filtered!$J$2:$J$461,"&lt;&gt;Incompleto"))</f>
        <v>1</v>
      </c>
      <c r="M26" s="107" t="str">
        <f>IF(SUMIFS(Data_filtered!$G$2:$G$461,Data_filtered!$A$2:$A$461,L$1,Data_filtered!$F$2:$F$461,$A26, Data_filtered!$D$2:$D$461,"mata",Data_filtered!$J$2:$J$461,"&lt;&gt;Incompleto")=0, "-", SUMIFS(Data_filtered!$G$2:$G$461,Data_filtered!$A$2:$A$461,L$1,Data_filtered!$F$2:$F$461,$A26, Data_filtered!$D$2:$D$461,"mata",Data_filtered!$J$2:$J$461,"&lt;&gt;Incompleto"))
</f>
        <v>-</v>
      </c>
      <c r="N26" s="106" t="str">
        <f>IF(SUMIFS(Data_filtered!$G$2:$G$461,Data_filtered!$A$2:$A$461,N$1,Data_filtered!$F$2:$F$461,$A26, Data_filtered!$D$2:$D$461,"eucalipto",Data_filtered!$J$2:$J$461,"&lt;&gt;Incompleto")=0, "-", SUMIFS(Data_filtered!$G$2:$G$461,Data_filtered!$A$2:$A$461,N$1,Data_filtered!$F$2:$F$461,$A26, Data_filtered!$D$2:$D$461,"eucalipto",Data_filtered!$J$2:$J$461,"&lt;&gt;Incompleto"))</f>
        <v>-</v>
      </c>
      <c r="O26" s="107" t="str">
        <f>IF(SUMIFS(Data_filtered!$G$2:$G$461,Data_filtered!$A$2:$A$461,N$1,Data_filtered!$F$2:$F$461,$A26, Data_filtered!$D$2:$D$461,"mata",Data_filtered!$J$2:$J$461,"&lt;&gt;Incompleto")=0, "-", SUMIFS(Data_filtered!$G$2:$G$461,Data_filtered!$A$2:$A$461,N$1,Data_filtered!$F$2:$F$461,$A26, Data_filtered!$D$2:$D$461,"mata",Data_filtered!$J$2:$J$461,"&lt;&gt;Incompleto"))
</f>
        <v>-</v>
      </c>
      <c r="P26" s="106" t="str">
        <f>IF(SUMIFS(Data_filtered!$G$2:$G$461,Data_filtered!$A$2:$A$461,P$1,Data_filtered!$F$2:$F$461,$A26, Data_filtered!$D$2:$D$461,"eucalipto",Data_filtered!$J$2:$J$461,"&lt;&gt;Incompleto")=0, "-", SUMIFS(Data_filtered!$G$2:$G$461,Data_filtered!$A$2:$A$461,P$1,Data_filtered!$F$2:$F$461,$A26, Data_filtered!$D$2:$D$461,"eucalipto",Data_filtered!$J$2:$J$461,"&lt;&gt;Incompleto"))</f>
        <v>-</v>
      </c>
      <c r="Q26" s="107" t="str">
        <f>IF(SUMIFS(Data_filtered!$G$2:$G$461,Data_filtered!$A$2:$A$461,P$1,Data_filtered!$F$2:$F$461,$A26, Data_filtered!$D$2:$D$461,"mata",Data_filtered!$J$2:$J$461,"&lt;&gt;Incompleto")=0, "-", SUMIFS(Data_filtered!$G$2:$G$461,Data_filtered!$A$2:$A$461,P$1,Data_filtered!$F$2:$F$461,$A26, Data_filtered!$D$2:$D$461,"mata",Data_filtered!$J$2:$J$461,"&lt;&gt;Incompleto"))
</f>
        <v>-</v>
      </c>
      <c r="R26" s="106" t="str">
        <f>IF(SUMIFS(Data_filtered!$G$2:$G$461,Data_filtered!$A$2:$A$461,R$1,Data_filtered!$F$2:$F$461,$A26, Data_filtered!$D$2:$D$461,"eucalipto",Data_filtered!$J$2:$J$461,"&lt;&gt;Incompleto")=0, "-", SUMIFS(Data_filtered!$G$2:$G$461,Data_filtered!$A$2:$A$461,R$1,Data_filtered!$F$2:$F$461,$A26, Data_filtered!$D$2:$D$461,"eucalipto",Data_filtered!$J$2:$J$461,"&lt;&gt;Incompleto"))</f>
        <v>-</v>
      </c>
      <c r="S26" s="107" t="str">
        <f>IF(SUMIFS(Data_filtered!$G$2:$G$461,Data_filtered!$A$2:$A$461,R$1,Data_filtered!$F$2:$F$461,$A26, Data_filtered!$D$2:$D$461,"mata",Data_filtered!$J$2:$J$461,"&lt;&gt;Incompleto")=0, "-", SUMIFS(Data_filtered!$G$2:$G$461,Data_filtered!$A$2:$A$461,R$1,Data_filtered!$F$2:$F$461,$A26, Data_filtered!$D$2:$D$461,"mata",Data_filtered!$J$2:$J$461,"&lt;&gt;Incompleto"))
</f>
        <v>-</v>
      </c>
      <c r="T26" s="106" t="str">
        <f>IF(SUMIFS(Data_filtered!$G$2:$G$461,Data_filtered!$A$2:$A$461,T$1,Data_filtered!$F$2:$F$461,$A26, Data_filtered!$D$2:$D$461,"eucalipto",Data_filtered!$J$2:$J$461,"&lt;&gt;Incompleto")=0, "-", SUMIFS(Data_filtered!$G$2:$G$461,Data_filtered!$A$2:$A$461,T$1,Data_filtered!$F$2:$F$461,$A26, Data_filtered!$D$2:$D$461,"eucalipto",Data_filtered!$J$2:$J$461,"&lt;&gt;Incompleto"))</f>
        <v>-</v>
      </c>
      <c r="U26" s="107" t="str">
        <f>IF(SUMIFS(Data_filtered!$G$2:$G$461,Data_filtered!$A$2:$A$461,T$1,Data_filtered!$F$2:$F$461,$A26, Data_filtered!$D$2:$D$461,"mata",Data_filtered!$J$2:$J$461,"&lt;&gt;Incompleto")=0, "-", SUMIFS(Data_filtered!$G$2:$G$461,Data_filtered!$A$2:$A$461,T$1,Data_filtered!$F$2:$F$461,$A26, Data_filtered!$D$2:$D$461,"mata",Data_filtered!$J$2:$J$461,"&lt;&gt;Incompleto"))
</f>
        <v>-</v>
      </c>
      <c r="V26" s="106" t="str">
        <f>IF(SUMIFS(Data_filtered!$G$2:$G$461,Data_filtered!$A$2:$A$461,V$1,Data_filtered!$F$2:$F$461,$A26, Data_filtered!$D$2:$D$461,"eucalipto",Data_filtered!$J$2:$J$461,"&lt;&gt;Incompleto")=0, "-", SUMIFS(Data_filtered!$G$2:$G$461,Data_filtered!$A$2:$A$461,V$1,Data_filtered!$F$2:$F$461,$A26, Data_filtered!$D$2:$D$461,"eucalipto",Data_filtered!$J$2:$J$461,"&lt;&gt;Incompleto"))</f>
        <v>-</v>
      </c>
      <c r="W26" s="107" t="str">
        <f>IF(SUMIFS(Data_filtered!$G$2:$G$461,Data_filtered!$A$2:$A$461,V$1,Data_filtered!$F$2:$F$461,$A26, Data_filtered!$D$2:$D$461,"mata",Data_filtered!$J$2:$J$461,"&lt;&gt;Incompleto")=0, "-", SUMIFS(Data_filtered!$G$2:$G$461,Data_filtered!$A$2:$A$461,V$1,Data_filtered!$F$2:$F$461,$A26, Data_filtered!$D$2:$D$461,"mata",Data_filtered!$J$2:$J$461,"&lt;&gt;Incompleto"))
</f>
        <v>-</v>
      </c>
      <c r="X26" s="106" t="str">
        <f>IF(SUMIFS(Data_filtered!$G$2:$G$461,Data_filtered!$A$2:$A$461,X$1,Data_filtered!$F$2:$F$461,$A26, Data_filtered!$D$2:$D$461,"eucalipto",Data_filtered!$J$2:$J$461,"&lt;&gt;Incompleto")=0, "-", SUMIFS(Data_filtered!$G$2:$G$461,Data_filtered!$A$2:$A$461,X$1,Data_filtered!$F$2:$F$461,$A26, Data_filtered!$D$2:$D$461,"eucalipto",Data_filtered!$J$2:$J$461,"&lt;&gt;Incompleto"))</f>
        <v>-</v>
      </c>
      <c r="Y26" s="107" t="str">
        <f>IF(SUMIFS(Data_filtered!$G$2:$G$461,Data_filtered!$A$2:$A$461,X$1,Data_filtered!$F$2:$F$461,$A26, Data_filtered!$D$2:$D$461,"mata",Data_filtered!$J$2:$J$461,"&lt;&gt;Incompleto")=0, "-", SUMIFS(Data_filtered!$G$2:$G$461,Data_filtered!$A$2:$A$461,X$1,Data_filtered!$F$2:$F$461,$A26, Data_filtered!$D$2:$D$461,"mata",Data_filtered!$J$2:$J$461,"&lt;&gt;Incompleto"))
</f>
        <v>-</v>
      </c>
      <c r="Z26" s="106" t="str">
        <f>IF(SUMIFS(Data_filtered!$G$2:$G$461,Data_filtered!$A$2:$A$461,Z$1,Data_filtered!$F$2:$F$461,$A26, Data_filtered!$D$2:$D$461,"eucalipto",Data_filtered!$J$2:$J$461,"&lt;&gt;Incompleto")=0, "-", SUMIFS(Data_filtered!$G$2:$G$461,Data_filtered!$A$2:$A$461,Z$1,Data_filtered!$F$2:$F$461,$A26, Data_filtered!$D$2:$D$461,"eucalipto",Data_filtered!$J$2:$J$461,"&lt;&gt;Incompleto"))</f>
        <v>-</v>
      </c>
      <c r="AA26" s="107" t="str">
        <f>IF(SUMIFS(Data_filtered!$G$2:$G$461,Data_filtered!$A$2:$A$461,Z$1,Data_filtered!$F$2:$F$461,$A26, Data_filtered!$D$2:$D$461,"mata",Data_filtered!$J$2:$J$461,"&lt;&gt;Incompleto")=0, "-", SUMIFS(Data_filtered!$G$2:$G$461,Data_filtered!$A$2:$A$461,Z$1,Data_filtered!$F$2:$F$461,$A26, Data_filtered!$D$2:$D$461,"mata",Data_filtered!$J$2:$J$461,"&lt;&gt;Incompleto"))
</f>
        <v>-</v>
      </c>
      <c r="AB26" s="106"/>
      <c r="AC26" s="107"/>
      <c r="AD26" s="106"/>
      <c r="AE26" s="107"/>
      <c r="AF26" s="106"/>
      <c r="AG26" s="107"/>
      <c r="AH26" s="106"/>
      <c r="AI26" s="107"/>
      <c r="AJ26" s="106"/>
      <c r="AK26" s="107"/>
      <c r="AL26" s="106"/>
      <c r="AM26" s="107"/>
      <c r="AN26" s="106"/>
      <c r="AO26" s="107"/>
      <c r="AP26" s="106"/>
      <c r="AQ26" s="107"/>
      <c r="AR26" s="106"/>
      <c r="AS26" s="107"/>
    </row>
    <row r="27">
      <c r="A27" s="68"/>
      <c r="B27" s="106"/>
      <c r="C27" s="108"/>
      <c r="D27" s="106"/>
      <c r="E27" s="108"/>
      <c r="F27" s="106"/>
      <c r="G27" s="108"/>
      <c r="H27" s="106"/>
      <c r="I27" s="108"/>
      <c r="J27" s="106"/>
      <c r="K27" s="108"/>
      <c r="L27" s="106"/>
      <c r="M27" s="108"/>
      <c r="N27" s="106"/>
      <c r="O27" s="108"/>
      <c r="P27" s="106"/>
      <c r="Q27" s="108"/>
      <c r="R27" s="106"/>
      <c r="S27" s="108"/>
      <c r="T27" s="106"/>
      <c r="U27" s="108"/>
      <c r="V27" s="106"/>
      <c r="W27" s="108"/>
      <c r="X27" s="106"/>
      <c r="Y27" s="108"/>
      <c r="Z27" s="106"/>
      <c r="AA27" s="108"/>
      <c r="AB27" s="106"/>
      <c r="AC27" s="108"/>
      <c r="AD27" s="106"/>
      <c r="AE27" s="108"/>
      <c r="AF27" s="106"/>
      <c r="AG27" s="108"/>
      <c r="AH27" s="106"/>
      <c r="AI27" s="108"/>
      <c r="AJ27" s="106"/>
      <c r="AK27" s="108"/>
      <c r="AL27" s="106"/>
      <c r="AM27" s="108"/>
      <c r="AN27" s="106"/>
      <c r="AO27" s="108"/>
      <c r="AP27" s="106"/>
      <c r="AQ27" s="108"/>
      <c r="AR27" s="106"/>
      <c r="AS27" s="108"/>
    </row>
    <row r="28">
      <c r="A28" s="68"/>
      <c r="B28" s="106"/>
      <c r="C28" s="108"/>
      <c r="D28" s="106"/>
      <c r="E28" s="108"/>
      <c r="F28" s="106"/>
      <c r="G28" s="108"/>
      <c r="H28" s="106"/>
      <c r="I28" s="108"/>
      <c r="J28" s="106"/>
      <c r="K28" s="108"/>
      <c r="L28" s="106"/>
      <c r="M28" s="108"/>
      <c r="N28" s="106"/>
      <c r="O28" s="108"/>
      <c r="P28" s="106"/>
      <c r="Q28" s="108"/>
      <c r="R28" s="106"/>
      <c r="S28" s="108"/>
      <c r="T28" s="106"/>
      <c r="U28" s="108"/>
      <c r="V28" s="106"/>
      <c r="W28" s="108"/>
      <c r="X28" s="106"/>
      <c r="Y28" s="108"/>
      <c r="Z28" s="106"/>
      <c r="AA28" s="108"/>
      <c r="AB28" s="106"/>
      <c r="AC28" s="108"/>
      <c r="AD28" s="106"/>
      <c r="AE28" s="108"/>
      <c r="AF28" s="106"/>
      <c r="AG28" s="108"/>
      <c r="AH28" s="106"/>
      <c r="AI28" s="108"/>
      <c r="AJ28" s="106"/>
      <c r="AK28" s="108"/>
      <c r="AL28" s="106"/>
      <c r="AM28" s="108"/>
      <c r="AN28" s="106"/>
      <c r="AO28" s="108"/>
      <c r="AP28" s="106"/>
      <c r="AQ28" s="108"/>
      <c r="AR28" s="106"/>
      <c r="AS28" s="108"/>
    </row>
    <row r="29">
      <c r="A29" s="68"/>
      <c r="B29" s="106"/>
      <c r="C29" s="108"/>
      <c r="D29" s="106"/>
      <c r="E29" s="108"/>
      <c r="F29" s="106"/>
      <c r="G29" s="108"/>
      <c r="H29" s="106"/>
      <c r="I29" s="108"/>
      <c r="J29" s="106"/>
      <c r="K29" s="108"/>
      <c r="L29" s="106"/>
      <c r="M29" s="108"/>
      <c r="N29" s="106"/>
      <c r="O29" s="108"/>
      <c r="P29" s="106"/>
      <c r="Q29" s="108"/>
      <c r="R29" s="106"/>
      <c r="S29" s="108"/>
      <c r="T29" s="106"/>
      <c r="U29" s="108"/>
      <c r="V29" s="106"/>
      <c r="W29" s="108"/>
      <c r="X29" s="106"/>
      <c r="Y29" s="108"/>
      <c r="Z29" s="106"/>
      <c r="AA29" s="108"/>
      <c r="AB29" s="106"/>
      <c r="AC29" s="108"/>
      <c r="AD29" s="106"/>
      <c r="AE29" s="108"/>
      <c r="AF29" s="106"/>
      <c r="AG29" s="108"/>
      <c r="AH29" s="106"/>
      <c r="AI29" s="108"/>
      <c r="AJ29" s="106"/>
      <c r="AK29" s="108"/>
      <c r="AL29" s="106"/>
      <c r="AM29" s="108"/>
      <c r="AN29" s="106"/>
      <c r="AO29" s="108"/>
      <c r="AP29" s="106"/>
      <c r="AQ29" s="108"/>
      <c r="AR29" s="106"/>
      <c r="AS29" s="108"/>
    </row>
    <row r="30">
      <c r="B30" s="106"/>
      <c r="C30" s="108"/>
      <c r="D30" s="106"/>
      <c r="E30" s="108"/>
      <c r="F30" s="106"/>
      <c r="G30" s="108"/>
      <c r="H30" s="106"/>
      <c r="I30" s="108"/>
      <c r="J30" s="106"/>
      <c r="K30" s="108"/>
      <c r="L30" s="106"/>
      <c r="M30" s="108"/>
      <c r="N30" s="106"/>
      <c r="O30" s="108"/>
      <c r="P30" s="106"/>
      <c r="Q30" s="108"/>
      <c r="R30" s="106"/>
      <c r="S30" s="108"/>
      <c r="T30" s="106"/>
      <c r="U30" s="108"/>
      <c r="V30" s="106"/>
      <c r="W30" s="108"/>
      <c r="X30" s="106"/>
      <c r="Y30" s="108"/>
      <c r="Z30" s="106"/>
      <c r="AA30" s="108"/>
      <c r="AB30" s="106"/>
      <c r="AC30" s="108"/>
      <c r="AD30" s="106"/>
      <c r="AE30" s="108"/>
      <c r="AF30" s="106"/>
      <c r="AG30" s="108"/>
      <c r="AH30" s="106"/>
      <c r="AI30" s="108"/>
      <c r="AJ30" s="106"/>
      <c r="AK30" s="108"/>
      <c r="AL30" s="106"/>
      <c r="AM30" s="108"/>
      <c r="AN30" s="106"/>
      <c r="AO30" s="108"/>
      <c r="AP30" s="106"/>
      <c r="AQ30" s="108"/>
      <c r="AR30" s="106"/>
      <c r="AS30" s="108"/>
    </row>
    <row r="31">
      <c r="B31" s="106"/>
      <c r="C31" s="108"/>
      <c r="D31" s="106"/>
      <c r="E31" s="108"/>
      <c r="F31" s="106"/>
      <c r="G31" s="108"/>
      <c r="H31" s="106"/>
      <c r="I31" s="108"/>
      <c r="J31" s="106"/>
      <c r="K31" s="108"/>
      <c r="L31" s="106"/>
      <c r="M31" s="108"/>
      <c r="N31" s="106"/>
      <c r="O31" s="108"/>
      <c r="P31" s="106"/>
      <c r="Q31" s="108"/>
      <c r="R31" s="106"/>
      <c r="S31" s="108"/>
      <c r="T31" s="106"/>
      <c r="U31" s="108"/>
      <c r="V31" s="106"/>
      <c r="W31" s="108"/>
      <c r="X31" s="106"/>
      <c r="Y31" s="108"/>
      <c r="Z31" s="106"/>
      <c r="AA31" s="108"/>
      <c r="AB31" s="106"/>
      <c r="AC31" s="108"/>
      <c r="AD31" s="106"/>
      <c r="AE31" s="108"/>
      <c r="AF31" s="106"/>
      <c r="AG31" s="108"/>
      <c r="AH31" s="106"/>
      <c r="AI31" s="108"/>
      <c r="AJ31" s="106"/>
      <c r="AK31" s="108"/>
      <c r="AL31" s="106"/>
      <c r="AM31" s="108"/>
      <c r="AN31" s="106"/>
      <c r="AO31" s="108"/>
      <c r="AP31" s="106"/>
      <c r="AQ31" s="108"/>
      <c r="AR31" s="106"/>
      <c r="AS31" s="108"/>
    </row>
    <row r="32">
      <c r="A32" s="106"/>
    </row>
  </sheetData>
  <mergeCells count="22">
    <mergeCell ref="B1:C1"/>
    <mergeCell ref="D1:E1"/>
    <mergeCell ref="F1:G1"/>
    <mergeCell ref="H1:I1"/>
    <mergeCell ref="J1:K1"/>
    <mergeCell ref="L1:M1"/>
    <mergeCell ref="N1:O1"/>
    <mergeCell ref="AD1:AE1"/>
    <mergeCell ref="AF1:AG1"/>
    <mergeCell ref="AH1:AI1"/>
    <mergeCell ref="AJ1:AK1"/>
    <mergeCell ref="AL1:AM1"/>
    <mergeCell ref="AN1:AO1"/>
    <mergeCell ref="AP1:AQ1"/>
    <mergeCell ref="AR1:AS1"/>
    <mergeCell ref="P1:Q1"/>
    <mergeCell ref="R1:S1"/>
    <mergeCell ref="T1:U1"/>
    <mergeCell ref="V1:W1"/>
    <mergeCell ref="X1:Y1"/>
    <mergeCell ref="Z1:AA1"/>
    <mergeCell ref="AB1:AC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</cols>
  <sheetData>
    <row r="1">
      <c r="A1" s="27" t="s">
        <v>957</v>
      </c>
      <c r="B1" s="106" t="s">
        <v>150</v>
      </c>
      <c r="D1" s="106" t="s">
        <v>137</v>
      </c>
      <c r="F1" s="106" t="s">
        <v>170</v>
      </c>
      <c r="H1" s="106" t="s">
        <v>145</v>
      </c>
      <c r="J1" s="106" t="s">
        <v>714</v>
      </c>
      <c r="L1" s="106" t="s">
        <v>119</v>
      </c>
      <c r="N1" s="106" t="s">
        <v>129</v>
      </c>
      <c r="P1" s="106" t="s">
        <v>134</v>
      </c>
      <c r="R1" s="106" t="s">
        <v>207</v>
      </c>
      <c r="T1" s="106" t="s">
        <v>343</v>
      </c>
      <c r="V1" s="106" t="s">
        <v>210</v>
      </c>
      <c r="X1" s="106" t="s">
        <v>441</v>
      </c>
      <c r="Z1" s="106" t="s">
        <v>175</v>
      </c>
      <c r="AB1" s="106"/>
      <c r="AD1" s="106"/>
      <c r="AF1" s="106"/>
      <c r="AH1" s="106"/>
      <c r="AJ1" s="106"/>
      <c r="AL1" s="106"/>
      <c r="AN1" s="106"/>
      <c r="AP1" s="106"/>
      <c r="AR1" s="106"/>
    </row>
    <row r="2">
      <c r="B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substrato"",Data_filtered!$A$2:$A$461=B$1,Data_filtered!$D$2:$D$461=""eucalipto"",Data_filtered!$J$2:$J$461&lt;&gt;""Incompleto""),0)=0,0,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substrato"",Data_filtered!$A$2:$A$461=B$1,Data_filtered!$D$2:$D$461=""eucalipto"",Data_"&amp;"filtered!$J$2:$J$461&lt;&gt;""Incompleto""))),"" indiv."",
  "" - "",
  SUMIFS(Data_filtered!$G$2:$G$461,Data_filtered!$A$2:$A$461,B$1,Data_filtered!$E$2:$E$461,""&lt;&gt;Não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0 indiv. - 0 items")</f>
        <v>Eucalyptus
0 indiv. - 0 items</v>
      </c>
      <c r="C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substrato"",Data_filtered!$A$2:$A$461=B$1,Data_filtered!$D$2:$D$461=""mata"",Data_filtered!$J$2:$J$461&lt;&gt;""Incompleto""),0)=0,0,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substrato"",Data_filtered!$A$2:$A$461=B$1,Data_filtered!$D$2:$D$461=""mata"",Data_filtere"&amp;"d!$J$2:$J$461&lt;&gt;""Incompleto""))), "" indiv."","" - "", SUMIFS(Data_filtered!$G$2:$G$461,Data_filtered!$A$2:$A$461,B$1,Data_filtered!$E$2:$E$461,""&lt;&gt;Não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7 indiv. - 10 items")</f>
        <v>Atlantic Forest
7 indiv. - 10 items</v>
      </c>
      <c r="D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substrato"",Data_filtered!$A$2:$A$461=D$1,Data_filtered!$D$2:$D$461=""eucalipto"",Data_filtered!$J$2:$J$461&lt;&gt;""Incompleto""),0)=0,0,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substrato"",Data_filtered!$A$2:$A$461=D$1,Data_filtered!$D$2:$D$461=""eucalipto"",Data_"&amp;"filtered!$J$2:$J$461&lt;&gt;""Incompleto""))),"" indiv."",
  "" - "",
  SUMIFS(Data_filtered!$G$2:$G$461,Data_filtered!$A$2:$A$461,D$1,Data_filtered!$E$2:$E$461,""&lt;&gt;Não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11 indiv. - 82 items")</f>
        <v>Eucalyptus
11 indiv. - 82 items</v>
      </c>
      <c r="E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substrato"",Data_filtered!$A$2:$A$461=D$1,Data_filtered!$D$2:$D$461=""mata"",Data_filtered!$J$2:$J$461&lt;&gt;""Incompleto""),0)=0,0,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substrato"",Data_filtered!$A$2:$A$461=D$1,Data_filtered!$D$2:$D$461=""mata"",Data_filtere"&amp;"d!$J$2:$J$461&lt;&gt;""Incompleto""))), "" indiv."","" - "", SUMIFS(Data_filtered!$G$2:$G$461,Data_filtered!$A$2:$A$461,D$1,Data_filtered!$E$2:$E$461,""&lt;&gt;Não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2 indiv. - 4 items")</f>
        <v>Atlantic Forest
2 indiv. - 4 items</v>
      </c>
      <c r="F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substrato"",Data_filtered!$A$2:$A$461=F$1,Data_filtered!$D$2:$D$461=""eucalipto"",Data_filtered!$J$2:$J$461&lt;&gt;""Incompleto""),0)=0,0,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substrato"",Data_filtered!$A$2:$A$461=F$1,Data_filtered!$D$2:$D$461=""eucalipto"",Data_"&amp;"filtered!$J$2:$J$461&lt;&gt;""Incompleto""))),"" indiv."",
  "" - "",
  SUMIFS(Data_filtered!$G$2:$G$461,Data_filtered!$A$2:$A$461,F$1,Data_filtered!$E$2:$E$461,""&lt;&gt;Não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0 indiv. - 0 items")</f>
        <v>Eucalyptus
0 indiv. - 0 items</v>
      </c>
      <c r="G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substrato"",Data_filtered!$A$2:$A$461=F$1,Data_filtered!$D$2:$D$461=""mata"",Data_filtered!$J$2:$J$461&lt;&gt;""Incompleto""),0)=0,0,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substrato"",Data_filtered!$A$2:$A$461=F$1,Data_filtered!$D$2:$D$461=""mata"",Data_filtere"&amp;"d!$J$2:$J$461&lt;&gt;""Incompleto""))), "" indiv."","" - "", SUMIFS(Data_filtered!$G$2:$G$461,Data_filtered!$A$2:$A$461,F$1,Data_filtered!$E$2:$E$461,""&lt;&gt;Não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7 indiv. - 21 items")</f>
        <v>Atlantic Forest
7 indiv. - 21 items</v>
      </c>
      <c r="H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substrato"",Data_filtered!$A$2:$A$461=H$1,Data_filtered!$D$2:$D$461=""eucalipto"",Data_filtered!$J$2:$J$461&lt;&gt;""Incompleto""),0)=0,0,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substrato"",Data_filtered!$A$2:$A$461=H$1,Data_filtered!$D$2:$D$461=""eucalipto"",Data_"&amp;"filtered!$J$2:$J$461&lt;&gt;""Incompleto""))),"" indiv."",
  "" - "",
  SUMIFS(Data_filtered!$G$2:$G$461,Data_filtered!$A$2:$A$461,H$1,Data_filtered!$E$2:$E$461,""&lt;&gt;Não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6 indiv. - 15 items")</f>
        <v>Eucalyptus
6 indiv. - 15 items</v>
      </c>
      <c r="I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substrato"",Data_filtered!$A$2:$A$461=H$1,Data_filtered!$D$2:$D$461=""mata"",Data_filtered!$J$2:$J$461&lt;&gt;""Incompleto""),0)=0,0,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substrato"",Data_filtered!$A$2:$A$461=H$1,Data_filtered!$D$2:$D$461=""mata"",Data_filtere"&amp;"d!$J$2:$J$461&lt;&gt;""Incompleto""))), "" indiv."","" - "", SUMIFS(Data_filtered!$G$2:$G$461,Data_filtered!$A$2:$A$461,H$1,Data_filtered!$E$2:$E$461,""&lt;&gt;Não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3 indiv. - 7 items")</f>
        <v>Atlantic Forest
3 indiv. - 7 items</v>
      </c>
      <c r="J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substrato"",Data_filtered!$A$2:$A$461=J$1,Data_filtered!$D$2:$D$461=""eucalipto"",Data_filtered!$J$2:$J$461&lt;&gt;""Incompleto""),0)=0,0,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substrato"",Data_filtered!$A$2:$A$461=J$1,Data_filtered!$D$2:$D$461=""eucalipto"",Data_"&amp;"filtered!$J$2:$J$461&lt;&gt;""Incompleto""))),"" indiv."",
  "" - "",
  SUMIFS(Data_filtered!$G$2:$G$461,Data_filtered!$A$2:$A$461,J$1,Data_filtered!$E$2:$E$461,""&lt;&gt;Não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0 indiv. - 0 items")</f>
        <v>Eucalyptus
0 indiv. - 0 items</v>
      </c>
      <c r="K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substrato"",Data_filtered!$A$2:$A$461=J$1,Data_filtered!$D$2:$D$461=""mata"",Data_filtered!$J$2:$J$461&lt;&gt;""Incompleto""),0)=0,0,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substrato"",Data_filtered!$A$2:$A$461=J$1,Data_filtered!$D$2:$D$461=""mata"",Data_filtere"&amp;"d!$J$2:$J$461&lt;&gt;""Incompleto""))), "" indiv."","" - "", SUMIFS(Data_filtered!$G$2:$G$461,Data_filtered!$A$2:$A$461,J$1,Data_filtered!$E$2:$E$461,""&lt;&gt;Não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2 indiv. - 6 items")</f>
        <v>Atlantic Forest
2 indiv. - 6 items</v>
      </c>
      <c r="L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substrato"",Data_filtered!$A$2:$A$461=L$1,Data_filtered!$D$2:$D$461=""eucalipto"",Data_filtered!$J$2:$J$461&lt;&gt;""Incompleto""),0)=0,0,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substrato"",Data_filtered!$A$2:$A$461=L$1,Data_filtered!$D$2:$D$461=""eucalipto"",Data_"&amp;"filtered!$J$2:$J$461&lt;&gt;""Incompleto""))),"" indiv."",
  "" - "",
  SUMIFS(Data_filtered!$G$2:$G$461,Data_filtered!$A$2:$A$461,L$1,Data_filtered!$E$2:$E$461,""&lt;&gt;Não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8 indiv. - 22 items")</f>
        <v>Eucalyptus
8 indiv. - 22 items</v>
      </c>
      <c r="M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substrato"",Data_filtered!$A$2:$A$461=L$1,Data_filtered!$D$2:$D$461=""mata"",Data_filtered!$J$2:$J$461&lt;&gt;""Incompleto""),0)=0,0,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substrato"",Data_filtered!$A$2:$A$461=L$1,Data_filtered!$D$2:$D$461=""mata"",Data_filtere"&amp;"d!$J$2:$J$461&lt;&gt;""Incompleto""))), "" indiv."","" - "", SUMIFS(Data_filtered!$G$2:$G$461,Data_filtered!$A$2:$A$461,L$1,Data_filtered!$E$2:$E$461,""&lt;&gt;Não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1 indiv. - 1 items")</f>
        <v>Atlantic Forest
1 indiv. - 1 items</v>
      </c>
      <c r="N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substrato"",Data_filtered!$A$2:$A$461=N$1,Data_filtered!$D$2:$D$461=""eucalipto"",Data_filtered!$J$2:$J$461&lt;&gt;""Incompleto""),0)=0,0,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substrato"",Data_filtered!$A$2:$A$461=N$1,Data_filtered!$D$2:$D$461=""eucalipto"",Data_"&amp;"filtered!$J$2:$J$461&lt;&gt;""Incompleto""))),"" indiv."",
  "" - "",
  SUMIFS(Data_filtered!$G$2:$G$461,Data_filtered!$A$2:$A$461,N$1,Data_filtered!$E$2:$E$461,""&lt;&gt;Não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1 indiv. - 1 items")</f>
        <v>Eucalyptus
1 indiv. - 1 items</v>
      </c>
      <c r="O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substrato"",Data_filtered!$A$2:$A$461=N$1,Data_filtered!$D$2:$D$461=""mata"",Data_filtered!$J$2:$J$461&lt;&gt;""Incompleto""),0)=0,0,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substrato"",Data_filtered!$A$2:$A$461=N$1,Data_filtered!$D$2:$D$461=""mata"",Data_filtere"&amp;"d!$J$2:$J$461&lt;&gt;""Incompleto""))), "" indiv."","" - "", SUMIFS(Data_filtered!$G$2:$G$461,Data_filtered!$A$2:$A$461,N$1,Data_filtered!$E$2:$E$461,""&lt;&gt;Não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6 indiv. - 7 items")</f>
        <v>Atlantic Forest
6 indiv. - 7 items</v>
      </c>
      <c r="P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substrato"",Data_filtered!$A$2:$A$461=P$1,Data_filtered!$D$2:$D$461=""eucalipto"",Data_filtered!$J$2:$J$461&lt;&gt;""Incompleto""),0)=0,0,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substrato"",Data_filtered!$A$2:$A$461=P$1,Data_filtered!$D$2:$D$461=""eucalipto"",Data_"&amp;"filtered!$J$2:$J$461&lt;&gt;""Incompleto""))),"" indiv."",
  "" - "",
  SUMIFS(Data_filtered!$G$2:$G$461,Data_filtered!$A$2:$A$461,P$1,Data_filtered!$E$2:$E$461,""&lt;&gt;Não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3 indiv. - 16 items")</f>
        <v>Eucalyptus
3 indiv. - 16 items</v>
      </c>
      <c r="Q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substrato"",Data_filtered!$A$2:$A$461=P$1,Data_filtered!$D$2:$D$461=""mata"",Data_filtered!$J$2:$J$461&lt;&gt;""Incompleto""),0)=0,0,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substrato"",Data_filtered!$A$2:$A$461=P$1,Data_filtered!$D$2:$D$461=""mata"",Data_filtere"&amp;"d!$J$2:$J$461&lt;&gt;""Incompleto""))), "" indiv."","" - "", SUMIFS(Data_filtered!$G$2:$G$461,Data_filtered!$A$2:$A$461,P$1,Data_filtered!$E$2:$E$461,""&lt;&gt;Não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6 indiv. - 28 items")</f>
        <v>Atlantic Forest
6 indiv. - 28 items</v>
      </c>
      <c r="R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substrato"",Data_filtered!$A$2:$A$461=R$1,Data_filtered!$D$2:$D$461=""eucalipto"",Data_filtered!$J$2:$J$461&lt;&gt;""Incompleto""),0)=0,0,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substrato"",Data_filtered!$A$2:$A$461=R$1,Data_filtered!$D$2:$D$461=""eucalipto"",Data_"&amp;"filtered!$J$2:$J$461&lt;&gt;""Incompleto""))),"" indiv."",
  "" - "",
  SUMIFS(Data_filtered!$G$2:$G$461,Data_filtered!$A$2:$A$461,R$1,Data_filtered!$E$2:$E$461,""&lt;&gt;Não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1 indiv. - 1 items")</f>
        <v>Eucalyptus
1 indiv. - 1 items</v>
      </c>
      <c r="S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substrato"",Data_filtered!$A$2:$A$461=R$1,Data_filtered!$D$2:$D$461=""mata"",Data_filtered!$J$2:$J$461&lt;&gt;""Incompleto""),0)=0,0,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substrato"",Data_filtered!$A$2:$A$461=R$1,Data_filtered!$D$2:$D$461=""mata"",Data_filtere"&amp;"d!$J$2:$J$461&lt;&gt;""Incompleto""))), "" indiv."","" - "", SUMIFS(Data_filtered!$G$2:$G$461,Data_filtered!$A$2:$A$461,R$1,Data_filtered!$E$2:$E$461,""&lt;&gt;Não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7 indiv. - 17 items")</f>
        <v>Atlantic Forest
7 indiv. - 17 items</v>
      </c>
      <c r="T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substrato"",Data_filtered!$A$2:$A$461=T$1,Data_filtered!$D$2:$D$461=""eucalipto"",Data_filtered!$J$2:$J$461&lt;&gt;""Incompleto""),0)=0,0,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substrato"",Data_filtered!$A$2:$A$461=T$1,Data_filtered!$D$2:$D$461=""eucalipto"",Data_"&amp;"filtered!$J$2:$J$461&lt;&gt;""Incompleto""))),"" indiv."",
  "" - "",
  SUMIFS(Data_filtered!$G$2:$G$461,Data_filtered!$A$2:$A$461,T$1,Data_filtered!$E$2:$E$461,""&lt;&gt;Não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0 indiv. - 0 items")</f>
        <v>Eucalyptus
0 indiv. - 0 items</v>
      </c>
      <c r="U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substrato"",Data_filtered!$A$2:$A$461=T$1,Data_filtered!$D$2:$D$461=""mata"",Data_filtered!$J$2:$J$461&lt;&gt;""Incompleto""),0)=0,0,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substrato"",Data_filtered!$A$2:$A$461=T$1,Data_filtered!$D$2:$D$461=""mata"",Data_filtere"&amp;"d!$J$2:$J$461&lt;&gt;""Incompleto""))), "" indiv."","" - "", SUMIFS(Data_filtered!$G$2:$G$461,Data_filtered!$A$2:$A$461,T$1,Data_filtered!$E$2:$E$461,""&lt;&gt;Não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3 indiv. - 6 items")</f>
        <v>Atlantic Forest
3 indiv. - 6 items</v>
      </c>
      <c r="V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substrato"",Data_filtered!$A$2:$A$461=V$1,Data_filtered!$D$2:$D$461=""eucalipto"",Data_filtered!$J$2:$J$461&lt;&gt;""Incompleto""),0)=0,0,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substrato"",Data_filtered!$A$2:$A$461=V$1,Data_filtered!$D$2:$D$461=""eucalipto"",Data_"&amp;"filtered!$J$2:$J$461&lt;&gt;""Incompleto""))),"" indiv."",
  "" - "",
  SUMIFS(Data_filtered!$G$2:$G$461,Data_filtered!$A$2:$A$461,V$1,Data_filtered!$E$2:$E$461,""&lt;&gt;Não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2 indiv. - 13 items")</f>
        <v>Eucalyptus
2 indiv. - 13 items</v>
      </c>
      <c r="W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substrato"",Data_filtered!$A$2:$A$461=V$1,Data_filtered!$D$2:$D$461=""mata"",Data_filtered!$J$2:$J$461&lt;&gt;""Incompleto""),0)=0,0,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substrato"",Data_filtered!$A$2:$A$461=V$1,Data_filtered!$D$2:$D$461=""mata"",Data_filtere"&amp;"d!$J$2:$J$461&lt;&gt;""Incompleto""))), "" indiv."","" - "", SUMIFS(Data_filtered!$G$2:$G$461,Data_filtered!$A$2:$A$461,V$1,Data_filtered!$E$2:$E$461,""&lt;&gt;Não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10 indiv. - 193 items")</f>
        <v>Atlantic Forest
10 indiv. - 193 items</v>
      </c>
      <c r="X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substrato"",Data_filtered!$A$2:$A$461=X$1,Data_filtered!$D$2:$D$461=""eucalipto"",Data_filtered!$J$2:$J$461&lt;&gt;""Incompleto""),0)=0,0,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substrato"",Data_filtered!$A$2:$A$461=X$1,Data_filtered!$D$2:$D$461=""eucalipto"",Data_"&amp;"filtered!$J$2:$J$461&lt;&gt;""Incompleto""))),"" indiv."",
  "" - "",
  SUMIFS(Data_filtered!$G$2:$G$461,Data_filtered!$A$2:$A$461,X$1,Data_filtered!$E$2:$E$461,""&lt;&gt;Não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0 indiv. - 0 items")</f>
        <v>Eucalyptus
0 indiv. - 0 items</v>
      </c>
      <c r="Y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substrato"",Data_filtered!$A$2:$A$461=X$1,Data_filtered!$D$2:$D$461=""mata"",Data_filtered!$J$2:$J$461&lt;&gt;""Incompleto""),0)=0,0,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substrato"",Data_filtered!$A$2:$A$461=X$1,Data_filtered!$D$2:$D$461=""mata"",Data_filtere"&amp;"d!$J$2:$J$461&lt;&gt;""Incompleto""))), "" indiv."","" - "", SUMIFS(Data_filtered!$G$2:$G$461,Data_filtered!$A$2:$A$461,X$1,Data_filtered!$E$2:$E$461,""&lt;&gt;Não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2 indiv. - 69 items")</f>
        <v>Atlantic Forest
2 indiv. - 69 items</v>
      </c>
      <c r="Z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substrato"",Data_filtered!$A$2:$A$461=Z$1,Data_filtered!$D$2:$D$461=""eucalipto"",Data_filtered!$J$2:$J$461&lt;&gt;""Incompleto""),0)=0,0,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substrato"",Data_filtered!$A$2:$A$461=Z$1,Data_filtered!$D$2:$D$461=""eucalipto"",Data_"&amp;"filtered!$J$2:$J$461&lt;&gt;""Incompleto""))),"" indiv."",
  "" - "",
  SUMIFS(Data_filtered!$G$2:$G$461,Data_filtered!$A$2:$A$461,Z$1,Data_filtered!$E$2:$E$461,""&lt;&gt;Não identificado"",Data_filtered!$E$2:$E$461,""&lt;&gt;Semente"",Data_filtered!$E$2:$E$461,""&lt;&gt;Semente"&amp;" de capim"",Data_filtered!$E$2:$E$461,""&lt;&gt;Apenas substrato"",Data_filtered!$D$2:$D$461,""=eucalipto"",Data_filtered!$J$2:$J$461,""&lt;&gt;Incompleto""), "" items""
)"),"Eucalyptus
0 indiv. - 0 items")</f>
        <v>Eucalyptus
0 indiv. - 0 items</v>
      </c>
      <c r="AA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substrato"",Data_filtered!$A$2:$A$461=Z$1,Data_filtered!$D$2:$D$461=""mata"",Data_filtered!$J$2:$J$461&lt;&gt;""Incompleto""),0)=0,0, COUNTUNIQUE(FILTER(Data_filtered!$B$2:$B$461,Data_filtered!$E$2:$E$461&lt;&gt;""Vazio"",Data_"&amp;"filtered!$E$2:$E$461&lt;&gt;""Não identificado"",Data_filtered!$E$2:$E$461&lt;&gt;""Semente"",Data_filtered!$E$2:$E$461&lt;&gt;""Semente de capim"",Data_filtered!$E$2:$E$461&lt;&gt;""Apenas substrato"",Data_filtered!$A$2:$A$461=Z$1,Data_filtered!$D$2:$D$461=""mata"",Data_filtere"&amp;"d!$J$2:$J$461&lt;&gt;""Incompleto""))), "" indiv."","" - "", SUMIFS(Data_filtered!$G$2:$G$461,Data_filtered!$A$2:$A$461,Z$1,Data_filtered!$E$2:$E$461,""&lt;&gt;Não identificado"",Data_filtered!$E$2:$E$461,""&lt;&gt;Semente"",Data_filtered!$E$2:$E$461,""&lt;&gt;Semente de capim"""&amp;",Data_filtered!$E$2:$E$461,""&lt;&gt;Apenas substrato"",Data_filtered!$D$2:$D$461,""=mata"",Data_filtered!$J$2:$J$461,""&lt;&gt;Incompleto""), "" items"")"),"Atlantic Forest
4 indiv. - 7 items")</f>
        <v>Atlantic Forest
4 indiv. - 7 items</v>
      </c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</row>
    <row r="3">
      <c r="A3" s="9" t="str">
        <f>IFERROR(__xludf.DUMMYFUNCTION("SORT(UNIQUE(FILTER(Data_filtered!F2:F461,Data_filtered!E$2:E$461&lt;&gt;""Não identificado"",Data_filtered!E$2:E$461&lt;&gt;""Semente"",Data_filtered!E$2:E$461&lt;&gt;""Semente de capim"",Data_filtered!E$2:E$461&lt;&gt;""Apenas substrato"",Data_filtered!E$2:E$461&lt;&gt;""Vazio"", Dat"&amp;"a_filtered!$J$2:$J$461&lt;&gt;""Incompleto"")))"),"Acari")</f>
        <v>Acari</v>
      </c>
      <c r="B3" s="109" t="str">
        <f>IF(SUMIFS(Data_filtered!$G$2:$G$461,Data_filtered!$A$2:$A$461,B$1,Data_filtered!$F$2:$F$461,$A3, Data_filtered!$D$2:$D$461,"eucalipto",Data_filtered!$J$2:$J$461,"&lt;&gt;Incompleto")=0, "-", SUMIFS(Data_filtered!$K$2:$K$461,Data_filtered!$A$2:$A$461,B$1,Data_filtered!$F$2:$F$461,$A3,Data_filtered!$D$2:$D$461,"eucalipto",Data_filtered!$J$2:$J$461,"&lt;&gt;Incompleto"))</f>
        <v>-</v>
      </c>
      <c r="C3" s="109">
        <f>IF(SUMIFS(Data_filtered!$G$2:$G$461,Data_filtered!$A$2:$A$461,B$1,Data_filtered!$F$2:$F$461,$A3, Data_filtered!$D$2:$D$461,"mata",Data_filtered!$J$2:$J$461,"&lt;&gt;Incompleto")=0, "-", SUMIFS(Data_filtered!$K$2:$K$461,Data_filtered!$A$2:$A$461,B$1,Data_filtered!$F$2:$F$461,$A3,Data_filtered!$D$2:$D$461,"mata",Data_filtered!$J$2:$J$461,"&lt;&gt;Incompleto"))</f>
        <v>4.188790205</v>
      </c>
      <c r="D3" s="109">
        <f>IF(SUMIFS(Data_filtered!$G$2:$G$461,Data_filtered!$A$2:$A$461,D$1,Data_filtered!$F$2:$F$461,$A3, Data_filtered!$D$2:$D$461,"eucalipto",Data_filtered!$J$2:$J$461,"&lt;&gt;Incompleto")=0, "-", SUMIFS(Data_filtered!$K$2:$K$461,Data_filtered!$A$2:$A$461,D$1,Data_filtered!$F$2:$F$461,$A3,Data_filtered!$D$2:$D$461,"eucalipto",Data_filtered!$J$2:$J$461,"&lt;&gt;Incompleto"))</f>
        <v>0.5235987756</v>
      </c>
      <c r="E3" s="109" t="str">
        <f>IF(SUMIFS(Data_filtered!$G$2:$G$461,Data_filtered!$A$2:$A$461,D$1,Data_filtered!$F$2:$F$461,$A3, Data_filtered!$D$2:$D$461,"mata",Data_filtered!$J$2:$J$461,"&lt;&gt;Incompleto")=0, "-", SUMIFS(Data_filtered!$K$2:$K$461,Data_filtered!$A$2:$A$461,D$1,Data_filtered!$F$2:$F$461,$A3,Data_filtered!$D$2:$D$461,"mata",Data_filtered!$J$2:$J$461,"&lt;&gt;Incompleto"))</f>
        <v>-</v>
      </c>
      <c r="F3" s="109" t="str">
        <f>IF(SUMIFS(Data_filtered!$G$2:$G$461,Data_filtered!$A$2:$A$461,F$1,Data_filtered!$F$2:$F$461,$A3, Data_filtered!$D$2:$D$461,"eucalipto",Data_filtered!$J$2:$J$461,"&lt;&gt;Incompleto")=0, "-", SUMIFS(Data_filtered!$K$2:$K$461,Data_filtered!$A$2:$A$461,F$1,Data_filtered!$F$2:$F$461,$A3,Data_filtered!$D$2:$D$461,"eucalipto",Data_filtered!$J$2:$J$461,"&lt;&gt;Incompleto"))</f>
        <v>-</v>
      </c>
      <c r="G3" s="109" t="str">
        <f>IF(SUMIFS(Data_filtered!$G$2:$G$461,Data_filtered!$A$2:$A$461,F$1,Data_filtered!$F$2:$F$461,$A3, Data_filtered!$D$2:$D$461,"mata",Data_filtered!$J$2:$J$461,"&lt;&gt;Incompleto")=0, "-", SUMIFS(Data_filtered!$K$2:$K$461,Data_filtered!$A$2:$A$461,F$1,Data_filtered!$F$2:$F$461,$A3,Data_filtered!$D$2:$D$461,"mata",Data_filtered!$J$2:$J$461,"&lt;&gt;Incompleto"))</f>
        <v>-</v>
      </c>
      <c r="H3" s="109" t="str">
        <f>IF(SUMIFS(Data_filtered!$G$2:$G$461,Data_filtered!$A$2:$A$461,H$1,Data_filtered!$F$2:$F$461,$A3, Data_filtered!$D$2:$D$461,"eucalipto",Data_filtered!$J$2:$J$461,"&lt;&gt;Incompleto")=0, "-", SUMIFS(Data_filtered!$K$2:$K$461,Data_filtered!$A$2:$A$461,H$1,Data_filtered!$F$2:$F$461,$A3,Data_filtered!$D$2:$D$461,"eucalipto",Data_filtered!$J$2:$J$461,"&lt;&gt;Incompleto"))</f>
        <v>-</v>
      </c>
      <c r="I3" s="109" t="str">
        <f>IF(SUMIFS(Data_filtered!$G$2:$G$461,Data_filtered!$A$2:$A$461,H$1,Data_filtered!$F$2:$F$461,$A3, Data_filtered!$D$2:$D$461,"mata",Data_filtered!$J$2:$J$461,"&lt;&gt;Incompleto")=0, "-", SUMIFS(Data_filtered!$K$2:$K$461,Data_filtered!$A$2:$A$461,H$1,Data_filtered!$F$2:$F$461,$A3,Data_filtered!$D$2:$D$461,"mata",Data_filtered!$J$2:$J$461,"&lt;&gt;Incompleto"))</f>
        <v>-</v>
      </c>
      <c r="J3" s="109" t="str">
        <f>IF(SUMIFS(Data_filtered!$G$2:$G$461,Data_filtered!$A$2:$A$461,J$1,Data_filtered!$F$2:$F$461,$A3, Data_filtered!$D$2:$D$461,"eucalipto",Data_filtered!$J$2:$J$461,"&lt;&gt;Incompleto")=0, "-", SUMIFS(Data_filtered!$K$2:$K$461,Data_filtered!$A$2:$A$461,J$1,Data_filtered!$F$2:$F$461,$A3,Data_filtered!$D$2:$D$461,"eucalipto",Data_filtered!$J$2:$J$461,"&lt;&gt;Incompleto"))</f>
        <v>-</v>
      </c>
      <c r="K3" s="109" t="str">
        <f>IF(SUMIFS(Data_filtered!$G$2:$G$461,Data_filtered!$A$2:$A$461,J$1,Data_filtered!$F$2:$F$461,$A3, Data_filtered!$D$2:$D$461,"mata",Data_filtered!$J$2:$J$461,"&lt;&gt;Incompleto")=0, "-", SUMIFS(Data_filtered!$K$2:$K$461,Data_filtered!$A$2:$A$461,J$1,Data_filtered!$F$2:$F$461,$A3,Data_filtered!$D$2:$D$461,"mata",Data_filtered!$J$2:$J$461,"&lt;&gt;Incompleto"))</f>
        <v>-</v>
      </c>
      <c r="L3" s="109" t="str">
        <f>IF(SUMIFS(Data_filtered!$G$2:$G$461,Data_filtered!$A$2:$A$461,L$1,Data_filtered!$F$2:$F$461,$A3, Data_filtered!$D$2:$D$461,"eucalipto",Data_filtered!$J$2:$J$461,"&lt;&gt;Incompleto")=0, "-", SUMIFS(Data_filtered!$K$2:$K$461,Data_filtered!$A$2:$A$461,L$1,Data_filtered!$F$2:$F$461,$A3,Data_filtered!$D$2:$D$461,"eucalipto",Data_filtered!$J$2:$J$461,"&lt;&gt;Incompleto"))</f>
        <v>-</v>
      </c>
      <c r="M3" s="109" t="str">
        <f>IF(SUMIFS(Data_filtered!$G$2:$G$461,Data_filtered!$A$2:$A$461,L$1,Data_filtered!$F$2:$F$461,$A3, Data_filtered!$D$2:$D$461,"mata",Data_filtered!$J$2:$J$461,"&lt;&gt;Incompleto")=0, "-", SUMIFS(Data_filtered!$K$2:$K$461,Data_filtered!$A$2:$A$461,L$1,Data_filtered!$F$2:$F$461,$A3,Data_filtered!$D$2:$D$461,"mata",Data_filtered!$J$2:$J$461,"&lt;&gt;Incompleto"))</f>
        <v>-</v>
      </c>
      <c r="N3" s="109" t="str">
        <f>IF(SUMIFS(Data_filtered!$G$2:$G$461,Data_filtered!$A$2:$A$461,N$1,Data_filtered!$F$2:$F$461,$A3, Data_filtered!$D$2:$D$461,"eucalipto",Data_filtered!$J$2:$J$461,"&lt;&gt;Incompleto")=0, "-", SUMIFS(Data_filtered!$K$2:$K$461,Data_filtered!$A$2:$A$461,N$1,Data_filtered!$F$2:$F$461,$A3,Data_filtered!$D$2:$D$461,"eucalipto",Data_filtered!$J$2:$J$461,"&lt;&gt;Incompleto"))</f>
        <v>-</v>
      </c>
      <c r="O3" s="109" t="str">
        <f>IF(SUMIFS(Data_filtered!$G$2:$G$461,Data_filtered!$A$2:$A$461,N$1,Data_filtered!$F$2:$F$461,$A3, Data_filtered!$D$2:$D$461,"mata",Data_filtered!$J$2:$J$461,"&lt;&gt;Incompleto")=0, "-", SUMIFS(Data_filtered!$K$2:$K$461,Data_filtered!$A$2:$A$461,N$1,Data_filtered!$F$2:$F$461,$A3,Data_filtered!$D$2:$D$461,"mata",Data_filtered!$J$2:$J$461,"&lt;&gt;Incompleto"))</f>
        <v>-</v>
      </c>
      <c r="P3" s="109" t="str">
        <f>IF(SUMIFS(Data_filtered!$G$2:$G$461,Data_filtered!$A$2:$A$461,P$1,Data_filtered!$F$2:$F$461,$A3, Data_filtered!$D$2:$D$461,"eucalipto",Data_filtered!$J$2:$J$461,"&lt;&gt;Incompleto")=0, "-", SUMIFS(Data_filtered!$K$2:$K$461,Data_filtered!$A$2:$A$461,P$1,Data_filtered!$F$2:$F$461,$A3,Data_filtered!$D$2:$D$461,"eucalipto",Data_filtered!$J$2:$J$461,"&lt;&gt;Incompleto"))</f>
        <v>-</v>
      </c>
      <c r="Q3" s="109" t="str">
        <f>IF(SUMIFS(Data_filtered!$G$2:$G$461,Data_filtered!$A$2:$A$461,P$1,Data_filtered!$F$2:$F$461,$A3, Data_filtered!$D$2:$D$461,"mata",Data_filtered!$J$2:$J$461,"&lt;&gt;Incompleto")=0, "-", SUMIFS(Data_filtered!$K$2:$K$461,Data_filtered!$A$2:$A$461,P$1,Data_filtered!$F$2:$F$461,$A3,Data_filtered!$D$2:$D$461,"mata",Data_filtered!$J$2:$J$461,"&lt;&gt;Incompleto"))</f>
        <v>-</v>
      </c>
      <c r="R3" s="109" t="str">
        <f>IF(SUMIFS(Data_filtered!$G$2:$G$461,Data_filtered!$A$2:$A$461,R$1,Data_filtered!$F$2:$F$461,$A3, Data_filtered!$D$2:$D$461,"eucalipto",Data_filtered!$J$2:$J$461,"&lt;&gt;Incompleto")=0, "-", SUMIFS(Data_filtered!$K$2:$K$461,Data_filtered!$A$2:$A$461,R$1,Data_filtered!$F$2:$F$461,$A3,Data_filtered!$D$2:$D$461,"eucalipto",Data_filtered!$J$2:$J$461,"&lt;&gt;Incompleto"))</f>
        <v>-</v>
      </c>
      <c r="S3" s="109">
        <f>IF(SUMIFS(Data_filtered!$G$2:$G$461,Data_filtered!$A$2:$A$461,R$1,Data_filtered!$F$2:$F$461,$A3, Data_filtered!$D$2:$D$461,"mata",Data_filtered!$J$2:$J$461,"&lt;&gt;Incompleto")=0, "-", SUMIFS(Data_filtered!$K$2:$K$461,Data_filtered!$A$2:$A$461,R$1,Data_filtered!$F$2:$F$461,$A3,Data_filtered!$D$2:$D$461,"mata",Data_filtered!$J$2:$J$461,"&lt;&gt;Incompleto"))</f>
        <v>8.37758041</v>
      </c>
      <c r="T3" s="109" t="str">
        <f>IF(SUMIFS(Data_filtered!$G$2:$G$461,Data_filtered!$A$2:$A$461,T$1,Data_filtered!$F$2:$F$461,$A3, Data_filtered!$D$2:$D$461,"eucalipto",Data_filtered!$J$2:$J$461,"&lt;&gt;Incompleto")=0, "-", SUMIFS(Data_filtered!$K$2:$K$461,Data_filtered!$A$2:$A$461,T$1,Data_filtered!$F$2:$F$461,$A3,Data_filtered!$D$2:$D$461,"eucalipto",Data_filtered!$J$2:$J$461,"&lt;&gt;Incompleto"))</f>
        <v>-</v>
      </c>
      <c r="U3" s="109" t="str">
        <f>IF(SUMIFS(Data_filtered!$G$2:$G$461,Data_filtered!$A$2:$A$461,T$1,Data_filtered!$F$2:$F$461,$A3, Data_filtered!$D$2:$D$461,"mata",Data_filtered!$J$2:$J$461,"&lt;&gt;Incompleto")=0, "-", SUMIFS(Data_filtered!$K$2:$K$461,Data_filtered!$A$2:$A$461,T$1,Data_filtered!$F$2:$F$461,$A3,Data_filtered!$D$2:$D$461,"mata",Data_filtered!$J$2:$J$461,"&lt;&gt;Incompleto"))</f>
        <v>-</v>
      </c>
      <c r="V3" s="109" t="str">
        <f>IF(SUMIFS(Data_filtered!$G$2:$G$461,Data_filtered!$A$2:$A$461,V$1,Data_filtered!$F$2:$F$461,$A3, Data_filtered!$D$2:$D$461,"eucalipto",Data_filtered!$J$2:$J$461,"&lt;&gt;Incompleto")=0, "-", SUMIFS(Data_filtered!$K$2:$K$461,Data_filtered!$A$2:$A$461,V$1,Data_filtered!$F$2:$F$461,$A3,Data_filtered!$D$2:$D$461,"eucalipto",Data_filtered!$J$2:$J$461,"&lt;&gt;Incompleto"))</f>
        <v>-</v>
      </c>
      <c r="W3" s="109" t="str">
        <f>IF(SUMIFS(Data_filtered!$G$2:$G$461,Data_filtered!$A$2:$A$461,V$1,Data_filtered!$F$2:$F$461,$A3, Data_filtered!$D$2:$D$461,"mata",Data_filtered!$J$2:$J$461,"&lt;&gt;Incompleto")=0, "-", SUMIFS(Data_filtered!$K$2:$K$461,Data_filtered!$A$2:$A$461,V$1,Data_filtered!$F$2:$F$461,$A3,Data_filtered!$D$2:$D$461,"mata",Data_filtered!$J$2:$J$461,"&lt;&gt;Incompleto"))</f>
        <v>-</v>
      </c>
      <c r="X3" s="109" t="str">
        <f>IF(SUMIFS(Data_filtered!$G$2:$G$461,Data_filtered!$A$2:$A$461,X$1,Data_filtered!$F$2:$F$461,$A3, Data_filtered!$D$2:$D$461,"eucalipto",Data_filtered!$J$2:$J$461,"&lt;&gt;Incompleto")=0, "-", SUMIFS(Data_filtered!$K$2:$K$461,Data_filtered!$A$2:$A$461,X$1,Data_filtered!$F$2:$F$461,$A3,Data_filtered!$D$2:$D$461,"eucalipto",Data_filtered!$J$2:$J$461,"&lt;&gt;Incompleto"))</f>
        <v>-</v>
      </c>
      <c r="Y3" s="109" t="str">
        <f>IF(SUMIFS(Data_filtered!$G$2:$G$461,Data_filtered!$A$2:$A$461,X$1,Data_filtered!$F$2:$F$461,$A3, Data_filtered!$D$2:$D$461,"mata",Data_filtered!$J$2:$J$461,"&lt;&gt;Incompleto")=0, "-", SUMIFS(Data_filtered!$K$2:$K$461,Data_filtered!$A$2:$A$461,X$1,Data_filtered!$F$2:$F$461,$A3,Data_filtered!$D$2:$D$461,"mata",Data_filtered!$J$2:$J$461,"&lt;&gt;Incompleto"))</f>
        <v>-</v>
      </c>
      <c r="Z3" s="109" t="str">
        <f>IF(SUMIFS(Data_filtered!$G$2:$G$461,Data_filtered!$A$2:$A$461,Z$1,Data_filtered!$F$2:$F$461,$A3, Data_filtered!$D$2:$D$461,"eucalipto",Data_filtered!$J$2:$J$461,"&lt;&gt;Incompleto")=0, "-", SUMIFS(Data_filtered!$K$2:$K$461,Data_filtered!$A$2:$A$461,Z$1,Data_filtered!$F$2:$F$461,$A3,Data_filtered!$D$2:$D$461,"eucalipto",Data_filtered!$J$2:$J$461,"&lt;&gt;Incompleto"))</f>
        <v>-</v>
      </c>
      <c r="AA3" s="109" t="str">
        <f>IF(SUMIFS(Data_filtered!$G$2:$G$461,Data_filtered!$A$2:$A$461,Z$1,Data_filtered!$F$2:$F$461,$A3, Data_filtered!$D$2:$D$461,"mata",Data_filtered!$J$2:$J$461,"&lt;&gt;Incompleto")=0, "-", SUMIFS(Data_filtered!$K$2:$K$461,Data_filtered!$A$2:$A$461,Z$1,Data_filtered!$F$2:$F$461,$A3,Data_filtered!$D$2:$D$461,"mata",Data_filtered!$J$2:$J$461,"&lt;&gt;Incompleto"))</f>
        <v>-</v>
      </c>
      <c r="AB3" s="106"/>
      <c r="AC3" s="107"/>
      <c r="AD3" s="106"/>
      <c r="AE3" s="107"/>
      <c r="AF3" s="106"/>
      <c r="AG3" s="107"/>
      <c r="AH3" s="106"/>
      <c r="AI3" s="107"/>
      <c r="AJ3" s="106"/>
      <c r="AK3" s="107"/>
      <c r="AL3" s="106"/>
      <c r="AM3" s="107"/>
      <c r="AN3" s="106"/>
      <c r="AO3" s="107"/>
      <c r="AP3" s="106"/>
      <c r="AQ3" s="107"/>
      <c r="AR3" s="106"/>
      <c r="AS3" s="107"/>
    </row>
    <row r="4">
      <c r="A4" s="9" t="str">
        <f>IFERROR(__xludf.DUMMYFUNCTION("""COMPUTED_VALUE"""),"Araneae")</f>
        <v>Araneae</v>
      </c>
      <c r="B4" s="109" t="str">
        <f>IF(SUMIFS(Data_filtered!$G$2:$G$461,Data_filtered!$A$2:$A$461,B$1,Data_filtered!$F$2:$F$461,$A4, Data_filtered!$D$2:$D$461,"eucalipto",Data_filtered!$J$2:$J$461,"&lt;&gt;Incompleto")=0, "-", SUMIFS(Data_filtered!$K$2:$K$461,Data_filtered!$A$2:$A$461,B$1,Data_filtered!$F$2:$F$461,$A4,Data_filtered!$D$2:$D$461,"eucalipto",Data_filtered!$J$2:$J$461,"&lt;&gt;Incompleto"))</f>
        <v>-</v>
      </c>
      <c r="C4" s="109">
        <f>IF(SUMIFS(Data_filtered!$G$2:$G$461,Data_filtered!$A$2:$A$461,B$1,Data_filtered!$F$2:$F$461,$A4, Data_filtered!$D$2:$D$461,"mata",Data_filtered!$J$2:$J$461,"&lt;&gt;Incompleto")=0, "-", SUMIFS(Data_filtered!$K$2:$K$461,Data_filtered!$A$2:$A$461,B$1,Data_filtered!$F$2:$F$461,$A4,Data_filtered!$D$2:$D$461,"mata",Data_filtered!$J$2:$J$461,"&lt;&gt;Incompleto"))</f>
        <v>2375.044046</v>
      </c>
      <c r="D4" s="109" t="str">
        <f>IF(SUMIFS(Data_filtered!$G$2:$G$461,Data_filtered!$A$2:$A$461,D$1,Data_filtered!$F$2:$F$461,$A4, Data_filtered!$D$2:$D$461,"eucalipto",Data_filtered!$J$2:$J$461,"&lt;&gt;Incompleto")=0, "-", SUMIFS(Data_filtered!$K$2:$K$461,Data_filtered!$A$2:$A$461,D$1,Data_filtered!$F$2:$F$461,$A4,Data_filtered!$D$2:$D$461,"eucalipto",Data_filtered!$J$2:$J$461,"&lt;&gt;Incompleto"))</f>
        <v>-</v>
      </c>
      <c r="E4" s="109" t="str">
        <f>IF(SUMIFS(Data_filtered!$G$2:$G$461,Data_filtered!$A$2:$A$461,D$1,Data_filtered!$F$2:$F$461,$A4, Data_filtered!$D$2:$D$461,"mata",Data_filtered!$J$2:$J$461,"&lt;&gt;Incompleto")=0, "-", SUMIFS(Data_filtered!$K$2:$K$461,Data_filtered!$A$2:$A$461,D$1,Data_filtered!$F$2:$F$461,$A4,Data_filtered!$D$2:$D$461,"mata",Data_filtered!$J$2:$J$461,"&lt;&gt;Incompleto"))</f>
        <v>-</v>
      </c>
      <c r="F4" s="109" t="str">
        <f>IF(SUMIFS(Data_filtered!$G$2:$G$461,Data_filtered!$A$2:$A$461,F$1,Data_filtered!$F$2:$F$461,$A4, Data_filtered!$D$2:$D$461,"eucalipto",Data_filtered!$J$2:$J$461,"&lt;&gt;Incompleto")=0, "-", SUMIFS(Data_filtered!$K$2:$K$461,Data_filtered!$A$2:$A$461,F$1,Data_filtered!$F$2:$F$461,$A4,Data_filtered!$D$2:$D$461,"eucalipto",Data_filtered!$J$2:$J$461,"&lt;&gt;Incompleto"))</f>
        <v>-</v>
      </c>
      <c r="G4" s="109">
        <f>IF(SUMIFS(Data_filtered!$G$2:$G$461,Data_filtered!$A$2:$A$461,F$1,Data_filtered!$F$2:$F$461,$A4, Data_filtered!$D$2:$D$461,"mata",Data_filtered!$J$2:$J$461,"&lt;&gt;Incompleto")=0, "-", SUMIFS(Data_filtered!$K$2:$K$461,Data_filtered!$A$2:$A$461,F$1,Data_filtered!$F$2:$F$461,$A4,Data_filtered!$D$2:$D$461,"mata",Data_filtered!$J$2:$J$461,"&lt;&gt;Incompleto"))</f>
        <v>12.56637061</v>
      </c>
      <c r="H4" s="109" t="str">
        <f>IF(SUMIFS(Data_filtered!$G$2:$G$461,Data_filtered!$A$2:$A$461,H$1,Data_filtered!$F$2:$F$461,$A4, Data_filtered!$D$2:$D$461,"eucalipto",Data_filtered!$J$2:$J$461,"&lt;&gt;Incompleto")=0, "-", SUMIFS(Data_filtered!$K$2:$K$461,Data_filtered!$A$2:$A$461,H$1,Data_filtered!$F$2:$F$461,$A4,Data_filtered!$D$2:$D$461,"eucalipto",Data_filtered!$J$2:$J$461,"&lt;&gt;Incompleto"))</f>
        <v>-</v>
      </c>
      <c r="I4" s="109">
        <f>IF(SUMIFS(Data_filtered!$G$2:$G$461,Data_filtered!$A$2:$A$461,H$1,Data_filtered!$F$2:$F$461,$A4, Data_filtered!$D$2:$D$461,"mata",Data_filtered!$J$2:$J$461,"&lt;&gt;Incompleto")=0, "-", SUMIFS(Data_filtered!$K$2:$K$461,Data_filtered!$A$2:$A$461,H$1,Data_filtered!$F$2:$F$461,$A4,Data_filtered!$D$2:$D$461,"mata",Data_filtered!$J$2:$J$461,"&lt;&gt;Incompleto"))</f>
        <v>104.7197551</v>
      </c>
      <c r="J4" s="109" t="str">
        <f>IF(SUMIFS(Data_filtered!$G$2:$G$461,Data_filtered!$A$2:$A$461,J$1,Data_filtered!$F$2:$F$461,$A4, Data_filtered!$D$2:$D$461,"eucalipto",Data_filtered!$J$2:$J$461,"&lt;&gt;Incompleto")=0, "-", SUMIFS(Data_filtered!$K$2:$K$461,Data_filtered!$A$2:$A$461,J$1,Data_filtered!$F$2:$F$461,$A4,Data_filtered!$D$2:$D$461,"eucalipto",Data_filtered!$J$2:$J$461,"&lt;&gt;Incompleto"))</f>
        <v>-</v>
      </c>
      <c r="K4" s="109" t="str">
        <f>IF(SUMIFS(Data_filtered!$G$2:$G$461,Data_filtered!$A$2:$A$461,J$1,Data_filtered!$F$2:$F$461,$A4, Data_filtered!$D$2:$D$461,"mata",Data_filtered!$J$2:$J$461,"&lt;&gt;Incompleto")=0, "-", SUMIFS(Data_filtered!$K$2:$K$461,Data_filtered!$A$2:$A$461,J$1,Data_filtered!$F$2:$F$461,$A4,Data_filtered!$D$2:$D$461,"mata",Data_filtered!$J$2:$J$461,"&lt;&gt;Incompleto"))</f>
        <v>-</v>
      </c>
      <c r="L4" s="109">
        <f>IF(SUMIFS(Data_filtered!$G$2:$G$461,Data_filtered!$A$2:$A$461,L$1,Data_filtered!$F$2:$F$461,$A4, Data_filtered!$D$2:$D$461,"eucalipto",Data_filtered!$J$2:$J$461,"&lt;&gt;Incompleto")=0, "-", SUMIFS(Data_filtered!$K$2:$K$461,Data_filtered!$A$2:$A$461,L$1,Data_filtered!$F$2:$F$461,$A4,Data_filtered!$D$2:$D$461,"eucalipto",Data_filtered!$J$2:$J$461,"&lt;&gt;Incompleto"))</f>
        <v>397.9350695</v>
      </c>
      <c r="M4" s="109" t="str">
        <f>IF(SUMIFS(Data_filtered!$G$2:$G$461,Data_filtered!$A$2:$A$461,L$1,Data_filtered!$F$2:$F$461,$A4, Data_filtered!$D$2:$D$461,"mata",Data_filtered!$J$2:$J$461,"&lt;&gt;Incompleto")=0, "-", SUMIFS(Data_filtered!$K$2:$K$461,Data_filtered!$A$2:$A$461,L$1,Data_filtered!$F$2:$F$461,$A4,Data_filtered!$D$2:$D$461,"mata",Data_filtered!$J$2:$J$461,"&lt;&gt;Incompleto"))</f>
        <v>-</v>
      </c>
      <c r="N4" s="109">
        <f>IF(SUMIFS(Data_filtered!$G$2:$G$461,Data_filtered!$A$2:$A$461,N$1,Data_filtered!$F$2:$F$461,$A4, Data_filtered!$D$2:$D$461,"eucalipto",Data_filtered!$J$2:$J$461,"&lt;&gt;Incompleto")=0, "-", SUMIFS(Data_filtered!$K$2:$K$461,Data_filtered!$A$2:$A$461,N$1,Data_filtered!$F$2:$F$461,$A4,Data_filtered!$D$2:$D$461,"eucalipto",Data_filtered!$J$2:$J$461,"&lt;&gt;Incompleto"))</f>
        <v>67.02064328</v>
      </c>
      <c r="O4" s="109">
        <f>IF(SUMIFS(Data_filtered!$G$2:$G$461,Data_filtered!$A$2:$A$461,N$1,Data_filtered!$F$2:$F$461,$A4, Data_filtered!$D$2:$D$461,"mata",Data_filtered!$J$2:$J$461,"&lt;&gt;Incompleto")=0, "-", SUMIFS(Data_filtered!$K$2:$K$461,Data_filtered!$A$2:$A$461,N$1,Data_filtered!$F$2:$F$461,$A4,Data_filtered!$D$2:$D$461,"mata",Data_filtered!$J$2:$J$461,"&lt;&gt;Incompleto"))</f>
        <v>397.9350695</v>
      </c>
      <c r="P4" s="109" t="str">
        <f>IF(SUMIFS(Data_filtered!$G$2:$G$461,Data_filtered!$A$2:$A$461,P$1,Data_filtered!$F$2:$F$461,$A4, Data_filtered!$D$2:$D$461,"eucalipto",Data_filtered!$J$2:$J$461,"&lt;&gt;Incompleto")=0, "-", SUMIFS(Data_filtered!$K$2:$K$461,Data_filtered!$A$2:$A$461,P$1,Data_filtered!$F$2:$F$461,$A4,Data_filtered!$D$2:$D$461,"eucalipto",Data_filtered!$J$2:$J$461,"&lt;&gt;Incompleto"))</f>
        <v>-</v>
      </c>
      <c r="Q4" s="109">
        <f>IF(SUMIFS(Data_filtered!$G$2:$G$461,Data_filtered!$A$2:$A$461,P$1,Data_filtered!$F$2:$F$461,$A4, Data_filtered!$D$2:$D$461,"mata",Data_filtered!$J$2:$J$461,"&lt;&gt;Incompleto")=0, "-", SUMIFS(Data_filtered!$K$2:$K$461,Data_filtered!$A$2:$A$461,P$1,Data_filtered!$F$2:$F$461,$A4,Data_filtered!$D$2:$D$461,"mata",Data_filtered!$J$2:$J$461,"&lt;&gt;Incompleto"))</f>
        <v>16.75516082</v>
      </c>
      <c r="R4" s="109" t="str">
        <f>IF(SUMIFS(Data_filtered!$G$2:$G$461,Data_filtered!$A$2:$A$461,R$1,Data_filtered!$F$2:$F$461,$A4, Data_filtered!$D$2:$D$461,"eucalipto",Data_filtered!$J$2:$J$461,"&lt;&gt;Incompleto")=0, "-", SUMIFS(Data_filtered!$K$2:$K$461,Data_filtered!$A$2:$A$461,R$1,Data_filtered!$F$2:$F$461,$A4,Data_filtered!$D$2:$D$461,"eucalipto",Data_filtered!$J$2:$J$461,"&lt;&gt;Incompleto"))</f>
        <v>-</v>
      </c>
      <c r="S4" s="109" t="str">
        <f>IF(SUMIFS(Data_filtered!$G$2:$G$461,Data_filtered!$A$2:$A$461,R$1,Data_filtered!$F$2:$F$461,$A4, Data_filtered!$D$2:$D$461,"mata",Data_filtered!$J$2:$J$461,"&lt;&gt;Incompleto")=0, "-", SUMIFS(Data_filtered!$K$2:$K$461,Data_filtered!$A$2:$A$461,R$1,Data_filtered!$F$2:$F$461,$A4,Data_filtered!$D$2:$D$461,"mata",Data_filtered!$J$2:$J$461,"&lt;&gt;Incompleto"))</f>
        <v>-</v>
      </c>
      <c r="T4" s="109" t="str">
        <f>IF(SUMIFS(Data_filtered!$G$2:$G$461,Data_filtered!$A$2:$A$461,T$1,Data_filtered!$F$2:$F$461,$A4, Data_filtered!$D$2:$D$461,"eucalipto",Data_filtered!$J$2:$J$461,"&lt;&gt;Incompleto")=0, "-", SUMIFS(Data_filtered!$K$2:$K$461,Data_filtered!$A$2:$A$461,T$1,Data_filtered!$F$2:$F$461,$A4,Data_filtered!$D$2:$D$461,"eucalipto",Data_filtered!$J$2:$J$461,"&lt;&gt;Incompleto"))</f>
        <v>-</v>
      </c>
      <c r="U4" s="109">
        <f>IF(SUMIFS(Data_filtered!$G$2:$G$461,Data_filtered!$A$2:$A$461,T$1,Data_filtered!$F$2:$F$461,$A4, Data_filtered!$D$2:$D$461,"mata",Data_filtered!$J$2:$J$461,"&lt;&gt;Incompleto")=0, "-", SUMIFS(Data_filtered!$K$2:$K$461,Data_filtered!$A$2:$A$461,T$1,Data_filtered!$F$2:$F$461,$A4,Data_filtered!$D$2:$D$461,"mata",Data_filtered!$J$2:$J$461,"&lt;&gt;Incompleto"))</f>
        <v>100.5309649</v>
      </c>
      <c r="V4" s="109" t="str">
        <f>IF(SUMIFS(Data_filtered!$G$2:$G$461,Data_filtered!$A$2:$A$461,V$1,Data_filtered!$F$2:$F$461,$A4, Data_filtered!$D$2:$D$461,"eucalipto",Data_filtered!$J$2:$J$461,"&lt;&gt;Incompleto")=0, "-", SUMIFS(Data_filtered!$K$2:$K$461,Data_filtered!$A$2:$A$461,V$1,Data_filtered!$F$2:$F$461,$A4,Data_filtered!$D$2:$D$461,"eucalipto",Data_filtered!$J$2:$J$461,"&lt;&gt;Incompleto"))</f>
        <v>-</v>
      </c>
      <c r="W4" s="109" t="str">
        <f>IF(SUMIFS(Data_filtered!$G$2:$G$461,Data_filtered!$A$2:$A$461,V$1,Data_filtered!$F$2:$F$461,$A4, Data_filtered!$D$2:$D$461,"mata",Data_filtered!$J$2:$J$461,"&lt;&gt;Incompleto")=0, "-", SUMIFS(Data_filtered!$K$2:$K$461,Data_filtered!$A$2:$A$461,V$1,Data_filtered!$F$2:$F$461,$A4,Data_filtered!$D$2:$D$461,"mata",Data_filtered!$J$2:$J$461,"&lt;&gt;Incompleto"))</f>
        <v>-</v>
      </c>
      <c r="X4" s="109" t="str">
        <f>IF(SUMIFS(Data_filtered!$G$2:$G$461,Data_filtered!$A$2:$A$461,X$1,Data_filtered!$F$2:$F$461,$A4, Data_filtered!$D$2:$D$461,"eucalipto",Data_filtered!$J$2:$J$461,"&lt;&gt;Incompleto")=0, "-", SUMIFS(Data_filtered!$K$2:$K$461,Data_filtered!$A$2:$A$461,X$1,Data_filtered!$F$2:$F$461,$A4,Data_filtered!$D$2:$D$461,"eucalipto",Data_filtered!$J$2:$J$461,"&lt;&gt;Incompleto"))</f>
        <v>-</v>
      </c>
      <c r="Y4" s="109" t="str">
        <f>IF(SUMIFS(Data_filtered!$G$2:$G$461,Data_filtered!$A$2:$A$461,X$1,Data_filtered!$F$2:$F$461,$A4, Data_filtered!$D$2:$D$461,"mata",Data_filtered!$J$2:$J$461,"&lt;&gt;Incompleto")=0, "-", SUMIFS(Data_filtered!$K$2:$K$461,Data_filtered!$A$2:$A$461,X$1,Data_filtered!$F$2:$F$461,$A4,Data_filtered!$D$2:$D$461,"mata",Data_filtered!$J$2:$J$461,"&lt;&gt;Incompleto"))</f>
        <v>-</v>
      </c>
      <c r="Z4" s="109" t="str">
        <f>IF(SUMIFS(Data_filtered!$G$2:$G$461,Data_filtered!$A$2:$A$461,Z$1,Data_filtered!$F$2:$F$461,$A4, Data_filtered!$D$2:$D$461,"eucalipto",Data_filtered!$J$2:$J$461,"&lt;&gt;Incompleto")=0, "-", SUMIFS(Data_filtered!$K$2:$K$461,Data_filtered!$A$2:$A$461,Z$1,Data_filtered!$F$2:$F$461,$A4,Data_filtered!$D$2:$D$461,"eucalipto",Data_filtered!$J$2:$J$461,"&lt;&gt;Incompleto"))</f>
        <v>-</v>
      </c>
      <c r="AA4" s="109">
        <f>IF(SUMIFS(Data_filtered!$G$2:$G$461,Data_filtered!$A$2:$A$461,Z$1,Data_filtered!$F$2:$F$461,$A4, Data_filtered!$D$2:$D$461,"mata",Data_filtered!$J$2:$J$461,"&lt;&gt;Incompleto")=0, "-", SUMIFS(Data_filtered!$K$2:$K$461,Data_filtered!$A$2:$A$461,Z$1,Data_filtered!$F$2:$F$461,$A4,Data_filtered!$D$2:$D$461,"mata",Data_filtered!$J$2:$J$461,"&lt;&gt;Incompleto"))</f>
        <v>218.8642882</v>
      </c>
      <c r="AB4" s="106"/>
      <c r="AC4" s="107"/>
      <c r="AD4" s="106"/>
      <c r="AE4" s="107"/>
      <c r="AF4" s="106"/>
      <c r="AG4" s="107"/>
      <c r="AH4" s="106"/>
      <c r="AI4" s="107"/>
      <c r="AJ4" s="106"/>
      <c r="AK4" s="107"/>
      <c r="AL4" s="106"/>
      <c r="AM4" s="107"/>
      <c r="AN4" s="106"/>
      <c r="AO4" s="107"/>
      <c r="AP4" s="106"/>
      <c r="AQ4" s="107"/>
      <c r="AR4" s="106"/>
      <c r="AS4" s="107"/>
    </row>
    <row r="5">
      <c r="A5" s="15" t="str">
        <f>IFERROR(__xludf.DUMMYFUNCTION("""COMPUTED_VALUE"""),"Blattodea")</f>
        <v>Blattodea</v>
      </c>
      <c r="B5" s="109" t="str">
        <f>IF(SUMIFS(Data_filtered!$G$2:$G$461,Data_filtered!$A$2:$A$461,B$1,Data_filtered!$F$2:$F$461,$A5, Data_filtered!$D$2:$D$461,"eucalipto",Data_filtered!$J$2:$J$461,"&lt;&gt;Incompleto")=0, "-", SUMIFS(Data_filtered!$K$2:$K$461,Data_filtered!$A$2:$A$461,B$1,Data_filtered!$F$2:$F$461,$A5,Data_filtered!$D$2:$D$461,"eucalipto",Data_filtered!$J$2:$J$461,"&lt;&gt;Incompleto"))</f>
        <v>-</v>
      </c>
      <c r="C5" s="109">
        <f>IF(SUMIFS(Data_filtered!$G$2:$G$461,Data_filtered!$A$2:$A$461,B$1,Data_filtered!$F$2:$F$461,$A5, Data_filtered!$D$2:$D$461,"mata",Data_filtered!$J$2:$J$461,"&lt;&gt;Incompleto")=0, "-", SUMIFS(Data_filtered!$K$2:$K$461,Data_filtered!$A$2:$A$461,B$1,Data_filtered!$F$2:$F$461,$A5,Data_filtered!$D$2:$D$461,"mata",Data_filtered!$J$2:$J$461,"&lt;&gt;Incompleto"))</f>
        <v>16.75516082</v>
      </c>
      <c r="D5" s="109" t="str">
        <f>IF(SUMIFS(Data_filtered!$G$2:$G$461,Data_filtered!$A$2:$A$461,D$1,Data_filtered!$F$2:$F$461,$A5, Data_filtered!$D$2:$D$461,"eucalipto",Data_filtered!$J$2:$J$461,"&lt;&gt;Incompleto")=0, "-", SUMIFS(Data_filtered!$K$2:$K$461,Data_filtered!$A$2:$A$461,D$1,Data_filtered!$F$2:$F$461,$A5,Data_filtered!$D$2:$D$461,"eucalipto",Data_filtered!$J$2:$J$461,"&lt;&gt;Incompleto"))</f>
        <v>-</v>
      </c>
      <c r="E5" s="109" t="str">
        <f>IF(SUMIFS(Data_filtered!$G$2:$G$461,Data_filtered!$A$2:$A$461,D$1,Data_filtered!$F$2:$F$461,$A5, Data_filtered!$D$2:$D$461,"mata",Data_filtered!$J$2:$J$461,"&lt;&gt;Incompleto")=0, "-", SUMIFS(Data_filtered!$K$2:$K$461,Data_filtered!$A$2:$A$461,D$1,Data_filtered!$F$2:$F$461,$A5,Data_filtered!$D$2:$D$461,"mata",Data_filtered!$J$2:$J$461,"&lt;&gt;Incompleto"))</f>
        <v>-</v>
      </c>
      <c r="F5" s="109" t="str">
        <f>IF(SUMIFS(Data_filtered!$G$2:$G$461,Data_filtered!$A$2:$A$461,F$1,Data_filtered!$F$2:$F$461,$A5, Data_filtered!$D$2:$D$461,"eucalipto",Data_filtered!$J$2:$J$461,"&lt;&gt;Incompleto")=0, "-", SUMIFS(Data_filtered!$K$2:$K$461,Data_filtered!$A$2:$A$461,F$1,Data_filtered!$F$2:$F$461,$A5,Data_filtered!$D$2:$D$461,"eucalipto",Data_filtered!$J$2:$J$461,"&lt;&gt;Incompleto"))</f>
        <v>-</v>
      </c>
      <c r="G5" s="109" t="str">
        <f>IF(SUMIFS(Data_filtered!$G$2:$G$461,Data_filtered!$A$2:$A$461,F$1,Data_filtered!$F$2:$F$461,$A5, Data_filtered!$D$2:$D$461,"mata",Data_filtered!$J$2:$J$461,"&lt;&gt;Incompleto")=0, "-", SUMIFS(Data_filtered!$K$2:$K$461,Data_filtered!$A$2:$A$461,F$1,Data_filtered!$F$2:$F$461,$A5,Data_filtered!$D$2:$D$461,"mata",Data_filtered!$J$2:$J$461,"&lt;&gt;Incompleto"))</f>
        <v>-</v>
      </c>
      <c r="H5" s="109">
        <f>IF(SUMIFS(Data_filtered!$G$2:$G$461,Data_filtered!$A$2:$A$461,H$1,Data_filtered!$F$2:$F$461,$A5, Data_filtered!$D$2:$D$461,"eucalipto",Data_filtered!$J$2:$J$461,"&lt;&gt;Incompleto")=0, "-", SUMIFS(Data_filtered!$K$2:$K$461,Data_filtered!$A$2:$A$461,H$1,Data_filtered!$F$2:$F$461,$A5,Data_filtered!$D$2:$D$461,"eucalipto",Data_filtered!$J$2:$J$461,"&lt;&gt;Incompleto"))</f>
        <v>201.0619298</v>
      </c>
      <c r="I5" s="109" t="str">
        <f>IF(SUMIFS(Data_filtered!$G$2:$G$461,Data_filtered!$A$2:$A$461,H$1,Data_filtered!$F$2:$F$461,$A5, Data_filtered!$D$2:$D$461,"mata",Data_filtered!$J$2:$J$461,"&lt;&gt;Incompleto")=0, "-", SUMIFS(Data_filtered!$K$2:$K$461,Data_filtered!$A$2:$A$461,H$1,Data_filtered!$F$2:$F$461,$A5,Data_filtered!$D$2:$D$461,"mata",Data_filtered!$J$2:$J$461,"&lt;&gt;Incompleto"))</f>
        <v>-</v>
      </c>
      <c r="J5" s="109" t="str">
        <f>IF(SUMIFS(Data_filtered!$G$2:$G$461,Data_filtered!$A$2:$A$461,J$1,Data_filtered!$F$2:$F$461,$A5, Data_filtered!$D$2:$D$461,"eucalipto",Data_filtered!$J$2:$J$461,"&lt;&gt;Incompleto")=0, "-", SUMIFS(Data_filtered!$K$2:$K$461,Data_filtered!$A$2:$A$461,J$1,Data_filtered!$F$2:$F$461,$A5,Data_filtered!$D$2:$D$461,"eucalipto",Data_filtered!$J$2:$J$461,"&lt;&gt;Incompleto"))</f>
        <v>-</v>
      </c>
      <c r="K5" s="109">
        <f>IF(SUMIFS(Data_filtered!$G$2:$G$461,Data_filtered!$A$2:$A$461,J$1,Data_filtered!$F$2:$F$461,$A5, Data_filtered!$D$2:$D$461,"mata",Data_filtered!$J$2:$J$461,"&lt;&gt;Incompleto")=0, "-", SUMIFS(Data_filtered!$K$2:$K$461,Data_filtered!$A$2:$A$461,J$1,Data_filtered!$F$2:$F$461,$A5,Data_filtered!$D$2:$D$461,"mata",Data_filtered!$J$2:$J$461,"&lt;&gt;Incompleto"))</f>
        <v>33.51032164</v>
      </c>
      <c r="L5" s="109" t="str">
        <f>IF(SUMIFS(Data_filtered!$G$2:$G$461,Data_filtered!$A$2:$A$461,L$1,Data_filtered!$F$2:$F$461,$A5, Data_filtered!$D$2:$D$461,"eucalipto",Data_filtered!$J$2:$J$461,"&lt;&gt;Incompleto")=0, "-", SUMIFS(Data_filtered!$K$2:$K$461,Data_filtered!$A$2:$A$461,L$1,Data_filtered!$F$2:$F$461,$A5,Data_filtered!$D$2:$D$461,"eucalipto",Data_filtered!$J$2:$J$461,"&lt;&gt;Incompleto"))</f>
        <v>-</v>
      </c>
      <c r="M5" s="109" t="str">
        <f>IF(SUMIFS(Data_filtered!$G$2:$G$461,Data_filtered!$A$2:$A$461,L$1,Data_filtered!$F$2:$F$461,$A5, Data_filtered!$D$2:$D$461,"mata",Data_filtered!$J$2:$J$461,"&lt;&gt;Incompleto")=0, "-", SUMIFS(Data_filtered!$K$2:$K$461,Data_filtered!$A$2:$A$461,L$1,Data_filtered!$F$2:$F$461,$A5,Data_filtered!$D$2:$D$461,"mata",Data_filtered!$J$2:$J$461,"&lt;&gt;Incompleto"))</f>
        <v>-</v>
      </c>
      <c r="N5" s="109" t="str">
        <f>IF(SUMIFS(Data_filtered!$G$2:$G$461,Data_filtered!$A$2:$A$461,N$1,Data_filtered!$F$2:$F$461,$A5, Data_filtered!$D$2:$D$461,"eucalipto",Data_filtered!$J$2:$J$461,"&lt;&gt;Incompleto")=0, "-", SUMIFS(Data_filtered!$K$2:$K$461,Data_filtered!$A$2:$A$461,N$1,Data_filtered!$F$2:$F$461,$A5,Data_filtered!$D$2:$D$461,"eucalipto",Data_filtered!$J$2:$J$461,"&lt;&gt;Incompleto"))</f>
        <v>-</v>
      </c>
      <c r="O5" s="109" t="str">
        <f>IF(SUMIFS(Data_filtered!$G$2:$G$461,Data_filtered!$A$2:$A$461,N$1,Data_filtered!$F$2:$F$461,$A5, Data_filtered!$D$2:$D$461,"mata",Data_filtered!$J$2:$J$461,"&lt;&gt;Incompleto")=0, "-", SUMIFS(Data_filtered!$K$2:$K$461,Data_filtered!$A$2:$A$461,N$1,Data_filtered!$F$2:$F$461,$A5,Data_filtered!$D$2:$D$461,"mata",Data_filtered!$J$2:$J$461,"&lt;&gt;Incompleto"))</f>
        <v>-</v>
      </c>
      <c r="P5" s="109" t="str">
        <f>IF(SUMIFS(Data_filtered!$G$2:$G$461,Data_filtered!$A$2:$A$461,P$1,Data_filtered!$F$2:$F$461,$A5, Data_filtered!$D$2:$D$461,"eucalipto",Data_filtered!$J$2:$J$461,"&lt;&gt;Incompleto")=0, "-", SUMIFS(Data_filtered!$K$2:$K$461,Data_filtered!$A$2:$A$461,P$1,Data_filtered!$F$2:$F$461,$A5,Data_filtered!$D$2:$D$461,"eucalipto",Data_filtered!$J$2:$J$461,"&lt;&gt;Incompleto"))</f>
        <v>-</v>
      </c>
      <c r="Q5" s="109" t="str">
        <f>IF(SUMIFS(Data_filtered!$G$2:$G$461,Data_filtered!$A$2:$A$461,P$1,Data_filtered!$F$2:$F$461,$A5, Data_filtered!$D$2:$D$461,"mata",Data_filtered!$J$2:$J$461,"&lt;&gt;Incompleto")=0, "-", SUMIFS(Data_filtered!$K$2:$K$461,Data_filtered!$A$2:$A$461,P$1,Data_filtered!$F$2:$F$461,$A5,Data_filtered!$D$2:$D$461,"mata",Data_filtered!$J$2:$J$461,"&lt;&gt;Incompleto"))</f>
        <v>-</v>
      </c>
      <c r="R5" s="109" t="str">
        <f>IF(SUMIFS(Data_filtered!$G$2:$G$461,Data_filtered!$A$2:$A$461,R$1,Data_filtered!$F$2:$F$461,$A5, Data_filtered!$D$2:$D$461,"eucalipto",Data_filtered!$J$2:$J$461,"&lt;&gt;Incompleto")=0, "-", SUMIFS(Data_filtered!$K$2:$K$461,Data_filtered!$A$2:$A$461,R$1,Data_filtered!$F$2:$F$461,$A5,Data_filtered!$D$2:$D$461,"eucalipto",Data_filtered!$J$2:$J$461,"&lt;&gt;Incompleto"))</f>
        <v>-</v>
      </c>
      <c r="S5" s="109" t="str">
        <f>IF(SUMIFS(Data_filtered!$G$2:$G$461,Data_filtered!$A$2:$A$461,R$1,Data_filtered!$F$2:$F$461,$A5, Data_filtered!$D$2:$D$461,"mata",Data_filtered!$J$2:$J$461,"&lt;&gt;Incompleto")=0, "-", SUMIFS(Data_filtered!$K$2:$K$461,Data_filtered!$A$2:$A$461,R$1,Data_filtered!$F$2:$F$461,$A5,Data_filtered!$D$2:$D$461,"mata",Data_filtered!$J$2:$J$461,"&lt;&gt;Incompleto"))</f>
        <v>-</v>
      </c>
      <c r="T5" s="109" t="str">
        <f>IF(SUMIFS(Data_filtered!$G$2:$G$461,Data_filtered!$A$2:$A$461,T$1,Data_filtered!$F$2:$F$461,$A5, Data_filtered!$D$2:$D$461,"eucalipto",Data_filtered!$J$2:$J$461,"&lt;&gt;Incompleto")=0, "-", SUMIFS(Data_filtered!$K$2:$K$461,Data_filtered!$A$2:$A$461,T$1,Data_filtered!$F$2:$F$461,$A5,Data_filtered!$D$2:$D$461,"eucalipto",Data_filtered!$J$2:$J$461,"&lt;&gt;Incompleto"))</f>
        <v>-</v>
      </c>
      <c r="U5" s="109" t="str">
        <f>IF(SUMIFS(Data_filtered!$G$2:$G$461,Data_filtered!$A$2:$A$461,T$1,Data_filtered!$F$2:$F$461,$A5, Data_filtered!$D$2:$D$461,"mata",Data_filtered!$J$2:$J$461,"&lt;&gt;Incompleto")=0, "-", SUMIFS(Data_filtered!$K$2:$K$461,Data_filtered!$A$2:$A$461,T$1,Data_filtered!$F$2:$F$461,$A5,Data_filtered!$D$2:$D$461,"mata",Data_filtered!$J$2:$J$461,"&lt;&gt;Incompleto"))</f>
        <v>-</v>
      </c>
      <c r="V5" s="109" t="str">
        <f>IF(SUMIFS(Data_filtered!$G$2:$G$461,Data_filtered!$A$2:$A$461,V$1,Data_filtered!$F$2:$F$461,$A5, Data_filtered!$D$2:$D$461,"eucalipto",Data_filtered!$J$2:$J$461,"&lt;&gt;Incompleto")=0, "-", SUMIFS(Data_filtered!$K$2:$K$461,Data_filtered!$A$2:$A$461,V$1,Data_filtered!$F$2:$F$461,$A5,Data_filtered!$D$2:$D$461,"eucalipto",Data_filtered!$J$2:$J$461,"&lt;&gt;Incompleto"))</f>
        <v>-</v>
      </c>
      <c r="W5" s="109" t="str">
        <f>IF(SUMIFS(Data_filtered!$G$2:$G$461,Data_filtered!$A$2:$A$461,V$1,Data_filtered!$F$2:$F$461,$A5, Data_filtered!$D$2:$D$461,"mata",Data_filtered!$J$2:$J$461,"&lt;&gt;Incompleto")=0, "-", SUMIFS(Data_filtered!$K$2:$K$461,Data_filtered!$A$2:$A$461,V$1,Data_filtered!$F$2:$F$461,$A5,Data_filtered!$D$2:$D$461,"mata",Data_filtered!$J$2:$J$461,"&lt;&gt;Incompleto"))</f>
        <v>-</v>
      </c>
      <c r="X5" s="109" t="str">
        <f>IF(SUMIFS(Data_filtered!$G$2:$G$461,Data_filtered!$A$2:$A$461,X$1,Data_filtered!$F$2:$F$461,$A5, Data_filtered!$D$2:$D$461,"eucalipto",Data_filtered!$J$2:$J$461,"&lt;&gt;Incompleto")=0, "-", SUMIFS(Data_filtered!$K$2:$K$461,Data_filtered!$A$2:$A$461,X$1,Data_filtered!$F$2:$F$461,$A5,Data_filtered!$D$2:$D$461,"eucalipto",Data_filtered!$J$2:$J$461,"&lt;&gt;Incompleto"))</f>
        <v>-</v>
      </c>
      <c r="Y5" s="109" t="str">
        <f>IF(SUMIFS(Data_filtered!$G$2:$G$461,Data_filtered!$A$2:$A$461,X$1,Data_filtered!$F$2:$F$461,$A5, Data_filtered!$D$2:$D$461,"mata",Data_filtered!$J$2:$J$461,"&lt;&gt;Incompleto")=0, "-", SUMIFS(Data_filtered!$K$2:$K$461,Data_filtered!$A$2:$A$461,X$1,Data_filtered!$F$2:$F$461,$A5,Data_filtered!$D$2:$D$461,"mata",Data_filtered!$J$2:$J$461,"&lt;&gt;Incompleto"))</f>
        <v>-</v>
      </c>
      <c r="Z5" s="109" t="str">
        <f>IF(SUMIFS(Data_filtered!$G$2:$G$461,Data_filtered!$A$2:$A$461,Z$1,Data_filtered!$F$2:$F$461,$A5, Data_filtered!$D$2:$D$461,"eucalipto",Data_filtered!$J$2:$J$461,"&lt;&gt;Incompleto")=0, "-", SUMIFS(Data_filtered!$K$2:$K$461,Data_filtered!$A$2:$A$461,Z$1,Data_filtered!$F$2:$F$461,$A5,Data_filtered!$D$2:$D$461,"eucalipto",Data_filtered!$J$2:$J$461,"&lt;&gt;Incompleto"))</f>
        <v>-</v>
      </c>
      <c r="AA5" s="109" t="str">
        <f>IF(SUMIFS(Data_filtered!$G$2:$G$461,Data_filtered!$A$2:$A$461,Z$1,Data_filtered!$F$2:$F$461,$A5, Data_filtered!$D$2:$D$461,"mata",Data_filtered!$J$2:$J$461,"&lt;&gt;Incompleto")=0, "-", SUMIFS(Data_filtered!$K$2:$K$461,Data_filtered!$A$2:$A$461,Z$1,Data_filtered!$F$2:$F$461,$A5,Data_filtered!$D$2:$D$461,"mata",Data_filtered!$J$2:$J$461,"&lt;&gt;Incompleto"))</f>
        <v>-</v>
      </c>
      <c r="AB5" s="106"/>
      <c r="AC5" s="107"/>
      <c r="AD5" s="106"/>
      <c r="AE5" s="107"/>
      <c r="AF5" s="106"/>
      <c r="AG5" s="107"/>
      <c r="AH5" s="106"/>
      <c r="AI5" s="107"/>
      <c r="AJ5" s="106"/>
      <c r="AK5" s="107"/>
      <c r="AL5" s="106"/>
      <c r="AM5" s="107"/>
      <c r="AN5" s="106"/>
      <c r="AO5" s="107"/>
      <c r="AP5" s="106"/>
      <c r="AQ5" s="107"/>
      <c r="AR5" s="106"/>
      <c r="AS5" s="107"/>
    </row>
    <row r="6">
      <c r="A6" s="15" t="str">
        <f>IFERROR(__xludf.DUMMYFUNCTION("""COMPUTED_VALUE"""),"Chilopoda")</f>
        <v>Chilopoda</v>
      </c>
      <c r="B6" s="109" t="str">
        <f>IF(SUMIFS(Data_filtered!$G$2:$G$461,Data_filtered!$A$2:$A$461,B$1,Data_filtered!$F$2:$F$461,$A6, Data_filtered!$D$2:$D$461,"eucalipto",Data_filtered!$J$2:$J$461,"&lt;&gt;Incompleto")=0, "-", SUMIFS(Data_filtered!$K$2:$K$461,Data_filtered!$A$2:$A$461,B$1,Data_filtered!$F$2:$F$461,$A6,Data_filtered!$D$2:$D$461,"eucalipto",Data_filtered!$J$2:$J$461,"&lt;&gt;Incompleto"))</f>
        <v>-</v>
      </c>
      <c r="C6" s="109" t="str">
        <f>IF(SUMIFS(Data_filtered!$G$2:$G$461,Data_filtered!$A$2:$A$461,B$1,Data_filtered!$F$2:$F$461,$A6, Data_filtered!$D$2:$D$461,"mata",Data_filtered!$J$2:$J$461,"&lt;&gt;Incompleto")=0, "-", SUMIFS(Data_filtered!$K$2:$K$461,Data_filtered!$A$2:$A$461,B$1,Data_filtered!$F$2:$F$461,$A6,Data_filtered!$D$2:$D$461,"mata",Data_filtered!$J$2:$J$461,"&lt;&gt;Incompleto"))</f>
        <v>-</v>
      </c>
      <c r="D6" s="109" t="str">
        <f>IF(SUMIFS(Data_filtered!$G$2:$G$461,Data_filtered!$A$2:$A$461,D$1,Data_filtered!$F$2:$F$461,$A6, Data_filtered!$D$2:$D$461,"eucalipto",Data_filtered!$J$2:$J$461,"&lt;&gt;Incompleto")=0, "-", SUMIFS(Data_filtered!$K$2:$K$461,Data_filtered!$A$2:$A$461,D$1,Data_filtered!$F$2:$F$461,$A6,Data_filtered!$D$2:$D$461,"eucalipto",Data_filtered!$J$2:$J$461,"&lt;&gt;Incompleto"))</f>
        <v>-</v>
      </c>
      <c r="E6" s="109" t="str">
        <f>IF(SUMIFS(Data_filtered!$G$2:$G$461,Data_filtered!$A$2:$A$461,D$1,Data_filtered!$F$2:$F$461,$A6, Data_filtered!$D$2:$D$461,"mata",Data_filtered!$J$2:$J$461,"&lt;&gt;Incompleto")=0, "-", SUMIFS(Data_filtered!$K$2:$K$461,Data_filtered!$A$2:$A$461,D$1,Data_filtered!$F$2:$F$461,$A6,Data_filtered!$D$2:$D$461,"mata",Data_filtered!$J$2:$J$461,"&lt;&gt;Incompleto"))</f>
        <v>-</v>
      </c>
      <c r="F6" s="109" t="str">
        <f>IF(SUMIFS(Data_filtered!$G$2:$G$461,Data_filtered!$A$2:$A$461,F$1,Data_filtered!$F$2:$F$461,$A6, Data_filtered!$D$2:$D$461,"eucalipto",Data_filtered!$J$2:$J$461,"&lt;&gt;Incompleto")=0, "-", SUMIFS(Data_filtered!$K$2:$K$461,Data_filtered!$A$2:$A$461,F$1,Data_filtered!$F$2:$F$461,$A6,Data_filtered!$D$2:$D$461,"eucalipto",Data_filtered!$J$2:$J$461,"&lt;&gt;Incompleto"))</f>
        <v>-</v>
      </c>
      <c r="G6" s="109" t="str">
        <f>IF(SUMIFS(Data_filtered!$G$2:$G$461,Data_filtered!$A$2:$A$461,F$1,Data_filtered!$F$2:$F$461,$A6, Data_filtered!$D$2:$D$461,"mata",Data_filtered!$J$2:$J$461,"&lt;&gt;Incompleto")=0, "-", SUMIFS(Data_filtered!$K$2:$K$461,Data_filtered!$A$2:$A$461,F$1,Data_filtered!$F$2:$F$461,$A6,Data_filtered!$D$2:$D$461,"mata",Data_filtered!$J$2:$J$461,"&lt;&gt;Incompleto"))</f>
        <v>-</v>
      </c>
      <c r="H6" s="109">
        <f>IF(SUMIFS(Data_filtered!$G$2:$G$461,Data_filtered!$A$2:$A$461,H$1,Data_filtered!$F$2:$F$461,$A6, Data_filtered!$D$2:$D$461,"eucalipto",Data_filtered!$J$2:$J$461,"&lt;&gt;Incompleto")=0, "-", SUMIFS(Data_filtered!$K$2:$K$461,Data_filtered!$A$2:$A$461,H$1,Data_filtered!$F$2:$F$461,$A6,Data_filtered!$D$2:$D$461,"eucalipto",Data_filtered!$J$2:$J$461,"&lt;&gt;Incompleto"))</f>
        <v>506.8436148</v>
      </c>
      <c r="I6" s="109" t="str">
        <f>IF(SUMIFS(Data_filtered!$G$2:$G$461,Data_filtered!$A$2:$A$461,H$1,Data_filtered!$F$2:$F$461,$A6, Data_filtered!$D$2:$D$461,"mata",Data_filtered!$J$2:$J$461,"&lt;&gt;Incompleto")=0, "-", SUMIFS(Data_filtered!$K$2:$K$461,Data_filtered!$A$2:$A$461,H$1,Data_filtered!$F$2:$F$461,$A6,Data_filtered!$D$2:$D$461,"mata",Data_filtered!$J$2:$J$461,"&lt;&gt;Incompleto"))</f>
        <v>-</v>
      </c>
      <c r="J6" s="109" t="str">
        <f>IF(SUMIFS(Data_filtered!$G$2:$G$461,Data_filtered!$A$2:$A$461,J$1,Data_filtered!$F$2:$F$461,$A6, Data_filtered!$D$2:$D$461,"eucalipto",Data_filtered!$J$2:$J$461,"&lt;&gt;Incompleto")=0, "-", SUMIFS(Data_filtered!$K$2:$K$461,Data_filtered!$A$2:$A$461,J$1,Data_filtered!$F$2:$F$461,$A6,Data_filtered!$D$2:$D$461,"eucalipto",Data_filtered!$J$2:$J$461,"&lt;&gt;Incompleto"))</f>
        <v>-</v>
      </c>
      <c r="K6" s="109" t="str">
        <f>IF(SUMIFS(Data_filtered!$G$2:$G$461,Data_filtered!$A$2:$A$461,J$1,Data_filtered!$F$2:$F$461,$A6, Data_filtered!$D$2:$D$461,"mata",Data_filtered!$J$2:$J$461,"&lt;&gt;Incompleto")=0, "-", SUMIFS(Data_filtered!$K$2:$K$461,Data_filtered!$A$2:$A$461,J$1,Data_filtered!$F$2:$F$461,$A6,Data_filtered!$D$2:$D$461,"mata",Data_filtered!$J$2:$J$461,"&lt;&gt;Incompleto"))</f>
        <v>-</v>
      </c>
      <c r="L6" s="109">
        <f>IF(SUMIFS(Data_filtered!$G$2:$G$461,Data_filtered!$A$2:$A$461,L$1,Data_filtered!$F$2:$F$461,$A6, Data_filtered!$D$2:$D$461,"eucalipto",Data_filtered!$J$2:$J$461,"&lt;&gt;Incompleto")=0, "-", SUMIFS(Data_filtered!$K$2:$K$461,Data_filtered!$A$2:$A$461,L$1,Data_filtered!$F$2:$F$461,$A6,Data_filtered!$D$2:$D$461,"eucalipto",Data_filtered!$J$2:$J$461,"&lt;&gt;Incompleto"))</f>
        <v>41.88790205</v>
      </c>
      <c r="M6" s="109" t="str">
        <f>IF(SUMIFS(Data_filtered!$G$2:$G$461,Data_filtered!$A$2:$A$461,L$1,Data_filtered!$F$2:$F$461,$A6, Data_filtered!$D$2:$D$461,"mata",Data_filtered!$J$2:$J$461,"&lt;&gt;Incompleto")=0, "-", SUMIFS(Data_filtered!$K$2:$K$461,Data_filtered!$A$2:$A$461,L$1,Data_filtered!$F$2:$F$461,$A6,Data_filtered!$D$2:$D$461,"mata",Data_filtered!$J$2:$J$461,"&lt;&gt;Incompleto"))</f>
        <v>-</v>
      </c>
      <c r="N6" s="109" t="str">
        <f>IF(SUMIFS(Data_filtered!$G$2:$G$461,Data_filtered!$A$2:$A$461,N$1,Data_filtered!$F$2:$F$461,$A6, Data_filtered!$D$2:$D$461,"eucalipto",Data_filtered!$J$2:$J$461,"&lt;&gt;Incompleto")=0, "-", SUMIFS(Data_filtered!$K$2:$K$461,Data_filtered!$A$2:$A$461,N$1,Data_filtered!$F$2:$F$461,$A6,Data_filtered!$D$2:$D$461,"eucalipto",Data_filtered!$J$2:$J$461,"&lt;&gt;Incompleto"))</f>
        <v>-</v>
      </c>
      <c r="O6" s="109" t="str">
        <f>IF(SUMIFS(Data_filtered!$G$2:$G$461,Data_filtered!$A$2:$A$461,N$1,Data_filtered!$F$2:$F$461,$A6, Data_filtered!$D$2:$D$461,"mata",Data_filtered!$J$2:$J$461,"&lt;&gt;Incompleto")=0, "-", SUMIFS(Data_filtered!$K$2:$K$461,Data_filtered!$A$2:$A$461,N$1,Data_filtered!$F$2:$F$461,$A6,Data_filtered!$D$2:$D$461,"mata",Data_filtered!$J$2:$J$461,"&lt;&gt;Incompleto"))</f>
        <v>-</v>
      </c>
      <c r="P6" s="109" t="str">
        <f>IF(SUMIFS(Data_filtered!$G$2:$G$461,Data_filtered!$A$2:$A$461,P$1,Data_filtered!$F$2:$F$461,$A6, Data_filtered!$D$2:$D$461,"eucalipto",Data_filtered!$J$2:$J$461,"&lt;&gt;Incompleto")=0, "-", SUMIFS(Data_filtered!$K$2:$K$461,Data_filtered!$A$2:$A$461,P$1,Data_filtered!$F$2:$F$461,$A6,Data_filtered!$D$2:$D$461,"eucalipto",Data_filtered!$J$2:$J$461,"&lt;&gt;Incompleto"))</f>
        <v>-</v>
      </c>
      <c r="Q6" s="109" t="str">
        <f>IF(SUMIFS(Data_filtered!$G$2:$G$461,Data_filtered!$A$2:$A$461,P$1,Data_filtered!$F$2:$F$461,$A6, Data_filtered!$D$2:$D$461,"mata",Data_filtered!$J$2:$J$461,"&lt;&gt;Incompleto")=0, "-", SUMIFS(Data_filtered!$K$2:$K$461,Data_filtered!$A$2:$A$461,P$1,Data_filtered!$F$2:$F$461,$A6,Data_filtered!$D$2:$D$461,"mata",Data_filtered!$J$2:$J$461,"&lt;&gt;Incompleto"))</f>
        <v>-</v>
      </c>
      <c r="R6" s="109" t="str">
        <f>IF(SUMIFS(Data_filtered!$G$2:$G$461,Data_filtered!$A$2:$A$461,R$1,Data_filtered!$F$2:$F$461,$A6, Data_filtered!$D$2:$D$461,"eucalipto",Data_filtered!$J$2:$J$461,"&lt;&gt;Incompleto")=0, "-", SUMIFS(Data_filtered!$K$2:$K$461,Data_filtered!$A$2:$A$461,R$1,Data_filtered!$F$2:$F$461,$A6,Data_filtered!$D$2:$D$461,"eucalipto",Data_filtered!$J$2:$J$461,"&lt;&gt;Incompleto"))</f>
        <v>-</v>
      </c>
      <c r="S6" s="109">
        <f>IF(SUMIFS(Data_filtered!$G$2:$G$461,Data_filtered!$A$2:$A$461,R$1,Data_filtered!$F$2:$F$461,$A6, Data_filtered!$D$2:$D$461,"mata",Data_filtered!$J$2:$J$461,"&lt;&gt;Incompleto")=0, "-", SUMIFS(Data_filtered!$K$2:$K$461,Data_filtered!$A$2:$A$461,R$1,Data_filtered!$F$2:$F$461,$A6,Data_filtered!$D$2:$D$461,"mata",Data_filtered!$J$2:$J$461,"&lt;&gt;Incompleto"))</f>
        <v>33.51032164</v>
      </c>
      <c r="T6" s="109" t="str">
        <f>IF(SUMIFS(Data_filtered!$G$2:$G$461,Data_filtered!$A$2:$A$461,T$1,Data_filtered!$F$2:$F$461,$A6, Data_filtered!$D$2:$D$461,"eucalipto",Data_filtered!$J$2:$J$461,"&lt;&gt;Incompleto")=0, "-", SUMIFS(Data_filtered!$K$2:$K$461,Data_filtered!$A$2:$A$461,T$1,Data_filtered!$F$2:$F$461,$A6,Data_filtered!$D$2:$D$461,"eucalipto",Data_filtered!$J$2:$J$461,"&lt;&gt;Incompleto"))</f>
        <v>-</v>
      </c>
      <c r="U6" s="109" t="str">
        <f>IF(SUMIFS(Data_filtered!$G$2:$G$461,Data_filtered!$A$2:$A$461,T$1,Data_filtered!$F$2:$F$461,$A6, Data_filtered!$D$2:$D$461,"mata",Data_filtered!$J$2:$J$461,"&lt;&gt;Incompleto")=0, "-", SUMIFS(Data_filtered!$K$2:$K$461,Data_filtered!$A$2:$A$461,T$1,Data_filtered!$F$2:$F$461,$A6,Data_filtered!$D$2:$D$461,"mata",Data_filtered!$J$2:$J$461,"&lt;&gt;Incompleto"))</f>
        <v>-</v>
      </c>
      <c r="V6" s="109" t="str">
        <f>IF(SUMIFS(Data_filtered!$G$2:$G$461,Data_filtered!$A$2:$A$461,V$1,Data_filtered!$F$2:$F$461,$A6, Data_filtered!$D$2:$D$461,"eucalipto",Data_filtered!$J$2:$J$461,"&lt;&gt;Incompleto")=0, "-", SUMIFS(Data_filtered!$K$2:$K$461,Data_filtered!$A$2:$A$461,V$1,Data_filtered!$F$2:$F$461,$A6,Data_filtered!$D$2:$D$461,"eucalipto",Data_filtered!$J$2:$J$461,"&lt;&gt;Incompleto"))</f>
        <v>-</v>
      </c>
      <c r="W6" s="109" t="str">
        <f>IF(SUMIFS(Data_filtered!$G$2:$G$461,Data_filtered!$A$2:$A$461,V$1,Data_filtered!$F$2:$F$461,$A6, Data_filtered!$D$2:$D$461,"mata",Data_filtered!$J$2:$J$461,"&lt;&gt;Incompleto")=0, "-", SUMIFS(Data_filtered!$K$2:$K$461,Data_filtered!$A$2:$A$461,V$1,Data_filtered!$F$2:$F$461,$A6,Data_filtered!$D$2:$D$461,"mata",Data_filtered!$J$2:$J$461,"&lt;&gt;Incompleto"))</f>
        <v>-</v>
      </c>
      <c r="X6" s="109" t="str">
        <f>IF(SUMIFS(Data_filtered!$G$2:$G$461,Data_filtered!$A$2:$A$461,X$1,Data_filtered!$F$2:$F$461,$A6, Data_filtered!$D$2:$D$461,"eucalipto",Data_filtered!$J$2:$J$461,"&lt;&gt;Incompleto")=0, "-", SUMIFS(Data_filtered!$K$2:$K$461,Data_filtered!$A$2:$A$461,X$1,Data_filtered!$F$2:$F$461,$A6,Data_filtered!$D$2:$D$461,"eucalipto",Data_filtered!$J$2:$J$461,"&lt;&gt;Incompleto"))</f>
        <v>-</v>
      </c>
      <c r="Y6" s="109" t="str">
        <f>IF(SUMIFS(Data_filtered!$G$2:$G$461,Data_filtered!$A$2:$A$461,X$1,Data_filtered!$F$2:$F$461,$A6, Data_filtered!$D$2:$D$461,"mata",Data_filtered!$J$2:$J$461,"&lt;&gt;Incompleto")=0, "-", SUMIFS(Data_filtered!$K$2:$K$461,Data_filtered!$A$2:$A$461,X$1,Data_filtered!$F$2:$F$461,$A6,Data_filtered!$D$2:$D$461,"mata",Data_filtered!$J$2:$J$461,"&lt;&gt;Incompleto"))</f>
        <v>-</v>
      </c>
      <c r="Z6" s="109" t="str">
        <f>IF(SUMIFS(Data_filtered!$G$2:$G$461,Data_filtered!$A$2:$A$461,Z$1,Data_filtered!$F$2:$F$461,$A6, Data_filtered!$D$2:$D$461,"eucalipto",Data_filtered!$J$2:$J$461,"&lt;&gt;Incompleto")=0, "-", SUMIFS(Data_filtered!$K$2:$K$461,Data_filtered!$A$2:$A$461,Z$1,Data_filtered!$F$2:$F$461,$A6,Data_filtered!$D$2:$D$461,"eucalipto",Data_filtered!$J$2:$J$461,"&lt;&gt;Incompleto"))</f>
        <v>-</v>
      </c>
      <c r="AA6" s="109" t="str">
        <f>IF(SUMIFS(Data_filtered!$G$2:$G$461,Data_filtered!$A$2:$A$461,Z$1,Data_filtered!$F$2:$F$461,$A6, Data_filtered!$D$2:$D$461,"mata",Data_filtered!$J$2:$J$461,"&lt;&gt;Incompleto")=0, "-", SUMIFS(Data_filtered!$K$2:$K$461,Data_filtered!$A$2:$A$461,Z$1,Data_filtered!$F$2:$F$461,$A6,Data_filtered!$D$2:$D$461,"mata",Data_filtered!$J$2:$J$461,"&lt;&gt;Incompleto"))</f>
        <v>-</v>
      </c>
      <c r="AB6" s="106"/>
      <c r="AC6" s="107"/>
      <c r="AD6" s="106"/>
      <c r="AE6" s="107"/>
      <c r="AF6" s="106"/>
      <c r="AG6" s="107"/>
      <c r="AH6" s="106"/>
      <c r="AI6" s="107"/>
      <c r="AJ6" s="106"/>
      <c r="AK6" s="107"/>
      <c r="AL6" s="106"/>
      <c r="AM6" s="107"/>
      <c r="AN6" s="106"/>
      <c r="AO6" s="107"/>
      <c r="AP6" s="106"/>
      <c r="AQ6" s="107"/>
      <c r="AR6" s="106"/>
      <c r="AS6" s="107"/>
    </row>
    <row r="7">
      <c r="A7" s="15" t="str">
        <f>IFERROR(__xludf.DUMMYFUNCTION("""COMPUTED_VALUE"""),"Coleoptera")</f>
        <v>Coleoptera</v>
      </c>
      <c r="B7" s="109" t="str">
        <f>IF(SUMIFS(Data_filtered!$G$2:$G$461,Data_filtered!$A$2:$A$461,B$1,Data_filtered!$F$2:$F$461,$A7, Data_filtered!$D$2:$D$461,"eucalipto",Data_filtered!$J$2:$J$461,"&lt;&gt;Incompleto")=0, "-", SUMIFS(Data_filtered!$K$2:$K$461,Data_filtered!$A$2:$A$461,B$1,Data_filtered!$F$2:$F$461,$A7,Data_filtered!$D$2:$D$461,"eucalipto",Data_filtered!$J$2:$J$461,"&lt;&gt;Incompleto"))</f>
        <v>-</v>
      </c>
      <c r="C7" s="109">
        <f>IF(SUMIFS(Data_filtered!$G$2:$G$461,Data_filtered!$A$2:$A$461,B$1,Data_filtered!$F$2:$F$461,$A7, Data_filtered!$D$2:$D$461,"mata",Data_filtered!$J$2:$J$461,"&lt;&gt;Incompleto")=0, "-", SUMIFS(Data_filtered!$K$2:$K$461,Data_filtered!$A$2:$A$461,B$1,Data_filtered!$F$2:$F$461,$A7,Data_filtered!$D$2:$D$461,"mata",Data_filtered!$J$2:$J$461,"&lt;&gt;Incompleto"))</f>
        <v>737.227076</v>
      </c>
      <c r="D7" s="109">
        <f>IF(SUMIFS(Data_filtered!$G$2:$G$461,Data_filtered!$A$2:$A$461,D$1,Data_filtered!$F$2:$F$461,$A7, Data_filtered!$D$2:$D$461,"eucalipto",Data_filtered!$J$2:$J$461,"&lt;&gt;Incompleto")=0, "-", SUMIFS(Data_filtered!$K$2:$K$461,Data_filtered!$A$2:$A$461,D$1,Data_filtered!$F$2:$F$461,$A7,Data_filtered!$D$2:$D$461,"eucalipto",Data_filtered!$J$2:$J$461,"&lt;&gt;Incompleto"))</f>
        <v>37.69911184</v>
      </c>
      <c r="E7" s="109">
        <f>IF(SUMIFS(Data_filtered!$G$2:$G$461,Data_filtered!$A$2:$A$461,D$1,Data_filtered!$F$2:$F$461,$A7, Data_filtered!$D$2:$D$461,"mata",Data_filtered!$J$2:$J$461,"&lt;&gt;Incompleto")=0, "-", SUMIFS(Data_filtered!$K$2:$K$461,Data_filtered!$A$2:$A$461,D$1,Data_filtered!$F$2:$F$461,$A7,Data_filtered!$D$2:$D$461,"mata",Data_filtered!$J$2:$J$461,"&lt;&gt;Incompleto"))</f>
        <v>12.56637061</v>
      </c>
      <c r="F7" s="109" t="str">
        <f>IF(SUMIFS(Data_filtered!$G$2:$G$461,Data_filtered!$A$2:$A$461,F$1,Data_filtered!$F$2:$F$461,$A7, Data_filtered!$D$2:$D$461,"eucalipto",Data_filtered!$J$2:$J$461,"&lt;&gt;Incompleto")=0, "-", SUMIFS(Data_filtered!$K$2:$K$461,Data_filtered!$A$2:$A$461,F$1,Data_filtered!$F$2:$F$461,$A7,Data_filtered!$D$2:$D$461,"eucalipto",Data_filtered!$J$2:$J$461,"&lt;&gt;Incompleto"))</f>
        <v>-</v>
      </c>
      <c r="G7" s="109">
        <f>IF(SUMIFS(Data_filtered!$G$2:$G$461,Data_filtered!$A$2:$A$461,F$1,Data_filtered!$F$2:$F$461,$A7, Data_filtered!$D$2:$D$461,"mata",Data_filtered!$J$2:$J$461,"&lt;&gt;Incompleto")=0, "-", SUMIFS(Data_filtered!$K$2:$K$461,Data_filtered!$A$2:$A$461,F$1,Data_filtered!$F$2:$F$461,$A7,Data_filtered!$D$2:$D$461,"mata",Data_filtered!$J$2:$J$461,"&lt;&gt;Incompleto"))</f>
        <v>129.8524963</v>
      </c>
      <c r="H7" s="109">
        <f>IF(SUMIFS(Data_filtered!$G$2:$G$461,Data_filtered!$A$2:$A$461,H$1,Data_filtered!$F$2:$F$461,$A7, Data_filtered!$D$2:$D$461,"eucalipto",Data_filtered!$J$2:$J$461,"&lt;&gt;Incompleto")=0, "-", SUMIFS(Data_filtered!$K$2:$K$461,Data_filtered!$A$2:$A$461,H$1,Data_filtered!$F$2:$F$461,$A7,Data_filtered!$D$2:$D$461,"eucalipto",Data_filtered!$J$2:$J$461,"&lt;&gt;Incompleto"))</f>
        <v>929.9114255</v>
      </c>
      <c r="I7" s="109">
        <f>IF(SUMIFS(Data_filtered!$G$2:$G$461,Data_filtered!$A$2:$A$461,H$1,Data_filtered!$F$2:$F$461,$A7, Data_filtered!$D$2:$D$461,"mata",Data_filtered!$J$2:$J$461,"&lt;&gt;Incompleto")=0, "-", SUMIFS(Data_filtered!$K$2:$K$461,Data_filtered!$A$2:$A$461,H$1,Data_filtered!$F$2:$F$461,$A7,Data_filtered!$D$2:$D$461,"mata",Data_filtered!$J$2:$J$461,"&lt;&gt;Incompleto"))</f>
        <v>871.2683626</v>
      </c>
      <c r="J7" s="109" t="str">
        <f>IF(SUMIFS(Data_filtered!$G$2:$G$461,Data_filtered!$A$2:$A$461,J$1,Data_filtered!$F$2:$F$461,$A7, Data_filtered!$D$2:$D$461,"eucalipto",Data_filtered!$J$2:$J$461,"&lt;&gt;Incompleto")=0, "-", SUMIFS(Data_filtered!$K$2:$K$461,Data_filtered!$A$2:$A$461,J$1,Data_filtered!$F$2:$F$461,$A7,Data_filtered!$D$2:$D$461,"eucalipto",Data_filtered!$J$2:$J$461,"&lt;&gt;Incompleto"))</f>
        <v>-</v>
      </c>
      <c r="K7" s="109">
        <f>IF(SUMIFS(Data_filtered!$G$2:$G$461,Data_filtered!$A$2:$A$461,J$1,Data_filtered!$F$2:$F$461,$A7, Data_filtered!$D$2:$D$461,"mata",Data_filtered!$J$2:$J$461,"&lt;&gt;Incompleto")=0, "-", SUMIFS(Data_filtered!$K$2:$K$461,Data_filtered!$A$2:$A$461,J$1,Data_filtered!$F$2:$F$461,$A7,Data_filtered!$D$2:$D$461,"mata",Data_filtered!$J$2:$J$461,"&lt;&gt;Incompleto"))</f>
        <v>142.418867</v>
      </c>
      <c r="L7" s="109">
        <f>IF(SUMIFS(Data_filtered!$G$2:$G$461,Data_filtered!$A$2:$A$461,L$1,Data_filtered!$F$2:$F$461,$A7, Data_filtered!$D$2:$D$461,"eucalipto",Data_filtered!$J$2:$J$461,"&lt;&gt;Incompleto")=0, "-", SUMIFS(Data_filtered!$K$2:$K$461,Data_filtered!$A$2:$A$461,L$1,Data_filtered!$F$2:$F$461,$A7,Data_filtered!$D$2:$D$461,"eucalipto",Data_filtered!$J$2:$J$461,"&lt;&gt;Incompleto"))</f>
        <v>117.2861257</v>
      </c>
      <c r="M7" s="109">
        <f>IF(SUMIFS(Data_filtered!$G$2:$G$461,Data_filtered!$A$2:$A$461,L$1,Data_filtered!$F$2:$F$461,$A7, Data_filtered!$D$2:$D$461,"mata",Data_filtered!$J$2:$J$461,"&lt;&gt;Incompleto")=0, "-", SUMIFS(Data_filtered!$K$2:$K$461,Data_filtered!$A$2:$A$461,L$1,Data_filtered!$F$2:$F$461,$A7,Data_filtered!$D$2:$D$461,"mata",Data_filtered!$J$2:$J$461,"&lt;&gt;Incompleto"))</f>
        <v>83.7758041</v>
      </c>
      <c r="N7" s="109" t="str">
        <f>IF(SUMIFS(Data_filtered!$G$2:$G$461,Data_filtered!$A$2:$A$461,N$1,Data_filtered!$F$2:$F$461,$A7, Data_filtered!$D$2:$D$461,"eucalipto",Data_filtered!$J$2:$J$461,"&lt;&gt;Incompleto")=0, "-", SUMIFS(Data_filtered!$K$2:$K$461,Data_filtered!$A$2:$A$461,N$1,Data_filtered!$F$2:$F$461,$A7,Data_filtered!$D$2:$D$461,"eucalipto",Data_filtered!$J$2:$J$461,"&lt;&gt;Incompleto"))</f>
        <v>-</v>
      </c>
      <c r="O7" s="109">
        <f>IF(SUMIFS(Data_filtered!$G$2:$G$461,Data_filtered!$A$2:$A$461,N$1,Data_filtered!$F$2:$F$461,$A7, Data_filtered!$D$2:$D$461,"mata",Data_filtered!$J$2:$J$461,"&lt;&gt;Incompleto")=0, "-", SUMIFS(Data_filtered!$K$2:$K$461,Data_filtered!$A$2:$A$461,N$1,Data_filtered!$F$2:$F$461,$A7,Data_filtered!$D$2:$D$461,"mata",Data_filtered!$J$2:$J$461,"&lt;&gt;Incompleto"))</f>
        <v>8.37758041</v>
      </c>
      <c r="P7" s="109">
        <f>IF(SUMIFS(Data_filtered!$G$2:$G$461,Data_filtered!$A$2:$A$461,P$1,Data_filtered!$F$2:$F$461,$A7, Data_filtered!$D$2:$D$461,"eucalipto",Data_filtered!$J$2:$J$461,"&lt;&gt;Incompleto")=0, "-", SUMIFS(Data_filtered!$K$2:$K$461,Data_filtered!$A$2:$A$461,P$1,Data_filtered!$F$2:$F$461,$A7,Data_filtered!$D$2:$D$461,"eucalipto",Data_filtered!$J$2:$J$461,"&lt;&gt;Incompleto"))</f>
        <v>8.37758041</v>
      </c>
      <c r="Q7" s="109">
        <f>IF(SUMIFS(Data_filtered!$G$2:$G$461,Data_filtered!$A$2:$A$461,P$1,Data_filtered!$F$2:$F$461,$A7, Data_filtered!$D$2:$D$461,"mata",Data_filtered!$J$2:$J$461,"&lt;&gt;Incompleto")=0, "-", SUMIFS(Data_filtered!$K$2:$K$461,Data_filtered!$A$2:$A$461,P$1,Data_filtered!$F$2:$F$461,$A7,Data_filtered!$D$2:$D$461,"mata",Data_filtered!$J$2:$J$461,"&lt;&gt;Incompleto"))</f>
        <v>282.7433388</v>
      </c>
      <c r="R7" s="109">
        <f>IF(SUMIFS(Data_filtered!$G$2:$G$461,Data_filtered!$A$2:$A$461,R$1,Data_filtered!$F$2:$F$461,$A7, Data_filtered!$D$2:$D$461,"eucalipto",Data_filtered!$J$2:$J$461,"&lt;&gt;Incompleto")=0, "-", SUMIFS(Data_filtered!$K$2:$K$461,Data_filtered!$A$2:$A$461,R$1,Data_filtered!$F$2:$F$461,$A7,Data_filtered!$D$2:$D$461,"eucalipto",Data_filtered!$J$2:$J$461,"&lt;&gt;Incompleto"))</f>
        <v>2412.743158</v>
      </c>
      <c r="S7" s="109">
        <f>IF(SUMIFS(Data_filtered!$G$2:$G$461,Data_filtered!$A$2:$A$461,R$1,Data_filtered!$F$2:$F$461,$A7, Data_filtered!$D$2:$D$461,"mata",Data_filtered!$J$2:$J$461,"&lt;&gt;Incompleto")=0, "-", SUMIFS(Data_filtered!$K$2:$K$461,Data_filtered!$A$2:$A$461,R$1,Data_filtered!$F$2:$F$461,$A7,Data_filtered!$D$2:$D$461,"mata",Data_filtered!$J$2:$J$461,"&lt;&gt;Incompleto"))</f>
        <v>29715.27771</v>
      </c>
      <c r="T7" s="109" t="str">
        <f>IF(SUMIFS(Data_filtered!$G$2:$G$461,Data_filtered!$A$2:$A$461,T$1,Data_filtered!$F$2:$F$461,$A7, Data_filtered!$D$2:$D$461,"eucalipto",Data_filtered!$J$2:$J$461,"&lt;&gt;Incompleto")=0, "-", SUMIFS(Data_filtered!$K$2:$K$461,Data_filtered!$A$2:$A$461,T$1,Data_filtered!$F$2:$F$461,$A7,Data_filtered!$D$2:$D$461,"eucalipto",Data_filtered!$J$2:$J$461,"&lt;&gt;Incompleto"))</f>
        <v>-</v>
      </c>
      <c r="U7" s="109">
        <f>IF(SUMIFS(Data_filtered!$G$2:$G$461,Data_filtered!$A$2:$A$461,T$1,Data_filtered!$F$2:$F$461,$A7, Data_filtered!$D$2:$D$461,"mata",Data_filtered!$J$2:$J$461,"&lt;&gt;Incompleto")=0, "-", SUMIFS(Data_filtered!$K$2:$K$461,Data_filtered!$A$2:$A$461,T$1,Data_filtered!$F$2:$F$461,$A7,Data_filtered!$D$2:$D$461,"mata",Data_filtered!$J$2:$J$461,"&lt;&gt;Incompleto"))</f>
        <v>117.2861257</v>
      </c>
      <c r="V7" s="109">
        <f>IF(SUMIFS(Data_filtered!$G$2:$G$461,Data_filtered!$A$2:$A$461,V$1,Data_filtered!$F$2:$F$461,$A7, Data_filtered!$D$2:$D$461,"eucalipto",Data_filtered!$J$2:$J$461,"&lt;&gt;Incompleto")=0, "-", SUMIFS(Data_filtered!$K$2:$K$461,Data_filtered!$A$2:$A$461,V$1,Data_filtered!$F$2:$F$461,$A7,Data_filtered!$D$2:$D$461,"eucalipto",Data_filtered!$J$2:$J$461,"&lt;&gt;Incompleto"))</f>
        <v>33095.63141</v>
      </c>
      <c r="W7" s="109">
        <f>IF(SUMIFS(Data_filtered!$G$2:$G$461,Data_filtered!$A$2:$A$461,V$1,Data_filtered!$F$2:$F$461,$A7, Data_filtered!$D$2:$D$461,"mata",Data_filtered!$J$2:$J$461,"&lt;&gt;Incompleto")=0, "-", SUMIFS(Data_filtered!$K$2:$K$461,Data_filtered!$A$2:$A$461,V$1,Data_filtered!$F$2:$F$461,$A7,Data_filtered!$D$2:$D$461,"mata",Data_filtered!$J$2:$J$461,"&lt;&gt;Incompleto"))</f>
        <v>569214.7009</v>
      </c>
      <c r="X7" s="109" t="str">
        <f>IF(SUMIFS(Data_filtered!$G$2:$G$461,Data_filtered!$A$2:$A$461,X$1,Data_filtered!$F$2:$F$461,$A7, Data_filtered!$D$2:$D$461,"eucalipto",Data_filtered!$J$2:$J$461,"&lt;&gt;Incompleto")=0, "-", SUMIFS(Data_filtered!$K$2:$K$461,Data_filtered!$A$2:$A$461,X$1,Data_filtered!$F$2:$F$461,$A7,Data_filtered!$D$2:$D$461,"eucalipto",Data_filtered!$J$2:$J$461,"&lt;&gt;Incompleto"))</f>
        <v>-</v>
      </c>
      <c r="Y7" s="109">
        <f>IF(SUMIFS(Data_filtered!$G$2:$G$461,Data_filtered!$A$2:$A$461,X$1,Data_filtered!$F$2:$F$461,$A7, Data_filtered!$D$2:$D$461,"mata",Data_filtered!$J$2:$J$461,"&lt;&gt;Incompleto")=0, "-", SUMIFS(Data_filtered!$K$2:$K$461,Data_filtered!$A$2:$A$461,X$1,Data_filtered!$F$2:$F$461,$A7,Data_filtered!$D$2:$D$461,"mata",Data_filtered!$J$2:$J$461,"&lt;&gt;Incompleto"))</f>
        <v>3736.400863</v>
      </c>
      <c r="Z7" s="109" t="str">
        <f>IF(SUMIFS(Data_filtered!$G$2:$G$461,Data_filtered!$A$2:$A$461,Z$1,Data_filtered!$F$2:$F$461,$A7, Data_filtered!$D$2:$D$461,"eucalipto",Data_filtered!$J$2:$J$461,"&lt;&gt;Incompleto")=0, "-", SUMIFS(Data_filtered!$K$2:$K$461,Data_filtered!$A$2:$A$461,Z$1,Data_filtered!$F$2:$F$461,$A7,Data_filtered!$D$2:$D$461,"eucalipto",Data_filtered!$J$2:$J$461,"&lt;&gt;Incompleto"))</f>
        <v>-</v>
      </c>
      <c r="AA7" s="109">
        <f>IF(SUMIFS(Data_filtered!$G$2:$G$461,Data_filtered!$A$2:$A$461,Z$1,Data_filtered!$F$2:$F$461,$A7, Data_filtered!$D$2:$D$461,"mata",Data_filtered!$J$2:$J$461,"&lt;&gt;Incompleto")=0, "-", SUMIFS(Data_filtered!$K$2:$K$461,Data_filtered!$A$2:$A$461,Z$1,Data_filtered!$F$2:$F$461,$A7,Data_filtered!$D$2:$D$461,"mata",Data_filtered!$J$2:$J$461,"&lt;&gt;Incompleto"))</f>
        <v>196.8731396</v>
      </c>
      <c r="AB7" s="106"/>
      <c r="AC7" s="107"/>
      <c r="AD7" s="106"/>
      <c r="AE7" s="107"/>
      <c r="AF7" s="106"/>
      <c r="AG7" s="107"/>
      <c r="AH7" s="106"/>
      <c r="AI7" s="107"/>
      <c r="AJ7" s="106"/>
      <c r="AK7" s="107"/>
      <c r="AL7" s="106"/>
      <c r="AM7" s="107"/>
      <c r="AN7" s="106"/>
      <c r="AO7" s="107"/>
      <c r="AP7" s="106"/>
      <c r="AQ7" s="107"/>
      <c r="AR7" s="106"/>
      <c r="AS7" s="107"/>
    </row>
    <row r="8">
      <c r="A8" s="15" t="str">
        <f>IFERROR(__xludf.DUMMYFUNCTION("""COMPUTED_VALUE"""),"Coleoptera Larva")</f>
        <v>Coleoptera Larva</v>
      </c>
      <c r="B8" s="109" t="str">
        <f>IF(SUMIFS(Data_filtered!$G$2:$G$461,Data_filtered!$A$2:$A$461,B$1,Data_filtered!$F$2:$F$461,$A8, Data_filtered!$D$2:$D$461,"eucalipto",Data_filtered!$J$2:$J$461,"&lt;&gt;Incompleto")=0, "-", SUMIFS(Data_filtered!$K$2:$K$461,Data_filtered!$A$2:$A$461,B$1,Data_filtered!$F$2:$F$461,$A8,Data_filtered!$D$2:$D$461,"eucalipto",Data_filtered!$J$2:$J$461,"&lt;&gt;Incompleto"))</f>
        <v>-</v>
      </c>
      <c r="C8" s="109" t="str">
        <f>IF(SUMIFS(Data_filtered!$G$2:$G$461,Data_filtered!$A$2:$A$461,B$1,Data_filtered!$F$2:$F$461,$A8, Data_filtered!$D$2:$D$461,"mata",Data_filtered!$J$2:$J$461,"&lt;&gt;Incompleto")=0, "-", SUMIFS(Data_filtered!$K$2:$K$461,Data_filtered!$A$2:$A$461,B$1,Data_filtered!$F$2:$F$461,$A8,Data_filtered!$D$2:$D$461,"mata",Data_filtered!$J$2:$J$461,"&lt;&gt;Incompleto"))</f>
        <v>-</v>
      </c>
      <c r="D8" s="109" t="str">
        <f>IF(SUMIFS(Data_filtered!$G$2:$G$461,Data_filtered!$A$2:$A$461,D$1,Data_filtered!$F$2:$F$461,$A8, Data_filtered!$D$2:$D$461,"eucalipto",Data_filtered!$J$2:$J$461,"&lt;&gt;Incompleto")=0, "-", SUMIFS(Data_filtered!$K$2:$K$461,Data_filtered!$A$2:$A$461,D$1,Data_filtered!$F$2:$F$461,$A8,Data_filtered!$D$2:$D$461,"eucalipto",Data_filtered!$J$2:$J$461,"&lt;&gt;Incompleto"))</f>
        <v>-</v>
      </c>
      <c r="E8" s="109" t="str">
        <f>IF(SUMIFS(Data_filtered!$G$2:$G$461,Data_filtered!$A$2:$A$461,D$1,Data_filtered!$F$2:$F$461,$A8, Data_filtered!$D$2:$D$461,"mata",Data_filtered!$J$2:$J$461,"&lt;&gt;Incompleto")=0, "-", SUMIFS(Data_filtered!$K$2:$K$461,Data_filtered!$A$2:$A$461,D$1,Data_filtered!$F$2:$F$461,$A8,Data_filtered!$D$2:$D$461,"mata",Data_filtered!$J$2:$J$461,"&lt;&gt;Incompleto"))</f>
        <v>-</v>
      </c>
      <c r="F8" s="109" t="str">
        <f>IF(SUMIFS(Data_filtered!$G$2:$G$461,Data_filtered!$A$2:$A$461,F$1,Data_filtered!$F$2:$F$461,$A8, Data_filtered!$D$2:$D$461,"eucalipto",Data_filtered!$J$2:$J$461,"&lt;&gt;Incompleto")=0, "-", SUMIFS(Data_filtered!$K$2:$K$461,Data_filtered!$A$2:$A$461,F$1,Data_filtered!$F$2:$F$461,$A8,Data_filtered!$D$2:$D$461,"eucalipto",Data_filtered!$J$2:$J$461,"&lt;&gt;Incompleto"))</f>
        <v>-</v>
      </c>
      <c r="G8" s="109" t="str">
        <f>IF(SUMIFS(Data_filtered!$G$2:$G$461,Data_filtered!$A$2:$A$461,F$1,Data_filtered!$F$2:$F$461,$A8, Data_filtered!$D$2:$D$461,"mata",Data_filtered!$J$2:$J$461,"&lt;&gt;Incompleto")=0, "-", SUMIFS(Data_filtered!$K$2:$K$461,Data_filtered!$A$2:$A$461,F$1,Data_filtered!$F$2:$F$461,$A8,Data_filtered!$D$2:$D$461,"mata",Data_filtered!$J$2:$J$461,"&lt;&gt;Incompleto"))</f>
        <v>-</v>
      </c>
      <c r="H8" s="109" t="str">
        <f>IF(SUMIFS(Data_filtered!$G$2:$G$461,Data_filtered!$A$2:$A$461,H$1,Data_filtered!$F$2:$F$461,$A8, Data_filtered!$D$2:$D$461,"eucalipto",Data_filtered!$J$2:$J$461,"&lt;&gt;Incompleto")=0, "-", SUMIFS(Data_filtered!$K$2:$K$461,Data_filtered!$A$2:$A$461,H$1,Data_filtered!$F$2:$F$461,$A8,Data_filtered!$D$2:$D$461,"eucalipto",Data_filtered!$J$2:$J$461,"&lt;&gt;Incompleto"))</f>
        <v>-</v>
      </c>
      <c r="I8" s="109" t="str">
        <f>IF(SUMIFS(Data_filtered!$G$2:$G$461,Data_filtered!$A$2:$A$461,H$1,Data_filtered!$F$2:$F$461,$A8, Data_filtered!$D$2:$D$461,"mata",Data_filtered!$J$2:$J$461,"&lt;&gt;Incompleto")=0, "-", SUMIFS(Data_filtered!$K$2:$K$461,Data_filtered!$A$2:$A$461,H$1,Data_filtered!$F$2:$F$461,$A8,Data_filtered!$D$2:$D$461,"mata",Data_filtered!$J$2:$J$461,"&lt;&gt;Incompleto"))</f>
        <v>-</v>
      </c>
      <c r="J8" s="109" t="str">
        <f>IF(SUMIFS(Data_filtered!$G$2:$G$461,Data_filtered!$A$2:$A$461,J$1,Data_filtered!$F$2:$F$461,$A8, Data_filtered!$D$2:$D$461,"eucalipto",Data_filtered!$J$2:$J$461,"&lt;&gt;Incompleto")=0, "-", SUMIFS(Data_filtered!$K$2:$K$461,Data_filtered!$A$2:$A$461,J$1,Data_filtered!$F$2:$F$461,$A8,Data_filtered!$D$2:$D$461,"eucalipto",Data_filtered!$J$2:$J$461,"&lt;&gt;Incompleto"))</f>
        <v>-</v>
      </c>
      <c r="K8" s="109">
        <f>IF(SUMIFS(Data_filtered!$G$2:$G$461,Data_filtered!$A$2:$A$461,J$1,Data_filtered!$F$2:$F$461,$A8, Data_filtered!$D$2:$D$461,"mata",Data_filtered!$J$2:$J$461,"&lt;&gt;Incompleto")=0, "-", SUMIFS(Data_filtered!$K$2:$K$461,Data_filtered!$A$2:$A$461,J$1,Data_filtered!$F$2:$F$461,$A8,Data_filtered!$D$2:$D$461,"mata",Data_filtered!$J$2:$J$461,"&lt;&gt;Incompleto"))</f>
        <v>5.235987756</v>
      </c>
      <c r="L8" s="109" t="str">
        <f>IF(SUMIFS(Data_filtered!$G$2:$G$461,Data_filtered!$A$2:$A$461,L$1,Data_filtered!$F$2:$F$461,$A8, Data_filtered!$D$2:$D$461,"eucalipto",Data_filtered!$J$2:$J$461,"&lt;&gt;Incompleto")=0, "-", SUMIFS(Data_filtered!$K$2:$K$461,Data_filtered!$A$2:$A$461,L$1,Data_filtered!$F$2:$F$461,$A8,Data_filtered!$D$2:$D$461,"eucalipto",Data_filtered!$J$2:$J$461,"&lt;&gt;Incompleto"))</f>
        <v>-</v>
      </c>
      <c r="M8" s="109" t="str">
        <f>IF(SUMIFS(Data_filtered!$G$2:$G$461,Data_filtered!$A$2:$A$461,L$1,Data_filtered!$F$2:$F$461,$A8, Data_filtered!$D$2:$D$461,"mata",Data_filtered!$J$2:$J$461,"&lt;&gt;Incompleto")=0, "-", SUMIFS(Data_filtered!$K$2:$K$461,Data_filtered!$A$2:$A$461,L$1,Data_filtered!$F$2:$F$461,$A8,Data_filtered!$D$2:$D$461,"mata",Data_filtered!$J$2:$J$461,"&lt;&gt;Incompleto"))</f>
        <v>-</v>
      </c>
      <c r="N8" s="109" t="str">
        <f>IF(SUMIFS(Data_filtered!$G$2:$G$461,Data_filtered!$A$2:$A$461,N$1,Data_filtered!$F$2:$F$461,$A8, Data_filtered!$D$2:$D$461,"eucalipto",Data_filtered!$J$2:$J$461,"&lt;&gt;Incompleto")=0, "-", SUMIFS(Data_filtered!$K$2:$K$461,Data_filtered!$A$2:$A$461,N$1,Data_filtered!$F$2:$F$461,$A8,Data_filtered!$D$2:$D$461,"eucalipto",Data_filtered!$J$2:$J$461,"&lt;&gt;Incompleto"))</f>
        <v>-</v>
      </c>
      <c r="O8" s="109" t="str">
        <f>IF(SUMIFS(Data_filtered!$G$2:$G$461,Data_filtered!$A$2:$A$461,N$1,Data_filtered!$F$2:$F$461,$A8, Data_filtered!$D$2:$D$461,"mata",Data_filtered!$J$2:$J$461,"&lt;&gt;Incompleto")=0, "-", SUMIFS(Data_filtered!$K$2:$K$461,Data_filtered!$A$2:$A$461,N$1,Data_filtered!$F$2:$F$461,$A8,Data_filtered!$D$2:$D$461,"mata",Data_filtered!$J$2:$J$461,"&lt;&gt;Incompleto"))</f>
        <v>-</v>
      </c>
      <c r="P8" s="109" t="str">
        <f>IF(SUMIFS(Data_filtered!$G$2:$G$461,Data_filtered!$A$2:$A$461,P$1,Data_filtered!$F$2:$F$461,$A8, Data_filtered!$D$2:$D$461,"eucalipto",Data_filtered!$J$2:$J$461,"&lt;&gt;Incompleto")=0, "-", SUMIFS(Data_filtered!$K$2:$K$461,Data_filtered!$A$2:$A$461,P$1,Data_filtered!$F$2:$F$461,$A8,Data_filtered!$D$2:$D$461,"eucalipto",Data_filtered!$J$2:$J$461,"&lt;&gt;Incompleto"))</f>
        <v>-</v>
      </c>
      <c r="Q8" s="109" t="str">
        <f>IF(SUMIFS(Data_filtered!$G$2:$G$461,Data_filtered!$A$2:$A$461,P$1,Data_filtered!$F$2:$F$461,$A8, Data_filtered!$D$2:$D$461,"mata",Data_filtered!$J$2:$J$461,"&lt;&gt;Incompleto")=0, "-", SUMIFS(Data_filtered!$K$2:$K$461,Data_filtered!$A$2:$A$461,P$1,Data_filtered!$F$2:$F$461,$A8,Data_filtered!$D$2:$D$461,"mata",Data_filtered!$J$2:$J$461,"&lt;&gt;Incompleto"))</f>
        <v>-</v>
      </c>
      <c r="R8" s="109" t="str">
        <f>IF(SUMIFS(Data_filtered!$G$2:$G$461,Data_filtered!$A$2:$A$461,R$1,Data_filtered!$F$2:$F$461,$A8, Data_filtered!$D$2:$D$461,"eucalipto",Data_filtered!$J$2:$J$461,"&lt;&gt;Incompleto")=0, "-", SUMIFS(Data_filtered!$K$2:$K$461,Data_filtered!$A$2:$A$461,R$1,Data_filtered!$F$2:$F$461,$A8,Data_filtered!$D$2:$D$461,"eucalipto",Data_filtered!$J$2:$J$461,"&lt;&gt;Incompleto"))</f>
        <v>-</v>
      </c>
      <c r="S8" s="109" t="str">
        <f>IF(SUMIFS(Data_filtered!$G$2:$G$461,Data_filtered!$A$2:$A$461,R$1,Data_filtered!$F$2:$F$461,$A8, Data_filtered!$D$2:$D$461,"mata",Data_filtered!$J$2:$J$461,"&lt;&gt;Incompleto")=0, "-", SUMIFS(Data_filtered!$K$2:$K$461,Data_filtered!$A$2:$A$461,R$1,Data_filtered!$F$2:$F$461,$A8,Data_filtered!$D$2:$D$461,"mata",Data_filtered!$J$2:$J$461,"&lt;&gt;Incompleto"))</f>
        <v>-</v>
      </c>
      <c r="T8" s="109" t="str">
        <f>IF(SUMIFS(Data_filtered!$G$2:$G$461,Data_filtered!$A$2:$A$461,T$1,Data_filtered!$F$2:$F$461,$A8, Data_filtered!$D$2:$D$461,"eucalipto",Data_filtered!$J$2:$J$461,"&lt;&gt;Incompleto")=0, "-", SUMIFS(Data_filtered!$K$2:$K$461,Data_filtered!$A$2:$A$461,T$1,Data_filtered!$F$2:$F$461,$A8,Data_filtered!$D$2:$D$461,"eucalipto",Data_filtered!$J$2:$J$461,"&lt;&gt;Incompleto"))</f>
        <v>-</v>
      </c>
      <c r="U8" s="109" t="str">
        <f>IF(SUMIFS(Data_filtered!$G$2:$G$461,Data_filtered!$A$2:$A$461,T$1,Data_filtered!$F$2:$F$461,$A8, Data_filtered!$D$2:$D$461,"mata",Data_filtered!$J$2:$J$461,"&lt;&gt;Incompleto")=0, "-", SUMIFS(Data_filtered!$K$2:$K$461,Data_filtered!$A$2:$A$461,T$1,Data_filtered!$F$2:$F$461,$A8,Data_filtered!$D$2:$D$461,"mata",Data_filtered!$J$2:$J$461,"&lt;&gt;Incompleto"))</f>
        <v>-</v>
      </c>
      <c r="V8" s="109" t="str">
        <f>IF(SUMIFS(Data_filtered!$G$2:$G$461,Data_filtered!$A$2:$A$461,V$1,Data_filtered!$F$2:$F$461,$A8, Data_filtered!$D$2:$D$461,"eucalipto",Data_filtered!$J$2:$J$461,"&lt;&gt;Incompleto")=0, "-", SUMIFS(Data_filtered!$K$2:$K$461,Data_filtered!$A$2:$A$461,V$1,Data_filtered!$F$2:$F$461,$A8,Data_filtered!$D$2:$D$461,"eucalipto",Data_filtered!$J$2:$J$461,"&lt;&gt;Incompleto"))</f>
        <v>-</v>
      </c>
      <c r="W8" s="109">
        <f>IF(SUMIFS(Data_filtered!$G$2:$G$461,Data_filtered!$A$2:$A$461,V$1,Data_filtered!$F$2:$F$461,$A8, Data_filtered!$D$2:$D$461,"mata",Data_filtered!$J$2:$J$461,"&lt;&gt;Incompleto")=0, "-", SUMIFS(Data_filtered!$K$2:$K$461,Data_filtered!$A$2:$A$461,V$1,Data_filtered!$F$2:$F$461,$A8,Data_filtered!$D$2:$D$461,"mata",Data_filtered!$J$2:$J$461,"&lt;&gt;Incompleto"))</f>
        <v>1470.265362</v>
      </c>
      <c r="X8" s="109" t="str">
        <f>IF(SUMIFS(Data_filtered!$G$2:$G$461,Data_filtered!$A$2:$A$461,X$1,Data_filtered!$F$2:$F$461,$A8, Data_filtered!$D$2:$D$461,"eucalipto",Data_filtered!$J$2:$J$461,"&lt;&gt;Incompleto")=0, "-", SUMIFS(Data_filtered!$K$2:$K$461,Data_filtered!$A$2:$A$461,X$1,Data_filtered!$F$2:$F$461,$A8,Data_filtered!$D$2:$D$461,"eucalipto",Data_filtered!$J$2:$J$461,"&lt;&gt;Incompleto"))</f>
        <v>-</v>
      </c>
      <c r="Y8" s="109" t="str">
        <f>IF(SUMIFS(Data_filtered!$G$2:$G$461,Data_filtered!$A$2:$A$461,X$1,Data_filtered!$F$2:$F$461,$A8, Data_filtered!$D$2:$D$461,"mata",Data_filtered!$J$2:$J$461,"&lt;&gt;Incompleto")=0, "-", SUMIFS(Data_filtered!$K$2:$K$461,Data_filtered!$A$2:$A$461,X$1,Data_filtered!$F$2:$F$461,$A8,Data_filtered!$D$2:$D$461,"mata",Data_filtered!$J$2:$J$461,"&lt;&gt;Incompleto"))</f>
        <v>-</v>
      </c>
      <c r="Z8" s="109" t="str">
        <f>IF(SUMIFS(Data_filtered!$G$2:$G$461,Data_filtered!$A$2:$A$461,Z$1,Data_filtered!$F$2:$F$461,$A8, Data_filtered!$D$2:$D$461,"eucalipto",Data_filtered!$J$2:$J$461,"&lt;&gt;Incompleto")=0, "-", SUMIFS(Data_filtered!$K$2:$K$461,Data_filtered!$A$2:$A$461,Z$1,Data_filtered!$F$2:$F$461,$A8,Data_filtered!$D$2:$D$461,"eucalipto",Data_filtered!$J$2:$J$461,"&lt;&gt;Incompleto"))</f>
        <v>-</v>
      </c>
      <c r="AA8" s="109" t="str">
        <f>IF(SUMIFS(Data_filtered!$G$2:$G$461,Data_filtered!$A$2:$A$461,Z$1,Data_filtered!$F$2:$F$461,$A8, Data_filtered!$D$2:$D$461,"mata",Data_filtered!$J$2:$J$461,"&lt;&gt;Incompleto")=0, "-", SUMIFS(Data_filtered!$K$2:$K$461,Data_filtered!$A$2:$A$461,Z$1,Data_filtered!$F$2:$F$461,$A8,Data_filtered!$D$2:$D$461,"mata",Data_filtered!$J$2:$J$461,"&lt;&gt;Incompleto"))</f>
        <v>-</v>
      </c>
      <c r="AB8" s="106"/>
      <c r="AC8" s="107"/>
      <c r="AD8" s="106"/>
      <c r="AE8" s="107"/>
      <c r="AF8" s="106"/>
      <c r="AG8" s="107"/>
      <c r="AH8" s="106"/>
      <c r="AI8" s="107"/>
      <c r="AJ8" s="106"/>
      <c r="AK8" s="107"/>
      <c r="AL8" s="106"/>
      <c r="AM8" s="107"/>
      <c r="AN8" s="106"/>
      <c r="AO8" s="107"/>
      <c r="AP8" s="106"/>
      <c r="AQ8" s="107"/>
      <c r="AR8" s="106"/>
      <c r="AS8" s="107"/>
    </row>
    <row r="9">
      <c r="A9" s="15" t="str">
        <f>IFERROR(__xludf.DUMMYFUNCTION("""COMPUTED_VALUE"""),"Collembola")</f>
        <v>Collembola</v>
      </c>
      <c r="B9" s="109" t="str">
        <f>IF(SUMIFS(Data_filtered!$G$2:$G$461,Data_filtered!$A$2:$A$461,B$1,Data_filtered!$F$2:$F$461,$A9, Data_filtered!$D$2:$D$461,"eucalipto",Data_filtered!$J$2:$J$461,"&lt;&gt;Incompleto")=0, "-", SUMIFS(Data_filtered!$K$2:$K$461,Data_filtered!$A$2:$A$461,B$1,Data_filtered!$F$2:$F$461,$A9,Data_filtered!$D$2:$D$461,"eucalipto",Data_filtered!$J$2:$J$461,"&lt;&gt;Incompleto"))</f>
        <v>-</v>
      </c>
      <c r="C9" s="109" t="str">
        <f>IF(SUMIFS(Data_filtered!$G$2:$G$461,Data_filtered!$A$2:$A$461,B$1,Data_filtered!$F$2:$F$461,$A9, Data_filtered!$D$2:$D$461,"mata",Data_filtered!$J$2:$J$461,"&lt;&gt;Incompleto")=0, "-", SUMIFS(Data_filtered!$K$2:$K$461,Data_filtered!$A$2:$A$461,B$1,Data_filtered!$F$2:$F$461,$A9,Data_filtered!$D$2:$D$461,"mata",Data_filtered!$J$2:$J$461,"&lt;&gt;Incompleto"))</f>
        <v>-</v>
      </c>
      <c r="D9" s="109" t="str">
        <f>IF(SUMIFS(Data_filtered!$G$2:$G$461,Data_filtered!$A$2:$A$461,D$1,Data_filtered!$F$2:$F$461,$A9, Data_filtered!$D$2:$D$461,"eucalipto",Data_filtered!$J$2:$J$461,"&lt;&gt;Incompleto")=0, "-", SUMIFS(Data_filtered!$K$2:$K$461,Data_filtered!$A$2:$A$461,D$1,Data_filtered!$F$2:$F$461,$A9,Data_filtered!$D$2:$D$461,"eucalipto",Data_filtered!$J$2:$J$461,"&lt;&gt;Incompleto"))</f>
        <v>-</v>
      </c>
      <c r="E9" s="109" t="str">
        <f>IF(SUMIFS(Data_filtered!$G$2:$G$461,Data_filtered!$A$2:$A$461,D$1,Data_filtered!$F$2:$F$461,$A9, Data_filtered!$D$2:$D$461,"mata",Data_filtered!$J$2:$J$461,"&lt;&gt;Incompleto")=0, "-", SUMIFS(Data_filtered!$K$2:$K$461,Data_filtered!$A$2:$A$461,D$1,Data_filtered!$F$2:$F$461,$A9,Data_filtered!$D$2:$D$461,"mata",Data_filtered!$J$2:$J$461,"&lt;&gt;Incompleto"))</f>
        <v>-</v>
      </c>
      <c r="F9" s="109" t="str">
        <f>IF(SUMIFS(Data_filtered!$G$2:$G$461,Data_filtered!$A$2:$A$461,F$1,Data_filtered!$F$2:$F$461,$A9, Data_filtered!$D$2:$D$461,"eucalipto",Data_filtered!$J$2:$J$461,"&lt;&gt;Incompleto")=0, "-", SUMIFS(Data_filtered!$K$2:$K$461,Data_filtered!$A$2:$A$461,F$1,Data_filtered!$F$2:$F$461,$A9,Data_filtered!$D$2:$D$461,"eucalipto",Data_filtered!$J$2:$J$461,"&lt;&gt;Incompleto"))</f>
        <v>-</v>
      </c>
      <c r="G9" s="109" t="str">
        <f>IF(SUMIFS(Data_filtered!$G$2:$G$461,Data_filtered!$A$2:$A$461,F$1,Data_filtered!$F$2:$F$461,$A9, Data_filtered!$D$2:$D$461,"mata",Data_filtered!$J$2:$J$461,"&lt;&gt;Incompleto")=0, "-", SUMIFS(Data_filtered!$K$2:$K$461,Data_filtered!$A$2:$A$461,F$1,Data_filtered!$F$2:$F$461,$A9,Data_filtered!$D$2:$D$461,"mata",Data_filtered!$J$2:$J$461,"&lt;&gt;Incompleto"))</f>
        <v>-</v>
      </c>
      <c r="H9" s="109" t="str">
        <f>IF(SUMIFS(Data_filtered!$G$2:$G$461,Data_filtered!$A$2:$A$461,H$1,Data_filtered!$F$2:$F$461,$A9, Data_filtered!$D$2:$D$461,"eucalipto",Data_filtered!$J$2:$J$461,"&lt;&gt;Incompleto")=0, "-", SUMIFS(Data_filtered!$K$2:$K$461,Data_filtered!$A$2:$A$461,H$1,Data_filtered!$F$2:$F$461,$A9,Data_filtered!$D$2:$D$461,"eucalipto",Data_filtered!$J$2:$J$461,"&lt;&gt;Incompleto"))</f>
        <v>-</v>
      </c>
      <c r="I9" s="109" t="str">
        <f>IF(SUMIFS(Data_filtered!$G$2:$G$461,Data_filtered!$A$2:$A$461,H$1,Data_filtered!$F$2:$F$461,$A9, Data_filtered!$D$2:$D$461,"mata",Data_filtered!$J$2:$J$461,"&lt;&gt;Incompleto")=0, "-", SUMIFS(Data_filtered!$K$2:$K$461,Data_filtered!$A$2:$A$461,H$1,Data_filtered!$F$2:$F$461,$A9,Data_filtered!$D$2:$D$461,"mata",Data_filtered!$J$2:$J$461,"&lt;&gt;Incompleto"))</f>
        <v>-</v>
      </c>
      <c r="J9" s="109" t="str">
        <f>IF(SUMIFS(Data_filtered!$G$2:$G$461,Data_filtered!$A$2:$A$461,J$1,Data_filtered!$F$2:$F$461,$A9, Data_filtered!$D$2:$D$461,"eucalipto",Data_filtered!$J$2:$J$461,"&lt;&gt;Incompleto")=0, "-", SUMIFS(Data_filtered!$K$2:$K$461,Data_filtered!$A$2:$A$461,J$1,Data_filtered!$F$2:$F$461,$A9,Data_filtered!$D$2:$D$461,"eucalipto",Data_filtered!$J$2:$J$461,"&lt;&gt;Incompleto"))</f>
        <v>-</v>
      </c>
      <c r="K9" s="109" t="str">
        <f>IF(SUMIFS(Data_filtered!$G$2:$G$461,Data_filtered!$A$2:$A$461,J$1,Data_filtered!$F$2:$F$461,$A9, Data_filtered!$D$2:$D$461,"mata",Data_filtered!$J$2:$J$461,"&lt;&gt;Incompleto")=0, "-", SUMIFS(Data_filtered!$K$2:$K$461,Data_filtered!$A$2:$A$461,J$1,Data_filtered!$F$2:$F$461,$A9,Data_filtered!$D$2:$D$461,"mata",Data_filtered!$J$2:$J$461,"&lt;&gt;Incompleto"))</f>
        <v>-</v>
      </c>
      <c r="L9" s="109">
        <f>IF(SUMIFS(Data_filtered!$G$2:$G$461,Data_filtered!$A$2:$A$461,L$1,Data_filtered!$F$2:$F$461,$A9, Data_filtered!$D$2:$D$461,"eucalipto",Data_filtered!$J$2:$J$461,"&lt;&gt;Incompleto")=0, "-", SUMIFS(Data_filtered!$K$2:$K$461,Data_filtered!$A$2:$A$461,L$1,Data_filtered!$F$2:$F$461,$A9,Data_filtered!$D$2:$D$461,"eucalipto",Data_filtered!$J$2:$J$461,"&lt;&gt;Incompleto"))</f>
        <v>1.047197551</v>
      </c>
      <c r="M9" s="109" t="str">
        <f>IF(SUMIFS(Data_filtered!$G$2:$G$461,Data_filtered!$A$2:$A$461,L$1,Data_filtered!$F$2:$F$461,$A9, Data_filtered!$D$2:$D$461,"mata",Data_filtered!$J$2:$J$461,"&lt;&gt;Incompleto")=0, "-", SUMIFS(Data_filtered!$K$2:$K$461,Data_filtered!$A$2:$A$461,L$1,Data_filtered!$F$2:$F$461,$A9,Data_filtered!$D$2:$D$461,"mata",Data_filtered!$J$2:$J$461,"&lt;&gt;Incompleto"))</f>
        <v>-</v>
      </c>
      <c r="N9" s="109" t="str">
        <f>IF(SUMIFS(Data_filtered!$G$2:$G$461,Data_filtered!$A$2:$A$461,N$1,Data_filtered!$F$2:$F$461,$A9, Data_filtered!$D$2:$D$461,"eucalipto",Data_filtered!$J$2:$J$461,"&lt;&gt;Incompleto")=0, "-", SUMIFS(Data_filtered!$K$2:$K$461,Data_filtered!$A$2:$A$461,N$1,Data_filtered!$F$2:$F$461,$A9,Data_filtered!$D$2:$D$461,"eucalipto",Data_filtered!$J$2:$J$461,"&lt;&gt;Incompleto"))</f>
        <v>-</v>
      </c>
      <c r="O9" s="109" t="str">
        <f>IF(SUMIFS(Data_filtered!$G$2:$G$461,Data_filtered!$A$2:$A$461,N$1,Data_filtered!$F$2:$F$461,$A9, Data_filtered!$D$2:$D$461,"mata",Data_filtered!$J$2:$J$461,"&lt;&gt;Incompleto")=0, "-", SUMIFS(Data_filtered!$K$2:$K$461,Data_filtered!$A$2:$A$461,N$1,Data_filtered!$F$2:$F$461,$A9,Data_filtered!$D$2:$D$461,"mata",Data_filtered!$J$2:$J$461,"&lt;&gt;Incompleto"))</f>
        <v>-</v>
      </c>
      <c r="P9" s="109" t="str">
        <f>IF(SUMIFS(Data_filtered!$G$2:$G$461,Data_filtered!$A$2:$A$461,P$1,Data_filtered!$F$2:$F$461,$A9, Data_filtered!$D$2:$D$461,"eucalipto",Data_filtered!$J$2:$J$461,"&lt;&gt;Incompleto")=0, "-", SUMIFS(Data_filtered!$K$2:$K$461,Data_filtered!$A$2:$A$461,P$1,Data_filtered!$F$2:$F$461,$A9,Data_filtered!$D$2:$D$461,"eucalipto",Data_filtered!$J$2:$J$461,"&lt;&gt;Incompleto"))</f>
        <v>-</v>
      </c>
      <c r="Q9" s="109" t="str">
        <f>IF(SUMIFS(Data_filtered!$G$2:$G$461,Data_filtered!$A$2:$A$461,P$1,Data_filtered!$F$2:$F$461,$A9, Data_filtered!$D$2:$D$461,"mata",Data_filtered!$J$2:$J$461,"&lt;&gt;Incompleto")=0, "-", SUMIFS(Data_filtered!$K$2:$K$461,Data_filtered!$A$2:$A$461,P$1,Data_filtered!$F$2:$F$461,$A9,Data_filtered!$D$2:$D$461,"mata",Data_filtered!$J$2:$J$461,"&lt;&gt;Incompleto"))</f>
        <v>-</v>
      </c>
      <c r="R9" s="109" t="str">
        <f>IF(SUMIFS(Data_filtered!$G$2:$G$461,Data_filtered!$A$2:$A$461,R$1,Data_filtered!$F$2:$F$461,$A9, Data_filtered!$D$2:$D$461,"eucalipto",Data_filtered!$J$2:$J$461,"&lt;&gt;Incompleto")=0, "-", SUMIFS(Data_filtered!$K$2:$K$461,Data_filtered!$A$2:$A$461,R$1,Data_filtered!$F$2:$F$461,$A9,Data_filtered!$D$2:$D$461,"eucalipto",Data_filtered!$J$2:$J$461,"&lt;&gt;Incompleto"))</f>
        <v>-</v>
      </c>
      <c r="S9" s="109" t="str">
        <f>IF(SUMIFS(Data_filtered!$G$2:$G$461,Data_filtered!$A$2:$A$461,R$1,Data_filtered!$F$2:$F$461,$A9, Data_filtered!$D$2:$D$461,"mata",Data_filtered!$J$2:$J$461,"&lt;&gt;Incompleto")=0, "-", SUMIFS(Data_filtered!$K$2:$K$461,Data_filtered!$A$2:$A$461,R$1,Data_filtered!$F$2:$F$461,$A9,Data_filtered!$D$2:$D$461,"mata",Data_filtered!$J$2:$J$461,"&lt;&gt;Incompleto"))</f>
        <v>-</v>
      </c>
      <c r="T9" s="109" t="str">
        <f>IF(SUMIFS(Data_filtered!$G$2:$G$461,Data_filtered!$A$2:$A$461,T$1,Data_filtered!$F$2:$F$461,$A9, Data_filtered!$D$2:$D$461,"eucalipto",Data_filtered!$J$2:$J$461,"&lt;&gt;Incompleto")=0, "-", SUMIFS(Data_filtered!$K$2:$K$461,Data_filtered!$A$2:$A$461,T$1,Data_filtered!$F$2:$F$461,$A9,Data_filtered!$D$2:$D$461,"eucalipto",Data_filtered!$J$2:$J$461,"&lt;&gt;Incompleto"))</f>
        <v>-</v>
      </c>
      <c r="U9" s="109" t="str">
        <f>IF(SUMIFS(Data_filtered!$G$2:$G$461,Data_filtered!$A$2:$A$461,T$1,Data_filtered!$F$2:$F$461,$A9, Data_filtered!$D$2:$D$461,"mata",Data_filtered!$J$2:$J$461,"&lt;&gt;Incompleto")=0, "-", SUMIFS(Data_filtered!$K$2:$K$461,Data_filtered!$A$2:$A$461,T$1,Data_filtered!$F$2:$F$461,$A9,Data_filtered!$D$2:$D$461,"mata",Data_filtered!$J$2:$J$461,"&lt;&gt;Incompleto"))</f>
        <v>-</v>
      </c>
      <c r="V9" s="109" t="str">
        <f>IF(SUMIFS(Data_filtered!$G$2:$G$461,Data_filtered!$A$2:$A$461,V$1,Data_filtered!$F$2:$F$461,$A9, Data_filtered!$D$2:$D$461,"eucalipto",Data_filtered!$J$2:$J$461,"&lt;&gt;Incompleto")=0, "-", SUMIFS(Data_filtered!$K$2:$K$461,Data_filtered!$A$2:$A$461,V$1,Data_filtered!$F$2:$F$461,$A9,Data_filtered!$D$2:$D$461,"eucalipto",Data_filtered!$J$2:$J$461,"&lt;&gt;Incompleto"))</f>
        <v>-</v>
      </c>
      <c r="W9" s="109" t="str">
        <f>IF(SUMIFS(Data_filtered!$G$2:$G$461,Data_filtered!$A$2:$A$461,V$1,Data_filtered!$F$2:$F$461,$A9, Data_filtered!$D$2:$D$461,"mata",Data_filtered!$J$2:$J$461,"&lt;&gt;Incompleto")=0, "-", SUMIFS(Data_filtered!$K$2:$K$461,Data_filtered!$A$2:$A$461,V$1,Data_filtered!$F$2:$F$461,$A9,Data_filtered!$D$2:$D$461,"mata",Data_filtered!$J$2:$J$461,"&lt;&gt;Incompleto"))</f>
        <v>-</v>
      </c>
      <c r="X9" s="109" t="str">
        <f>IF(SUMIFS(Data_filtered!$G$2:$G$461,Data_filtered!$A$2:$A$461,X$1,Data_filtered!$F$2:$F$461,$A9, Data_filtered!$D$2:$D$461,"eucalipto",Data_filtered!$J$2:$J$461,"&lt;&gt;Incompleto")=0, "-", SUMIFS(Data_filtered!$K$2:$K$461,Data_filtered!$A$2:$A$461,X$1,Data_filtered!$F$2:$F$461,$A9,Data_filtered!$D$2:$D$461,"eucalipto",Data_filtered!$J$2:$J$461,"&lt;&gt;Incompleto"))</f>
        <v>-</v>
      </c>
      <c r="Y9" s="109" t="str">
        <f>IF(SUMIFS(Data_filtered!$G$2:$G$461,Data_filtered!$A$2:$A$461,X$1,Data_filtered!$F$2:$F$461,$A9, Data_filtered!$D$2:$D$461,"mata",Data_filtered!$J$2:$J$461,"&lt;&gt;Incompleto")=0, "-", SUMIFS(Data_filtered!$K$2:$K$461,Data_filtered!$A$2:$A$461,X$1,Data_filtered!$F$2:$F$461,$A9,Data_filtered!$D$2:$D$461,"mata",Data_filtered!$J$2:$J$461,"&lt;&gt;Incompleto"))</f>
        <v>-</v>
      </c>
      <c r="Z9" s="109" t="str">
        <f>IF(SUMIFS(Data_filtered!$G$2:$G$461,Data_filtered!$A$2:$A$461,Z$1,Data_filtered!$F$2:$F$461,$A9, Data_filtered!$D$2:$D$461,"eucalipto",Data_filtered!$J$2:$J$461,"&lt;&gt;Incompleto")=0, "-", SUMIFS(Data_filtered!$K$2:$K$461,Data_filtered!$A$2:$A$461,Z$1,Data_filtered!$F$2:$F$461,$A9,Data_filtered!$D$2:$D$461,"eucalipto",Data_filtered!$J$2:$J$461,"&lt;&gt;Incompleto"))</f>
        <v>-</v>
      </c>
      <c r="AA9" s="109" t="str">
        <f>IF(SUMIFS(Data_filtered!$G$2:$G$461,Data_filtered!$A$2:$A$461,Z$1,Data_filtered!$F$2:$F$461,$A9, Data_filtered!$D$2:$D$461,"mata",Data_filtered!$J$2:$J$461,"&lt;&gt;Incompleto")=0, "-", SUMIFS(Data_filtered!$K$2:$K$461,Data_filtered!$A$2:$A$461,Z$1,Data_filtered!$F$2:$F$461,$A9,Data_filtered!$D$2:$D$461,"mata",Data_filtered!$J$2:$J$461,"&lt;&gt;Incompleto"))</f>
        <v>-</v>
      </c>
      <c r="AB9" s="106"/>
      <c r="AC9" s="107"/>
      <c r="AD9" s="106"/>
      <c r="AE9" s="107"/>
      <c r="AF9" s="106"/>
      <c r="AG9" s="107"/>
      <c r="AH9" s="106"/>
      <c r="AI9" s="107"/>
      <c r="AJ9" s="106"/>
      <c r="AK9" s="107"/>
      <c r="AL9" s="106"/>
      <c r="AM9" s="107"/>
      <c r="AN9" s="106"/>
      <c r="AO9" s="107"/>
      <c r="AP9" s="106"/>
      <c r="AQ9" s="107"/>
      <c r="AR9" s="106"/>
      <c r="AS9" s="107"/>
    </row>
    <row r="10">
      <c r="A10" s="15" t="str">
        <f>IFERROR(__xludf.DUMMYFUNCTION("""COMPUTED_VALUE"""),"Dermaptera")</f>
        <v>Dermaptera</v>
      </c>
      <c r="B10" s="109" t="str">
        <f>IF(SUMIFS(Data_filtered!$G$2:$G$461,Data_filtered!$A$2:$A$461,B$1,Data_filtered!$F$2:$F$461,$A10, Data_filtered!$D$2:$D$461,"eucalipto",Data_filtered!$J$2:$J$461,"&lt;&gt;Incompleto")=0, "-", SUMIFS(Data_filtered!$K$2:$K$461,Data_filtered!$A$2:$A$461,B$1,Data_filtered!$F$2:$F$461,$A10,Data_filtered!$D$2:$D$461,"eucalipto",Data_filtered!$J$2:$J$461,"&lt;&gt;Incompleto"))</f>
        <v>-</v>
      </c>
      <c r="C10" s="109" t="str">
        <f>IF(SUMIFS(Data_filtered!$G$2:$G$461,Data_filtered!$A$2:$A$461,B$1,Data_filtered!$F$2:$F$461,$A10, Data_filtered!$D$2:$D$461,"mata",Data_filtered!$J$2:$J$461,"&lt;&gt;Incompleto")=0, "-", SUMIFS(Data_filtered!$K$2:$K$461,Data_filtered!$A$2:$A$461,B$1,Data_filtered!$F$2:$F$461,$A10,Data_filtered!$D$2:$D$461,"mata",Data_filtered!$J$2:$J$461,"&lt;&gt;Incompleto"))</f>
        <v>-</v>
      </c>
      <c r="D10" s="109" t="str">
        <f>IF(SUMIFS(Data_filtered!$G$2:$G$461,Data_filtered!$A$2:$A$461,D$1,Data_filtered!$F$2:$F$461,$A10, Data_filtered!$D$2:$D$461,"eucalipto",Data_filtered!$J$2:$J$461,"&lt;&gt;Incompleto")=0, "-", SUMIFS(Data_filtered!$K$2:$K$461,Data_filtered!$A$2:$A$461,D$1,Data_filtered!$F$2:$F$461,$A10,Data_filtered!$D$2:$D$461,"eucalipto",Data_filtered!$J$2:$J$461,"&lt;&gt;Incompleto"))</f>
        <v>-</v>
      </c>
      <c r="E10" s="109" t="str">
        <f>IF(SUMIFS(Data_filtered!$G$2:$G$461,Data_filtered!$A$2:$A$461,D$1,Data_filtered!$F$2:$F$461,$A10, Data_filtered!$D$2:$D$461,"mata",Data_filtered!$J$2:$J$461,"&lt;&gt;Incompleto")=0, "-", SUMIFS(Data_filtered!$K$2:$K$461,Data_filtered!$A$2:$A$461,D$1,Data_filtered!$F$2:$F$461,$A10,Data_filtered!$D$2:$D$461,"mata",Data_filtered!$J$2:$J$461,"&lt;&gt;Incompleto"))</f>
        <v>-</v>
      </c>
      <c r="F10" s="109" t="str">
        <f>IF(SUMIFS(Data_filtered!$G$2:$G$461,Data_filtered!$A$2:$A$461,F$1,Data_filtered!$F$2:$F$461,$A10, Data_filtered!$D$2:$D$461,"eucalipto",Data_filtered!$J$2:$J$461,"&lt;&gt;Incompleto")=0, "-", SUMIFS(Data_filtered!$K$2:$K$461,Data_filtered!$A$2:$A$461,F$1,Data_filtered!$F$2:$F$461,$A10,Data_filtered!$D$2:$D$461,"eucalipto",Data_filtered!$J$2:$J$461,"&lt;&gt;Incompleto"))</f>
        <v>-</v>
      </c>
      <c r="G10" s="109" t="str">
        <f>IF(SUMIFS(Data_filtered!$G$2:$G$461,Data_filtered!$A$2:$A$461,F$1,Data_filtered!$F$2:$F$461,$A10, Data_filtered!$D$2:$D$461,"mata",Data_filtered!$J$2:$J$461,"&lt;&gt;Incompleto")=0, "-", SUMIFS(Data_filtered!$K$2:$K$461,Data_filtered!$A$2:$A$461,F$1,Data_filtered!$F$2:$F$461,$A10,Data_filtered!$D$2:$D$461,"mata",Data_filtered!$J$2:$J$461,"&lt;&gt;Incompleto"))</f>
        <v>-</v>
      </c>
      <c r="H10" s="109">
        <f>IF(SUMIFS(Data_filtered!$G$2:$G$461,Data_filtered!$A$2:$A$461,H$1,Data_filtered!$F$2:$F$461,$A10, Data_filtered!$D$2:$D$461,"eucalipto",Data_filtered!$J$2:$J$461,"&lt;&gt;Incompleto")=0, "-", SUMIFS(Data_filtered!$K$2:$K$461,Data_filtered!$A$2:$A$461,H$1,Data_filtered!$F$2:$F$461,$A10,Data_filtered!$D$2:$D$461,"eucalipto",Data_filtered!$J$2:$J$461,"&lt;&gt;Incompleto"))</f>
        <v>201.0619298</v>
      </c>
      <c r="I10" s="109">
        <f>IF(SUMIFS(Data_filtered!$G$2:$G$461,Data_filtered!$A$2:$A$461,H$1,Data_filtered!$F$2:$F$461,$A10, Data_filtered!$D$2:$D$461,"mata",Data_filtered!$J$2:$J$461,"&lt;&gt;Incompleto")=0, "-", SUMIFS(Data_filtered!$K$2:$K$461,Data_filtered!$A$2:$A$461,H$1,Data_filtered!$F$2:$F$461,$A10,Data_filtered!$D$2:$D$461,"mata",Data_filtered!$J$2:$J$461,"&lt;&gt;Incompleto"))</f>
        <v>376.9911184</v>
      </c>
      <c r="J10" s="109" t="str">
        <f>IF(SUMIFS(Data_filtered!$G$2:$G$461,Data_filtered!$A$2:$A$461,J$1,Data_filtered!$F$2:$F$461,$A10, Data_filtered!$D$2:$D$461,"eucalipto",Data_filtered!$J$2:$J$461,"&lt;&gt;Incompleto")=0, "-", SUMIFS(Data_filtered!$K$2:$K$461,Data_filtered!$A$2:$A$461,J$1,Data_filtered!$F$2:$F$461,$A10,Data_filtered!$D$2:$D$461,"eucalipto",Data_filtered!$J$2:$J$461,"&lt;&gt;Incompleto"))</f>
        <v>-</v>
      </c>
      <c r="K10" s="109" t="str">
        <f>IF(SUMIFS(Data_filtered!$G$2:$G$461,Data_filtered!$A$2:$A$461,J$1,Data_filtered!$F$2:$F$461,$A10, Data_filtered!$D$2:$D$461,"mata",Data_filtered!$J$2:$J$461,"&lt;&gt;Incompleto")=0, "-", SUMIFS(Data_filtered!$K$2:$K$461,Data_filtered!$A$2:$A$461,J$1,Data_filtered!$F$2:$F$461,$A10,Data_filtered!$D$2:$D$461,"mata",Data_filtered!$J$2:$J$461,"&lt;&gt;Incompleto"))</f>
        <v>-</v>
      </c>
      <c r="L10" s="109" t="str">
        <f>IF(SUMIFS(Data_filtered!$G$2:$G$461,Data_filtered!$A$2:$A$461,L$1,Data_filtered!$F$2:$F$461,$A10, Data_filtered!$D$2:$D$461,"eucalipto",Data_filtered!$J$2:$J$461,"&lt;&gt;Incompleto")=0, "-", SUMIFS(Data_filtered!$K$2:$K$461,Data_filtered!$A$2:$A$461,L$1,Data_filtered!$F$2:$F$461,$A10,Data_filtered!$D$2:$D$461,"eucalipto",Data_filtered!$J$2:$J$461,"&lt;&gt;Incompleto"))</f>
        <v>-</v>
      </c>
      <c r="M10" s="109" t="str">
        <f>IF(SUMIFS(Data_filtered!$G$2:$G$461,Data_filtered!$A$2:$A$461,L$1,Data_filtered!$F$2:$F$461,$A10, Data_filtered!$D$2:$D$461,"mata",Data_filtered!$J$2:$J$461,"&lt;&gt;Incompleto")=0, "-", SUMIFS(Data_filtered!$K$2:$K$461,Data_filtered!$A$2:$A$461,L$1,Data_filtered!$F$2:$F$461,$A10,Data_filtered!$D$2:$D$461,"mata",Data_filtered!$J$2:$J$461,"&lt;&gt;Incompleto"))</f>
        <v>-</v>
      </c>
      <c r="N10" s="109" t="str">
        <f>IF(SUMIFS(Data_filtered!$G$2:$G$461,Data_filtered!$A$2:$A$461,N$1,Data_filtered!$F$2:$F$461,$A10, Data_filtered!$D$2:$D$461,"eucalipto",Data_filtered!$J$2:$J$461,"&lt;&gt;Incompleto")=0, "-", SUMIFS(Data_filtered!$K$2:$K$461,Data_filtered!$A$2:$A$461,N$1,Data_filtered!$F$2:$F$461,$A10,Data_filtered!$D$2:$D$461,"eucalipto",Data_filtered!$J$2:$J$461,"&lt;&gt;Incompleto"))</f>
        <v>-</v>
      </c>
      <c r="O10" s="109" t="str">
        <f>IF(SUMIFS(Data_filtered!$G$2:$G$461,Data_filtered!$A$2:$A$461,N$1,Data_filtered!$F$2:$F$461,$A10, Data_filtered!$D$2:$D$461,"mata",Data_filtered!$J$2:$J$461,"&lt;&gt;Incompleto")=0, "-", SUMIFS(Data_filtered!$K$2:$K$461,Data_filtered!$A$2:$A$461,N$1,Data_filtered!$F$2:$F$461,$A10,Data_filtered!$D$2:$D$461,"mata",Data_filtered!$J$2:$J$461,"&lt;&gt;Incompleto"))</f>
        <v>-</v>
      </c>
      <c r="P10" s="109" t="str">
        <f>IF(SUMIFS(Data_filtered!$G$2:$G$461,Data_filtered!$A$2:$A$461,P$1,Data_filtered!$F$2:$F$461,$A10, Data_filtered!$D$2:$D$461,"eucalipto",Data_filtered!$J$2:$J$461,"&lt;&gt;Incompleto")=0, "-", SUMIFS(Data_filtered!$K$2:$K$461,Data_filtered!$A$2:$A$461,P$1,Data_filtered!$F$2:$F$461,$A10,Data_filtered!$D$2:$D$461,"eucalipto",Data_filtered!$J$2:$J$461,"&lt;&gt;Incompleto"))</f>
        <v>-</v>
      </c>
      <c r="Q10" s="109" t="str">
        <f>IF(SUMIFS(Data_filtered!$G$2:$G$461,Data_filtered!$A$2:$A$461,P$1,Data_filtered!$F$2:$F$461,$A10, Data_filtered!$D$2:$D$461,"mata",Data_filtered!$J$2:$J$461,"&lt;&gt;Incompleto")=0, "-", SUMIFS(Data_filtered!$K$2:$K$461,Data_filtered!$A$2:$A$461,P$1,Data_filtered!$F$2:$F$461,$A10,Data_filtered!$D$2:$D$461,"mata",Data_filtered!$J$2:$J$461,"&lt;&gt;Incompleto"))</f>
        <v>-</v>
      </c>
      <c r="R10" s="109" t="str">
        <f>IF(SUMIFS(Data_filtered!$G$2:$G$461,Data_filtered!$A$2:$A$461,R$1,Data_filtered!$F$2:$F$461,$A10, Data_filtered!$D$2:$D$461,"eucalipto",Data_filtered!$J$2:$J$461,"&lt;&gt;Incompleto")=0, "-", SUMIFS(Data_filtered!$K$2:$K$461,Data_filtered!$A$2:$A$461,R$1,Data_filtered!$F$2:$F$461,$A10,Data_filtered!$D$2:$D$461,"eucalipto",Data_filtered!$J$2:$J$461,"&lt;&gt;Incompleto"))</f>
        <v>-</v>
      </c>
      <c r="S10" s="109" t="str">
        <f>IF(SUMIFS(Data_filtered!$G$2:$G$461,Data_filtered!$A$2:$A$461,R$1,Data_filtered!$F$2:$F$461,$A10, Data_filtered!$D$2:$D$461,"mata",Data_filtered!$J$2:$J$461,"&lt;&gt;Incompleto")=0, "-", SUMIFS(Data_filtered!$K$2:$K$461,Data_filtered!$A$2:$A$461,R$1,Data_filtered!$F$2:$F$461,$A10,Data_filtered!$D$2:$D$461,"mata",Data_filtered!$J$2:$J$461,"&lt;&gt;Incompleto"))</f>
        <v>-</v>
      </c>
      <c r="T10" s="109" t="str">
        <f>IF(SUMIFS(Data_filtered!$G$2:$G$461,Data_filtered!$A$2:$A$461,T$1,Data_filtered!$F$2:$F$461,$A10, Data_filtered!$D$2:$D$461,"eucalipto",Data_filtered!$J$2:$J$461,"&lt;&gt;Incompleto")=0, "-", SUMIFS(Data_filtered!$K$2:$K$461,Data_filtered!$A$2:$A$461,T$1,Data_filtered!$F$2:$F$461,$A10,Data_filtered!$D$2:$D$461,"eucalipto",Data_filtered!$J$2:$J$461,"&lt;&gt;Incompleto"))</f>
        <v>-</v>
      </c>
      <c r="U10" s="109" t="str">
        <f>IF(SUMIFS(Data_filtered!$G$2:$G$461,Data_filtered!$A$2:$A$461,T$1,Data_filtered!$F$2:$F$461,$A10, Data_filtered!$D$2:$D$461,"mata",Data_filtered!$J$2:$J$461,"&lt;&gt;Incompleto")=0, "-", SUMIFS(Data_filtered!$K$2:$K$461,Data_filtered!$A$2:$A$461,T$1,Data_filtered!$F$2:$F$461,$A10,Data_filtered!$D$2:$D$461,"mata",Data_filtered!$J$2:$J$461,"&lt;&gt;Incompleto"))</f>
        <v>-</v>
      </c>
      <c r="V10" s="109" t="str">
        <f>IF(SUMIFS(Data_filtered!$G$2:$G$461,Data_filtered!$A$2:$A$461,V$1,Data_filtered!$F$2:$F$461,$A10, Data_filtered!$D$2:$D$461,"eucalipto",Data_filtered!$J$2:$J$461,"&lt;&gt;Incompleto")=0, "-", SUMIFS(Data_filtered!$K$2:$K$461,Data_filtered!$A$2:$A$461,V$1,Data_filtered!$F$2:$F$461,$A10,Data_filtered!$D$2:$D$461,"eucalipto",Data_filtered!$J$2:$J$461,"&lt;&gt;Incompleto"))</f>
        <v>-</v>
      </c>
      <c r="W10" s="109">
        <f>IF(SUMIFS(Data_filtered!$G$2:$G$461,Data_filtered!$A$2:$A$461,V$1,Data_filtered!$F$2:$F$461,$A10, Data_filtered!$D$2:$D$461,"mata",Data_filtered!$J$2:$J$461,"&lt;&gt;Incompleto")=0, "-", SUMIFS(Data_filtered!$K$2:$K$461,Data_filtered!$A$2:$A$461,V$1,Data_filtered!$F$2:$F$461,$A10,Data_filtered!$D$2:$D$461,"mata",Data_filtered!$J$2:$J$461,"&lt;&gt;Incompleto"))</f>
        <v>1977.108977</v>
      </c>
      <c r="X10" s="109" t="str">
        <f>IF(SUMIFS(Data_filtered!$G$2:$G$461,Data_filtered!$A$2:$A$461,X$1,Data_filtered!$F$2:$F$461,$A10, Data_filtered!$D$2:$D$461,"eucalipto",Data_filtered!$J$2:$J$461,"&lt;&gt;Incompleto")=0, "-", SUMIFS(Data_filtered!$K$2:$K$461,Data_filtered!$A$2:$A$461,X$1,Data_filtered!$F$2:$F$461,$A10,Data_filtered!$D$2:$D$461,"eucalipto",Data_filtered!$J$2:$J$461,"&lt;&gt;Incompleto"))</f>
        <v>-</v>
      </c>
      <c r="Y10" s="109" t="str">
        <f>IF(SUMIFS(Data_filtered!$G$2:$G$461,Data_filtered!$A$2:$A$461,X$1,Data_filtered!$F$2:$F$461,$A10, Data_filtered!$D$2:$D$461,"mata",Data_filtered!$J$2:$J$461,"&lt;&gt;Incompleto")=0, "-", SUMIFS(Data_filtered!$K$2:$K$461,Data_filtered!$A$2:$A$461,X$1,Data_filtered!$F$2:$F$461,$A10,Data_filtered!$D$2:$D$461,"mata",Data_filtered!$J$2:$J$461,"&lt;&gt;Incompleto"))</f>
        <v>-</v>
      </c>
      <c r="Z10" s="109" t="str">
        <f>IF(SUMIFS(Data_filtered!$G$2:$G$461,Data_filtered!$A$2:$A$461,Z$1,Data_filtered!$F$2:$F$461,$A10, Data_filtered!$D$2:$D$461,"eucalipto",Data_filtered!$J$2:$J$461,"&lt;&gt;Incompleto")=0, "-", SUMIFS(Data_filtered!$K$2:$K$461,Data_filtered!$A$2:$A$461,Z$1,Data_filtered!$F$2:$F$461,$A10,Data_filtered!$D$2:$D$461,"eucalipto",Data_filtered!$J$2:$J$461,"&lt;&gt;Incompleto"))</f>
        <v>-</v>
      </c>
      <c r="AA10" s="109" t="str">
        <f>IF(SUMIFS(Data_filtered!$G$2:$G$461,Data_filtered!$A$2:$A$461,Z$1,Data_filtered!$F$2:$F$461,$A10, Data_filtered!$D$2:$D$461,"mata",Data_filtered!$J$2:$J$461,"&lt;&gt;Incompleto")=0, "-", SUMIFS(Data_filtered!$K$2:$K$461,Data_filtered!$A$2:$A$461,Z$1,Data_filtered!$F$2:$F$461,$A10,Data_filtered!$D$2:$D$461,"mata",Data_filtered!$J$2:$J$461,"&lt;&gt;Incompleto"))</f>
        <v>-</v>
      </c>
      <c r="AB10" s="106"/>
      <c r="AC10" s="107"/>
      <c r="AD10" s="106"/>
      <c r="AE10" s="107"/>
      <c r="AF10" s="106"/>
      <c r="AG10" s="107"/>
      <c r="AH10" s="106"/>
      <c r="AI10" s="107"/>
      <c r="AJ10" s="106"/>
      <c r="AK10" s="107"/>
      <c r="AL10" s="106"/>
      <c r="AM10" s="107"/>
      <c r="AN10" s="106"/>
      <c r="AO10" s="107"/>
      <c r="AP10" s="106"/>
      <c r="AQ10" s="107"/>
      <c r="AR10" s="106"/>
      <c r="AS10" s="107"/>
    </row>
    <row r="11">
      <c r="A11" s="15" t="str">
        <f>IFERROR(__xludf.DUMMYFUNCTION("""COMPUTED_VALUE"""),"Diplopoda")</f>
        <v>Diplopoda</v>
      </c>
      <c r="B11" s="109" t="str">
        <f>IF(SUMIFS(Data_filtered!$G$2:$G$461,Data_filtered!$A$2:$A$461,B$1,Data_filtered!$F$2:$F$461,$A11, Data_filtered!$D$2:$D$461,"eucalipto",Data_filtered!$J$2:$J$461,"&lt;&gt;Incompleto")=0, "-", SUMIFS(Data_filtered!$K$2:$K$461,Data_filtered!$A$2:$A$461,B$1,Data_filtered!$F$2:$F$461,$A11,Data_filtered!$D$2:$D$461,"eucalipto",Data_filtered!$J$2:$J$461,"&lt;&gt;Incompleto"))</f>
        <v>-</v>
      </c>
      <c r="C11" s="109" t="str">
        <f>IF(SUMIFS(Data_filtered!$G$2:$G$461,Data_filtered!$A$2:$A$461,B$1,Data_filtered!$F$2:$F$461,$A11, Data_filtered!$D$2:$D$461,"mata",Data_filtered!$J$2:$J$461,"&lt;&gt;Incompleto")=0, "-", SUMIFS(Data_filtered!$K$2:$K$461,Data_filtered!$A$2:$A$461,B$1,Data_filtered!$F$2:$F$461,$A11,Data_filtered!$D$2:$D$461,"mata",Data_filtered!$J$2:$J$461,"&lt;&gt;Incompleto"))</f>
        <v>-</v>
      </c>
      <c r="D11" s="109" t="str">
        <f>IF(SUMIFS(Data_filtered!$G$2:$G$461,Data_filtered!$A$2:$A$461,D$1,Data_filtered!$F$2:$F$461,$A11, Data_filtered!$D$2:$D$461,"eucalipto",Data_filtered!$J$2:$J$461,"&lt;&gt;Incompleto")=0, "-", SUMIFS(Data_filtered!$K$2:$K$461,Data_filtered!$A$2:$A$461,D$1,Data_filtered!$F$2:$F$461,$A11,Data_filtered!$D$2:$D$461,"eucalipto",Data_filtered!$J$2:$J$461,"&lt;&gt;Incompleto"))</f>
        <v>-</v>
      </c>
      <c r="E11" s="109" t="str">
        <f>IF(SUMIFS(Data_filtered!$G$2:$G$461,Data_filtered!$A$2:$A$461,D$1,Data_filtered!$F$2:$F$461,$A11, Data_filtered!$D$2:$D$461,"mata",Data_filtered!$J$2:$J$461,"&lt;&gt;Incompleto")=0, "-", SUMIFS(Data_filtered!$K$2:$K$461,Data_filtered!$A$2:$A$461,D$1,Data_filtered!$F$2:$F$461,$A11,Data_filtered!$D$2:$D$461,"mata",Data_filtered!$J$2:$J$461,"&lt;&gt;Incompleto"))</f>
        <v>-</v>
      </c>
      <c r="F11" s="109" t="str">
        <f>IF(SUMIFS(Data_filtered!$G$2:$G$461,Data_filtered!$A$2:$A$461,F$1,Data_filtered!$F$2:$F$461,$A11, Data_filtered!$D$2:$D$461,"eucalipto",Data_filtered!$J$2:$J$461,"&lt;&gt;Incompleto")=0, "-", SUMIFS(Data_filtered!$K$2:$K$461,Data_filtered!$A$2:$A$461,F$1,Data_filtered!$F$2:$F$461,$A11,Data_filtered!$D$2:$D$461,"eucalipto",Data_filtered!$J$2:$J$461,"&lt;&gt;Incompleto"))</f>
        <v>-</v>
      </c>
      <c r="G11" s="109" t="str">
        <f>IF(SUMIFS(Data_filtered!$G$2:$G$461,Data_filtered!$A$2:$A$461,F$1,Data_filtered!$F$2:$F$461,$A11, Data_filtered!$D$2:$D$461,"mata",Data_filtered!$J$2:$J$461,"&lt;&gt;Incompleto")=0, "-", SUMIFS(Data_filtered!$K$2:$K$461,Data_filtered!$A$2:$A$461,F$1,Data_filtered!$F$2:$F$461,$A11,Data_filtered!$D$2:$D$461,"mata",Data_filtered!$J$2:$J$461,"&lt;&gt;Incompleto"))</f>
        <v>-</v>
      </c>
      <c r="H11" s="109" t="str">
        <f>IF(SUMIFS(Data_filtered!$G$2:$G$461,Data_filtered!$A$2:$A$461,H$1,Data_filtered!$F$2:$F$461,$A11, Data_filtered!$D$2:$D$461,"eucalipto",Data_filtered!$J$2:$J$461,"&lt;&gt;Incompleto")=0, "-", SUMIFS(Data_filtered!$K$2:$K$461,Data_filtered!$A$2:$A$461,H$1,Data_filtered!$F$2:$F$461,$A11,Data_filtered!$D$2:$D$461,"eucalipto",Data_filtered!$J$2:$J$461,"&lt;&gt;Incompleto"))</f>
        <v>-</v>
      </c>
      <c r="I11" s="109" t="str">
        <f>IF(SUMIFS(Data_filtered!$G$2:$G$461,Data_filtered!$A$2:$A$461,H$1,Data_filtered!$F$2:$F$461,$A11, Data_filtered!$D$2:$D$461,"mata",Data_filtered!$J$2:$J$461,"&lt;&gt;Incompleto")=0, "-", SUMIFS(Data_filtered!$K$2:$K$461,Data_filtered!$A$2:$A$461,H$1,Data_filtered!$F$2:$F$461,$A11,Data_filtered!$D$2:$D$461,"mata",Data_filtered!$J$2:$J$461,"&lt;&gt;Incompleto"))</f>
        <v>-</v>
      </c>
      <c r="J11" s="109" t="str">
        <f>IF(SUMIFS(Data_filtered!$G$2:$G$461,Data_filtered!$A$2:$A$461,J$1,Data_filtered!$F$2:$F$461,$A11, Data_filtered!$D$2:$D$461,"eucalipto",Data_filtered!$J$2:$J$461,"&lt;&gt;Incompleto")=0, "-", SUMIFS(Data_filtered!$K$2:$K$461,Data_filtered!$A$2:$A$461,J$1,Data_filtered!$F$2:$F$461,$A11,Data_filtered!$D$2:$D$461,"eucalipto",Data_filtered!$J$2:$J$461,"&lt;&gt;Incompleto"))</f>
        <v>-</v>
      </c>
      <c r="K11" s="109" t="str">
        <f>IF(SUMIFS(Data_filtered!$G$2:$G$461,Data_filtered!$A$2:$A$461,J$1,Data_filtered!$F$2:$F$461,$A11, Data_filtered!$D$2:$D$461,"mata",Data_filtered!$J$2:$J$461,"&lt;&gt;Incompleto")=0, "-", SUMIFS(Data_filtered!$K$2:$K$461,Data_filtered!$A$2:$A$461,J$1,Data_filtered!$F$2:$F$461,$A11,Data_filtered!$D$2:$D$461,"mata",Data_filtered!$J$2:$J$461,"&lt;&gt;Incompleto"))</f>
        <v>-</v>
      </c>
      <c r="L11" s="109" t="str">
        <f>IF(SUMIFS(Data_filtered!$G$2:$G$461,Data_filtered!$A$2:$A$461,L$1,Data_filtered!$F$2:$F$461,$A11, Data_filtered!$D$2:$D$461,"eucalipto",Data_filtered!$J$2:$J$461,"&lt;&gt;Incompleto")=0, "-", SUMIFS(Data_filtered!$K$2:$K$461,Data_filtered!$A$2:$A$461,L$1,Data_filtered!$F$2:$F$461,$A11,Data_filtered!$D$2:$D$461,"eucalipto",Data_filtered!$J$2:$J$461,"&lt;&gt;Incompleto"))</f>
        <v>-</v>
      </c>
      <c r="M11" s="109" t="str">
        <f>IF(SUMIFS(Data_filtered!$G$2:$G$461,Data_filtered!$A$2:$A$461,L$1,Data_filtered!$F$2:$F$461,$A11, Data_filtered!$D$2:$D$461,"mata",Data_filtered!$J$2:$J$461,"&lt;&gt;Incompleto")=0, "-", SUMIFS(Data_filtered!$K$2:$K$461,Data_filtered!$A$2:$A$461,L$1,Data_filtered!$F$2:$F$461,$A11,Data_filtered!$D$2:$D$461,"mata",Data_filtered!$J$2:$J$461,"&lt;&gt;Incompleto"))</f>
        <v>-</v>
      </c>
      <c r="N11" s="109" t="str">
        <f>IF(SUMIFS(Data_filtered!$G$2:$G$461,Data_filtered!$A$2:$A$461,N$1,Data_filtered!$F$2:$F$461,$A11, Data_filtered!$D$2:$D$461,"eucalipto",Data_filtered!$J$2:$J$461,"&lt;&gt;Incompleto")=0, "-", SUMIFS(Data_filtered!$K$2:$K$461,Data_filtered!$A$2:$A$461,N$1,Data_filtered!$F$2:$F$461,$A11,Data_filtered!$D$2:$D$461,"eucalipto",Data_filtered!$J$2:$J$461,"&lt;&gt;Incompleto"))</f>
        <v>-</v>
      </c>
      <c r="O11" s="109" t="str">
        <f>IF(SUMIFS(Data_filtered!$G$2:$G$461,Data_filtered!$A$2:$A$461,N$1,Data_filtered!$F$2:$F$461,$A11, Data_filtered!$D$2:$D$461,"mata",Data_filtered!$J$2:$J$461,"&lt;&gt;Incompleto")=0, "-", SUMIFS(Data_filtered!$K$2:$K$461,Data_filtered!$A$2:$A$461,N$1,Data_filtered!$F$2:$F$461,$A11,Data_filtered!$D$2:$D$461,"mata",Data_filtered!$J$2:$J$461,"&lt;&gt;Incompleto"))</f>
        <v>-</v>
      </c>
      <c r="P11" s="109" t="str">
        <f>IF(SUMIFS(Data_filtered!$G$2:$G$461,Data_filtered!$A$2:$A$461,P$1,Data_filtered!$F$2:$F$461,$A11, Data_filtered!$D$2:$D$461,"eucalipto",Data_filtered!$J$2:$J$461,"&lt;&gt;Incompleto")=0, "-", SUMIFS(Data_filtered!$K$2:$K$461,Data_filtered!$A$2:$A$461,P$1,Data_filtered!$F$2:$F$461,$A11,Data_filtered!$D$2:$D$461,"eucalipto",Data_filtered!$J$2:$J$461,"&lt;&gt;Incompleto"))</f>
        <v>-</v>
      </c>
      <c r="Q11" s="109" t="str">
        <f>IF(SUMIFS(Data_filtered!$G$2:$G$461,Data_filtered!$A$2:$A$461,P$1,Data_filtered!$F$2:$F$461,$A11, Data_filtered!$D$2:$D$461,"mata",Data_filtered!$J$2:$J$461,"&lt;&gt;Incompleto")=0, "-", SUMIFS(Data_filtered!$K$2:$K$461,Data_filtered!$A$2:$A$461,P$1,Data_filtered!$F$2:$F$461,$A11,Data_filtered!$D$2:$D$461,"mata",Data_filtered!$J$2:$J$461,"&lt;&gt;Incompleto"))</f>
        <v>-</v>
      </c>
      <c r="R11" s="109" t="str">
        <f>IF(SUMIFS(Data_filtered!$G$2:$G$461,Data_filtered!$A$2:$A$461,R$1,Data_filtered!$F$2:$F$461,$A11, Data_filtered!$D$2:$D$461,"eucalipto",Data_filtered!$J$2:$J$461,"&lt;&gt;Incompleto")=0, "-", SUMIFS(Data_filtered!$K$2:$K$461,Data_filtered!$A$2:$A$461,R$1,Data_filtered!$F$2:$F$461,$A11,Data_filtered!$D$2:$D$461,"eucalipto",Data_filtered!$J$2:$J$461,"&lt;&gt;Incompleto"))</f>
        <v>-</v>
      </c>
      <c r="S11" s="109">
        <f>IF(SUMIFS(Data_filtered!$G$2:$G$461,Data_filtered!$A$2:$A$461,R$1,Data_filtered!$F$2:$F$461,$A11, Data_filtered!$D$2:$D$461,"mata",Data_filtered!$J$2:$J$461,"&lt;&gt;Incompleto")=0, "-", SUMIFS(Data_filtered!$K$2:$K$461,Data_filtered!$A$2:$A$461,R$1,Data_filtered!$F$2:$F$461,$A11,Data_filtered!$D$2:$D$461,"mata",Data_filtered!$J$2:$J$461,"&lt;&gt;Incompleto"))</f>
        <v>41.88790205</v>
      </c>
      <c r="T11" s="109" t="str">
        <f>IF(SUMIFS(Data_filtered!$G$2:$G$461,Data_filtered!$A$2:$A$461,T$1,Data_filtered!$F$2:$F$461,$A11, Data_filtered!$D$2:$D$461,"eucalipto",Data_filtered!$J$2:$J$461,"&lt;&gt;Incompleto")=0, "-", SUMIFS(Data_filtered!$K$2:$K$461,Data_filtered!$A$2:$A$461,T$1,Data_filtered!$F$2:$F$461,$A11,Data_filtered!$D$2:$D$461,"eucalipto",Data_filtered!$J$2:$J$461,"&lt;&gt;Incompleto"))</f>
        <v>-</v>
      </c>
      <c r="U11" s="109" t="str">
        <f>IF(SUMIFS(Data_filtered!$G$2:$G$461,Data_filtered!$A$2:$A$461,T$1,Data_filtered!$F$2:$F$461,$A11, Data_filtered!$D$2:$D$461,"mata",Data_filtered!$J$2:$J$461,"&lt;&gt;Incompleto")=0, "-", SUMIFS(Data_filtered!$K$2:$K$461,Data_filtered!$A$2:$A$461,T$1,Data_filtered!$F$2:$F$461,$A11,Data_filtered!$D$2:$D$461,"mata",Data_filtered!$J$2:$J$461,"&lt;&gt;Incompleto"))</f>
        <v>-</v>
      </c>
      <c r="V11" s="109" t="str">
        <f>IF(SUMIFS(Data_filtered!$G$2:$G$461,Data_filtered!$A$2:$A$461,V$1,Data_filtered!$F$2:$F$461,$A11, Data_filtered!$D$2:$D$461,"eucalipto",Data_filtered!$J$2:$J$461,"&lt;&gt;Incompleto")=0, "-", SUMIFS(Data_filtered!$K$2:$K$461,Data_filtered!$A$2:$A$461,V$1,Data_filtered!$F$2:$F$461,$A11,Data_filtered!$D$2:$D$461,"eucalipto",Data_filtered!$J$2:$J$461,"&lt;&gt;Incompleto"))</f>
        <v>-</v>
      </c>
      <c r="W11" s="109">
        <f>IF(SUMIFS(Data_filtered!$G$2:$G$461,Data_filtered!$A$2:$A$461,V$1,Data_filtered!$F$2:$F$461,$A11, Data_filtered!$D$2:$D$461,"mata",Data_filtered!$J$2:$J$461,"&lt;&gt;Incompleto")=0, "-", SUMIFS(Data_filtered!$K$2:$K$461,Data_filtered!$A$2:$A$461,V$1,Data_filtered!$F$2:$F$461,$A11,Data_filtered!$D$2:$D$461,"mata",Data_filtered!$J$2:$J$461,"&lt;&gt;Incompleto"))</f>
        <v>25643.77363</v>
      </c>
      <c r="X11" s="109" t="str">
        <f>IF(SUMIFS(Data_filtered!$G$2:$G$461,Data_filtered!$A$2:$A$461,X$1,Data_filtered!$F$2:$F$461,$A11, Data_filtered!$D$2:$D$461,"eucalipto",Data_filtered!$J$2:$J$461,"&lt;&gt;Incompleto")=0, "-", SUMIFS(Data_filtered!$K$2:$K$461,Data_filtered!$A$2:$A$461,X$1,Data_filtered!$F$2:$F$461,$A11,Data_filtered!$D$2:$D$461,"eucalipto",Data_filtered!$J$2:$J$461,"&lt;&gt;Incompleto"))</f>
        <v>-</v>
      </c>
      <c r="Y11" s="109">
        <f>IF(SUMIFS(Data_filtered!$G$2:$G$461,Data_filtered!$A$2:$A$461,X$1,Data_filtered!$F$2:$F$461,$A11, Data_filtered!$D$2:$D$461,"mata",Data_filtered!$J$2:$J$461,"&lt;&gt;Incompleto")=0, "-", SUMIFS(Data_filtered!$K$2:$K$461,Data_filtered!$A$2:$A$461,X$1,Data_filtered!$F$2:$F$461,$A11,Data_filtered!$D$2:$D$461,"mata",Data_filtered!$J$2:$J$461,"&lt;&gt;Incompleto"))</f>
        <v>1319.468915</v>
      </c>
      <c r="Z11" s="109" t="str">
        <f>IF(SUMIFS(Data_filtered!$G$2:$G$461,Data_filtered!$A$2:$A$461,Z$1,Data_filtered!$F$2:$F$461,$A11, Data_filtered!$D$2:$D$461,"eucalipto",Data_filtered!$J$2:$J$461,"&lt;&gt;Incompleto")=0, "-", SUMIFS(Data_filtered!$K$2:$K$461,Data_filtered!$A$2:$A$461,Z$1,Data_filtered!$F$2:$F$461,$A11,Data_filtered!$D$2:$D$461,"eucalipto",Data_filtered!$J$2:$J$461,"&lt;&gt;Incompleto"))</f>
        <v>-</v>
      </c>
      <c r="AA11" s="109" t="str">
        <f>IF(SUMIFS(Data_filtered!$G$2:$G$461,Data_filtered!$A$2:$A$461,Z$1,Data_filtered!$F$2:$F$461,$A11, Data_filtered!$D$2:$D$461,"mata",Data_filtered!$J$2:$J$461,"&lt;&gt;Incompleto")=0, "-", SUMIFS(Data_filtered!$K$2:$K$461,Data_filtered!$A$2:$A$461,Z$1,Data_filtered!$F$2:$F$461,$A11,Data_filtered!$D$2:$D$461,"mata",Data_filtered!$J$2:$J$461,"&lt;&gt;Incompleto"))</f>
        <v>-</v>
      </c>
      <c r="AB11" s="106"/>
      <c r="AC11" s="107"/>
      <c r="AD11" s="106"/>
      <c r="AE11" s="107"/>
      <c r="AF11" s="106"/>
      <c r="AG11" s="107"/>
      <c r="AH11" s="106"/>
      <c r="AI11" s="107"/>
      <c r="AJ11" s="106"/>
      <c r="AK11" s="107"/>
      <c r="AL11" s="106"/>
      <c r="AM11" s="107"/>
      <c r="AN11" s="106"/>
      <c r="AO11" s="107"/>
      <c r="AP11" s="106"/>
      <c r="AQ11" s="107"/>
      <c r="AR11" s="106"/>
      <c r="AS11" s="107"/>
    </row>
    <row r="12">
      <c r="A12" s="15" t="str">
        <f>IFERROR(__xludf.DUMMYFUNCTION("""COMPUTED_VALUE"""),"Ensifera")</f>
        <v>Ensifera</v>
      </c>
      <c r="B12" s="109" t="str">
        <f>IF(SUMIFS(Data_filtered!$G$2:$G$461,Data_filtered!$A$2:$A$461,B$1,Data_filtered!$F$2:$F$461,$A12, Data_filtered!$D$2:$D$461,"eucalipto",Data_filtered!$J$2:$J$461,"&lt;&gt;Incompleto")=0, "-", SUMIFS(Data_filtered!$K$2:$K$461,Data_filtered!$A$2:$A$461,B$1,Data_filtered!$F$2:$F$461,$A12,Data_filtered!$D$2:$D$461,"eucalipto",Data_filtered!$J$2:$J$461,"&lt;&gt;Incompleto"))</f>
        <v>-</v>
      </c>
      <c r="C12" s="109">
        <f>IF(SUMIFS(Data_filtered!$G$2:$G$461,Data_filtered!$A$2:$A$461,B$1,Data_filtered!$F$2:$F$461,$A12, Data_filtered!$D$2:$D$461,"mata",Data_filtered!$J$2:$J$461,"&lt;&gt;Incompleto")=0, "-", SUMIFS(Data_filtered!$K$2:$K$461,Data_filtered!$A$2:$A$461,B$1,Data_filtered!$F$2:$F$461,$A12,Data_filtered!$D$2:$D$461,"mata",Data_filtered!$J$2:$J$461,"&lt;&gt;Incompleto"))</f>
        <v>804.2477193</v>
      </c>
      <c r="D12" s="109" t="str">
        <f>IF(SUMIFS(Data_filtered!$G$2:$G$461,Data_filtered!$A$2:$A$461,D$1,Data_filtered!$F$2:$F$461,$A12, Data_filtered!$D$2:$D$461,"eucalipto",Data_filtered!$J$2:$J$461,"&lt;&gt;Incompleto")=0, "-", SUMIFS(Data_filtered!$K$2:$K$461,Data_filtered!$A$2:$A$461,D$1,Data_filtered!$F$2:$F$461,$A12,Data_filtered!$D$2:$D$461,"eucalipto",Data_filtered!$J$2:$J$461,"&lt;&gt;Incompleto"))</f>
        <v>-</v>
      </c>
      <c r="E12" s="109" t="str">
        <f>IF(SUMIFS(Data_filtered!$G$2:$G$461,Data_filtered!$A$2:$A$461,D$1,Data_filtered!$F$2:$F$461,$A12, Data_filtered!$D$2:$D$461,"mata",Data_filtered!$J$2:$J$461,"&lt;&gt;Incompleto")=0, "-", SUMIFS(Data_filtered!$K$2:$K$461,Data_filtered!$A$2:$A$461,D$1,Data_filtered!$F$2:$F$461,$A12,Data_filtered!$D$2:$D$461,"mata",Data_filtered!$J$2:$J$461,"&lt;&gt;Incompleto"))</f>
        <v>-</v>
      </c>
      <c r="F12" s="109" t="str">
        <f>IF(SUMIFS(Data_filtered!$G$2:$G$461,Data_filtered!$A$2:$A$461,F$1,Data_filtered!$F$2:$F$461,$A12, Data_filtered!$D$2:$D$461,"eucalipto",Data_filtered!$J$2:$J$461,"&lt;&gt;Incompleto")=0, "-", SUMIFS(Data_filtered!$K$2:$K$461,Data_filtered!$A$2:$A$461,F$1,Data_filtered!$F$2:$F$461,$A12,Data_filtered!$D$2:$D$461,"eucalipto",Data_filtered!$J$2:$J$461,"&lt;&gt;Incompleto"))</f>
        <v>-</v>
      </c>
      <c r="G12" s="109" t="str">
        <f>IF(SUMIFS(Data_filtered!$G$2:$G$461,Data_filtered!$A$2:$A$461,F$1,Data_filtered!$F$2:$F$461,$A12, Data_filtered!$D$2:$D$461,"mata",Data_filtered!$J$2:$J$461,"&lt;&gt;Incompleto")=0, "-", SUMIFS(Data_filtered!$K$2:$K$461,Data_filtered!$A$2:$A$461,F$1,Data_filtered!$F$2:$F$461,$A12,Data_filtered!$D$2:$D$461,"mata",Data_filtered!$J$2:$J$461,"&lt;&gt;Incompleto"))</f>
        <v>-</v>
      </c>
      <c r="H12" s="109" t="str">
        <f>IF(SUMIFS(Data_filtered!$G$2:$G$461,Data_filtered!$A$2:$A$461,H$1,Data_filtered!$F$2:$F$461,$A12, Data_filtered!$D$2:$D$461,"eucalipto",Data_filtered!$J$2:$J$461,"&lt;&gt;Incompleto")=0, "-", SUMIFS(Data_filtered!$K$2:$K$461,Data_filtered!$A$2:$A$461,H$1,Data_filtered!$F$2:$F$461,$A12,Data_filtered!$D$2:$D$461,"eucalipto",Data_filtered!$J$2:$J$461,"&lt;&gt;Incompleto"))</f>
        <v>-</v>
      </c>
      <c r="I12" s="109" t="str">
        <f>IF(SUMIFS(Data_filtered!$G$2:$G$461,Data_filtered!$A$2:$A$461,H$1,Data_filtered!$F$2:$F$461,$A12, Data_filtered!$D$2:$D$461,"mata",Data_filtered!$J$2:$J$461,"&lt;&gt;Incompleto")=0, "-", SUMIFS(Data_filtered!$K$2:$K$461,Data_filtered!$A$2:$A$461,H$1,Data_filtered!$F$2:$F$461,$A12,Data_filtered!$D$2:$D$461,"mata",Data_filtered!$J$2:$J$461,"&lt;&gt;Incompleto"))</f>
        <v>-</v>
      </c>
      <c r="J12" s="109" t="str">
        <f>IF(SUMIFS(Data_filtered!$G$2:$G$461,Data_filtered!$A$2:$A$461,J$1,Data_filtered!$F$2:$F$461,$A12, Data_filtered!$D$2:$D$461,"eucalipto",Data_filtered!$J$2:$J$461,"&lt;&gt;Incompleto")=0, "-", SUMIFS(Data_filtered!$K$2:$K$461,Data_filtered!$A$2:$A$461,J$1,Data_filtered!$F$2:$F$461,$A12,Data_filtered!$D$2:$D$461,"eucalipto",Data_filtered!$J$2:$J$461,"&lt;&gt;Incompleto"))</f>
        <v>-</v>
      </c>
      <c r="K12" s="109" t="str">
        <f>IF(SUMIFS(Data_filtered!$G$2:$G$461,Data_filtered!$A$2:$A$461,J$1,Data_filtered!$F$2:$F$461,$A12, Data_filtered!$D$2:$D$461,"mata",Data_filtered!$J$2:$J$461,"&lt;&gt;Incompleto")=0, "-", SUMIFS(Data_filtered!$K$2:$K$461,Data_filtered!$A$2:$A$461,J$1,Data_filtered!$F$2:$F$461,$A12,Data_filtered!$D$2:$D$461,"mata",Data_filtered!$J$2:$J$461,"&lt;&gt;Incompleto"))</f>
        <v>-</v>
      </c>
      <c r="L12" s="109" t="str">
        <f>IF(SUMIFS(Data_filtered!$G$2:$G$461,Data_filtered!$A$2:$A$461,L$1,Data_filtered!$F$2:$F$461,$A12, Data_filtered!$D$2:$D$461,"eucalipto",Data_filtered!$J$2:$J$461,"&lt;&gt;Incompleto")=0, "-", SUMIFS(Data_filtered!$K$2:$K$461,Data_filtered!$A$2:$A$461,L$1,Data_filtered!$F$2:$F$461,$A12,Data_filtered!$D$2:$D$461,"eucalipto",Data_filtered!$J$2:$J$461,"&lt;&gt;Incompleto"))</f>
        <v>-</v>
      </c>
      <c r="M12" s="109" t="str">
        <f>IF(SUMIFS(Data_filtered!$G$2:$G$461,Data_filtered!$A$2:$A$461,L$1,Data_filtered!$F$2:$F$461,$A12, Data_filtered!$D$2:$D$461,"mata",Data_filtered!$J$2:$J$461,"&lt;&gt;Incompleto")=0, "-", SUMIFS(Data_filtered!$K$2:$K$461,Data_filtered!$A$2:$A$461,L$1,Data_filtered!$F$2:$F$461,$A12,Data_filtered!$D$2:$D$461,"mata",Data_filtered!$J$2:$J$461,"&lt;&gt;Incompleto"))</f>
        <v>-</v>
      </c>
      <c r="N12" s="109" t="str">
        <f>IF(SUMIFS(Data_filtered!$G$2:$G$461,Data_filtered!$A$2:$A$461,N$1,Data_filtered!$F$2:$F$461,$A12, Data_filtered!$D$2:$D$461,"eucalipto",Data_filtered!$J$2:$J$461,"&lt;&gt;Incompleto")=0, "-", SUMIFS(Data_filtered!$K$2:$K$461,Data_filtered!$A$2:$A$461,N$1,Data_filtered!$F$2:$F$461,$A12,Data_filtered!$D$2:$D$461,"eucalipto",Data_filtered!$J$2:$J$461,"&lt;&gt;Incompleto"))</f>
        <v>-</v>
      </c>
      <c r="O12" s="109" t="str">
        <f>IF(SUMIFS(Data_filtered!$G$2:$G$461,Data_filtered!$A$2:$A$461,N$1,Data_filtered!$F$2:$F$461,$A12, Data_filtered!$D$2:$D$461,"mata",Data_filtered!$J$2:$J$461,"&lt;&gt;Incompleto")=0, "-", SUMIFS(Data_filtered!$K$2:$K$461,Data_filtered!$A$2:$A$461,N$1,Data_filtered!$F$2:$F$461,$A12,Data_filtered!$D$2:$D$461,"mata",Data_filtered!$J$2:$J$461,"&lt;&gt;Incompleto"))</f>
        <v>-</v>
      </c>
      <c r="P12" s="109" t="str">
        <f>IF(SUMIFS(Data_filtered!$G$2:$G$461,Data_filtered!$A$2:$A$461,P$1,Data_filtered!$F$2:$F$461,$A12, Data_filtered!$D$2:$D$461,"eucalipto",Data_filtered!$J$2:$J$461,"&lt;&gt;Incompleto")=0, "-", SUMIFS(Data_filtered!$K$2:$K$461,Data_filtered!$A$2:$A$461,P$1,Data_filtered!$F$2:$F$461,$A12,Data_filtered!$D$2:$D$461,"eucalipto",Data_filtered!$J$2:$J$461,"&lt;&gt;Incompleto"))</f>
        <v>-</v>
      </c>
      <c r="Q12" s="109" t="str">
        <f>IF(SUMIFS(Data_filtered!$G$2:$G$461,Data_filtered!$A$2:$A$461,P$1,Data_filtered!$F$2:$F$461,$A12, Data_filtered!$D$2:$D$461,"mata",Data_filtered!$J$2:$J$461,"&lt;&gt;Incompleto")=0, "-", SUMIFS(Data_filtered!$K$2:$K$461,Data_filtered!$A$2:$A$461,P$1,Data_filtered!$F$2:$F$461,$A12,Data_filtered!$D$2:$D$461,"mata",Data_filtered!$J$2:$J$461,"&lt;&gt;Incompleto"))</f>
        <v>-</v>
      </c>
      <c r="R12" s="109" t="str">
        <f>IF(SUMIFS(Data_filtered!$G$2:$G$461,Data_filtered!$A$2:$A$461,R$1,Data_filtered!$F$2:$F$461,$A12, Data_filtered!$D$2:$D$461,"eucalipto",Data_filtered!$J$2:$J$461,"&lt;&gt;Incompleto")=0, "-", SUMIFS(Data_filtered!$K$2:$K$461,Data_filtered!$A$2:$A$461,R$1,Data_filtered!$F$2:$F$461,$A12,Data_filtered!$D$2:$D$461,"eucalipto",Data_filtered!$J$2:$J$461,"&lt;&gt;Incompleto"))</f>
        <v>-</v>
      </c>
      <c r="S12" s="109">
        <f>IF(SUMIFS(Data_filtered!$G$2:$G$461,Data_filtered!$A$2:$A$461,R$1,Data_filtered!$F$2:$F$461,$A12, Data_filtered!$D$2:$D$461,"mata",Data_filtered!$J$2:$J$461,"&lt;&gt;Incompleto")=0, "-", SUMIFS(Data_filtered!$K$2:$K$461,Data_filtered!$A$2:$A$461,R$1,Data_filtered!$F$2:$F$461,$A12,Data_filtered!$D$2:$D$461,"mata",Data_filtered!$J$2:$J$461,"&lt;&gt;Incompleto"))</f>
        <v>4105.014401</v>
      </c>
      <c r="T12" s="109" t="str">
        <f>IF(SUMIFS(Data_filtered!$G$2:$G$461,Data_filtered!$A$2:$A$461,T$1,Data_filtered!$F$2:$F$461,$A12, Data_filtered!$D$2:$D$461,"eucalipto",Data_filtered!$J$2:$J$461,"&lt;&gt;Incompleto")=0, "-", SUMIFS(Data_filtered!$K$2:$K$461,Data_filtered!$A$2:$A$461,T$1,Data_filtered!$F$2:$F$461,$A12,Data_filtered!$D$2:$D$461,"eucalipto",Data_filtered!$J$2:$J$461,"&lt;&gt;Incompleto"))</f>
        <v>-</v>
      </c>
      <c r="U12" s="109" t="str">
        <f>IF(SUMIFS(Data_filtered!$G$2:$G$461,Data_filtered!$A$2:$A$461,T$1,Data_filtered!$F$2:$F$461,$A12, Data_filtered!$D$2:$D$461,"mata",Data_filtered!$J$2:$J$461,"&lt;&gt;Incompleto")=0, "-", SUMIFS(Data_filtered!$K$2:$K$461,Data_filtered!$A$2:$A$461,T$1,Data_filtered!$F$2:$F$461,$A12,Data_filtered!$D$2:$D$461,"mata",Data_filtered!$J$2:$J$461,"&lt;&gt;Incompleto"))</f>
        <v>-</v>
      </c>
      <c r="V12" s="109" t="str">
        <f>IF(SUMIFS(Data_filtered!$G$2:$G$461,Data_filtered!$A$2:$A$461,V$1,Data_filtered!$F$2:$F$461,$A12, Data_filtered!$D$2:$D$461,"eucalipto",Data_filtered!$J$2:$J$461,"&lt;&gt;Incompleto")=0, "-", SUMIFS(Data_filtered!$K$2:$K$461,Data_filtered!$A$2:$A$461,V$1,Data_filtered!$F$2:$F$461,$A12,Data_filtered!$D$2:$D$461,"eucalipto",Data_filtered!$J$2:$J$461,"&lt;&gt;Incompleto"))</f>
        <v>-</v>
      </c>
      <c r="W12" s="109" t="str">
        <f>IF(SUMIFS(Data_filtered!$G$2:$G$461,Data_filtered!$A$2:$A$461,V$1,Data_filtered!$F$2:$F$461,$A12, Data_filtered!$D$2:$D$461,"mata",Data_filtered!$J$2:$J$461,"&lt;&gt;Incompleto")=0, "-", SUMIFS(Data_filtered!$K$2:$K$461,Data_filtered!$A$2:$A$461,V$1,Data_filtered!$F$2:$F$461,$A12,Data_filtered!$D$2:$D$461,"mata",Data_filtered!$J$2:$J$461,"&lt;&gt;Incompleto"))</f>
        <v>-</v>
      </c>
      <c r="X12" s="109" t="str">
        <f>IF(SUMIFS(Data_filtered!$G$2:$G$461,Data_filtered!$A$2:$A$461,X$1,Data_filtered!$F$2:$F$461,$A12, Data_filtered!$D$2:$D$461,"eucalipto",Data_filtered!$J$2:$J$461,"&lt;&gt;Incompleto")=0, "-", SUMIFS(Data_filtered!$K$2:$K$461,Data_filtered!$A$2:$A$461,X$1,Data_filtered!$F$2:$F$461,$A12,Data_filtered!$D$2:$D$461,"eucalipto",Data_filtered!$J$2:$J$461,"&lt;&gt;Incompleto"))</f>
        <v>-</v>
      </c>
      <c r="Y12" s="109" t="str">
        <f>IF(SUMIFS(Data_filtered!$G$2:$G$461,Data_filtered!$A$2:$A$461,X$1,Data_filtered!$F$2:$F$461,$A12, Data_filtered!$D$2:$D$461,"mata",Data_filtered!$J$2:$J$461,"&lt;&gt;Incompleto")=0, "-", SUMIFS(Data_filtered!$K$2:$K$461,Data_filtered!$A$2:$A$461,X$1,Data_filtered!$F$2:$F$461,$A12,Data_filtered!$D$2:$D$461,"mata",Data_filtered!$J$2:$J$461,"&lt;&gt;Incompleto"))</f>
        <v>-</v>
      </c>
      <c r="Z12" s="109" t="str">
        <f>IF(SUMIFS(Data_filtered!$G$2:$G$461,Data_filtered!$A$2:$A$461,Z$1,Data_filtered!$F$2:$F$461,$A12, Data_filtered!$D$2:$D$461,"eucalipto",Data_filtered!$J$2:$J$461,"&lt;&gt;Incompleto")=0, "-", SUMIFS(Data_filtered!$K$2:$K$461,Data_filtered!$A$2:$A$461,Z$1,Data_filtered!$F$2:$F$461,$A12,Data_filtered!$D$2:$D$461,"eucalipto",Data_filtered!$J$2:$J$461,"&lt;&gt;Incompleto"))</f>
        <v>-</v>
      </c>
      <c r="AA12" s="109" t="str">
        <f>IF(SUMIFS(Data_filtered!$G$2:$G$461,Data_filtered!$A$2:$A$461,Z$1,Data_filtered!$F$2:$F$461,$A12, Data_filtered!$D$2:$D$461,"mata",Data_filtered!$J$2:$J$461,"&lt;&gt;Incompleto")=0, "-", SUMIFS(Data_filtered!$K$2:$K$461,Data_filtered!$A$2:$A$461,Z$1,Data_filtered!$F$2:$F$461,$A12,Data_filtered!$D$2:$D$461,"mata",Data_filtered!$J$2:$J$461,"&lt;&gt;Incompleto"))</f>
        <v>-</v>
      </c>
      <c r="AB12" s="106"/>
      <c r="AC12" s="107"/>
      <c r="AD12" s="106"/>
      <c r="AE12" s="107"/>
      <c r="AF12" s="106"/>
      <c r="AG12" s="107"/>
      <c r="AH12" s="106"/>
      <c r="AI12" s="107"/>
      <c r="AJ12" s="106"/>
      <c r="AK12" s="107"/>
      <c r="AL12" s="106"/>
      <c r="AM12" s="107"/>
      <c r="AN12" s="106"/>
      <c r="AO12" s="107"/>
      <c r="AP12" s="106"/>
      <c r="AQ12" s="107"/>
      <c r="AR12" s="106"/>
      <c r="AS12" s="107"/>
    </row>
    <row r="13">
      <c r="A13" s="15" t="str">
        <f>IFERROR(__xludf.DUMMYFUNCTION("""COMPUTED_VALUE"""),"Formicidae")</f>
        <v>Formicidae</v>
      </c>
      <c r="B13" s="109" t="str">
        <f>IF(SUMIFS(Data_filtered!$G$2:$G$461,Data_filtered!$A$2:$A$461,B$1,Data_filtered!$F$2:$F$461,$A13, Data_filtered!$D$2:$D$461,"eucalipto",Data_filtered!$J$2:$J$461,"&lt;&gt;Incompleto")=0, "-", SUMIFS(Data_filtered!$K$2:$K$461,Data_filtered!$A$2:$A$461,B$1,Data_filtered!$F$2:$F$461,$A13,Data_filtered!$D$2:$D$461,"eucalipto",Data_filtered!$J$2:$J$461,"&lt;&gt;Incompleto"))</f>
        <v>-</v>
      </c>
      <c r="C13" s="109" t="str">
        <f>IF(SUMIFS(Data_filtered!$G$2:$G$461,Data_filtered!$A$2:$A$461,B$1,Data_filtered!$F$2:$F$461,$A13, Data_filtered!$D$2:$D$461,"mata",Data_filtered!$J$2:$J$461,"&lt;&gt;Incompleto")=0, "-", SUMIFS(Data_filtered!$K$2:$K$461,Data_filtered!$A$2:$A$461,B$1,Data_filtered!$F$2:$F$461,$A13,Data_filtered!$D$2:$D$461,"mata",Data_filtered!$J$2:$J$461,"&lt;&gt;Incompleto"))</f>
        <v>-</v>
      </c>
      <c r="D13" s="109">
        <f>IF(SUMIFS(Data_filtered!$G$2:$G$461,Data_filtered!$A$2:$A$461,D$1,Data_filtered!$F$2:$F$461,$A13, Data_filtered!$D$2:$D$461,"eucalipto",Data_filtered!$J$2:$J$461,"&lt;&gt;Incompleto")=0, "-", SUMIFS(Data_filtered!$K$2:$K$461,Data_filtered!$A$2:$A$461,D$1,Data_filtered!$F$2:$F$461,$A13,Data_filtered!$D$2:$D$461,"eucalipto",Data_filtered!$J$2:$J$461,"&lt;&gt;Incompleto"))</f>
        <v>756.076632</v>
      </c>
      <c r="E13" s="109">
        <f>IF(SUMIFS(Data_filtered!$G$2:$G$461,Data_filtered!$A$2:$A$461,D$1,Data_filtered!$F$2:$F$461,$A13, Data_filtered!$D$2:$D$461,"mata",Data_filtered!$J$2:$J$461,"&lt;&gt;Incompleto")=0, "-", SUMIFS(Data_filtered!$K$2:$K$461,Data_filtered!$A$2:$A$461,D$1,Data_filtered!$F$2:$F$461,$A13,Data_filtered!$D$2:$D$461,"mata",Data_filtered!$J$2:$J$461,"&lt;&gt;Incompleto"))</f>
        <v>50.26548246</v>
      </c>
      <c r="F13" s="109" t="str">
        <f>IF(SUMIFS(Data_filtered!$G$2:$G$461,Data_filtered!$A$2:$A$461,F$1,Data_filtered!$F$2:$F$461,$A13, Data_filtered!$D$2:$D$461,"eucalipto",Data_filtered!$J$2:$J$461,"&lt;&gt;Incompleto")=0, "-", SUMIFS(Data_filtered!$K$2:$K$461,Data_filtered!$A$2:$A$461,F$1,Data_filtered!$F$2:$F$461,$A13,Data_filtered!$D$2:$D$461,"eucalipto",Data_filtered!$J$2:$J$461,"&lt;&gt;Incompleto"))</f>
        <v>-</v>
      </c>
      <c r="G13" s="109" t="str">
        <f>IF(SUMIFS(Data_filtered!$G$2:$G$461,Data_filtered!$A$2:$A$461,F$1,Data_filtered!$F$2:$F$461,$A13, Data_filtered!$D$2:$D$461,"mata",Data_filtered!$J$2:$J$461,"&lt;&gt;Incompleto")=0, "-", SUMIFS(Data_filtered!$K$2:$K$461,Data_filtered!$A$2:$A$461,F$1,Data_filtered!$F$2:$F$461,$A13,Data_filtered!$D$2:$D$461,"mata",Data_filtered!$J$2:$J$461,"&lt;&gt;Incompleto"))</f>
        <v>-</v>
      </c>
      <c r="H13" s="109" t="str">
        <f>IF(SUMIFS(Data_filtered!$G$2:$G$461,Data_filtered!$A$2:$A$461,H$1,Data_filtered!$F$2:$F$461,$A13, Data_filtered!$D$2:$D$461,"eucalipto",Data_filtered!$J$2:$J$461,"&lt;&gt;Incompleto")=0, "-", SUMIFS(Data_filtered!$K$2:$K$461,Data_filtered!$A$2:$A$461,H$1,Data_filtered!$F$2:$F$461,$A13,Data_filtered!$D$2:$D$461,"eucalipto",Data_filtered!$J$2:$J$461,"&lt;&gt;Incompleto"))</f>
        <v>-</v>
      </c>
      <c r="I13" s="109">
        <f>IF(SUMIFS(Data_filtered!$G$2:$G$461,Data_filtered!$A$2:$A$461,H$1,Data_filtered!$F$2:$F$461,$A13, Data_filtered!$D$2:$D$461,"mata",Data_filtered!$J$2:$J$461,"&lt;&gt;Incompleto")=0, "-", SUMIFS(Data_filtered!$K$2:$K$461,Data_filtered!$A$2:$A$461,H$1,Data_filtered!$F$2:$F$461,$A13,Data_filtered!$D$2:$D$461,"mata",Data_filtered!$J$2:$J$461,"&lt;&gt;Incompleto"))</f>
        <v>83.7758041</v>
      </c>
      <c r="J13" s="109" t="str">
        <f>IF(SUMIFS(Data_filtered!$G$2:$G$461,Data_filtered!$A$2:$A$461,J$1,Data_filtered!$F$2:$F$461,$A13, Data_filtered!$D$2:$D$461,"eucalipto",Data_filtered!$J$2:$J$461,"&lt;&gt;Incompleto")=0, "-", SUMIFS(Data_filtered!$K$2:$K$461,Data_filtered!$A$2:$A$461,J$1,Data_filtered!$F$2:$F$461,$A13,Data_filtered!$D$2:$D$461,"eucalipto",Data_filtered!$J$2:$J$461,"&lt;&gt;Incompleto"))</f>
        <v>-</v>
      </c>
      <c r="K13" s="109" t="str">
        <f>IF(SUMIFS(Data_filtered!$G$2:$G$461,Data_filtered!$A$2:$A$461,J$1,Data_filtered!$F$2:$F$461,$A13, Data_filtered!$D$2:$D$461,"mata",Data_filtered!$J$2:$J$461,"&lt;&gt;Incompleto")=0, "-", SUMIFS(Data_filtered!$K$2:$K$461,Data_filtered!$A$2:$A$461,J$1,Data_filtered!$F$2:$F$461,$A13,Data_filtered!$D$2:$D$461,"mata",Data_filtered!$J$2:$J$461,"&lt;&gt;Incompleto"))</f>
        <v>-</v>
      </c>
      <c r="L13" s="109">
        <f>IF(SUMIFS(Data_filtered!$G$2:$G$461,Data_filtered!$A$2:$A$461,L$1,Data_filtered!$F$2:$F$461,$A13, Data_filtered!$D$2:$D$461,"eucalipto",Data_filtered!$J$2:$J$461,"&lt;&gt;Incompleto")=0, "-", SUMIFS(Data_filtered!$K$2:$K$461,Data_filtered!$A$2:$A$461,L$1,Data_filtered!$F$2:$F$461,$A13,Data_filtered!$D$2:$D$461,"eucalipto",Data_filtered!$J$2:$J$461,"&lt;&gt;Incompleto"))</f>
        <v>4.188790205</v>
      </c>
      <c r="M13" s="109" t="str">
        <f>IF(SUMIFS(Data_filtered!$G$2:$G$461,Data_filtered!$A$2:$A$461,L$1,Data_filtered!$F$2:$F$461,$A13, Data_filtered!$D$2:$D$461,"mata",Data_filtered!$J$2:$J$461,"&lt;&gt;Incompleto")=0, "-", SUMIFS(Data_filtered!$K$2:$K$461,Data_filtered!$A$2:$A$461,L$1,Data_filtered!$F$2:$F$461,$A13,Data_filtered!$D$2:$D$461,"mata",Data_filtered!$J$2:$J$461,"&lt;&gt;Incompleto"))</f>
        <v>-</v>
      </c>
      <c r="N13" s="109" t="str">
        <f>IF(SUMIFS(Data_filtered!$G$2:$G$461,Data_filtered!$A$2:$A$461,N$1,Data_filtered!$F$2:$F$461,$A13, Data_filtered!$D$2:$D$461,"eucalipto",Data_filtered!$J$2:$J$461,"&lt;&gt;Incompleto")=0, "-", SUMIFS(Data_filtered!$K$2:$K$461,Data_filtered!$A$2:$A$461,N$1,Data_filtered!$F$2:$F$461,$A13,Data_filtered!$D$2:$D$461,"eucalipto",Data_filtered!$J$2:$J$461,"&lt;&gt;Incompleto"))</f>
        <v>-</v>
      </c>
      <c r="O13" s="109" t="str">
        <f>IF(SUMIFS(Data_filtered!$G$2:$G$461,Data_filtered!$A$2:$A$461,N$1,Data_filtered!$F$2:$F$461,$A13, Data_filtered!$D$2:$D$461,"mata",Data_filtered!$J$2:$J$461,"&lt;&gt;Incompleto")=0, "-", SUMIFS(Data_filtered!$K$2:$K$461,Data_filtered!$A$2:$A$461,N$1,Data_filtered!$F$2:$F$461,$A13,Data_filtered!$D$2:$D$461,"mata",Data_filtered!$J$2:$J$461,"&lt;&gt;Incompleto"))</f>
        <v>-</v>
      </c>
      <c r="P13" s="109">
        <f>IF(SUMIFS(Data_filtered!$G$2:$G$461,Data_filtered!$A$2:$A$461,P$1,Data_filtered!$F$2:$F$461,$A13, Data_filtered!$D$2:$D$461,"eucalipto",Data_filtered!$J$2:$J$461,"&lt;&gt;Incompleto")=0, "-", SUMIFS(Data_filtered!$K$2:$K$461,Data_filtered!$A$2:$A$461,P$1,Data_filtered!$F$2:$F$461,$A13,Data_filtered!$D$2:$D$461,"eucalipto",Data_filtered!$J$2:$J$461,"&lt;&gt;Incompleto"))</f>
        <v>184.306769</v>
      </c>
      <c r="Q13" s="109">
        <f>IF(SUMIFS(Data_filtered!$G$2:$G$461,Data_filtered!$A$2:$A$461,P$1,Data_filtered!$F$2:$F$461,$A13, Data_filtered!$D$2:$D$461,"mata",Data_filtered!$J$2:$J$461,"&lt;&gt;Incompleto")=0, "-", SUMIFS(Data_filtered!$K$2:$K$461,Data_filtered!$A$2:$A$461,P$1,Data_filtered!$F$2:$F$461,$A13,Data_filtered!$D$2:$D$461,"mata",Data_filtered!$J$2:$J$461,"&lt;&gt;Incompleto"))</f>
        <v>258.6577951</v>
      </c>
      <c r="R13" s="109" t="str">
        <f>IF(SUMIFS(Data_filtered!$G$2:$G$461,Data_filtered!$A$2:$A$461,R$1,Data_filtered!$F$2:$F$461,$A13, Data_filtered!$D$2:$D$461,"eucalipto",Data_filtered!$J$2:$J$461,"&lt;&gt;Incompleto")=0, "-", SUMIFS(Data_filtered!$K$2:$K$461,Data_filtered!$A$2:$A$461,R$1,Data_filtered!$F$2:$F$461,$A13,Data_filtered!$D$2:$D$461,"eucalipto",Data_filtered!$J$2:$J$461,"&lt;&gt;Incompleto"))</f>
        <v>-</v>
      </c>
      <c r="S13" s="109" t="str">
        <f>IF(SUMIFS(Data_filtered!$G$2:$G$461,Data_filtered!$A$2:$A$461,R$1,Data_filtered!$F$2:$F$461,$A13, Data_filtered!$D$2:$D$461,"mata",Data_filtered!$J$2:$J$461,"&lt;&gt;Incompleto")=0, "-", SUMIFS(Data_filtered!$K$2:$K$461,Data_filtered!$A$2:$A$461,R$1,Data_filtered!$F$2:$F$461,$A13,Data_filtered!$D$2:$D$461,"mata",Data_filtered!$J$2:$J$461,"&lt;&gt;Incompleto"))</f>
        <v>-</v>
      </c>
      <c r="T13" s="109" t="str">
        <f>IF(SUMIFS(Data_filtered!$G$2:$G$461,Data_filtered!$A$2:$A$461,T$1,Data_filtered!$F$2:$F$461,$A13, Data_filtered!$D$2:$D$461,"eucalipto",Data_filtered!$J$2:$J$461,"&lt;&gt;Incompleto")=0, "-", SUMIFS(Data_filtered!$K$2:$K$461,Data_filtered!$A$2:$A$461,T$1,Data_filtered!$F$2:$F$461,$A13,Data_filtered!$D$2:$D$461,"eucalipto",Data_filtered!$J$2:$J$461,"&lt;&gt;Incompleto"))</f>
        <v>-</v>
      </c>
      <c r="U13" s="109" t="str">
        <f>IF(SUMIFS(Data_filtered!$G$2:$G$461,Data_filtered!$A$2:$A$461,T$1,Data_filtered!$F$2:$F$461,$A13, Data_filtered!$D$2:$D$461,"mata",Data_filtered!$J$2:$J$461,"&lt;&gt;Incompleto")=0, "-", SUMIFS(Data_filtered!$K$2:$K$461,Data_filtered!$A$2:$A$461,T$1,Data_filtered!$F$2:$F$461,$A13,Data_filtered!$D$2:$D$461,"mata",Data_filtered!$J$2:$J$461,"&lt;&gt;Incompleto"))</f>
        <v>-</v>
      </c>
      <c r="V13" s="109" t="str">
        <f>IF(SUMIFS(Data_filtered!$G$2:$G$461,Data_filtered!$A$2:$A$461,V$1,Data_filtered!$F$2:$F$461,$A13, Data_filtered!$D$2:$D$461,"eucalipto",Data_filtered!$J$2:$J$461,"&lt;&gt;Incompleto")=0, "-", SUMIFS(Data_filtered!$K$2:$K$461,Data_filtered!$A$2:$A$461,V$1,Data_filtered!$F$2:$F$461,$A13,Data_filtered!$D$2:$D$461,"eucalipto",Data_filtered!$J$2:$J$461,"&lt;&gt;Incompleto"))</f>
        <v>-</v>
      </c>
      <c r="W13" s="109">
        <f>IF(SUMIFS(Data_filtered!$G$2:$G$461,Data_filtered!$A$2:$A$461,V$1,Data_filtered!$F$2:$F$461,$A13, Data_filtered!$D$2:$D$461,"mata",Data_filtered!$J$2:$J$461,"&lt;&gt;Incompleto")=0, "-", SUMIFS(Data_filtered!$K$2:$K$461,Data_filtered!$A$2:$A$461,V$1,Data_filtered!$F$2:$F$461,$A13,Data_filtered!$D$2:$D$461,"mata",Data_filtered!$J$2:$J$461,"&lt;&gt;Incompleto"))</f>
        <v>4117.580771</v>
      </c>
      <c r="X13" s="109" t="str">
        <f>IF(SUMIFS(Data_filtered!$G$2:$G$461,Data_filtered!$A$2:$A$461,X$1,Data_filtered!$F$2:$F$461,$A13, Data_filtered!$D$2:$D$461,"eucalipto",Data_filtered!$J$2:$J$461,"&lt;&gt;Incompleto")=0, "-", SUMIFS(Data_filtered!$K$2:$K$461,Data_filtered!$A$2:$A$461,X$1,Data_filtered!$F$2:$F$461,$A13,Data_filtered!$D$2:$D$461,"eucalipto",Data_filtered!$J$2:$J$461,"&lt;&gt;Incompleto"))</f>
        <v>-</v>
      </c>
      <c r="Y13" s="109">
        <f>IF(SUMIFS(Data_filtered!$G$2:$G$461,Data_filtered!$A$2:$A$461,X$1,Data_filtered!$F$2:$F$461,$A13, Data_filtered!$D$2:$D$461,"mata",Data_filtered!$J$2:$J$461,"&lt;&gt;Incompleto")=0, "-", SUMIFS(Data_filtered!$K$2:$K$461,Data_filtered!$A$2:$A$461,X$1,Data_filtered!$F$2:$F$461,$A13,Data_filtered!$D$2:$D$461,"mata",Data_filtered!$J$2:$J$461,"&lt;&gt;Incompleto"))</f>
        <v>2416.931948</v>
      </c>
      <c r="Z13" s="109" t="str">
        <f>IF(SUMIFS(Data_filtered!$G$2:$G$461,Data_filtered!$A$2:$A$461,Z$1,Data_filtered!$F$2:$F$461,$A13, Data_filtered!$D$2:$D$461,"eucalipto",Data_filtered!$J$2:$J$461,"&lt;&gt;Incompleto")=0, "-", SUMIFS(Data_filtered!$K$2:$K$461,Data_filtered!$A$2:$A$461,Z$1,Data_filtered!$F$2:$F$461,$A13,Data_filtered!$D$2:$D$461,"eucalipto",Data_filtered!$J$2:$J$461,"&lt;&gt;Incompleto"))</f>
        <v>-</v>
      </c>
      <c r="AA13" s="109" t="str">
        <f>IF(SUMIFS(Data_filtered!$G$2:$G$461,Data_filtered!$A$2:$A$461,Z$1,Data_filtered!$F$2:$F$461,$A13, Data_filtered!$D$2:$D$461,"mata",Data_filtered!$J$2:$J$461,"&lt;&gt;Incompleto")=0, "-", SUMIFS(Data_filtered!$K$2:$K$461,Data_filtered!$A$2:$A$461,Z$1,Data_filtered!$F$2:$F$461,$A13,Data_filtered!$D$2:$D$461,"mata",Data_filtered!$J$2:$J$461,"&lt;&gt;Incompleto"))</f>
        <v>-</v>
      </c>
      <c r="AB13" s="106"/>
      <c r="AC13" s="107"/>
      <c r="AD13" s="106"/>
      <c r="AE13" s="107"/>
      <c r="AF13" s="106"/>
      <c r="AG13" s="107"/>
      <c r="AH13" s="106"/>
      <c r="AI13" s="107"/>
      <c r="AJ13" s="106"/>
      <c r="AK13" s="107"/>
      <c r="AL13" s="106"/>
      <c r="AM13" s="107"/>
      <c r="AN13" s="106"/>
      <c r="AO13" s="107"/>
      <c r="AP13" s="106"/>
      <c r="AQ13" s="107"/>
      <c r="AR13" s="106"/>
      <c r="AS13" s="107"/>
    </row>
    <row r="14">
      <c r="A14" s="15" t="str">
        <f>IFERROR(__xludf.DUMMYFUNCTION("""COMPUTED_VALUE"""),"Hemiptera")</f>
        <v>Hemiptera</v>
      </c>
      <c r="B14" s="109" t="str">
        <f>IF(SUMIFS(Data_filtered!$G$2:$G$461,Data_filtered!$A$2:$A$461,B$1,Data_filtered!$F$2:$F$461,$A14, Data_filtered!$D$2:$D$461,"eucalipto",Data_filtered!$J$2:$J$461,"&lt;&gt;Incompleto")=0, "-", SUMIFS(Data_filtered!$K$2:$K$461,Data_filtered!$A$2:$A$461,B$1,Data_filtered!$F$2:$F$461,$A14,Data_filtered!$D$2:$D$461,"eucalipto",Data_filtered!$J$2:$J$461,"&lt;&gt;Incompleto"))</f>
        <v>-</v>
      </c>
      <c r="C14" s="109" t="str">
        <f>IF(SUMIFS(Data_filtered!$G$2:$G$461,Data_filtered!$A$2:$A$461,B$1,Data_filtered!$F$2:$F$461,$A14, Data_filtered!$D$2:$D$461,"mata",Data_filtered!$J$2:$J$461,"&lt;&gt;Incompleto")=0, "-", SUMIFS(Data_filtered!$K$2:$K$461,Data_filtered!$A$2:$A$461,B$1,Data_filtered!$F$2:$F$461,$A14,Data_filtered!$D$2:$D$461,"mata",Data_filtered!$J$2:$J$461,"&lt;&gt;Incompleto"))</f>
        <v>-</v>
      </c>
      <c r="D14" s="109" t="str">
        <f>IF(SUMIFS(Data_filtered!$G$2:$G$461,Data_filtered!$A$2:$A$461,D$1,Data_filtered!$F$2:$F$461,$A14, Data_filtered!$D$2:$D$461,"eucalipto",Data_filtered!$J$2:$J$461,"&lt;&gt;Incompleto")=0, "-", SUMIFS(Data_filtered!$K$2:$K$461,Data_filtered!$A$2:$A$461,D$1,Data_filtered!$F$2:$F$461,$A14,Data_filtered!$D$2:$D$461,"eucalipto",Data_filtered!$J$2:$J$461,"&lt;&gt;Incompleto"))</f>
        <v>-</v>
      </c>
      <c r="E14" s="109" t="str">
        <f>IF(SUMIFS(Data_filtered!$G$2:$G$461,Data_filtered!$A$2:$A$461,D$1,Data_filtered!$F$2:$F$461,$A14, Data_filtered!$D$2:$D$461,"mata",Data_filtered!$J$2:$J$461,"&lt;&gt;Incompleto")=0, "-", SUMIFS(Data_filtered!$K$2:$K$461,Data_filtered!$A$2:$A$461,D$1,Data_filtered!$F$2:$F$461,$A14,Data_filtered!$D$2:$D$461,"mata",Data_filtered!$J$2:$J$461,"&lt;&gt;Incompleto"))</f>
        <v>-</v>
      </c>
      <c r="F14" s="109" t="str">
        <f>IF(SUMIFS(Data_filtered!$G$2:$G$461,Data_filtered!$A$2:$A$461,F$1,Data_filtered!$F$2:$F$461,$A14, Data_filtered!$D$2:$D$461,"eucalipto",Data_filtered!$J$2:$J$461,"&lt;&gt;Incompleto")=0, "-", SUMIFS(Data_filtered!$K$2:$K$461,Data_filtered!$A$2:$A$461,F$1,Data_filtered!$F$2:$F$461,$A14,Data_filtered!$D$2:$D$461,"eucalipto",Data_filtered!$J$2:$J$461,"&lt;&gt;Incompleto"))</f>
        <v>-</v>
      </c>
      <c r="G14" s="109" t="str">
        <f>IF(SUMIFS(Data_filtered!$G$2:$G$461,Data_filtered!$A$2:$A$461,F$1,Data_filtered!$F$2:$F$461,$A14, Data_filtered!$D$2:$D$461,"mata",Data_filtered!$J$2:$J$461,"&lt;&gt;Incompleto")=0, "-", SUMIFS(Data_filtered!$K$2:$K$461,Data_filtered!$A$2:$A$461,F$1,Data_filtered!$F$2:$F$461,$A14,Data_filtered!$D$2:$D$461,"mata",Data_filtered!$J$2:$J$461,"&lt;&gt;Incompleto"))</f>
        <v>-</v>
      </c>
      <c r="H14" s="109" t="str">
        <f>IF(SUMIFS(Data_filtered!$G$2:$G$461,Data_filtered!$A$2:$A$461,H$1,Data_filtered!$F$2:$F$461,$A14, Data_filtered!$D$2:$D$461,"eucalipto",Data_filtered!$J$2:$J$461,"&lt;&gt;Incompleto")=0, "-", SUMIFS(Data_filtered!$K$2:$K$461,Data_filtered!$A$2:$A$461,H$1,Data_filtered!$F$2:$F$461,$A14,Data_filtered!$D$2:$D$461,"eucalipto",Data_filtered!$J$2:$J$461,"&lt;&gt;Incompleto"))</f>
        <v>-</v>
      </c>
      <c r="I14" s="109" t="str">
        <f>IF(SUMIFS(Data_filtered!$G$2:$G$461,Data_filtered!$A$2:$A$461,H$1,Data_filtered!$F$2:$F$461,$A14, Data_filtered!$D$2:$D$461,"mata",Data_filtered!$J$2:$J$461,"&lt;&gt;Incompleto")=0, "-", SUMIFS(Data_filtered!$K$2:$K$461,Data_filtered!$A$2:$A$461,H$1,Data_filtered!$F$2:$F$461,$A14,Data_filtered!$D$2:$D$461,"mata",Data_filtered!$J$2:$J$461,"&lt;&gt;Incompleto"))</f>
        <v>-</v>
      </c>
      <c r="J14" s="109" t="str">
        <f>IF(SUMIFS(Data_filtered!$G$2:$G$461,Data_filtered!$A$2:$A$461,J$1,Data_filtered!$F$2:$F$461,$A14, Data_filtered!$D$2:$D$461,"eucalipto",Data_filtered!$J$2:$J$461,"&lt;&gt;Incompleto")=0, "-", SUMIFS(Data_filtered!$K$2:$K$461,Data_filtered!$A$2:$A$461,J$1,Data_filtered!$F$2:$F$461,$A14,Data_filtered!$D$2:$D$461,"eucalipto",Data_filtered!$J$2:$J$461,"&lt;&gt;Incompleto"))</f>
        <v>-</v>
      </c>
      <c r="K14" s="109" t="str">
        <f>IF(SUMIFS(Data_filtered!$G$2:$G$461,Data_filtered!$A$2:$A$461,J$1,Data_filtered!$F$2:$F$461,$A14, Data_filtered!$D$2:$D$461,"mata",Data_filtered!$J$2:$J$461,"&lt;&gt;Incompleto")=0, "-", SUMIFS(Data_filtered!$K$2:$K$461,Data_filtered!$A$2:$A$461,J$1,Data_filtered!$F$2:$F$461,$A14,Data_filtered!$D$2:$D$461,"mata",Data_filtered!$J$2:$J$461,"&lt;&gt;Incompleto"))</f>
        <v>-</v>
      </c>
      <c r="L14" s="109" t="str">
        <f>IF(SUMIFS(Data_filtered!$G$2:$G$461,Data_filtered!$A$2:$A$461,L$1,Data_filtered!$F$2:$F$461,$A14, Data_filtered!$D$2:$D$461,"eucalipto",Data_filtered!$J$2:$J$461,"&lt;&gt;Incompleto")=0, "-", SUMIFS(Data_filtered!$K$2:$K$461,Data_filtered!$A$2:$A$461,L$1,Data_filtered!$F$2:$F$461,$A14,Data_filtered!$D$2:$D$461,"eucalipto",Data_filtered!$J$2:$J$461,"&lt;&gt;Incompleto"))</f>
        <v>-</v>
      </c>
      <c r="M14" s="109" t="str">
        <f>IF(SUMIFS(Data_filtered!$G$2:$G$461,Data_filtered!$A$2:$A$461,L$1,Data_filtered!$F$2:$F$461,$A14, Data_filtered!$D$2:$D$461,"mata",Data_filtered!$J$2:$J$461,"&lt;&gt;Incompleto")=0, "-", SUMIFS(Data_filtered!$K$2:$K$461,Data_filtered!$A$2:$A$461,L$1,Data_filtered!$F$2:$F$461,$A14,Data_filtered!$D$2:$D$461,"mata",Data_filtered!$J$2:$J$461,"&lt;&gt;Incompleto"))</f>
        <v>-</v>
      </c>
      <c r="N14" s="109" t="str">
        <f>IF(SUMIFS(Data_filtered!$G$2:$G$461,Data_filtered!$A$2:$A$461,N$1,Data_filtered!$F$2:$F$461,$A14, Data_filtered!$D$2:$D$461,"eucalipto",Data_filtered!$J$2:$J$461,"&lt;&gt;Incompleto")=0, "-", SUMIFS(Data_filtered!$K$2:$K$461,Data_filtered!$A$2:$A$461,N$1,Data_filtered!$F$2:$F$461,$A14,Data_filtered!$D$2:$D$461,"eucalipto",Data_filtered!$J$2:$J$461,"&lt;&gt;Incompleto"))</f>
        <v>-</v>
      </c>
      <c r="O14" s="109" t="str">
        <f>IF(SUMIFS(Data_filtered!$G$2:$G$461,Data_filtered!$A$2:$A$461,N$1,Data_filtered!$F$2:$F$461,$A14, Data_filtered!$D$2:$D$461,"mata",Data_filtered!$J$2:$J$461,"&lt;&gt;Incompleto")=0, "-", SUMIFS(Data_filtered!$K$2:$K$461,Data_filtered!$A$2:$A$461,N$1,Data_filtered!$F$2:$F$461,$A14,Data_filtered!$D$2:$D$461,"mata",Data_filtered!$J$2:$J$461,"&lt;&gt;Incompleto"))</f>
        <v>-</v>
      </c>
      <c r="P14" s="109" t="str">
        <f>IF(SUMIFS(Data_filtered!$G$2:$G$461,Data_filtered!$A$2:$A$461,P$1,Data_filtered!$F$2:$F$461,$A14, Data_filtered!$D$2:$D$461,"eucalipto",Data_filtered!$J$2:$J$461,"&lt;&gt;Incompleto")=0, "-", SUMIFS(Data_filtered!$K$2:$K$461,Data_filtered!$A$2:$A$461,P$1,Data_filtered!$F$2:$F$461,$A14,Data_filtered!$D$2:$D$461,"eucalipto",Data_filtered!$J$2:$J$461,"&lt;&gt;Incompleto"))</f>
        <v>-</v>
      </c>
      <c r="Q14" s="109" t="str">
        <f>IF(SUMIFS(Data_filtered!$G$2:$G$461,Data_filtered!$A$2:$A$461,P$1,Data_filtered!$F$2:$F$461,$A14, Data_filtered!$D$2:$D$461,"mata",Data_filtered!$J$2:$J$461,"&lt;&gt;Incompleto")=0, "-", SUMIFS(Data_filtered!$K$2:$K$461,Data_filtered!$A$2:$A$461,P$1,Data_filtered!$F$2:$F$461,$A14,Data_filtered!$D$2:$D$461,"mata",Data_filtered!$J$2:$J$461,"&lt;&gt;Incompleto"))</f>
        <v>-</v>
      </c>
      <c r="R14" s="109" t="str">
        <f>IF(SUMIFS(Data_filtered!$G$2:$G$461,Data_filtered!$A$2:$A$461,R$1,Data_filtered!$F$2:$F$461,$A14, Data_filtered!$D$2:$D$461,"eucalipto",Data_filtered!$J$2:$J$461,"&lt;&gt;Incompleto")=0, "-", SUMIFS(Data_filtered!$K$2:$K$461,Data_filtered!$A$2:$A$461,R$1,Data_filtered!$F$2:$F$461,$A14,Data_filtered!$D$2:$D$461,"eucalipto",Data_filtered!$J$2:$J$461,"&lt;&gt;Incompleto"))</f>
        <v>-</v>
      </c>
      <c r="S14" s="109" t="str">
        <f>IF(SUMIFS(Data_filtered!$G$2:$G$461,Data_filtered!$A$2:$A$461,R$1,Data_filtered!$F$2:$F$461,$A14, Data_filtered!$D$2:$D$461,"mata",Data_filtered!$J$2:$J$461,"&lt;&gt;Incompleto")=0, "-", SUMIFS(Data_filtered!$K$2:$K$461,Data_filtered!$A$2:$A$461,R$1,Data_filtered!$F$2:$F$461,$A14,Data_filtered!$D$2:$D$461,"mata",Data_filtered!$J$2:$J$461,"&lt;&gt;Incompleto"))</f>
        <v>-</v>
      </c>
      <c r="T14" s="109" t="str">
        <f>IF(SUMIFS(Data_filtered!$G$2:$G$461,Data_filtered!$A$2:$A$461,T$1,Data_filtered!$F$2:$F$461,$A14, Data_filtered!$D$2:$D$461,"eucalipto",Data_filtered!$J$2:$J$461,"&lt;&gt;Incompleto")=0, "-", SUMIFS(Data_filtered!$K$2:$K$461,Data_filtered!$A$2:$A$461,T$1,Data_filtered!$F$2:$F$461,$A14,Data_filtered!$D$2:$D$461,"eucalipto",Data_filtered!$J$2:$J$461,"&lt;&gt;Incompleto"))</f>
        <v>-</v>
      </c>
      <c r="U14" s="109" t="str">
        <f>IF(SUMIFS(Data_filtered!$G$2:$G$461,Data_filtered!$A$2:$A$461,T$1,Data_filtered!$F$2:$F$461,$A14, Data_filtered!$D$2:$D$461,"mata",Data_filtered!$J$2:$J$461,"&lt;&gt;Incompleto")=0, "-", SUMIFS(Data_filtered!$K$2:$K$461,Data_filtered!$A$2:$A$461,T$1,Data_filtered!$F$2:$F$461,$A14,Data_filtered!$D$2:$D$461,"mata",Data_filtered!$J$2:$J$461,"&lt;&gt;Incompleto"))</f>
        <v>-</v>
      </c>
      <c r="V14" s="109" t="str">
        <f>IF(SUMIFS(Data_filtered!$G$2:$G$461,Data_filtered!$A$2:$A$461,V$1,Data_filtered!$F$2:$F$461,$A14, Data_filtered!$D$2:$D$461,"eucalipto",Data_filtered!$J$2:$J$461,"&lt;&gt;Incompleto")=0, "-", SUMIFS(Data_filtered!$K$2:$K$461,Data_filtered!$A$2:$A$461,V$1,Data_filtered!$F$2:$F$461,$A14,Data_filtered!$D$2:$D$461,"eucalipto",Data_filtered!$J$2:$J$461,"&lt;&gt;Incompleto"))</f>
        <v>-</v>
      </c>
      <c r="W14" s="109" t="str">
        <f>IF(SUMIFS(Data_filtered!$G$2:$G$461,Data_filtered!$A$2:$A$461,V$1,Data_filtered!$F$2:$F$461,$A14, Data_filtered!$D$2:$D$461,"mata",Data_filtered!$J$2:$J$461,"&lt;&gt;Incompleto")=0, "-", SUMIFS(Data_filtered!$K$2:$K$461,Data_filtered!$A$2:$A$461,V$1,Data_filtered!$F$2:$F$461,$A14,Data_filtered!$D$2:$D$461,"mata",Data_filtered!$J$2:$J$461,"&lt;&gt;Incompleto"))</f>
        <v>-</v>
      </c>
      <c r="X14" s="109" t="str">
        <f>IF(SUMIFS(Data_filtered!$G$2:$G$461,Data_filtered!$A$2:$A$461,X$1,Data_filtered!$F$2:$F$461,$A14, Data_filtered!$D$2:$D$461,"eucalipto",Data_filtered!$J$2:$J$461,"&lt;&gt;Incompleto")=0, "-", SUMIFS(Data_filtered!$K$2:$K$461,Data_filtered!$A$2:$A$461,X$1,Data_filtered!$F$2:$F$461,$A14,Data_filtered!$D$2:$D$461,"eucalipto",Data_filtered!$J$2:$J$461,"&lt;&gt;Incompleto"))</f>
        <v>-</v>
      </c>
      <c r="Y14" s="109">
        <f>IF(SUMIFS(Data_filtered!$G$2:$G$461,Data_filtered!$A$2:$A$461,X$1,Data_filtered!$F$2:$F$461,$A14, Data_filtered!$D$2:$D$461,"mata",Data_filtered!$J$2:$J$461,"&lt;&gt;Incompleto")=0, "-", SUMIFS(Data_filtered!$K$2:$K$461,Data_filtered!$A$2:$A$461,X$1,Data_filtered!$F$2:$F$461,$A14,Data_filtered!$D$2:$D$461,"mata",Data_filtered!$J$2:$J$461,"&lt;&gt;Incompleto"))</f>
        <v>1256.637061</v>
      </c>
      <c r="Z14" s="109" t="str">
        <f>IF(SUMIFS(Data_filtered!$G$2:$G$461,Data_filtered!$A$2:$A$461,Z$1,Data_filtered!$F$2:$F$461,$A14, Data_filtered!$D$2:$D$461,"eucalipto",Data_filtered!$J$2:$J$461,"&lt;&gt;Incompleto")=0, "-", SUMIFS(Data_filtered!$K$2:$K$461,Data_filtered!$A$2:$A$461,Z$1,Data_filtered!$F$2:$F$461,$A14,Data_filtered!$D$2:$D$461,"eucalipto",Data_filtered!$J$2:$J$461,"&lt;&gt;Incompleto"))</f>
        <v>-</v>
      </c>
      <c r="AA14" s="109" t="str">
        <f>IF(SUMIFS(Data_filtered!$G$2:$G$461,Data_filtered!$A$2:$A$461,Z$1,Data_filtered!$F$2:$F$461,$A14, Data_filtered!$D$2:$D$461,"mata",Data_filtered!$J$2:$J$461,"&lt;&gt;Incompleto")=0, "-", SUMIFS(Data_filtered!$K$2:$K$461,Data_filtered!$A$2:$A$461,Z$1,Data_filtered!$F$2:$F$461,$A14,Data_filtered!$D$2:$D$461,"mata",Data_filtered!$J$2:$J$461,"&lt;&gt;Incompleto"))</f>
        <v>-</v>
      </c>
      <c r="AB14" s="106"/>
      <c r="AC14" s="107"/>
      <c r="AD14" s="106"/>
      <c r="AE14" s="107"/>
      <c r="AF14" s="106"/>
      <c r="AG14" s="107"/>
      <c r="AH14" s="106"/>
      <c r="AI14" s="107"/>
      <c r="AJ14" s="106"/>
      <c r="AK14" s="107"/>
      <c r="AL14" s="106"/>
      <c r="AM14" s="107"/>
      <c r="AN14" s="106"/>
      <c r="AO14" s="107"/>
      <c r="AP14" s="106"/>
      <c r="AQ14" s="107"/>
      <c r="AR14" s="106"/>
      <c r="AS14" s="107"/>
    </row>
    <row r="15">
      <c r="A15" s="15" t="str">
        <f>IFERROR(__xludf.DUMMYFUNCTION("""COMPUTED_VALUE"""),"Heteroptera")</f>
        <v>Heteroptera</v>
      </c>
      <c r="B15" s="109" t="str">
        <f>IF(SUMIFS(Data_filtered!$G$2:$G$461,Data_filtered!$A$2:$A$461,B$1,Data_filtered!$F$2:$F$461,$A15, Data_filtered!$D$2:$D$461,"eucalipto",Data_filtered!$J$2:$J$461,"&lt;&gt;Incompleto")=0, "-", SUMIFS(Data_filtered!$K$2:$K$461,Data_filtered!$A$2:$A$461,B$1,Data_filtered!$F$2:$F$461,$A15,Data_filtered!$D$2:$D$461,"eucalipto",Data_filtered!$J$2:$J$461,"&lt;&gt;Incompleto"))</f>
        <v>-</v>
      </c>
      <c r="C15" s="109">
        <f>IF(SUMIFS(Data_filtered!$G$2:$G$461,Data_filtered!$A$2:$A$461,B$1,Data_filtered!$F$2:$F$461,$A15, Data_filtered!$D$2:$D$461,"mata",Data_filtered!$J$2:$J$461,"&lt;&gt;Incompleto")=0, "-", SUMIFS(Data_filtered!$K$2:$K$461,Data_filtered!$A$2:$A$461,B$1,Data_filtered!$F$2:$F$461,$A15,Data_filtered!$D$2:$D$461,"mata",Data_filtered!$J$2:$J$461,"&lt;&gt;Incompleto"))</f>
        <v>5390.972994</v>
      </c>
      <c r="D15" s="109" t="str">
        <f>IF(SUMIFS(Data_filtered!$G$2:$G$461,Data_filtered!$A$2:$A$461,D$1,Data_filtered!$F$2:$F$461,$A15, Data_filtered!$D$2:$D$461,"eucalipto",Data_filtered!$J$2:$J$461,"&lt;&gt;Incompleto")=0, "-", SUMIFS(Data_filtered!$K$2:$K$461,Data_filtered!$A$2:$A$461,D$1,Data_filtered!$F$2:$F$461,$A15,Data_filtered!$D$2:$D$461,"eucalipto",Data_filtered!$J$2:$J$461,"&lt;&gt;Incompleto"))</f>
        <v>-</v>
      </c>
      <c r="E15" s="109" t="str">
        <f>IF(SUMIFS(Data_filtered!$G$2:$G$461,Data_filtered!$A$2:$A$461,D$1,Data_filtered!$F$2:$F$461,$A15, Data_filtered!$D$2:$D$461,"mata",Data_filtered!$J$2:$J$461,"&lt;&gt;Incompleto")=0, "-", SUMIFS(Data_filtered!$K$2:$K$461,Data_filtered!$A$2:$A$461,D$1,Data_filtered!$F$2:$F$461,$A15,Data_filtered!$D$2:$D$461,"mata",Data_filtered!$J$2:$J$461,"&lt;&gt;Incompleto"))</f>
        <v>-</v>
      </c>
      <c r="F15" s="109" t="str">
        <f>IF(SUMIFS(Data_filtered!$G$2:$G$461,Data_filtered!$A$2:$A$461,F$1,Data_filtered!$F$2:$F$461,$A15, Data_filtered!$D$2:$D$461,"eucalipto",Data_filtered!$J$2:$J$461,"&lt;&gt;Incompleto")=0, "-", SUMIFS(Data_filtered!$K$2:$K$461,Data_filtered!$A$2:$A$461,F$1,Data_filtered!$F$2:$F$461,$A15,Data_filtered!$D$2:$D$461,"eucalipto",Data_filtered!$J$2:$J$461,"&lt;&gt;Incompleto"))</f>
        <v>-</v>
      </c>
      <c r="G15" s="109" t="str">
        <f>IF(SUMIFS(Data_filtered!$G$2:$G$461,Data_filtered!$A$2:$A$461,F$1,Data_filtered!$F$2:$F$461,$A15, Data_filtered!$D$2:$D$461,"mata",Data_filtered!$J$2:$J$461,"&lt;&gt;Incompleto")=0, "-", SUMIFS(Data_filtered!$K$2:$K$461,Data_filtered!$A$2:$A$461,F$1,Data_filtered!$F$2:$F$461,$A15,Data_filtered!$D$2:$D$461,"mata",Data_filtered!$J$2:$J$461,"&lt;&gt;Incompleto"))</f>
        <v>-</v>
      </c>
      <c r="H15" s="109" t="str">
        <f>IF(SUMIFS(Data_filtered!$G$2:$G$461,Data_filtered!$A$2:$A$461,H$1,Data_filtered!$F$2:$F$461,$A15, Data_filtered!$D$2:$D$461,"eucalipto",Data_filtered!$J$2:$J$461,"&lt;&gt;Incompleto")=0, "-", SUMIFS(Data_filtered!$K$2:$K$461,Data_filtered!$A$2:$A$461,H$1,Data_filtered!$F$2:$F$461,$A15,Data_filtered!$D$2:$D$461,"eucalipto",Data_filtered!$J$2:$J$461,"&lt;&gt;Incompleto"))</f>
        <v>-</v>
      </c>
      <c r="I15" s="109" t="str">
        <f>IF(SUMIFS(Data_filtered!$G$2:$G$461,Data_filtered!$A$2:$A$461,H$1,Data_filtered!$F$2:$F$461,$A15, Data_filtered!$D$2:$D$461,"mata",Data_filtered!$J$2:$J$461,"&lt;&gt;Incompleto")=0, "-", SUMIFS(Data_filtered!$K$2:$K$461,Data_filtered!$A$2:$A$461,H$1,Data_filtered!$F$2:$F$461,$A15,Data_filtered!$D$2:$D$461,"mata",Data_filtered!$J$2:$J$461,"&lt;&gt;Incompleto"))</f>
        <v>-</v>
      </c>
      <c r="J15" s="109" t="str">
        <f>IF(SUMIFS(Data_filtered!$G$2:$G$461,Data_filtered!$A$2:$A$461,J$1,Data_filtered!$F$2:$F$461,$A15, Data_filtered!$D$2:$D$461,"eucalipto",Data_filtered!$J$2:$J$461,"&lt;&gt;Incompleto")=0, "-", SUMIFS(Data_filtered!$K$2:$K$461,Data_filtered!$A$2:$A$461,J$1,Data_filtered!$F$2:$F$461,$A15,Data_filtered!$D$2:$D$461,"eucalipto",Data_filtered!$J$2:$J$461,"&lt;&gt;Incompleto"))</f>
        <v>-</v>
      </c>
      <c r="K15" s="109">
        <f>IF(SUMIFS(Data_filtered!$G$2:$G$461,Data_filtered!$A$2:$A$461,J$1,Data_filtered!$F$2:$F$461,$A15, Data_filtered!$D$2:$D$461,"mata",Data_filtered!$J$2:$J$461,"&lt;&gt;Incompleto")=0, "-", SUMIFS(Data_filtered!$K$2:$K$461,Data_filtered!$A$2:$A$461,J$1,Data_filtered!$F$2:$F$461,$A15,Data_filtered!$D$2:$D$461,"mata",Data_filtered!$J$2:$J$461,"&lt;&gt;Incompleto"))</f>
        <v>8.37758041</v>
      </c>
      <c r="L15" s="109" t="str">
        <f>IF(SUMIFS(Data_filtered!$G$2:$G$461,Data_filtered!$A$2:$A$461,L$1,Data_filtered!$F$2:$F$461,$A15, Data_filtered!$D$2:$D$461,"eucalipto",Data_filtered!$J$2:$J$461,"&lt;&gt;Incompleto")=0, "-", SUMIFS(Data_filtered!$K$2:$K$461,Data_filtered!$A$2:$A$461,L$1,Data_filtered!$F$2:$F$461,$A15,Data_filtered!$D$2:$D$461,"eucalipto",Data_filtered!$J$2:$J$461,"&lt;&gt;Incompleto"))</f>
        <v>-</v>
      </c>
      <c r="M15" s="109" t="str">
        <f>IF(SUMIFS(Data_filtered!$G$2:$G$461,Data_filtered!$A$2:$A$461,L$1,Data_filtered!$F$2:$F$461,$A15, Data_filtered!$D$2:$D$461,"mata",Data_filtered!$J$2:$J$461,"&lt;&gt;Incompleto")=0, "-", SUMIFS(Data_filtered!$K$2:$K$461,Data_filtered!$A$2:$A$461,L$1,Data_filtered!$F$2:$F$461,$A15,Data_filtered!$D$2:$D$461,"mata",Data_filtered!$J$2:$J$461,"&lt;&gt;Incompleto"))</f>
        <v>-</v>
      </c>
      <c r="N15" s="109" t="str">
        <f>IF(SUMIFS(Data_filtered!$G$2:$G$461,Data_filtered!$A$2:$A$461,N$1,Data_filtered!$F$2:$F$461,$A15, Data_filtered!$D$2:$D$461,"eucalipto",Data_filtered!$J$2:$J$461,"&lt;&gt;Incompleto")=0, "-", SUMIFS(Data_filtered!$K$2:$K$461,Data_filtered!$A$2:$A$461,N$1,Data_filtered!$F$2:$F$461,$A15,Data_filtered!$D$2:$D$461,"eucalipto",Data_filtered!$J$2:$J$461,"&lt;&gt;Incompleto"))</f>
        <v>-</v>
      </c>
      <c r="O15" s="109" t="str">
        <f>IF(SUMIFS(Data_filtered!$G$2:$G$461,Data_filtered!$A$2:$A$461,N$1,Data_filtered!$F$2:$F$461,$A15, Data_filtered!$D$2:$D$461,"mata",Data_filtered!$J$2:$J$461,"&lt;&gt;Incompleto")=0, "-", SUMIFS(Data_filtered!$K$2:$K$461,Data_filtered!$A$2:$A$461,N$1,Data_filtered!$F$2:$F$461,$A15,Data_filtered!$D$2:$D$461,"mata",Data_filtered!$J$2:$J$461,"&lt;&gt;Incompleto"))</f>
        <v>-</v>
      </c>
      <c r="P15" s="109" t="str">
        <f>IF(SUMIFS(Data_filtered!$G$2:$G$461,Data_filtered!$A$2:$A$461,P$1,Data_filtered!$F$2:$F$461,$A15, Data_filtered!$D$2:$D$461,"eucalipto",Data_filtered!$J$2:$J$461,"&lt;&gt;Incompleto")=0, "-", SUMIFS(Data_filtered!$K$2:$K$461,Data_filtered!$A$2:$A$461,P$1,Data_filtered!$F$2:$F$461,$A15,Data_filtered!$D$2:$D$461,"eucalipto",Data_filtered!$J$2:$J$461,"&lt;&gt;Incompleto"))</f>
        <v>-</v>
      </c>
      <c r="Q15" s="109" t="str">
        <f>IF(SUMIFS(Data_filtered!$G$2:$G$461,Data_filtered!$A$2:$A$461,P$1,Data_filtered!$F$2:$F$461,$A15, Data_filtered!$D$2:$D$461,"mata",Data_filtered!$J$2:$J$461,"&lt;&gt;Incompleto")=0, "-", SUMIFS(Data_filtered!$K$2:$K$461,Data_filtered!$A$2:$A$461,P$1,Data_filtered!$F$2:$F$461,$A15,Data_filtered!$D$2:$D$461,"mata",Data_filtered!$J$2:$J$461,"&lt;&gt;Incompleto"))</f>
        <v>-</v>
      </c>
      <c r="R15" s="109" t="str">
        <f>IF(SUMIFS(Data_filtered!$G$2:$G$461,Data_filtered!$A$2:$A$461,R$1,Data_filtered!$F$2:$F$461,$A15, Data_filtered!$D$2:$D$461,"eucalipto",Data_filtered!$J$2:$J$461,"&lt;&gt;Incompleto")=0, "-", SUMIFS(Data_filtered!$K$2:$K$461,Data_filtered!$A$2:$A$461,R$1,Data_filtered!$F$2:$F$461,$A15,Data_filtered!$D$2:$D$461,"eucalipto",Data_filtered!$J$2:$J$461,"&lt;&gt;Incompleto"))</f>
        <v>-</v>
      </c>
      <c r="S15" s="109" t="str">
        <f>IF(SUMIFS(Data_filtered!$G$2:$G$461,Data_filtered!$A$2:$A$461,R$1,Data_filtered!$F$2:$F$461,$A15, Data_filtered!$D$2:$D$461,"mata",Data_filtered!$J$2:$J$461,"&lt;&gt;Incompleto")=0, "-", SUMIFS(Data_filtered!$K$2:$K$461,Data_filtered!$A$2:$A$461,R$1,Data_filtered!$F$2:$F$461,$A15,Data_filtered!$D$2:$D$461,"mata",Data_filtered!$J$2:$J$461,"&lt;&gt;Incompleto"))</f>
        <v>-</v>
      </c>
      <c r="T15" s="109" t="str">
        <f>IF(SUMIFS(Data_filtered!$G$2:$G$461,Data_filtered!$A$2:$A$461,T$1,Data_filtered!$F$2:$F$461,$A15, Data_filtered!$D$2:$D$461,"eucalipto",Data_filtered!$J$2:$J$461,"&lt;&gt;Incompleto")=0, "-", SUMIFS(Data_filtered!$K$2:$K$461,Data_filtered!$A$2:$A$461,T$1,Data_filtered!$F$2:$F$461,$A15,Data_filtered!$D$2:$D$461,"eucalipto",Data_filtered!$J$2:$J$461,"&lt;&gt;Incompleto"))</f>
        <v>-</v>
      </c>
      <c r="U15" s="109">
        <f>IF(SUMIFS(Data_filtered!$G$2:$G$461,Data_filtered!$A$2:$A$461,T$1,Data_filtered!$F$2:$F$461,$A15, Data_filtered!$D$2:$D$461,"mata",Data_filtered!$J$2:$J$461,"&lt;&gt;Incompleto")=0, "-", SUMIFS(Data_filtered!$K$2:$K$461,Data_filtered!$A$2:$A$461,T$1,Data_filtered!$F$2:$F$461,$A15,Data_filtered!$D$2:$D$461,"mata",Data_filtered!$J$2:$J$461,"&lt;&gt;Incompleto"))</f>
        <v>83.7758041</v>
      </c>
      <c r="V15" s="109" t="str">
        <f>IF(SUMIFS(Data_filtered!$G$2:$G$461,Data_filtered!$A$2:$A$461,V$1,Data_filtered!$F$2:$F$461,$A15, Data_filtered!$D$2:$D$461,"eucalipto",Data_filtered!$J$2:$J$461,"&lt;&gt;Incompleto")=0, "-", SUMIFS(Data_filtered!$K$2:$K$461,Data_filtered!$A$2:$A$461,V$1,Data_filtered!$F$2:$F$461,$A15,Data_filtered!$D$2:$D$461,"eucalipto",Data_filtered!$J$2:$J$461,"&lt;&gt;Incompleto"))</f>
        <v>-</v>
      </c>
      <c r="W15" s="109">
        <f>IF(SUMIFS(Data_filtered!$G$2:$G$461,Data_filtered!$A$2:$A$461,V$1,Data_filtered!$F$2:$F$461,$A15, Data_filtered!$D$2:$D$461,"mata",Data_filtered!$J$2:$J$461,"&lt;&gt;Incompleto")=0, "-", SUMIFS(Data_filtered!$K$2:$K$461,Data_filtered!$A$2:$A$461,V$1,Data_filtered!$F$2:$F$461,$A15,Data_filtered!$D$2:$D$461,"mata",Data_filtered!$J$2:$J$461,"&lt;&gt;Incompleto"))</f>
        <v>2714.336053</v>
      </c>
      <c r="X15" s="109" t="str">
        <f>IF(SUMIFS(Data_filtered!$G$2:$G$461,Data_filtered!$A$2:$A$461,X$1,Data_filtered!$F$2:$F$461,$A15, Data_filtered!$D$2:$D$461,"eucalipto",Data_filtered!$J$2:$J$461,"&lt;&gt;Incompleto")=0, "-", SUMIFS(Data_filtered!$K$2:$K$461,Data_filtered!$A$2:$A$461,X$1,Data_filtered!$F$2:$F$461,$A15,Data_filtered!$D$2:$D$461,"eucalipto",Data_filtered!$J$2:$J$461,"&lt;&gt;Incompleto"))</f>
        <v>-</v>
      </c>
      <c r="Y15" s="109" t="str">
        <f>IF(SUMIFS(Data_filtered!$G$2:$G$461,Data_filtered!$A$2:$A$461,X$1,Data_filtered!$F$2:$F$461,$A15, Data_filtered!$D$2:$D$461,"mata",Data_filtered!$J$2:$J$461,"&lt;&gt;Incompleto")=0, "-", SUMIFS(Data_filtered!$K$2:$K$461,Data_filtered!$A$2:$A$461,X$1,Data_filtered!$F$2:$F$461,$A15,Data_filtered!$D$2:$D$461,"mata",Data_filtered!$J$2:$J$461,"&lt;&gt;Incompleto"))</f>
        <v>-</v>
      </c>
      <c r="Z15" s="109" t="str">
        <f>IF(SUMIFS(Data_filtered!$G$2:$G$461,Data_filtered!$A$2:$A$461,Z$1,Data_filtered!$F$2:$F$461,$A15, Data_filtered!$D$2:$D$461,"eucalipto",Data_filtered!$J$2:$J$461,"&lt;&gt;Incompleto")=0, "-", SUMIFS(Data_filtered!$K$2:$K$461,Data_filtered!$A$2:$A$461,Z$1,Data_filtered!$F$2:$F$461,$A15,Data_filtered!$D$2:$D$461,"eucalipto",Data_filtered!$J$2:$J$461,"&lt;&gt;Incompleto"))</f>
        <v>-</v>
      </c>
      <c r="AA15" s="109" t="str">
        <f>IF(SUMIFS(Data_filtered!$G$2:$G$461,Data_filtered!$A$2:$A$461,Z$1,Data_filtered!$F$2:$F$461,$A15, Data_filtered!$D$2:$D$461,"mata",Data_filtered!$J$2:$J$461,"&lt;&gt;Incompleto")=0, "-", SUMIFS(Data_filtered!$K$2:$K$461,Data_filtered!$A$2:$A$461,Z$1,Data_filtered!$F$2:$F$461,$A15,Data_filtered!$D$2:$D$461,"mata",Data_filtered!$J$2:$J$461,"&lt;&gt;Incompleto"))</f>
        <v>-</v>
      </c>
      <c r="AB15" s="106"/>
      <c r="AC15" s="107"/>
      <c r="AD15" s="106"/>
      <c r="AE15" s="107"/>
      <c r="AF15" s="106"/>
      <c r="AG15" s="107"/>
      <c r="AH15" s="106"/>
      <c r="AI15" s="107"/>
      <c r="AJ15" s="106"/>
      <c r="AK15" s="107"/>
      <c r="AL15" s="106"/>
      <c r="AM15" s="107"/>
      <c r="AN15" s="106"/>
      <c r="AO15" s="107"/>
      <c r="AP15" s="106"/>
      <c r="AQ15" s="107"/>
      <c r="AR15" s="106"/>
      <c r="AS15" s="107"/>
    </row>
    <row r="16">
      <c r="A16" s="15" t="str">
        <f>IFERROR(__xludf.DUMMYFUNCTION("""COMPUTED_VALUE"""),"Isópode")</f>
        <v>Isópode</v>
      </c>
      <c r="B16" s="109" t="str">
        <f>IF(SUMIFS(Data_filtered!$G$2:$G$461,Data_filtered!$A$2:$A$461,B$1,Data_filtered!$F$2:$F$461,$A16, Data_filtered!$D$2:$D$461,"eucalipto",Data_filtered!$J$2:$J$461,"&lt;&gt;Incompleto")=0, "-", SUMIFS(Data_filtered!$K$2:$K$461,Data_filtered!$A$2:$A$461,B$1,Data_filtered!$F$2:$F$461,$A16,Data_filtered!$D$2:$D$461,"eucalipto",Data_filtered!$J$2:$J$461,"&lt;&gt;Incompleto"))</f>
        <v>-</v>
      </c>
      <c r="C16" s="109" t="str">
        <f>IF(SUMIFS(Data_filtered!$G$2:$G$461,Data_filtered!$A$2:$A$461,B$1,Data_filtered!$F$2:$F$461,$A16, Data_filtered!$D$2:$D$461,"mata",Data_filtered!$J$2:$J$461,"&lt;&gt;Incompleto")=0, "-", SUMIFS(Data_filtered!$K$2:$K$461,Data_filtered!$A$2:$A$461,B$1,Data_filtered!$F$2:$F$461,$A16,Data_filtered!$D$2:$D$461,"mata",Data_filtered!$J$2:$J$461,"&lt;&gt;Incompleto"))</f>
        <v>-</v>
      </c>
      <c r="D16" s="109" t="str">
        <f>IF(SUMIFS(Data_filtered!$G$2:$G$461,Data_filtered!$A$2:$A$461,D$1,Data_filtered!$F$2:$F$461,$A16, Data_filtered!$D$2:$D$461,"eucalipto",Data_filtered!$J$2:$J$461,"&lt;&gt;Incompleto")=0, "-", SUMIFS(Data_filtered!$K$2:$K$461,Data_filtered!$A$2:$A$461,D$1,Data_filtered!$F$2:$F$461,$A16,Data_filtered!$D$2:$D$461,"eucalipto",Data_filtered!$J$2:$J$461,"&lt;&gt;Incompleto"))</f>
        <v>-</v>
      </c>
      <c r="E16" s="109" t="str">
        <f>IF(SUMIFS(Data_filtered!$G$2:$G$461,Data_filtered!$A$2:$A$461,D$1,Data_filtered!$F$2:$F$461,$A16, Data_filtered!$D$2:$D$461,"mata",Data_filtered!$J$2:$J$461,"&lt;&gt;Incompleto")=0, "-", SUMIFS(Data_filtered!$K$2:$K$461,Data_filtered!$A$2:$A$461,D$1,Data_filtered!$F$2:$F$461,$A16,Data_filtered!$D$2:$D$461,"mata",Data_filtered!$J$2:$J$461,"&lt;&gt;Incompleto"))</f>
        <v>-</v>
      </c>
      <c r="F16" s="109" t="str">
        <f>IF(SUMIFS(Data_filtered!$G$2:$G$461,Data_filtered!$A$2:$A$461,F$1,Data_filtered!$F$2:$F$461,$A16, Data_filtered!$D$2:$D$461,"eucalipto",Data_filtered!$J$2:$J$461,"&lt;&gt;Incompleto")=0, "-", SUMIFS(Data_filtered!$K$2:$K$461,Data_filtered!$A$2:$A$461,F$1,Data_filtered!$F$2:$F$461,$A16,Data_filtered!$D$2:$D$461,"eucalipto",Data_filtered!$J$2:$J$461,"&lt;&gt;Incompleto"))</f>
        <v>-</v>
      </c>
      <c r="G16" s="109" t="str">
        <f>IF(SUMIFS(Data_filtered!$G$2:$G$461,Data_filtered!$A$2:$A$461,F$1,Data_filtered!$F$2:$F$461,$A16, Data_filtered!$D$2:$D$461,"mata",Data_filtered!$J$2:$J$461,"&lt;&gt;Incompleto")=0, "-", SUMIFS(Data_filtered!$K$2:$K$461,Data_filtered!$A$2:$A$461,F$1,Data_filtered!$F$2:$F$461,$A16,Data_filtered!$D$2:$D$461,"mata",Data_filtered!$J$2:$J$461,"&lt;&gt;Incompleto"))</f>
        <v>-</v>
      </c>
      <c r="H16" s="109" t="str">
        <f>IF(SUMIFS(Data_filtered!$G$2:$G$461,Data_filtered!$A$2:$A$461,H$1,Data_filtered!$F$2:$F$461,$A16, Data_filtered!$D$2:$D$461,"eucalipto",Data_filtered!$J$2:$J$461,"&lt;&gt;Incompleto")=0, "-", SUMIFS(Data_filtered!$K$2:$K$461,Data_filtered!$A$2:$A$461,H$1,Data_filtered!$F$2:$F$461,$A16,Data_filtered!$D$2:$D$461,"eucalipto",Data_filtered!$J$2:$J$461,"&lt;&gt;Incompleto"))</f>
        <v>-</v>
      </c>
      <c r="I16" s="109" t="str">
        <f>IF(SUMIFS(Data_filtered!$G$2:$G$461,Data_filtered!$A$2:$A$461,H$1,Data_filtered!$F$2:$F$461,$A16, Data_filtered!$D$2:$D$461,"mata",Data_filtered!$J$2:$J$461,"&lt;&gt;Incompleto")=0, "-", SUMIFS(Data_filtered!$K$2:$K$461,Data_filtered!$A$2:$A$461,H$1,Data_filtered!$F$2:$F$461,$A16,Data_filtered!$D$2:$D$461,"mata",Data_filtered!$J$2:$J$461,"&lt;&gt;Incompleto"))</f>
        <v>-</v>
      </c>
      <c r="J16" s="109" t="str">
        <f>IF(SUMIFS(Data_filtered!$G$2:$G$461,Data_filtered!$A$2:$A$461,J$1,Data_filtered!$F$2:$F$461,$A16, Data_filtered!$D$2:$D$461,"eucalipto",Data_filtered!$J$2:$J$461,"&lt;&gt;Incompleto")=0, "-", SUMIFS(Data_filtered!$K$2:$K$461,Data_filtered!$A$2:$A$461,J$1,Data_filtered!$F$2:$F$461,$A16,Data_filtered!$D$2:$D$461,"eucalipto",Data_filtered!$J$2:$J$461,"&lt;&gt;Incompleto"))</f>
        <v>-</v>
      </c>
      <c r="K16" s="109" t="str">
        <f>IF(SUMIFS(Data_filtered!$G$2:$G$461,Data_filtered!$A$2:$A$461,J$1,Data_filtered!$F$2:$F$461,$A16, Data_filtered!$D$2:$D$461,"mata",Data_filtered!$J$2:$J$461,"&lt;&gt;Incompleto")=0, "-", SUMIFS(Data_filtered!$K$2:$K$461,Data_filtered!$A$2:$A$461,J$1,Data_filtered!$F$2:$F$461,$A16,Data_filtered!$D$2:$D$461,"mata",Data_filtered!$J$2:$J$461,"&lt;&gt;Incompleto"))</f>
        <v>-</v>
      </c>
      <c r="L16" s="109" t="str">
        <f>IF(SUMIFS(Data_filtered!$G$2:$G$461,Data_filtered!$A$2:$A$461,L$1,Data_filtered!$F$2:$F$461,$A16, Data_filtered!$D$2:$D$461,"eucalipto",Data_filtered!$J$2:$J$461,"&lt;&gt;Incompleto")=0, "-", SUMIFS(Data_filtered!$K$2:$K$461,Data_filtered!$A$2:$A$461,L$1,Data_filtered!$F$2:$F$461,$A16,Data_filtered!$D$2:$D$461,"eucalipto",Data_filtered!$J$2:$J$461,"&lt;&gt;Incompleto"))</f>
        <v>-</v>
      </c>
      <c r="M16" s="109" t="str">
        <f>IF(SUMIFS(Data_filtered!$G$2:$G$461,Data_filtered!$A$2:$A$461,L$1,Data_filtered!$F$2:$F$461,$A16, Data_filtered!$D$2:$D$461,"mata",Data_filtered!$J$2:$J$461,"&lt;&gt;Incompleto")=0, "-", SUMIFS(Data_filtered!$K$2:$K$461,Data_filtered!$A$2:$A$461,L$1,Data_filtered!$F$2:$F$461,$A16,Data_filtered!$D$2:$D$461,"mata",Data_filtered!$J$2:$J$461,"&lt;&gt;Incompleto"))</f>
        <v>-</v>
      </c>
      <c r="N16" s="109" t="str">
        <f>IF(SUMIFS(Data_filtered!$G$2:$G$461,Data_filtered!$A$2:$A$461,N$1,Data_filtered!$F$2:$F$461,$A16, Data_filtered!$D$2:$D$461,"eucalipto",Data_filtered!$J$2:$J$461,"&lt;&gt;Incompleto")=0, "-", SUMIFS(Data_filtered!$K$2:$K$461,Data_filtered!$A$2:$A$461,N$1,Data_filtered!$F$2:$F$461,$A16,Data_filtered!$D$2:$D$461,"eucalipto",Data_filtered!$J$2:$J$461,"&lt;&gt;Incompleto"))</f>
        <v>-</v>
      </c>
      <c r="O16" s="109" t="str">
        <f>IF(SUMIFS(Data_filtered!$G$2:$G$461,Data_filtered!$A$2:$A$461,N$1,Data_filtered!$F$2:$F$461,$A16, Data_filtered!$D$2:$D$461,"mata",Data_filtered!$J$2:$J$461,"&lt;&gt;Incompleto")=0, "-", SUMIFS(Data_filtered!$K$2:$K$461,Data_filtered!$A$2:$A$461,N$1,Data_filtered!$F$2:$F$461,$A16,Data_filtered!$D$2:$D$461,"mata",Data_filtered!$J$2:$J$461,"&lt;&gt;Incompleto"))</f>
        <v>-</v>
      </c>
      <c r="P16" s="109" t="str">
        <f>IF(SUMIFS(Data_filtered!$G$2:$G$461,Data_filtered!$A$2:$A$461,P$1,Data_filtered!$F$2:$F$461,$A16, Data_filtered!$D$2:$D$461,"eucalipto",Data_filtered!$J$2:$J$461,"&lt;&gt;Incompleto")=0, "-", SUMIFS(Data_filtered!$K$2:$K$461,Data_filtered!$A$2:$A$461,P$1,Data_filtered!$F$2:$F$461,$A16,Data_filtered!$D$2:$D$461,"eucalipto",Data_filtered!$J$2:$J$461,"&lt;&gt;Incompleto"))</f>
        <v>-</v>
      </c>
      <c r="Q16" s="109" t="str">
        <f>IF(SUMIFS(Data_filtered!$G$2:$G$461,Data_filtered!$A$2:$A$461,P$1,Data_filtered!$F$2:$F$461,$A16, Data_filtered!$D$2:$D$461,"mata",Data_filtered!$J$2:$J$461,"&lt;&gt;Incompleto")=0, "-", SUMIFS(Data_filtered!$K$2:$K$461,Data_filtered!$A$2:$A$461,P$1,Data_filtered!$F$2:$F$461,$A16,Data_filtered!$D$2:$D$461,"mata",Data_filtered!$J$2:$J$461,"&lt;&gt;Incompleto"))</f>
        <v>-</v>
      </c>
      <c r="R16" s="109" t="str">
        <f>IF(SUMIFS(Data_filtered!$G$2:$G$461,Data_filtered!$A$2:$A$461,R$1,Data_filtered!$F$2:$F$461,$A16, Data_filtered!$D$2:$D$461,"eucalipto",Data_filtered!$J$2:$J$461,"&lt;&gt;Incompleto")=0, "-", SUMIFS(Data_filtered!$K$2:$K$461,Data_filtered!$A$2:$A$461,R$1,Data_filtered!$F$2:$F$461,$A16,Data_filtered!$D$2:$D$461,"eucalipto",Data_filtered!$J$2:$J$461,"&lt;&gt;Incompleto"))</f>
        <v>-</v>
      </c>
      <c r="S16" s="109">
        <f>IF(SUMIFS(Data_filtered!$G$2:$G$461,Data_filtered!$A$2:$A$461,R$1,Data_filtered!$F$2:$F$461,$A16, Data_filtered!$D$2:$D$461,"mata",Data_filtered!$J$2:$J$461,"&lt;&gt;Incompleto")=0, "-", SUMIFS(Data_filtered!$K$2:$K$461,Data_filtered!$A$2:$A$461,R$1,Data_filtered!$F$2:$F$461,$A16,Data_filtered!$D$2:$D$461,"mata",Data_filtered!$J$2:$J$461,"&lt;&gt;Incompleto"))</f>
        <v>150.7964474</v>
      </c>
      <c r="T16" s="109" t="str">
        <f>IF(SUMIFS(Data_filtered!$G$2:$G$461,Data_filtered!$A$2:$A$461,T$1,Data_filtered!$F$2:$F$461,$A16, Data_filtered!$D$2:$D$461,"eucalipto",Data_filtered!$J$2:$J$461,"&lt;&gt;Incompleto")=0, "-", SUMIFS(Data_filtered!$K$2:$K$461,Data_filtered!$A$2:$A$461,T$1,Data_filtered!$F$2:$F$461,$A16,Data_filtered!$D$2:$D$461,"eucalipto",Data_filtered!$J$2:$J$461,"&lt;&gt;Incompleto"))</f>
        <v>-</v>
      </c>
      <c r="U16" s="109">
        <f>IF(SUMIFS(Data_filtered!$G$2:$G$461,Data_filtered!$A$2:$A$461,T$1,Data_filtered!$F$2:$F$461,$A16, Data_filtered!$D$2:$D$461,"mata",Data_filtered!$J$2:$J$461,"&lt;&gt;Incompleto")=0, "-", SUMIFS(Data_filtered!$K$2:$K$461,Data_filtered!$A$2:$A$461,T$1,Data_filtered!$F$2:$F$461,$A16,Data_filtered!$D$2:$D$461,"mata",Data_filtered!$J$2:$J$461,"&lt;&gt;Incompleto"))</f>
        <v>289.0265241</v>
      </c>
      <c r="V16" s="109" t="str">
        <f>IF(SUMIFS(Data_filtered!$G$2:$G$461,Data_filtered!$A$2:$A$461,V$1,Data_filtered!$F$2:$F$461,$A16, Data_filtered!$D$2:$D$461,"eucalipto",Data_filtered!$J$2:$J$461,"&lt;&gt;Incompleto")=0, "-", SUMIFS(Data_filtered!$K$2:$K$461,Data_filtered!$A$2:$A$461,V$1,Data_filtered!$F$2:$F$461,$A16,Data_filtered!$D$2:$D$461,"eucalipto",Data_filtered!$J$2:$J$461,"&lt;&gt;Incompleto"))</f>
        <v>-</v>
      </c>
      <c r="W16" s="109">
        <f>IF(SUMIFS(Data_filtered!$G$2:$G$461,Data_filtered!$A$2:$A$461,V$1,Data_filtered!$F$2:$F$461,$A16, Data_filtered!$D$2:$D$461,"mata",Data_filtered!$J$2:$J$461,"&lt;&gt;Incompleto")=0, "-", SUMIFS(Data_filtered!$K$2:$K$461,Data_filtered!$A$2:$A$461,V$1,Data_filtered!$F$2:$F$461,$A16,Data_filtered!$D$2:$D$461,"mata",Data_filtered!$J$2:$J$461,"&lt;&gt;Incompleto"))</f>
        <v>113.0973355</v>
      </c>
      <c r="X16" s="109" t="str">
        <f>IF(SUMIFS(Data_filtered!$G$2:$G$461,Data_filtered!$A$2:$A$461,X$1,Data_filtered!$F$2:$F$461,$A16, Data_filtered!$D$2:$D$461,"eucalipto",Data_filtered!$J$2:$J$461,"&lt;&gt;Incompleto")=0, "-", SUMIFS(Data_filtered!$K$2:$K$461,Data_filtered!$A$2:$A$461,X$1,Data_filtered!$F$2:$F$461,$A16,Data_filtered!$D$2:$D$461,"eucalipto",Data_filtered!$J$2:$J$461,"&lt;&gt;Incompleto"))</f>
        <v>-</v>
      </c>
      <c r="Y16" s="109" t="str">
        <f>IF(SUMIFS(Data_filtered!$G$2:$G$461,Data_filtered!$A$2:$A$461,X$1,Data_filtered!$F$2:$F$461,$A16, Data_filtered!$D$2:$D$461,"mata",Data_filtered!$J$2:$J$461,"&lt;&gt;Incompleto")=0, "-", SUMIFS(Data_filtered!$K$2:$K$461,Data_filtered!$A$2:$A$461,X$1,Data_filtered!$F$2:$F$461,$A16,Data_filtered!$D$2:$D$461,"mata",Data_filtered!$J$2:$J$461,"&lt;&gt;Incompleto"))</f>
        <v>-</v>
      </c>
      <c r="Z16" s="109" t="str">
        <f>IF(SUMIFS(Data_filtered!$G$2:$G$461,Data_filtered!$A$2:$A$461,Z$1,Data_filtered!$F$2:$F$461,$A16, Data_filtered!$D$2:$D$461,"eucalipto",Data_filtered!$J$2:$J$461,"&lt;&gt;Incompleto")=0, "-", SUMIFS(Data_filtered!$K$2:$K$461,Data_filtered!$A$2:$A$461,Z$1,Data_filtered!$F$2:$F$461,$A16,Data_filtered!$D$2:$D$461,"eucalipto",Data_filtered!$J$2:$J$461,"&lt;&gt;Incompleto"))</f>
        <v>-</v>
      </c>
      <c r="AA16" s="109" t="str">
        <f>IF(SUMIFS(Data_filtered!$G$2:$G$461,Data_filtered!$A$2:$A$461,Z$1,Data_filtered!$F$2:$F$461,$A16, Data_filtered!$D$2:$D$461,"mata",Data_filtered!$J$2:$J$461,"&lt;&gt;Incompleto")=0, "-", SUMIFS(Data_filtered!$K$2:$K$461,Data_filtered!$A$2:$A$461,Z$1,Data_filtered!$F$2:$F$461,$A16,Data_filtered!$D$2:$D$461,"mata",Data_filtered!$J$2:$J$461,"&lt;&gt;Incompleto"))</f>
        <v>-</v>
      </c>
      <c r="AB16" s="106"/>
      <c r="AC16" s="107"/>
      <c r="AD16" s="106"/>
      <c r="AE16" s="107"/>
      <c r="AF16" s="106"/>
      <c r="AG16" s="107"/>
      <c r="AH16" s="106"/>
      <c r="AI16" s="107"/>
      <c r="AJ16" s="106"/>
      <c r="AK16" s="107"/>
      <c r="AL16" s="106"/>
      <c r="AM16" s="107"/>
      <c r="AN16" s="106"/>
      <c r="AO16" s="107"/>
      <c r="AP16" s="106"/>
      <c r="AQ16" s="107"/>
      <c r="AR16" s="106"/>
      <c r="AS16" s="107"/>
    </row>
    <row r="17">
      <c r="A17" s="15" t="str">
        <f>IFERROR(__xludf.DUMMYFUNCTION("""COMPUTED_VALUE"""),"Isoptera")</f>
        <v>Isoptera</v>
      </c>
      <c r="B17" s="109" t="str">
        <f>IF(SUMIFS(Data_filtered!$G$2:$G$461,Data_filtered!$A$2:$A$461,B$1,Data_filtered!$F$2:$F$461,$A17, Data_filtered!$D$2:$D$461,"eucalipto",Data_filtered!$J$2:$J$461,"&lt;&gt;Incompleto")=0, "-", SUMIFS(Data_filtered!$K$2:$K$461,Data_filtered!$A$2:$A$461,B$1,Data_filtered!$F$2:$F$461,$A17,Data_filtered!$D$2:$D$461,"eucalipto",Data_filtered!$J$2:$J$461,"&lt;&gt;Incompleto"))</f>
        <v>-</v>
      </c>
      <c r="C17" s="109" t="str">
        <f>IF(SUMIFS(Data_filtered!$G$2:$G$461,Data_filtered!$A$2:$A$461,B$1,Data_filtered!$F$2:$F$461,$A17, Data_filtered!$D$2:$D$461,"mata",Data_filtered!$J$2:$J$461,"&lt;&gt;Incompleto")=0, "-", SUMIFS(Data_filtered!$K$2:$K$461,Data_filtered!$A$2:$A$461,B$1,Data_filtered!$F$2:$F$461,$A17,Data_filtered!$D$2:$D$461,"mata",Data_filtered!$J$2:$J$461,"&lt;&gt;Incompleto"))</f>
        <v>-</v>
      </c>
      <c r="D17" s="109" t="str">
        <f>IF(SUMIFS(Data_filtered!$G$2:$G$461,Data_filtered!$A$2:$A$461,D$1,Data_filtered!$F$2:$F$461,$A17, Data_filtered!$D$2:$D$461,"eucalipto",Data_filtered!$J$2:$J$461,"&lt;&gt;Incompleto")=0, "-", SUMIFS(Data_filtered!$K$2:$K$461,Data_filtered!$A$2:$A$461,D$1,Data_filtered!$F$2:$F$461,$A17,Data_filtered!$D$2:$D$461,"eucalipto",Data_filtered!$J$2:$J$461,"&lt;&gt;Incompleto"))</f>
        <v>-</v>
      </c>
      <c r="E17" s="109" t="str">
        <f>IF(SUMIFS(Data_filtered!$G$2:$G$461,Data_filtered!$A$2:$A$461,D$1,Data_filtered!$F$2:$F$461,$A17, Data_filtered!$D$2:$D$461,"mata",Data_filtered!$J$2:$J$461,"&lt;&gt;Incompleto")=0, "-", SUMIFS(Data_filtered!$K$2:$K$461,Data_filtered!$A$2:$A$461,D$1,Data_filtered!$F$2:$F$461,$A17,Data_filtered!$D$2:$D$461,"mata",Data_filtered!$J$2:$J$461,"&lt;&gt;Incompleto"))</f>
        <v>-</v>
      </c>
      <c r="F17" s="109" t="str">
        <f>IF(SUMIFS(Data_filtered!$G$2:$G$461,Data_filtered!$A$2:$A$461,F$1,Data_filtered!$F$2:$F$461,$A17, Data_filtered!$D$2:$D$461,"eucalipto",Data_filtered!$J$2:$J$461,"&lt;&gt;Incompleto")=0, "-", SUMIFS(Data_filtered!$K$2:$K$461,Data_filtered!$A$2:$A$461,F$1,Data_filtered!$F$2:$F$461,$A17,Data_filtered!$D$2:$D$461,"eucalipto",Data_filtered!$J$2:$J$461,"&lt;&gt;Incompleto"))</f>
        <v>-</v>
      </c>
      <c r="G17" s="109">
        <f>IF(SUMIFS(Data_filtered!$G$2:$G$461,Data_filtered!$A$2:$A$461,F$1,Data_filtered!$F$2:$F$461,$A17, Data_filtered!$D$2:$D$461,"mata",Data_filtered!$J$2:$J$461,"&lt;&gt;Incompleto")=0, "-", SUMIFS(Data_filtered!$K$2:$K$461,Data_filtered!$A$2:$A$461,F$1,Data_filtered!$F$2:$F$461,$A17,Data_filtered!$D$2:$D$461,"mata",Data_filtered!$J$2:$J$461,"&lt;&gt;Incompleto"))</f>
        <v>326.725636</v>
      </c>
      <c r="H17" s="109" t="str">
        <f>IF(SUMIFS(Data_filtered!$G$2:$G$461,Data_filtered!$A$2:$A$461,H$1,Data_filtered!$F$2:$F$461,$A17, Data_filtered!$D$2:$D$461,"eucalipto",Data_filtered!$J$2:$J$461,"&lt;&gt;Incompleto")=0, "-", SUMIFS(Data_filtered!$K$2:$K$461,Data_filtered!$A$2:$A$461,H$1,Data_filtered!$F$2:$F$461,$A17,Data_filtered!$D$2:$D$461,"eucalipto",Data_filtered!$J$2:$J$461,"&lt;&gt;Incompleto"))</f>
        <v>-</v>
      </c>
      <c r="I17" s="109" t="str">
        <f>IF(SUMIFS(Data_filtered!$G$2:$G$461,Data_filtered!$A$2:$A$461,H$1,Data_filtered!$F$2:$F$461,$A17, Data_filtered!$D$2:$D$461,"mata",Data_filtered!$J$2:$J$461,"&lt;&gt;Incompleto")=0, "-", SUMIFS(Data_filtered!$K$2:$K$461,Data_filtered!$A$2:$A$461,H$1,Data_filtered!$F$2:$F$461,$A17,Data_filtered!$D$2:$D$461,"mata",Data_filtered!$J$2:$J$461,"&lt;&gt;Incompleto"))</f>
        <v>-</v>
      </c>
      <c r="J17" s="109" t="str">
        <f>IF(SUMIFS(Data_filtered!$G$2:$G$461,Data_filtered!$A$2:$A$461,J$1,Data_filtered!$F$2:$F$461,$A17, Data_filtered!$D$2:$D$461,"eucalipto",Data_filtered!$J$2:$J$461,"&lt;&gt;Incompleto")=0, "-", SUMIFS(Data_filtered!$K$2:$K$461,Data_filtered!$A$2:$A$461,J$1,Data_filtered!$F$2:$F$461,$A17,Data_filtered!$D$2:$D$461,"eucalipto",Data_filtered!$J$2:$J$461,"&lt;&gt;Incompleto"))</f>
        <v>-</v>
      </c>
      <c r="K17" s="109" t="str">
        <f>IF(SUMIFS(Data_filtered!$G$2:$G$461,Data_filtered!$A$2:$A$461,J$1,Data_filtered!$F$2:$F$461,$A17, Data_filtered!$D$2:$D$461,"mata",Data_filtered!$J$2:$J$461,"&lt;&gt;Incompleto")=0, "-", SUMIFS(Data_filtered!$K$2:$K$461,Data_filtered!$A$2:$A$461,J$1,Data_filtered!$F$2:$F$461,$A17,Data_filtered!$D$2:$D$461,"mata",Data_filtered!$J$2:$J$461,"&lt;&gt;Incompleto"))</f>
        <v>-</v>
      </c>
      <c r="L17" s="109" t="str">
        <f>IF(SUMIFS(Data_filtered!$G$2:$G$461,Data_filtered!$A$2:$A$461,L$1,Data_filtered!$F$2:$F$461,$A17, Data_filtered!$D$2:$D$461,"eucalipto",Data_filtered!$J$2:$J$461,"&lt;&gt;Incompleto")=0, "-", SUMIFS(Data_filtered!$K$2:$K$461,Data_filtered!$A$2:$A$461,L$1,Data_filtered!$F$2:$F$461,$A17,Data_filtered!$D$2:$D$461,"eucalipto",Data_filtered!$J$2:$J$461,"&lt;&gt;Incompleto"))</f>
        <v>-</v>
      </c>
      <c r="M17" s="109" t="str">
        <f>IF(SUMIFS(Data_filtered!$G$2:$G$461,Data_filtered!$A$2:$A$461,L$1,Data_filtered!$F$2:$F$461,$A17, Data_filtered!$D$2:$D$461,"mata",Data_filtered!$J$2:$J$461,"&lt;&gt;Incompleto")=0, "-", SUMIFS(Data_filtered!$K$2:$K$461,Data_filtered!$A$2:$A$461,L$1,Data_filtered!$F$2:$F$461,$A17,Data_filtered!$D$2:$D$461,"mata",Data_filtered!$J$2:$J$461,"&lt;&gt;Incompleto"))</f>
        <v>-</v>
      </c>
      <c r="N17" s="109" t="str">
        <f>IF(SUMIFS(Data_filtered!$G$2:$G$461,Data_filtered!$A$2:$A$461,N$1,Data_filtered!$F$2:$F$461,$A17, Data_filtered!$D$2:$D$461,"eucalipto",Data_filtered!$J$2:$J$461,"&lt;&gt;Incompleto")=0, "-", SUMIFS(Data_filtered!$K$2:$K$461,Data_filtered!$A$2:$A$461,N$1,Data_filtered!$F$2:$F$461,$A17,Data_filtered!$D$2:$D$461,"eucalipto",Data_filtered!$J$2:$J$461,"&lt;&gt;Incompleto"))</f>
        <v>-</v>
      </c>
      <c r="O17" s="109" t="str">
        <f>IF(SUMIFS(Data_filtered!$G$2:$G$461,Data_filtered!$A$2:$A$461,N$1,Data_filtered!$F$2:$F$461,$A17, Data_filtered!$D$2:$D$461,"mata",Data_filtered!$J$2:$J$461,"&lt;&gt;Incompleto")=0, "-", SUMIFS(Data_filtered!$K$2:$K$461,Data_filtered!$A$2:$A$461,N$1,Data_filtered!$F$2:$F$461,$A17,Data_filtered!$D$2:$D$461,"mata",Data_filtered!$J$2:$J$461,"&lt;&gt;Incompleto"))</f>
        <v>-</v>
      </c>
      <c r="P17" s="109" t="str">
        <f>IF(SUMIFS(Data_filtered!$G$2:$G$461,Data_filtered!$A$2:$A$461,P$1,Data_filtered!$F$2:$F$461,$A17, Data_filtered!$D$2:$D$461,"eucalipto",Data_filtered!$J$2:$J$461,"&lt;&gt;Incompleto")=0, "-", SUMIFS(Data_filtered!$K$2:$K$461,Data_filtered!$A$2:$A$461,P$1,Data_filtered!$F$2:$F$461,$A17,Data_filtered!$D$2:$D$461,"eucalipto",Data_filtered!$J$2:$J$461,"&lt;&gt;Incompleto"))</f>
        <v>-</v>
      </c>
      <c r="Q17" s="109" t="str">
        <f>IF(SUMIFS(Data_filtered!$G$2:$G$461,Data_filtered!$A$2:$A$461,P$1,Data_filtered!$F$2:$F$461,$A17, Data_filtered!$D$2:$D$461,"mata",Data_filtered!$J$2:$J$461,"&lt;&gt;Incompleto")=0, "-", SUMIFS(Data_filtered!$K$2:$K$461,Data_filtered!$A$2:$A$461,P$1,Data_filtered!$F$2:$F$461,$A17,Data_filtered!$D$2:$D$461,"mata",Data_filtered!$J$2:$J$461,"&lt;&gt;Incompleto"))</f>
        <v>-</v>
      </c>
      <c r="R17" s="109" t="str">
        <f>IF(SUMIFS(Data_filtered!$G$2:$G$461,Data_filtered!$A$2:$A$461,R$1,Data_filtered!$F$2:$F$461,$A17, Data_filtered!$D$2:$D$461,"eucalipto",Data_filtered!$J$2:$J$461,"&lt;&gt;Incompleto")=0, "-", SUMIFS(Data_filtered!$K$2:$K$461,Data_filtered!$A$2:$A$461,R$1,Data_filtered!$F$2:$F$461,$A17,Data_filtered!$D$2:$D$461,"eucalipto",Data_filtered!$J$2:$J$461,"&lt;&gt;Incompleto"))</f>
        <v>-</v>
      </c>
      <c r="S17" s="109" t="str">
        <f>IF(SUMIFS(Data_filtered!$G$2:$G$461,Data_filtered!$A$2:$A$461,R$1,Data_filtered!$F$2:$F$461,$A17, Data_filtered!$D$2:$D$461,"mata",Data_filtered!$J$2:$J$461,"&lt;&gt;Incompleto")=0, "-", SUMIFS(Data_filtered!$K$2:$K$461,Data_filtered!$A$2:$A$461,R$1,Data_filtered!$F$2:$F$461,$A17,Data_filtered!$D$2:$D$461,"mata",Data_filtered!$J$2:$J$461,"&lt;&gt;Incompleto"))</f>
        <v>-</v>
      </c>
      <c r="T17" s="109" t="str">
        <f>IF(SUMIFS(Data_filtered!$G$2:$G$461,Data_filtered!$A$2:$A$461,T$1,Data_filtered!$F$2:$F$461,$A17, Data_filtered!$D$2:$D$461,"eucalipto",Data_filtered!$J$2:$J$461,"&lt;&gt;Incompleto")=0, "-", SUMIFS(Data_filtered!$K$2:$K$461,Data_filtered!$A$2:$A$461,T$1,Data_filtered!$F$2:$F$461,$A17,Data_filtered!$D$2:$D$461,"eucalipto",Data_filtered!$J$2:$J$461,"&lt;&gt;Incompleto"))</f>
        <v>-</v>
      </c>
      <c r="U17" s="109" t="str">
        <f>IF(SUMIFS(Data_filtered!$G$2:$G$461,Data_filtered!$A$2:$A$461,T$1,Data_filtered!$F$2:$F$461,$A17, Data_filtered!$D$2:$D$461,"mata",Data_filtered!$J$2:$J$461,"&lt;&gt;Incompleto")=0, "-", SUMIFS(Data_filtered!$K$2:$K$461,Data_filtered!$A$2:$A$461,T$1,Data_filtered!$F$2:$F$461,$A17,Data_filtered!$D$2:$D$461,"mata",Data_filtered!$J$2:$J$461,"&lt;&gt;Incompleto"))</f>
        <v>-</v>
      </c>
      <c r="V17" s="109" t="str">
        <f>IF(SUMIFS(Data_filtered!$G$2:$G$461,Data_filtered!$A$2:$A$461,V$1,Data_filtered!$F$2:$F$461,$A17, Data_filtered!$D$2:$D$461,"eucalipto",Data_filtered!$J$2:$J$461,"&lt;&gt;Incompleto")=0, "-", SUMIFS(Data_filtered!$K$2:$K$461,Data_filtered!$A$2:$A$461,V$1,Data_filtered!$F$2:$F$461,$A17,Data_filtered!$D$2:$D$461,"eucalipto",Data_filtered!$J$2:$J$461,"&lt;&gt;Incompleto"))</f>
        <v>-</v>
      </c>
      <c r="W17" s="109" t="str">
        <f>IF(SUMIFS(Data_filtered!$G$2:$G$461,Data_filtered!$A$2:$A$461,V$1,Data_filtered!$F$2:$F$461,$A17, Data_filtered!$D$2:$D$461,"mata",Data_filtered!$J$2:$J$461,"&lt;&gt;Incompleto")=0, "-", SUMIFS(Data_filtered!$K$2:$K$461,Data_filtered!$A$2:$A$461,V$1,Data_filtered!$F$2:$F$461,$A17,Data_filtered!$D$2:$D$461,"mata",Data_filtered!$J$2:$J$461,"&lt;&gt;Incompleto"))</f>
        <v>-</v>
      </c>
      <c r="X17" s="109" t="str">
        <f>IF(SUMIFS(Data_filtered!$G$2:$G$461,Data_filtered!$A$2:$A$461,X$1,Data_filtered!$F$2:$F$461,$A17, Data_filtered!$D$2:$D$461,"eucalipto",Data_filtered!$J$2:$J$461,"&lt;&gt;Incompleto")=0, "-", SUMIFS(Data_filtered!$K$2:$K$461,Data_filtered!$A$2:$A$461,X$1,Data_filtered!$F$2:$F$461,$A17,Data_filtered!$D$2:$D$461,"eucalipto",Data_filtered!$J$2:$J$461,"&lt;&gt;Incompleto"))</f>
        <v>-</v>
      </c>
      <c r="Y17" s="109" t="str">
        <f>IF(SUMIFS(Data_filtered!$G$2:$G$461,Data_filtered!$A$2:$A$461,X$1,Data_filtered!$F$2:$F$461,$A17, Data_filtered!$D$2:$D$461,"mata",Data_filtered!$J$2:$J$461,"&lt;&gt;Incompleto")=0, "-", SUMIFS(Data_filtered!$K$2:$K$461,Data_filtered!$A$2:$A$461,X$1,Data_filtered!$F$2:$F$461,$A17,Data_filtered!$D$2:$D$461,"mata",Data_filtered!$J$2:$J$461,"&lt;&gt;Incompleto"))</f>
        <v>-</v>
      </c>
      <c r="Z17" s="109" t="str">
        <f>IF(SUMIFS(Data_filtered!$G$2:$G$461,Data_filtered!$A$2:$A$461,Z$1,Data_filtered!$F$2:$F$461,$A17, Data_filtered!$D$2:$D$461,"eucalipto",Data_filtered!$J$2:$J$461,"&lt;&gt;Incompleto")=0, "-", SUMIFS(Data_filtered!$K$2:$K$461,Data_filtered!$A$2:$A$461,Z$1,Data_filtered!$F$2:$F$461,$A17,Data_filtered!$D$2:$D$461,"eucalipto",Data_filtered!$J$2:$J$461,"&lt;&gt;Incompleto"))</f>
        <v>-</v>
      </c>
      <c r="AA17" s="109" t="str">
        <f>IF(SUMIFS(Data_filtered!$G$2:$G$461,Data_filtered!$A$2:$A$461,Z$1,Data_filtered!$F$2:$F$461,$A17, Data_filtered!$D$2:$D$461,"mata",Data_filtered!$J$2:$J$461,"&lt;&gt;Incompleto")=0, "-", SUMIFS(Data_filtered!$K$2:$K$461,Data_filtered!$A$2:$A$461,Z$1,Data_filtered!$F$2:$F$461,$A17,Data_filtered!$D$2:$D$461,"mata",Data_filtered!$J$2:$J$461,"&lt;&gt;Incompleto"))</f>
        <v>-</v>
      </c>
      <c r="AB17" s="106"/>
      <c r="AC17" s="107"/>
      <c r="AD17" s="106"/>
      <c r="AE17" s="107"/>
      <c r="AF17" s="106"/>
      <c r="AG17" s="107"/>
      <c r="AH17" s="106"/>
      <c r="AI17" s="107"/>
      <c r="AJ17" s="106"/>
      <c r="AK17" s="107"/>
      <c r="AL17" s="106"/>
      <c r="AM17" s="107"/>
      <c r="AN17" s="106"/>
      <c r="AO17" s="107"/>
      <c r="AP17" s="106"/>
      <c r="AQ17" s="107"/>
      <c r="AR17" s="106"/>
      <c r="AS17" s="107"/>
    </row>
    <row r="18">
      <c r="A18" s="15" t="str">
        <f>IFERROR(__xludf.DUMMYFUNCTION("""COMPUTED_VALUE"""),"Larva")</f>
        <v>Larva</v>
      </c>
      <c r="B18" s="109" t="str">
        <f>IF(SUMIFS(Data_filtered!$G$2:$G$461,Data_filtered!$A$2:$A$461,B$1,Data_filtered!$F$2:$F$461,$A18, Data_filtered!$D$2:$D$461,"eucalipto",Data_filtered!$J$2:$J$461,"&lt;&gt;Incompleto")=0, "-", SUMIFS(Data_filtered!$K$2:$K$461,Data_filtered!$A$2:$A$461,B$1,Data_filtered!$F$2:$F$461,$A18,Data_filtered!$D$2:$D$461,"eucalipto",Data_filtered!$J$2:$J$461,"&lt;&gt;Incompleto"))</f>
        <v>-</v>
      </c>
      <c r="C18" s="109" t="str">
        <f>IF(SUMIFS(Data_filtered!$G$2:$G$461,Data_filtered!$A$2:$A$461,B$1,Data_filtered!$F$2:$F$461,$A18, Data_filtered!$D$2:$D$461,"mata",Data_filtered!$J$2:$J$461,"&lt;&gt;Incompleto")=0, "-", SUMIFS(Data_filtered!$K$2:$K$461,Data_filtered!$A$2:$A$461,B$1,Data_filtered!$F$2:$F$461,$A18,Data_filtered!$D$2:$D$461,"mata",Data_filtered!$J$2:$J$461,"&lt;&gt;Incompleto"))</f>
        <v>-</v>
      </c>
      <c r="D18" s="109" t="str">
        <f>IF(SUMIFS(Data_filtered!$G$2:$G$461,Data_filtered!$A$2:$A$461,D$1,Data_filtered!$F$2:$F$461,$A18, Data_filtered!$D$2:$D$461,"eucalipto",Data_filtered!$J$2:$J$461,"&lt;&gt;Incompleto")=0, "-", SUMIFS(Data_filtered!$K$2:$K$461,Data_filtered!$A$2:$A$461,D$1,Data_filtered!$F$2:$F$461,$A18,Data_filtered!$D$2:$D$461,"eucalipto",Data_filtered!$J$2:$J$461,"&lt;&gt;Incompleto"))</f>
        <v>-</v>
      </c>
      <c r="E18" s="109" t="str">
        <f>IF(SUMIFS(Data_filtered!$G$2:$G$461,Data_filtered!$A$2:$A$461,D$1,Data_filtered!$F$2:$F$461,$A18, Data_filtered!$D$2:$D$461,"mata",Data_filtered!$J$2:$J$461,"&lt;&gt;Incompleto")=0, "-", SUMIFS(Data_filtered!$K$2:$K$461,Data_filtered!$A$2:$A$461,D$1,Data_filtered!$F$2:$F$461,$A18,Data_filtered!$D$2:$D$461,"mata",Data_filtered!$J$2:$J$461,"&lt;&gt;Incompleto"))</f>
        <v>-</v>
      </c>
      <c r="F18" s="109" t="str">
        <f>IF(SUMIFS(Data_filtered!$G$2:$G$461,Data_filtered!$A$2:$A$461,F$1,Data_filtered!$F$2:$F$461,$A18, Data_filtered!$D$2:$D$461,"eucalipto",Data_filtered!$J$2:$J$461,"&lt;&gt;Incompleto")=0, "-", SUMIFS(Data_filtered!$K$2:$K$461,Data_filtered!$A$2:$A$461,F$1,Data_filtered!$F$2:$F$461,$A18,Data_filtered!$D$2:$D$461,"eucalipto",Data_filtered!$J$2:$J$461,"&lt;&gt;Incompleto"))</f>
        <v>-</v>
      </c>
      <c r="G18" s="109" t="str">
        <f>IF(SUMIFS(Data_filtered!$G$2:$G$461,Data_filtered!$A$2:$A$461,F$1,Data_filtered!$F$2:$F$461,$A18, Data_filtered!$D$2:$D$461,"mata",Data_filtered!$J$2:$J$461,"&lt;&gt;Incompleto")=0, "-", SUMIFS(Data_filtered!$K$2:$K$461,Data_filtered!$A$2:$A$461,F$1,Data_filtered!$F$2:$F$461,$A18,Data_filtered!$D$2:$D$461,"mata",Data_filtered!$J$2:$J$461,"&lt;&gt;Incompleto"))</f>
        <v>-</v>
      </c>
      <c r="H18" s="109" t="str">
        <f>IF(SUMIFS(Data_filtered!$G$2:$G$461,Data_filtered!$A$2:$A$461,H$1,Data_filtered!$F$2:$F$461,$A18, Data_filtered!$D$2:$D$461,"eucalipto",Data_filtered!$J$2:$J$461,"&lt;&gt;Incompleto")=0, "-", SUMIFS(Data_filtered!$K$2:$K$461,Data_filtered!$A$2:$A$461,H$1,Data_filtered!$F$2:$F$461,$A18,Data_filtered!$D$2:$D$461,"eucalipto",Data_filtered!$J$2:$J$461,"&lt;&gt;Incompleto"))</f>
        <v>-</v>
      </c>
      <c r="I18" s="109" t="str">
        <f>IF(SUMIFS(Data_filtered!$G$2:$G$461,Data_filtered!$A$2:$A$461,H$1,Data_filtered!$F$2:$F$461,$A18, Data_filtered!$D$2:$D$461,"mata",Data_filtered!$J$2:$J$461,"&lt;&gt;Incompleto")=0, "-", SUMIFS(Data_filtered!$K$2:$K$461,Data_filtered!$A$2:$A$461,H$1,Data_filtered!$F$2:$F$461,$A18,Data_filtered!$D$2:$D$461,"mata",Data_filtered!$J$2:$J$461,"&lt;&gt;Incompleto"))</f>
        <v>-</v>
      </c>
      <c r="J18" s="109" t="str">
        <f>IF(SUMIFS(Data_filtered!$G$2:$G$461,Data_filtered!$A$2:$A$461,J$1,Data_filtered!$F$2:$F$461,$A18, Data_filtered!$D$2:$D$461,"eucalipto",Data_filtered!$J$2:$J$461,"&lt;&gt;Incompleto")=0, "-", SUMIFS(Data_filtered!$K$2:$K$461,Data_filtered!$A$2:$A$461,J$1,Data_filtered!$F$2:$F$461,$A18,Data_filtered!$D$2:$D$461,"eucalipto",Data_filtered!$J$2:$J$461,"&lt;&gt;Incompleto"))</f>
        <v>-</v>
      </c>
      <c r="K18" s="109" t="str">
        <f>IF(SUMIFS(Data_filtered!$G$2:$G$461,Data_filtered!$A$2:$A$461,J$1,Data_filtered!$F$2:$F$461,$A18, Data_filtered!$D$2:$D$461,"mata",Data_filtered!$J$2:$J$461,"&lt;&gt;Incompleto")=0, "-", SUMIFS(Data_filtered!$K$2:$K$461,Data_filtered!$A$2:$A$461,J$1,Data_filtered!$F$2:$F$461,$A18,Data_filtered!$D$2:$D$461,"mata",Data_filtered!$J$2:$J$461,"&lt;&gt;Incompleto"))</f>
        <v>-</v>
      </c>
      <c r="L18" s="109" t="str">
        <f>IF(SUMIFS(Data_filtered!$G$2:$G$461,Data_filtered!$A$2:$A$461,L$1,Data_filtered!$F$2:$F$461,$A18, Data_filtered!$D$2:$D$461,"eucalipto",Data_filtered!$J$2:$J$461,"&lt;&gt;Incompleto")=0, "-", SUMIFS(Data_filtered!$K$2:$K$461,Data_filtered!$A$2:$A$461,L$1,Data_filtered!$F$2:$F$461,$A18,Data_filtered!$D$2:$D$461,"eucalipto",Data_filtered!$J$2:$J$461,"&lt;&gt;Incompleto"))</f>
        <v>-</v>
      </c>
      <c r="M18" s="109" t="str">
        <f>IF(SUMIFS(Data_filtered!$G$2:$G$461,Data_filtered!$A$2:$A$461,L$1,Data_filtered!$F$2:$F$461,$A18, Data_filtered!$D$2:$D$461,"mata",Data_filtered!$J$2:$J$461,"&lt;&gt;Incompleto")=0, "-", SUMIFS(Data_filtered!$K$2:$K$461,Data_filtered!$A$2:$A$461,L$1,Data_filtered!$F$2:$F$461,$A18,Data_filtered!$D$2:$D$461,"mata",Data_filtered!$J$2:$J$461,"&lt;&gt;Incompleto"))</f>
        <v>-</v>
      </c>
      <c r="N18" s="109" t="str">
        <f>IF(SUMIFS(Data_filtered!$G$2:$G$461,Data_filtered!$A$2:$A$461,N$1,Data_filtered!$F$2:$F$461,$A18, Data_filtered!$D$2:$D$461,"eucalipto",Data_filtered!$J$2:$J$461,"&lt;&gt;Incompleto")=0, "-", SUMIFS(Data_filtered!$K$2:$K$461,Data_filtered!$A$2:$A$461,N$1,Data_filtered!$F$2:$F$461,$A18,Data_filtered!$D$2:$D$461,"eucalipto",Data_filtered!$J$2:$J$461,"&lt;&gt;Incompleto"))</f>
        <v>-</v>
      </c>
      <c r="O18" s="109" t="str">
        <f>IF(SUMIFS(Data_filtered!$G$2:$G$461,Data_filtered!$A$2:$A$461,N$1,Data_filtered!$F$2:$F$461,$A18, Data_filtered!$D$2:$D$461,"mata",Data_filtered!$J$2:$J$461,"&lt;&gt;Incompleto")=0, "-", SUMIFS(Data_filtered!$K$2:$K$461,Data_filtered!$A$2:$A$461,N$1,Data_filtered!$F$2:$F$461,$A18,Data_filtered!$D$2:$D$461,"mata",Data_filtered!$J$2:$J$461,"&lt;&gt;Incompleto"))</f>
        <v>-</v>
      </c>
      <c r="P18" s="109" t="str">
        <f>IF(SUMIFS(Data_filtered!$G$2:$G$461,Data_filtered!$A$2:$A$461,P$1,Data_filtered!$F$2:$F$461,$A18, Data_filtered!$D$2:$D$461,"eucalipto",Data_filtered!$J$2:$J$461,"&lt;&gt;Incompleto")=0, "-", SUMIFS(Data_filtered!$K$2:$K$461,Data_filtered!$A$2:$A$461,P$1,Data_filtered!$F$2:$F$461,$A18,Data_filtered!$D$2:$D$461,"eucalipto",Data_filtered!$J$2:$J$461,"&lt;&gt;Incompleto"))</f>
        <v>-</v>
      </c>
      <c r="Q18" s="109" t="str">
        <f>IF(SUMIFS(Data_filtered!$G$2:$G$461,Data_filtered!$A$2:$A$461,P$1,Data_filtered!$F$2:$F$461,$A18, Data_filtered!$D$2:$D$461,"mata",Data_filtered!$J$2:$J$461,"&lt;&gt;Incompleto")=0, "-", SUMIFS(Data_filtered!$K$2:$K$461,Data_filtered!$A$2:$A$461,P$1,Data_filtered!$F$2:$F$461,$A18,Data_filtered!$D$2:$D$461,"mata",Data_filtered!$J$2:$J$461,"&lt;&gt;Incompleto"))</f>
        <v>-</v>
      </c>
      <c r="R18" s="109" t="str">
        <f>IF(SUMIFS(Data_filtered!$G$2:$G$461,Data_filtered!$A$2:$A$461,R$1,Data_filtered!$F$2:$F$461,$A18, Data_filtered!$D$2:$D$461,"eucalipto",Data_filtered!$J$2:$J$461,"&lt;&gt;Incompleto")=0, "-", SUMIFS(Data_filtered!$K$2:$K$461,Data_filtered!$A$2:$A$461,R$1,Data_filtered!$F$2:$F$461,$A18,Data_filtered!$D$2:$D$461,"eucalipto",Data_filtered!$J$2:$J$461,"&lt;&gt;Incompleto"))</f>
        <v>-</v>
      </c>
      <c r="S18" s="109" t="str">
        <f>IF(SUMIFS(Data_filtered!$G$2:$G$461,Data_filtered!$A$2:$A$461,R$1,Data_filtered!$F$2:$F$461,$A18, Data_filtered!$D$2:$D$461,"mata",Data_filtered!$J$2:$J$461,"&lt;&gt;Incompleto")=0, "-", SUMIFS(Data_filtered!$K$2:$K$461,Data_filtered!$A$2:$A$461,R$1,Data_filtered!$F$2:$F$461,$A18,Data_filtered!$D$2:$D$461,"mata",Data_filtered!$J$2:$J$461,"&lt;&gt;Incompleto"))</f>
        <v>-</v>
      </c>
      <c r="T18" s="109" t="str">
        <f>IF(SUMIFS(Data_filtered!$G$2:$G$461,Data_filtered!$A$2:$A$461,T$1,Data_filtered!$F$2:$F$461,$A18, Data_filtered!$D$2:$D$461,"eucalipto",Data_filtered!$J$2:$J$461,"&lt;&gt;Incompleto")=0, "-", SUMIFS(Data_filtered!$K$2:$K$461,Data_filtered!$A$2:$A$461,T$1,Data_filtered!$F$2:$F$461,$A18,Data_filtered!$D$2:$D$461,"eucalipto",Data_filtered!$J$2:$J$461,"&lt;&gt;Incompleto"))</f>
        <v>-</v>
      </c>
      <c r="U18" s="109" t="str">
        <f>IF(SUMIFS(Data_filtered!$G$2:$G$461,Data_filtered!$A$2:$A$461,T$1,Data_filtered!$F$2:$F$461,$A18, Data_filtered!$D$2:$D$461,"mata",Data_filtered!$J$2:$J$461,"&lt;&gt;Incompleto")=0, "-", SUMIFS(Data_filtered!$K$2:$K$461,Data_filtered!$A$2:$A$461,T$1,Data_filtered!$F$2:$F$461,$A18,Data_filtered!$D$2:$D$461,"mata",Data_filtered!$J$2:$J$461,"&lt;&gt;Incompleto"))</f>
        <v>-</v>
      </c>
      <c r="V18" s="109" t="str">
        <f>IF(SUMIFS(Data_filtered!$G$2:$G$461,Data_filtered!$A$2:$A$461,V$1,Data_filtered!$F$2:$F$461,$A18, Data_filtered!$D$2:$D$461,"eucalipto",Data_filtered!$J$2:$J$461,"&lt;&gt;Incompleto")=0, "-", SUMIFS(Data_filtered!$K$2:$K$461,Data_filtered!$A$2:$A$461,V$1,Data_filtered!$F$2:$F$461,$A18,Data_filtered!$D$2:$D$461,"eucalipto",Data_filtered!$J$2:$J$461,"&lt;&gt;Incompleto"))</f>
        <v>-</v>
      </c>
      <c r="W18" s="109">
        <f>IF(SUMIFS(Data_filtered!$G$2:$G$461,Data_filtered!$A$2:$A$461,V$1,Data_filtered!$F$2:$F$461,$A18, Data_filtered!$D$2:$D$461,"mata",Data_filtered!$J$2:$J$461,"&lt;&gt;Incompleto")=0, "-", SUMIFS(Data_filtered!$K$2:$K$461,Data_filtered!$A$2:$A$461,V$1,Data_filtered!$F$2:$F$461,$A18,Data_filtered!$D$2:$D$461,"mata",Data_filtered!$J$2:$J$461,"&lt;&gt;Incompleto"))</f>
        <v>167.5516082</v>
      </c>
      <c r="X18" s="109" t="str">
        <f>IF(SUMIFS(Data_filtered!$G$2:$G$461,Data_filtered!$A$2:$A$461,X$1,Data_filtered!$F$2:$F$461,$A18, Data_filtered!$D$2:$D$461,"eucalipto",Data_filtered!$J$2:$J$461,"&lt;&gt;Incompleto")=0, "-", SUMIFS(Data_filtered!$K$2:$K$461,Data_filtered!$A$2:$A$461,X$1,Data_filtered!$F$2:$F$461,$A18,Data_filtered!$D$2:$D$461,"eucalipto",Data_filtered!$J$2:$J$461,"&lt;&gt;Incompleto"))</f>
        <v>-</v>
      </c>
      <c r="Y18" s="109" t="str">
        <f>IF(SUMIFS(Data_filtered!$G$2:$G$461,Data_filtered!$A$2:$A$461,X$1,Data_filtered!$F$2:$F$461,$A18, Data_filtered!$D$2:$D$461,"mata",Data_filtered!$J$2:$J$461,"&lt;&gt;Incompleto")=0, "-", SUMIFS(Data_filtered!$K$2:$K$461,Data_filtered!$A$2:$A$461,X$1,Data_filtered!$F$2:$F$461,$A18,Data_filtered!$D$2:$D$461,"mata",Data_filtered!$J$2:$J$461,"&lt;&gt;Incompleto"))</f>
        <v>-</v>
      </c>
      <c r="Z18" s="109" t="str">
        <f>IF(SUMIFS(Data_filtered!$G$2:$G$461,Data_filtered!$A$2:$A$461,Z$1,Data_filtered!$F$2:$F$461,$A18, Data_filtered!$D$2:$D$461,"eucalipto",Data_filtered!$J$2:$J$461,"&lt;&gt;Incompleto")=0, "-", SUMIFS(Data_filtered!$K$2:$K$461,Data_filtered!$A$2:$A$461,Z$1,Data_filtered!$F$2:$F$461,$A18,Data_filtered!$D$2:$D$461,"eucalipto",Data_filtered!$J$2:$J$461,"&lt;&gt;Incompleto"))</f>
        <v>-</v>
      </c>
      <c r="AA18" s="109" t="str">
        <f>IF(SUMIFS(Data_filtered!$G$2:$G$461,Data_filtered!$A$2:$A$461,Z$1,Data_filtered!$F$2:$F$461,$A18, Data_filtered!$D$2:$D$461,"mata",Data_filtered!$J$2:$J$461,"&lt;&gt;Incompleto")=0, "-", SUMIFS(Data_filtered!$K$2:$K$461,Data_filtered!$A$2:$A$461,Z$1,Data_filtered!$F$2:$F$461,$A18,Data_filtered!$D$2:$D$461,"mata",Data_filtered!$J$2:$J$461,"&lt;&gt;Incompleto"))</f>
        <v>-</v>
      </c>
      <c r="AB18" s="106"/>
      <c r="AC18" s="107"/>
      <c r="AD18" s="106"/>
      <c r="AE18" s="107"/>
      <c r="AF18" s="106"/>
      <c r="AG18" s="107"/>
      <c r="AH18" s="106"/>
      <c r="AI18" s="107"/>
      <c r="AJ18" s="106"/>
      <c r="AK18" s="107"/>
      <c r="AL18" s="106"/>
      <c r="AM18" s="107"/>
      <c r="AN18" s="106"/>
      <c r="AO18" s="107"/>
      <c r="AP18" s="106"/>
      <c r="AQ18" s="107"/>
      <c r="AR18" s="106"/>
      <c r="AS18" s="107"/>
    </row>
    <row r="19">
      <c r="A19" s="15" t="str">
        <f>IFERROR(__xludf.DUMMYFUNCTION("""COMPUTED_VALUE"""),"Lepidoptera Larva")</f>
        <v>Lepidoptera Larva</v>
      </c>
      <c r="B19" s="109" t="str">
        <f>IF(SUMIFS(Data_filtered!$G$2:$G$461,Data_filtered!$A$2:$A$461,B$1,Data_filtered!$F$2:$F$461,$A19, Data_filtered!$D$2:$D$461,"eucalipto",Data_filtered!$J$2:$J$461,"&lt;&gt;Incompleto")=0, "-", SUMIFS(Data_filtered!$K$2:$K$461,Data_filtered!$A$2:$A$461,B$1,Data_filtered!$F$2:$F$461,$A19,Data_filtered!$D$2:$D$461,"eucalipto",Data_filtered!$J$2:$J$461,"&lt;&gt;Incompleto"))</f>
        <v>-</v>
      </c>
      <c r="C19" s="109" t="str">
        <f>IF(SUMIFS(Data_filtered!$G$2:$G$461,Data_filtered!$A$2:$A$461,B$1,Data_filtered!$F$2:$F$461,$A19, Data_filtered!$D$2:$D$461,"mata",Data_filtered!$J$2:$J$461,"&lt;&gt;Incompleto")=0, "-", SUMIFS(Data_filtered!$K$2:$K$461,Data_filtered!$A$2:$A$461,B$1,Data_filtered!$F$2:$F$461,$A19,Data_filtered!$D$2:$D$461,"mata",Data_filtered!$J$2:$J$461,"&lt;&gt;Incompleto"))</f>
        <v>-</v>
      </c>
      <c r="D19" s="109" t="str">
        <f>IF(SUMIFS(Data_filtered!$G$2:$G$461,Data_filtered!$A$2:$A$461,D$1,Data_filtered!$F$2:$F$461,$A19, Data_filtered!$D$2:$D$461,"eucalipto",Data_filtered!$J$2:$J$461,"&lt;&gt;Incompleto")=0, "-", SUMIFS(Data_filtered!$K$2:$K$461,Data_filtered!$A$2:$A$461,D$1,Data_filtered!$F$2:$F$461,$A19,Data_filtered!$D$2:$D$461,"eucalipto",Data_filtered!$J$2:$J$461,"&lt;&gt;Incompleto"))</f>
        <v>-</v>
      </c>
      <c r="E19" s="109" t="str">
        <f>IF(SUMIFS(Data_filtered!$G$2:$G$461,Data_filtered!$A$2:$A$461,D$1,Data_filtered!$F$2:$F$461,$A19, Data_filtered!$D$2:$D$461,"mata",Data_filtered!$J$2:$J$461,"&lt;&gt;Incompleto")=0, "-", SUMIFS(Data_filtered!$K$2:$K$461,Data_filtered!$A$2:$A$461,D$1,Data_filtered!$F$2:$F$461,$A19,Data_filtered!$D$2:$D$461,"mata",Data_filtered!$J$2:$J$461,"&lt;&gt;Incompleto"))</f>
        <v>-</v>
      </c>
      <c r="F19" s="109" t="str">
        <f>IF(SUMIFS(Data_filtered!$G$2:$G$461,Data_filtered!$A$2:$A$461,F$1,Data_filtered!$F$2:$F$461,$A19, Data_filtered!$D$2:$D$461,"eucalipto",Data_filtered!$J$2:$J$461,"&lt;&gt;Incompleto")=0, "-", SUMIFS(Data_filtered!$K$2:$K$461,Data_filtered!$A$2:$A$461,F$1,Data_filtered!$F$2:$F$461,$A19,Data_filtered!$D$2:$D$461,"eucalipto",Data_filtered!$J$2:$J$461,"&lt;&gt;Incompleto"))</f>
        <v>-</v>
      </c>
      <c r="G19" s="109" t="str">
        <f>IF(SUMIFS(Data_filtered!$G$2:$G$461,Data_filtered!$A$2:$A$461,F$1,Data_filtered!$F$2:$F$461,$A19, Data_filtered!$D$2:$D$461,"mata",Data_filtered!$J$2:$J$461,"&lt;&gt;Incompleto")=0, "-", SUMIFS(Data_filtered!$K$2:$K$461,Data_filtered!$A$2:$A$461,F$1,Data_filtered!$F$2:$F$461,$A19,Data_filtered!$D$2:$D$461,"mata",Data_filtered!$J$2:$J$461,"&lt;&gt;Incompleto"))</f>
        <v>-</v>
      </c>
      <c r="H19" s="109" t="str">
        <f>IF(SUMIFS(Data_filtered!$G$2:$G$461,Data_filtered!$A$2:$A$461,H$1,Data_filtered!$F$2:$F$461,$A19, Data_filtered!$D$2:$D$461,"eucalipto",Data_filtered!$J$2:$J$461,"&lt;&gt;Incompleto")=0, "-", SUMIFS(Data_filtered!$K$2:$K$461,Data_filtered!$A$2:$A$461,H$1,Data_filtered!$F$2:$F$461,$A19,Data_filtered!$D$2:$D$461,"eucalipto",Data_filtered!$J$2:$J$461,"&lt;&gt;Incompleto"))</f>
        <v>-</v>
      </c>
      <c r="I19" s="109" t="str">
        <f>IF(SUMIFS(Data_filtered!$G$2:$G$461,Data_filtered!$A$2:$A$461,H$1,Data_filtered!$F$2:$F$461,$A19, Data_filtered!$D$2:$D$461,"mata",Data_filtered!$J$2:$J$461,"&lt;&gt;Incompleto")=0, "-", SUMIFS(Data_filtered!$K$2:$K$461,Data_filtered!$A$2:$A$461,H$1,Data_filtered!$F$2:$F$461,$A19,Data_filtered!$D$2:$D$461,"mata",Data_filtered!$J$2:$J$461,"&lt;&gt;Incompleto"))</f>
        <v>-</v>
      </c>
      <c r="J19" s="109" t="str">
        <f>IF(SUMIFS(Data_filtered!$G$2:$G$461,Data_filtered!$A$2:$A$461,J$1,Data_filtered!$F$2:$F$461,$A19, Data_filtered!$D$2:$D$461,"eucalipto",Data_filtered!$J$2:$J$461,"&lt;&gt;Incompleto")=0, "-", SUMIFS(Data_filtered!$K$2:$K$461,Data_filtered!$A$2:$A$461,J$1,Data_filtered!$F$2:$F$461,$A19,Data_filtered!$D$2:$D$461,"eucalipto",Data_filtered!$J$2:$J$461,"&lt;&gt;Incompleto"))</f>
        <v>-</v>
      </c>
      <c r="K19" s="109" t="str">
        <f>IF(SUMIFS(Data_filtered!$G$2:$G$461,Data_filtered!$A$2:$A$461,J$1,Data_filtered!$F$2:$F$461,$A19, Data_filtered!$D$2:$D$461,"mata",Data_filtered!$J$2:$J$461,"&lt;&gt;Incompleto")=0, "-", SUMIFS(Data_filtered!$K$2:$K$461,Data_filtered!$A$2:$A$461,J$1,Data_filtered!$F$2:$F$461,$A19,Data_filtered!$D$2:$D$461,"mata",Data_filtered!$J$2:$J$461,"&lt;&gt;Incompleto"))</f>
        <v>-</v>
      </c>
      <c r="L19" s="109">
        <f>IF(SUMIFS(Data_filtered!$G$2:$G$461,Data_filtered!$A$2:$A$461,L$1,Data_filtered!$F$2:$F$461,$A19, Data_filtered!$D$2:$D$461,"eucalipto",Data_filtered!$J$2:$J$461,"&lt;&gt;Incompleto")=0, "-", SUMIFS(Data_filtered!$K$2:$K$461,Data_filtered!$A$2:$A$461,L$1,Data_filtered!$F$2:$F$461,$A19,Data_filtered!$D$2:$D$461,"eucalipto",Data_filtered!$J$2:$J$461,"&lt;&gt;Incompleto"))</f>
        <v>242.9498319</v>
      </c>
      <c r="M19" s="109" t="str">
        <f>IF(SUMIFS(Data_filtered!$G$2:$G$461,Data_filtered!$A$2:$A$461,L$1,Data_filtered!$F$2:$F$461,$A19, Data_filtered!$D$2:$D$461,"mata",Data_filtered!$J$2:$J$461,"&lt;&gt;Incompleto")=0, "-", SUMIFS(Data_filtered!$K$2:$K$461,Data_filtered!$A$2:$A$461,L$1,Data_filtered!$F$2:$F$461,$A19,Data_filtered!$D$2:$D$461,"mata",Data_filtered!$J$2:$J$461,"&lt;&gt;Incompleto"))</f>
        <v>-</v>
      </c>
      <c r="N19" s="109" t="str">
        <f>IF(SUMIFS(Data_filtered!$G$2:$G$461,Data_filtered!$A$2:$A$461,N$1,Data_filtered!$F$2:$F$461,$A19, Data_filtered!$D$2:$D$461,"eucalipto",Data_filtered!$J$2:$J$461,"&lt;&gt;Incompleto")=0, "-", SUMIFS(Data_filtered!$K$2:$K$461,Data_filtered!$A$2:$A$461,N$1,Data_filtered!$F$2:$F$461,$A19,Data_filtered!$D$2:$D$461,"eucalipto",Data_filtered!$J$2:$J$461,"&lt;&gt;Incompleto"))</f>
        <v>-</v>
      </c>
      <c r="O19" s="109" t="str">
        <f>IF(SUMIFS(Data_filtered!$G$2:$G$461,Data_filtered!$A$2:$A$461,N$1,Data_filtered!$F$2:$F$461,$A19, Data_filtered!$D$2:$D$461,"mata",Data_filtered!$J$2:$J$461,"&lt;&gt;Incompleto")=0, "-", SUMIFS(Data_filtered!$K$2:$K$461,Data_filtered!$A$2:$A$461,N$1,Data_filtered!$F$2:$F$461,$A19,Data_filtered!$D$2:$D$461,"mata",Data_filtered!$J$2:$J$461,"&lt;&gt;Incompleto"))</f>
        <v>-</v>
      </c>
      <c r="P19" s="109" t="str">
        <f>IF(SUMIFS(Data_filtered!$G$2:$G$461,Data_filtered!$A$2:$A$461,P$1,Data_filtered!$F$2:$F$461,$A19, Data_filtered!$D$2:$D$461,"eucalipto",Data_filtered!$J$2:$J$461,"&lt;&gt;Incompleto")=0, "-", SUMIFS(Data_filtered!$K$2:$K$461,Data_filtered!$A$2:$A$461,P$1,Data_filtered!$F$2:$F$461,$A19,Data_filtered!$D$2:$D$461,"eucalipto",Data_filtered!$J$2:$J$461,"&lt;&gt;Incompleto"))</f>
        <v>-</v>
      </c>
      <c r="Q19" s="109" t="str">
        <f>IF(SUMIFS(Data_filtered!$G$2:$G$461,Data_filtered!$A$2:$A$461,P$1,Data_filtered!$F$2:$F$461,$A19, Data_filtered!$D$2:$D$461,"mata",Data_filtered!$J$2:$J$461,"&lt;&gt;Incompleto")=0, "-", SUMIFS(Data_filtered!$K$2:$K$461,Data_filtered!$A$2:$A$461,P$1,Data_filtered!$F$2:$F$461,$A19,Data_filtered!$D$2:$D$461,"mata",Data_filtered!$J$2:$J$461,"&lt;&gt;Incompleto"))</f>
        <v>-</v>
      </c>
      <c r="R19" s="109" t="str">
        <f>IF(SUMIFS(Data_filtered!$G$2:$G$461,Data_filtered!$A$2:$A$461,R$1,Data_filtered!$F$2:$F$461,$A19, Data_filtered!$D$2:$D$461,"eucalipto",Data_filtered!$J$2:$J$461,"&lt;&gt;Incompleto")=0, "-", SUMIFS(Data_filtered!$K$2:$K$461,Data_filtered!$A$2:$A$461,R$1,Data_filtered!$F$2:$F$461,$A19,Data_filtered!$D$2:$D$461,"eucalipto",Data_filtered!$J$2:$J$461,"&lt;&gt;Incompleto"))</f>
        <v>-</v>
      </c>
      <c r="S19" s="109" t="str">
        <f>IF(SUMIFS(Data_filtered!$G$2:$G$461,Data_filtered!$A$2:$A$461,R$1,Data_filtered!$F$2:$F$461,$A19, Data_filtered!$D$2:$D$461,"mata",Data_filtered!$J$2:$J$461,"&lt;&gt;Incompleto")=0, "-", SUMIFS(Data_filtered!$K$2:$K$461,Data_filtered!$A$2:$A$461,R$1,Data_filtered!$F$2:$F$461,$A19,Data_filtered!$D$2:$D$461,"mata",Data_filtered!$J$2:$J$461,"&lt;&gt;Incompleto"))</f>
        <v>-</v>
      </c>
      <c r="T19" s="109" t="str">
        <f>IF(SUMIFS(Data_filtered!$G$2:$G$461,Data_filtered!$A$2:$A$461,T$1,Data_filtered!$F$2:$F$461,$A19, Data_filtered!$D$2:$D$461,"eucalipto",Data_filtered!$J$2:$J$461,"&lt;&gt;Incompleto")=0, "-", SUMIFS(Data_filtered!$K$2:$K$461,Data_filtered!$A$2:$A$461,T$1,Data_filtered!$F$2:$F$461,$A19,Data_filtered!$D$2:$D$461,"eucalipto",Data_filtered!$J$2:$J$461,"&lt;&gt;Incompleto"))</f>
        <v>-</v>
      </c>
      <c r="U19" s="109" t="str">
        <f>IF(SUMIFS(Data_filtered!$G$2:$G$461,Data_filtered!$A$2:$A$461,T$1,Data_filtered!$F$2:$F$461,$A19, Data_filtered!$D$2:$D$461,"mata",Data_filtered!$J$2:$J$461,"&lt;&gt;Incompleto")=0, "-", SUMIFS(Data_filtered!$K$2:$K$461,Data_filtered!$A$2:$A$461,T$1,Data_filtered!$F$2:$F$461,$A19,Data_filtered!$D$2:$D$461,"mata",Data_filtered!$J$2:$J$461,"&lt;&gt;Incompleto"))</f>
        <v>-</v>
      </c>
      <c r="V19" s="109" t="str">
        <f>IF(SUMIFS(Data_filtered!$G$2:$G$461,Data_filtered!$A$2:$A$461,V$1,Data_filtered!$F$2:$F$461,$A19, Data_filtered!$D$2:$D$461,"eucalipto",Data_filtered!$J$2:$J$461,"&lt;&gt;Incompleto")=0, "-", SUMIFS(Data_filtered!$K$2:$K$461,Data_filtered!$A$2:$A$461,V$1,Data_filtered!$F$2:$F$461,$A19,Data_filtered!$D$2:$D$461,"eucalipto",Data_filtered!$J$2:$J$461,"&lt;&gt;Incompleto"))</f>
        <v>-</v>
      </c>
      <c r="W19" s="109">
        <f>IF(SUMIFS(Data_filtered!$G$2:$G$461,Data_filtered!$A$2:$A$461,V$1,Data_filtered!$F$2:$F$461,$A19, Data_filtered!$D$2:$D$461,"mata",Data_filtered!$J$2:$J$461,"&lt;&gt;Incompleto")=0, "-", SUMIFS(Data_filtered!$K$2:$K$461,Data_filtered!$A$2:$A$461,V$1,Data_filtered!$F$2:$F$461,$A19,Data_filtered!$D$2:$D$461,"mata",Data_filtered!$J$2:$J$461,"&lt;&gt;Incompleto"))</f>
        <v>2010.619298</v>
      </c>
      <c r="X19" s="109" t="str">
        <f>IF(SUMIFS(Data_filtered!$G$2:$G$461,Data_filtered!$A$2:$A$461,X$1,Data_filtered!$F$2:$F$461,$A19, Data_filtered!$D$2:$D$461,"eucalipto",Data_filtered!$J$2:$J$461,"&lt;&gt;Incompleto")=0, "-", SUMIFS(Data_filtered!$K$2:$K$461,Data_filtered!$A$2:$A$461,X$1,Data_filtered!$F$2:$F$461,$A19,Data_filtered!$D$2:$D$461,"eucalipto",Data_filtered!$J$2:$J$461,"&lt;&gt;Incompleto"))</f>
        <v>-</v>
      </c>
      <c r="Y19" s="109" t="str">
        <f>IF(SUMIFS(Data_filtered!$G$2:$G$461,Data_filtered!$A$2:$A$461,X$1,Data_filtered!$F$2:$F$461,$A19, Data_filtered!$D$2:$D$461,"mata",Data_filtered!$J$2:$J$461,"&lt;&gt;Incompleto")=0, "-", SUMIFS(Data_filtered!$K$2:$K$461,Data_filtered!$A$2:$A$461,X$1,Data_filtered!$F$2:$F$461,$A19,Data_filtered!$D$2:$D$461,"mata",Data_filtered!$J$2:$J$461,"&lt;&gt;Incompleto"))</f>
        <v>-</v>
      </c>
      <c r="Z19" s="109" t="str">
        <f>IF(SUMIFS(Data_filtered!$G$2:$G$461,Data_filtered!$A$2:$A$461,Z$1,Data_filtered!$F$2:$F$461,$A19, Data_filtered!$D$2:$D$461,"eucalipto",Data_filtered!$J$2:$J$461,"&lt;&gt;Incompleto")=0, "-", SUMIFS(Data_filtered!$K$2:$K$461,Data_filtered!$A$2:$A$461,Z$1,Data_filtered!$F$2:$F$461,$A19,Data_filtered!$D$2:$D$461,"eucalipto",Data_filtered!$J$2:$J$461,"&lt;&gt;Incompleto"))</f>
        <v>-</v>
      </c>
      <c r="AA19" s="109" t="str">
        <f>IF(SUMIFS(Data_filtered!$G$2:$G$461,Data_filtered!$A$2:$A$461,Z$1,Data_filtered!$F$2:$F$461,$A19, Data_filtered!$D$2:$D$461,"mata",Data_filtered!$J$2:$J$461,"&lt;&gt;Incompleto")=0, "-", SUMIFS(Data_filtered!$K$2:$K$461,Data_filtered!$A$2:$A$461,Z$1,Data_filtered!$F$2:$F$461,$A19,Data_filtered!$D$2:$D$461,"mata",Data_filtered!$J$2:$J$461,"&lt;&gt;Incompleto"))</f>
        <v>-</v>
      </c>
      <c r="AB19" s="106"/>
      <c r="AC19" s="107"/>
      <c r="AD19" s="106"/>
      <c r="AE19" s="107"/>
      <c r="AF19" s="106"/>
      <c r="AG19" s="107"/>
      <c r="AH19" s="106"/>
      <c r="AI19" s="107"/>
      <c r="AJ19" s="106"/>
      <c r="AK19" s="107"/>
      <c r="AL19" s="106"/>
      <c r="AM19" s="107"/>
      <c r="AN19" s="106"/>
      <c r="AO19" s="107"/>
      <c r="AP19" s="106"/>
      <c r="AQ19" s="107"/>
      <c r="AR19" s="106"/>
      <c r="AS19" s="107"/>
    </row>
    <row r="20">
      <c r="A20" s="15" t="str">
        <f>IFERROR(__xludf.DUMMYFUNCTION("""COMPUTED_VALUE"""),"Mosca")</f>
        <v>Mosca</v>
      </c>
      <c r="B20" s="109" t="str">
        <f>IF(SUMIFS(Data_filtered!$G$2:$G$461,Data_filtered!$A$2:$A$461,B$1,Data_filtered!$F$2:$F$461,$A20, Data_filtered!$D$2:$D$461,"eucalipto",Data_filtered!$J$2:$J$461,"&lt;&gt;Incompleto")=0, "-", SUMIFS(Data_filtered!$K$2:$K$461,Data_filtered!$A$2:$A$461,B$1,Data_filtered!$F$2:$F$461,$A20,Data_filtered!$D$2:$D$461,"eucalipto",Data_filtered!$J$2:$J$461,"&lt;&gt;Incompleto"))</f>
        <v>-</v>
      </c>
      <c r="C20" s="109" t="str">
        <f>IF(SUMIFS(Data_filtered!$G$2:$G$461,Data_filtered!$A$2:$A$461,B$1,Data_filtered!$F$2:$F$461,$A20, Data_filtered!$D$2:$D$461,"mata",Data_filtered!$J$2:$J$461,"&lt;&gt;Incompleto")=0, "-", SUMIFS(Data_filtered!$K$2:$K$461,Data_filtered!$A$2:$A$461,B$1,Data_filtered!$F$2:$F$461,$A20,Data_filtered!$D$2:$D$461,"mata",Data_filtered!$J$2:$J$461,"&lt;&gt;Incompleto"))</f>
        <v>-</v>
      </c>
      <c r="D20" s="109" t="str">
        <f>IF(SUMIFS(Data_filtered!$G$2:$G$461,Data_filtered!$A$2:$A$461,D$1,Data_filtered!$F$2:$F$461,$A20, Data_filtered!$D$2:$D$461,"eucalipto",Data_filtered!$J$2:$J$461,"&lt;&gt;Incompleto")=0, "-", SUMIFS(Data_filtered!$K$2:$K$461,Data_filtered!$A$2:$A$461,D$1,Data_filtered!$F$2:$F$461,$A20,Data_filtered!$D$2:$D$461,"eucalipto",Data_filtered!$J$2:$J$461,"&lt;&gt;Incompleto"))</f>
        <v>-</v>
      </c>
      <c r="E20" s="109" t="str">
        <f>IF(SUMIFS(Data_filtered!$G$2:$G$461,Data_filtered!$A$2:$A$461,D$1,Data_filtered!$F$2:$F$461,$A20, Data_filtered!$D$2:$D$461,"mata",Data_filtered!$J$2:$J$461,"&lt;&gt;Incompleto")=0, "-", SUMIFS(Data_filtered!$K$2:$K$461,Data_filtered!$A$2:$A$461,D$1,Data_filtered!$F$2:$F$461,$A20,Data_filtered!$D$2:$D$461,"mata",Data_filtered!$J$2:$J$461,"&lt;&gt;Incompleto"))</f>
        <v>-</v>
      </c>
      <c r="F20" s="109" t="str">
        <f>IF(SUMIFS(Data_filtered!$G$2:$G$461,Data_filtered!$A$2:$A$461,F$1,Data_filtered!$F$2:$F$461,$A20, Data_filtered!$D$2:$D$461,"eucalipto",Data_filtered!$J$2:$J$461,"&lt;&gt;Incompleto")=0, "-", SUMIFS(Data_filtered!$K$2:$K$461,Data_filtered!$A$2:$A$461,F$1,Data_filtered!$F$2:$F$461,$A20,Data_filtered!$D$2:$D$461,"eucalipto",Data_filtered!$J$2:$J$461,"&lt;&gt;Incompleto"))</f>
        <v>-</v>
      </c>
      <c r="G20" s="109">
        <f>IF(SUMIFS(Data_filtered!$G$2:$G$461,Data_filtered!$A$2:$A$461,F$1,Data_filtered!$F$2:$F$461,$A20, Data_filtered!$D$2:$D$461,"mata",Data_filtered!$J$2:$J$461,"&lt;&gt;Incompleto")=0, "-", SUMIFS(Data_filtered!$K$2:$K$461,Data_filtered!$A$2:$A$461,F$1,Data_filtered!$F$2:$F$461,$A20,Data_filtered!$D$2:$D$461,"mata",Data_filtered!$J$2:$J$461,"&lt;&gt;Incompleto"))</f>
        <v>301.5928947</v>
      </c>
      <c r="H20" s="109" t="str">
        <f>IF(SUMIFS(Data_filtered!$G$2:$G$461,Data_filtered!$A$2:$A$461,H$1,Data_filtered!$F$2:$F$461,$A20, Data_filtered!$D$2:$D$461,"eucalipto",Data_filtered!$J$2:$J$461,"&lt;&gt;Incompleto")=0, "-", SUMIFS(Data_filtered!$K$2:$K$461,Data_filtered!$A$2:$A$461,H$1,Data_filtered!$F$2:$F$461,$A20,Data_filtered!$D$2:$D$461,"eucalipto",Data_filtered!$J$2:$J$461,"&lt;&gt;Incompleto"))</f>
        <v>-</v>
      </c>
      <c r="I20" s="109" t="str">
        <f>IF(SUMIFS(Data_filtered!$G$2:$G$461,Data_filtered!$A$2:$A$461,H$1,Data_filtered!$F$2:$F$461,$A20, Data_filtered!$D$2:$D$461,"mata",Data_filtered!$J$2:$J$461,"&lt;&gt;Incompleto")=0, "-", SUMIFS(Data_filtered!$K$2:$K$461,Data_filtered!$A$2:$A$461,H$1,Data_filtered!$F$2:$F$461,$A20,Data_filtered!$D$2:$D$461,"mata",Data_filtered!$J$2:$J$461,"&lt;&gt;Incompleto"))</f>
        <v>-</v>
      </c>
      <c r="J20" s="109" t="str">
        <f>IF(SUMIFS(Data_filtered!$G$2:$G$461,Data_filtered!$A$2:$A$461,J$1,Data_filtered!$F$2:$F$461,$A20, Data_filtered!$D$2:$D$461,"eucalipto",Data_filtered!$J$2:$J$461,"&lt;&gt;Incompleto")=0, "-", SUMIFS(Data_filtered!$K$2:$K$461,Data_filtered!$A$2:$A$461,J$1,Data_filtered!$F$2:$F$461,$A20,Data_filtered!$D$2:$D$461,"eucalipto",Data_filtered!$J$2:$J$461,"&lt;&gt;Incompleto"))</f>
        <v>-</v>
      </c>
      <c r="K20" s="109" t="str">
        <f>IF(SUMIFS(Data_filtered!$G$2:$G$461,Data_filtered!$A$2:$A$461,J$1,Data_filtered!$F$2:$F$461,$A20, Data_filtered!$D$2:$D$461,"mata",Data_filtered!$J$2:$J$461,"&lt;&gt;Incompleto")=0, "-", SUMIFS(Data_filtered!$K$2:$K$461,Data_filtered!$A$2:$A$461,J$1,Data_filtered!$F$2:$F$461,$A20,Data_filtered!$D$2:$D$461,"mata",Data_filtered!$J$2:$J$461,"&lt;&gt;Incompleto"))</f>
        <v>-</v>
      </c>
      <c r="L20" s="109" t="str">
        <f>IF(SUMIFS(Data_filtered!$G$2:$G$461,Data_filtered!$A$2:$A$461,L$1,Data_filtered!$F$2:$F$461,$A20, Data_filtered!$D$2:$D$461,"eucalipto",Data_filtered!$J$2:$J$461,"&lt;&gt;Incompleto")=0, "-", SUMIFS(Data_filtered!$K$2:$K$461,Data_filtered!$A$2:$A$461,L$1,Data_filtered!$F$2:$F$461,$A20,Data_filtered!$D$2:$D$461,"eucalipto",Data_filtered!$J$2:$J$461,"&lt;&gt;Incompleto"))</f>
        <v>-</v>
      </c>
      <c r="M20" s="109" t="str">
        <f>IF(SUMIFS(Data_filtered!$G$2:$G$461,Data_filtered!$A$2:$A$461,L$1,Data_filtered!$F$2:$F$461,$A20, Data_filtered!$D$2:$D$461,"mata",Data_filtered!$J$2:$J$461,"&lt;&gt;Incompleto")=0, "-", SUMIFS(Data_filtered!$K$2:$K$461,Data_filtered!$A$2:$A$461,L$1,Data_filtered!$F$2:$F$461,$A20,Data_filtered!$D$2:$D$461,"mata",Data_filtered!$J$2:$J$461,"&lt;&gt;Incompleto"))</f>
        <v>-</v>
      </c>
      <c r="N20" s="109" t="str">
        <f>IF(SUMIFS(Data_filtered!$G$2:$G$461,Data_filtered!$A$2:$A$461,N$1,Data_filtered!$F$2:$F$461,$A20, Data_filtered!$D$2:$D$461,"eucalipto",Data_filtered!$J$2:$J$461,"&lt;&gt;Incompleto")=0, "-", SUMIFS(Data_filtered!$K$2:$K$461,Data_filtered!$A$2:$A$461,N$1,Data_filtered!$F$2:$F$461,$A20,Data_filtered!$D$2:$D$461,"eucalipto",Data_filtered!$J$2:$J$461,"&lt;&gt;Incompleto"))</f>
        <v>-</v>
      </c>
      <c r="O20" s="109" t="str">
        <f>IF(SUMIFS(Data_filtered!$G$2:$G$461,Data_filtered!$A$2:$A$461,N$1,Data_filtered!$F$2:$F$461,$A20, Data_filtered!$D$2:$D$461,"mata",Data_filtered!$J$2:$J$461,"&lt;&gt;Incompleto")=0, "-", SUMIFS(Data_filtered!$K$2:$K$461,Data_filtered!$A$2:$A$461,N$1,Data_filtered!$F$2:$F$461,$A20,Data_filtered!$D$2:$D$461,"mata",Data_filtered!$J$2:$J$461,"&lt;&gt;Incompleto"))</f>
        <v>-</v>
      </c>
      <c r="P20" s="109" t="str">
        <f>IF(SUMIFS(Data_filtered!$G$2:$G$461,Data_filtered!$A$2:$A$461,P$1,Data_filtered!$F$2:$F$461,$A20, Data_filtered!$D$2:$D$461,"eucalipto",Data_filtered!$J$2:$J$461,"&lt;&gt;Incompleto")=0, "-", SUMIFS(Data_filtered!$K$2:$K$461,Data_filtered!$A$2:$A$461,P$1,Data_filtered!$F$2:$F$461,$A20,Data_filtered!$D$2:$D$461,"eucalipto",Data_filtered!$J$2:$J$461,"&lt;&gt;Incompleto"))</f>
        <v>-</v>
      </c>
      <c r="Q20" s="109" t="str">
        <f>IF(SUMIFS(Data_filtered!$G$2:$G$461,Data_filtered!$A$2:$A$461,P$1,Data_filtered!$F$2:$F$461,$A20, Data_filtered!$D$2:$D$461,"mata",Data_filtered!$J$2:$J$461,"&lt;&gt;Incompleto")=0, "-", SUMIFS(Data_filtered!$K$2:$K$461,Data_filtered!$A$2:$A$461,P$1,Data_filtered!$F$2:$F$461,$A20,Data_filtered!$D$2:$D$461,"mata",Data_filtered!$J$2:$J$461,"&lt;&gt;Incompleto"))</f>
        <v>-</v>
      </c>
      <c r="R20" s="109" t="str">
        <f>IF(SUMIFS(Data_filtered!$G$2:$G$461,Data_filtered!$A$2:$A$461,R$1,Data_filtered!$F$2:$F$461,$A20, Data_filtered!$D$2:$D$461,"eucalipto",Data_filtered!$J$2:$J$461,"&lt;&gt;Incompleto")=0, "-", SUMIFS(Data_filtered!$K$2:$K$461,Data_filtered!$A$2:$A$461,R$1,Data_filtered!$F$2:$F$461,$A20,Data_filtered!$D$2:$D$461,"eucalipto",Data_filtered!$J$2:$J$461,"&lt;&gt;Incompleto"))</f>
        <v>-</v>
      </c>
      <c r="S20" s="109" t="str">
        <f>IF(SUMIFS(Data_filtered!$G$2:$G$461,Data_filtered!$A$2:$A$461,R$1,Data_filtered!$F$2:$F$461,$A20, Data_filtered!$D$2:$D$461,"mata",Data_filtered!$J$2:$J$461,"&lt;&gt;Incompleto")=0, "-", SUMIFS(Data_filtered!$K$2:$K$461,Data_filtered!$A$2:$A$461,R$1,Data_filtered!$F$2:$F$461,$A20,Data_filtered!$D$2:$D$461,"mata",Data_filtered!$J$2:$J$461,"&lt;&gt;Incompleto"))</f>
        <v>-</v>
      </c>
      <c r="T20" s="109" t="str">
        <f>IF(SUMIFS(Data_filtered!$G$2:$G$461,Data_filtered!$A$2:$A$461,T$1,Data_filtered!$F$2:$F$461,$A20, Data_filtered!$D$2:$D$461,"eucalipto",Data_filtered!$J$2:$J$461,"&lt;&gt;Incompleto")=0, "-", SUMIFS(Data_filtered!$K$2:$K$461,Data_filtered!$A$2:$A$461,T$1,Data_filtered!$F$2:$F$461,$A20,Data_filtered!$D$2:$D$461,"eucalipto",Data_filtered!$J$2:$J$461,"&lt;&gt;Incompleto"))</f>
        <v>-</v>
      </c>
      <c r="U20" s="109" t="str">
        <f>IF(SUMIFS(Data_filtered!$G$2:$G$461,Data_filtered!$A$2:$A$461,T$1,Data_filtered!$F$2:$F$461,$A20, Data_filtered!$D$2:$D$461,"mata",Data_filtered!$J$2:$J$461,"&lt;&gt;Incompleto")=0, "-", SUMIFS(Data_filtered!$K$2:$K$461,Data_filtered!$A$2:$A$461,T$1,Data_filtered!$F$2:$F$461,$A20,Data_filtered!$D$2:$D$461,"mata",Data_filtered!$J$2:$J$461,"&lt;&gt;Incompleto"))</f>
        <v>-</v>
      </c>
      <c r="V20" s="109" t="str">
        <f>IF(SUMIFS(Data_filtered!$G$2:$G$461,Data_filtered!$A$2:$A$461,V$1,Data_filtered!$F$2:$F$461,$A20, Data_filtered!$D$2:$D$461,"eucalipto",Data_filtered!$J$2:$J$461,"&lt;&gt;Incompleto")=0, "-", SUMIFS(Data_filtered!$K$2:$K$461,Data_filtered!$A$2:$A$461,V$1,Data_filtered!$F$2:$F$461,$A20,Data_filtered!$D$2:$D$461,"eucalipto",Data_filtered!$J$2:$J$461,"&lt;&gt;Incompleto"))</f>
        <v>-</v>
      </c>
      <c r="W20" s="109" t="str">
        <f>IF(SUMIFS(Data_filtered!$G$2:$G$461,Data_filtered!$A$2:$A$461,V$1,Data_filtered!$F$2:$F$461,$A20, Data_filtered!$D$2:$D$461,"mata",Data_filtered!$J$2:$J$461,"&lt;&gt;Incompleto")=0, "-", SUMIFS(Data_filtered!$K$2:$K$461,Data_filtered!$A$2:$A$461,V$1,Data_filtered!$F$2:$F$461,$A20,Data_filtered!$D$2:$D$461,"mata",Data_filtered!$J$2:$J$461,"&lt;&gt;Incompleto"))</f>
        <v>-</v>
      </c>
      <c r="X20" s="109" t="str">
        <f>IF(SUMIFS(Data_filtered!$G$2:$G$461,Data_filtered!$A$2:$A$461,X$1,Data_filtered!$F$2:$F$461,$A20, Data_filtered!$D$2:$D$461,"eucalipto",Data_filtered!$J$2:$J$461,"&lt;&gt;Incompleto")=0, "-", SUMIFS(Data_filtered!$K$2:$K$461,Data_filtered!$A$2:$A$461,X$1,Data_filtered!$F$2:$F$461,$A20,Data_filtered!$D$2:$D$461,"eucalipto",Data_filtered!$J$2:$J$461,"&lt;&gt;Incompleto"))</f>
        <v>-</v>
      </c>
      <c r="Y20" s="109" t="str">
        <f>IF(SUMIFS(Data_filtered!$G$2:$G$461,Data_filtered!$A$2:$A$461,X$1,Data_filtered!$F$2:$F$461,$A20, Data_filtered!$D$2:$D$461,"mata",Data_filtered!$J$2:$J$461,"&lt;&gt;Incompleto")=0, "-", SUMIFS(Data_filtered!$K$2:$K$461,Data_filtered!$A$2:$A$461,X$1,Data_filtered!$F$2:$F$461,$A20,Data_filtered!$D$2:$D$461,"mata",Data_filtered!$J$2:$J$461,"&lt;&gt;Incompleto"))</f>
        <v>-</v>
      </c>
      <c r="Z20" s="109" t="str">
        <f>IF(SUMIFS(Data_filtered!$G$2:$G$461,Data_filtered!$A$2:$A$461,Z$1,Data_filtered!$F$2:$F$461,$A20, Data_filtered!$D$2:$D$461,"eucalipto",Data_filtered!$J$2:$J$461,"&lt;&gt;Incompleto")=0, "-", SUMIFS(Data_filtered!$K$2:$K$461,Data_filtered!$A$2:$A$461,Z$1,Data_filtered!$F$2:$F$461,$A20,Data_filtered!$D$2:$D$461,"eucalipto",Data_filtered!$J$2:$J$461,"&lt;&gt;Incompleto"))</f>
        <v>-</v>
      </c>
      <c r="AA20" s="109" t="str">
        <f>IF(SUMIFS(Data_filtered!$G$2:$G$461,Data_filtered!$A$2:$A$461,Z$1,Data_filtered!$F$2:$F$461,$A20, Data_filtered!$D$2:$D$461,"mata",Data_filtered!$J$2:$J$461,"&lt;&gt;Incompleto")=0, "-", SUMIFS(Data_filtered!$K$2:$K$461,Data_filtered!$A$2:$A$461,Z$1,Data_filtered!$F$2:$F$461,$A20,Data_filtered!$D$2:$D$461,"mata",Data_filtered!$J$2:$J$461,"&lt;&gt;Incompleto"))</f>
        <v>-</v>
      </c>
      <c r="AB20" s="106"/>
      <c r="AC20" s="107"/>
      <c r="AD20" s="106"/>
      <c r="AE20" s="107"/>
      <c r="AF20" s="106"/>
      <c r="AG20" s="107"/>
      <c r="AH20" s="106"/>
      <c r="AI20" s="107"/>
      <c r="AJ20" s="106"/>
      <c r="AK20" s="107"/>
      <c r="AL20" s="106"/>
      <c r="AM20" s="107"/>
      <c r="AN20" s="106"/>
      <c r="AO20" s="107"/>
      <c r="AP20" s="106"/>
      <c r="AQ20" s="107"/>
      <c r="AR20" s="106"/>
      <c r="AS20" s="107"/>
    </row>
    <row r="21">
      <c r="A21" s="15" t="str">
        <f>IFERROR(__xludf.DUMMYFUNCTION("""COMPUTED_VALUE"""),"Opiliones")</f>
        <v>Opiliones</v>
      </c>
      <c r="B21" s="109" t="str">
        <f>IF(SUMIFS(Data_filtered!$G$2:$G$461,Data_filtered!$A$2:$A$461,B$1,Data_filtered!$F$2:$F$461,$A21, Data_filtered!$D$2:$D$461,"eucalipto",Data_filtered!$J$2:$J$461,"&lt;&gt;Incompleto")=0, "-", SUMIFS(Data_filtered!$K$2:$K$461,Data_filtered!$A$2:$A$461,B$1,Data_filtered!$F$2:$F$461,$A21,Data_filtered!$D$2:$D$461,"eucalipto",Data_filtered!$J$2:$J$461,"&lt;&gt;Incompleto"))</f>
        <v>-</v>
      </c>
      <c r="C21" s="109">
        <f>IF(SUMIFS(Data_filtered!$G$2:$G$461,Data_filtered!$A$2:$A$461,B$1,Data_filtered!$F$2:$F$461,$A21, Data_filtered!$D$2:$D$461,"mata",Data_filtered!$J$2:$J$461,"&lt;&gt;Incompleto")=0, "-", SUMIFS(Data_filtered!$K$2:$K$461,Data_filtered!$A$2:$A$461,B$1,Data_filtered!$F$2:$F$461,$A21,Data_filtered!$D$2:$D$461,"mata",Data_filtered!$J$2:$J$461,"&lt;&gt;Incompleto"))</f>
        <v>628.3185307</v>
      </c>
      <c r="D21" s="109" t="str">
        <f>IF(SUMIFS(Data_filtered!$G$2:$G$461,Data_filtered!$A$2:$A$461,D$1,Data_filtered!$F$2:$F$461,$A21, Data_filtered!$D$2:$D$461,"eucalipto",Data_filtered!$J$2:$J$461,"&lt;&gt;Incompleto")=0, "-", SUMIFS(Data_filtered!$K$2:$K$461,Data_filtered!$A$2:$A$461,D$1,Data_filtered!$F$2:$F$461,$A21,Data_filtered!$D$2:$D$461,"eucalipto",Data_filtered!$J$2:$J$461,"&lt;&gt;Incompleto"))</f>
        <v>-</v>
      </c>
      <c r="E21" s="109" t="str">
        <f>IF(SUMIFS(Data_filtered!$G$2:$G$461,Data_filtered!$A$2:$A$461,D$1,Data_filtered!$F$2:$F$461,$A21, Data_filtered!$D$2:$D$461,"mata",Data_filtered!$J$2:$J$461,"&lt;&gt;Incompleto")=0, "-", SUMIFS(Data_filtered!$K$2:$K$461,Data_filtered!$A$2:$A$461,D$1,Data_filtered!$F$2:$F$461,$A21,Data_filtered!$D$2:$D$461,"mata",Data_filtered!$J$2:$J$461,"&lt;&gt;Incompleto"))</f>
        <v>-</v>
      </c>
      <c r="F21" s="109" t="str">
        <f>IF(SUMIFS(Data_filtered!$G$2:$G$461,Data_filtered!$A$2:$A$461,F$1,Data_filtered!$F$2:$F$461,$A21, Data_filtered!$D$2:$D$461,"eucalipto",Data_filtered!$J$2:$J$461,"&lt;&gt;Incompleto")=0, "-", SUMIFS(Data_filtered!$K$2:$K$461,Data_filtered!$A$2:$A$461,F$1,Data_filtered!$F$2:$F$461,$A21,Data_filtered!$D$2:$D$461,"eucalipto",Data_filtered!$J$2:$J$461,"&lt;&gt;Incompleto"))</f>
        <v>-</v>
      </c>
      <c r="G21" s="109" t="str">
        <f>IF(SUMIFS(Data_filtered!$G$2:$G$461,Data_filtered!$A$2:$A$461,F$1,Data_filtered!$F$2:$F$461,$A21, Data_filtered!$D$2:$D$461,"mata",Data_filtered!$J$2:$J$461,"&lt;&gt;Incompleto")=0, "-", SUMIFS(Data_filtered!$K$2:$K$461,Data_filtered!$A$2:$A$461,F$1,Data_filtered!$F$2:$F$461,$A21,Data_filtered!$D$2:$D$461,"mata",Data_filtered!$J$2:$J$461,"&lt;&gt;Incompleto"))</f>
        <v>-</v>
      </c>
      <c r="H21" s="109">
        <f>IF(SUMIFS(Data_filtered!$G$2:$G$461,Data_filtered!$A$2:$A$461,H$1,Data_filtered!$F$2:$F$461,$A21, Data_filtered!$D$2:$D$461,"eucalipto",Data_filtered!$J$2:$J$461,"&lt;&gt;Incompleto")=0, "-", SUMIFS(Data_filtered!$K$2:$K$461,Data_filtered!$A$2:$A$461,H$1,Data_filtered!$F$2:$F$461,$A21,Data_filtered!$D$2:$D$461,"eucalipto",Data_filtered!$J$2:$J$461,"&lt;&gt;Incompleto"))</f>
        <v>737.227076</v>
      </c>
      <c r="I21" s="109" t="str">
        <f>IF(SUMIFS(Data_filtered!$G$2:$G$461,Data_filtered!$A$2:$A$461,H$1,Data_filtered!$F$2:$F$461,$A21, Data_filtered!$D$2:$D$461,"mata",Data_filtered!$J$2:$J$461,"&lt;&gt;Incompleto")=0, "-", SUMIFS(Data_filtered!$K$2:$K$461,Data_filtered!$A$2:$A$461,H$1,Data_filtered!$F$2:$F$461,$A21,Data_filtered!$D$2:$D$461,"mata",Data_filtered!$J$2:$J$461,"&lt;&gt;Incompleto"))</f>
        <v>-</v>
      </c>
      <c r="J21" s="109" t="str">
        <f>IF(SUMIFS(Data_filtered!$G$2:$G$461,Data_filtered!$A$2:$A$461,J$1,Data_filtered!$F$2:$F$461,$A21, Data_filtered!$D$2:$D$461,"eucalipto",Data_filtered!$J$2:$J$461,"&lt;&gt;Incompleto")=0, "-", SUMIFS(Data_filtered!$K$2:$K$461,Data_filtered!$A$2:$A$461,J$1,Data_filtered!$F$2:$F$461,$A21,Data_filtered!$D$2:$D$461,"eucalipto",Data_filtered!$J$2:$J$461,"&lt;&gt;Incompleto"))</f>
        <v>-</v>
      </c>
      <c r="K21" s="109" t="str">
        <f>IF(SUMIFS(Data_filtered!$G$2:$G$461,Data_filtered!$A$2:$A$461,J$1,Data_filtered!$F$2:$F$461,$A21, Data_filtered!$D$2:$D$461,"mata",Data_filtered!$J$2:$J$461,"&lt;&gt;Incompleto")=0, "-", SUMIFS(Data_filtered!$K$2:$K$461,Data_filtered!$A$2:$A$461,J$1,Data_filtered!$F$2:$F$461,$A21,Data_filtered!$D$2:$D$461,"mata",Data_filtered!$J$2:$J$461,"&lt;&gt;Incompleto"))</f>
        <v>-</v>
      </c>
      <c r="L21" s="109" t="str">
        <f>IF(SUMIFS(Data_filtered!$G$2:$G$461,Data_filtered!$A$2:$A$461,L$1,Data_filtered!$F$2:$F$461,$A21, Data_filtered!$D$2:$D$461,"eucalipto",Data_filtered!$J$2:$J$461,"&lt;&gt;Incompleto")=0, "-", SUMIFS(Data_filtered!$K$2:$K$461,Data_filtered!$A$2:$A$461,L$1,Data_filtered!$F$2:$F$461,$A21,Data_filtered!$D$2:$D$461,"eucalipto",Data_filtered!$J$2:$J$461,"&lt;&gt;Incompleto"))</f>
        <v>-</v>
      </c>
      <c r="M21" s="109" t="str">
        <f>IF(SUMIFS(Data_filtered!$G$2:$G$461,Data_filtered!$A$2:$A$461,L$1,Data_filtered!$F$2:$F$461,$A21, Data_filtered!$D$2:$D$461,"mata",Data_filtered!$J$2:$J$461,"&lt;&gt;Incompleto")=0, "-", SUMIFS(Data_filtered!$K$2:$K$461,Data_filtered!$A$2:$A$461,L$1,Data_filtered!$F$2:$F$461,$A21,Data_filtered!$D$2:$D$461,"mata",Data_filtered!$J$2:$J$461,"&lt;&gt;Incompleto"))</f>
        <v>-</v>
      </c>
      <c r="N21" s="109" t="str">
        <f>IF(SUMIFS(Data_filtered!$G$2:$G$461,Data_filtered!$A$2:$A$461,N$1,Data_filtered!$F$2:$F$461,$A21, Data_filtered!$D$2:$D$461,"eucalipto",Data_filtered!$J$2:$J$461,"&lt;&gt;Incompleto")=0, "-", SUMIFS(Data_filtered!$K$2:$K$461,Data_filtered!$A$2:$A$461,N$1,Data_filtered!$F$2:$F$461,$A21,Data_filtered!$D$2:$D$461,"eucalipto",Data_filtered!$J$2:$J$461,"&lt;&gt;Incompleto"))</f>
        <v>-</v>
      </c>
      <c r="O21" s="109" t="str">
        <f>IF(SUMIFS(Data_filtered!$G$2:$G$461,Data_filtered!$A$2:$A$461,N$1,Data_filtered!$F$2:$F$461,$A21, Data_filtered!$D$2:$D$461,"mata",Data_filtered!$J$2:$J$461,"&lt;&gt;Incompleto")=0, "-", SUMIFS(Data_filtered!$K$2:$K$461,Data_filtered!$A$2:$A$461,N$1,Data_filtered!$F$2:$F$461,$A21,Data_filtered!$D$2:$D$461,"mata",Data_filtered!$J$2:$J$461,"&lt;&gt;Incompleto"))</f>
        <v>-</v>
      </c>
      <c r="P21" s="109" t="str">
        <f>IF(SUMIFS(Data_filtered!$G$2:$G$461,Data_filtered!$A$2:$A$461,P$1,Data_filtered!$F$2:$F$461,$A21, Data_filtered!$D$2:$D$461,"eucalipto",Data_filtered!$J$2:$J$461,"&lt;&gt;Incompleto")=0, "-", SUMIFS(Data_filtered!$K$2:$K$461,Data_filtered!$A$2:$A$461,P$1,Data_filtered!$F$2:$F$461,$A21,Data_filtered!$D$2:$D$461,"eucalipto",Data_filtered!$J$2:$J$461,"&lt;&gt;Incompleto"))</f>
        <v>-</v>
      </c>
      <c r="Q21" s="109" t="str">
        <f>IF(SUMIFS(Data_filtered!$G$2:$G$461,Data_filtered!$A$2:$A$461,P$1,Data_filtered!$F$2:$F$461,$A21, Data_filtered!$D$2:$D$461,"mata",Data_filtered!$J$2:$J$461,"&lt;&gt;Incompleto")=0, "-", SUMIFS(Data_filtered!$K$2:$K$461,Data_filtered!$A$2:$A$461,P$1,Data_filtered!$F$2:$F$461,$A21,Data_filtered!$D$2:$D$461,"mata",Data_filtered!$J$2:$J$461,"&lt;&gt;Incompleto"))</f>
        <v>-</v>
      </c>
      <c r="R21" s="109" t="str">
        <f>IF(SUMIFS(Data_filtered!$G$2:$G$461,Data_filtered!$A$2:$A$461,R$1,Data_filtered!$F$2:$F$461,$A21, Data_filtered!$D$2:$D$461,"eucalipto",Data_filtered!$J$2:$J$461,"&lt;&gt;Incompleto")=0, "-", SUMIFS(Data_filtered!$K$2:$K$461,Data_filtered!$A$2:$A$461,R$1,Data_filtered!$F$2:$F$461,$A21,Data_filtered!$D$2:$D$461,"eucalipto",Data_filtered!$J$2:$J$461,"&lt;&gt;Incompleto"))</f>
        <v>-</v>
      </c>
      <c r="S21" s="109" t="str">
        <f>IF(SUMIFS(Data_filtered!$G$2:$G$461,Data_filtered!$A$2:$A$461,R$1,Data_filtered!$F$2:$F$461,$A21, Data_filtered!$D$2:$D$461,"mata",Data_filtered!$J$2:$J$461,"&lt;&gt;Incompleto")=0, "-", SUMIFS(Data_filtered!$K$2:$K$461,Data_filtered!$A$2:$A$461,R$1,Data_filtered!$F$2:$F$461,$A21,Data_filtered!$D$2:$D$461,"mata",Data_filtered!$J$2:$J$461,"&lt;&gt;Incompleto"))</f>
        <v>-</v>
      </c>
      <c r="T21" s="109" t="str">
        <f>IF(SUMIFS(Data_filtered!$G$2:$G$461,Data_filtered!$A$2:$A$461,T$1,Data_filtered!$F$2:$F$461,$A21, Data_filtered!$D$2:$D$461,"eucalipto",Data_filtered!$J$2:$J$461,"&lt;&gt;Incompleto")=0, "-", SUMIFS(Data_filtered!$K$2:$K$461,Data_filtered!$A$2:$A$461,T$1,Data_filtered!$F$2:$F$461,$A21,Data_filtered!$D$2:$D$461,"eucalipto",Data_filtered!$J$2:$J$461,"&lt;&gt;Incompleto"))</f>
        <v>-</v>
      </c>
      <c r="U21" s="109" t="str">
        <f>IF(SUMIFS(Data_filtered!$G$2:$G$461,Data_filtered!$A$2:$A$461,T$1,Data_filtered!$F$2:$F$461,$A21, Data_filtered!$D$2:$D$461,"mata",Data_filtered!$J$2:$J$461,"&lt;&gt;Incompleto")=0, "-", SUMIFS(Data_filtered!$K$2:$K$461,Data_filtered!$A$2:$A$461,T$1,Data_filtered!$F$2:$F$461,$A21,Data_filtered!$D$2:$D$461,"mata",Data_filtered!$J$2:$J$461,"&lt;&gt;Incompleto"))</f>
        <v>-</v>
      </c>
      <c r="V21" s="109" t="str">
        <f>IF(SUMIFS(Data_filtered!$G$2:$G$461,Data_filtered!$A$2:$A$461,V$1,Data_filtered!$F$2:$F$461,$A21, Data_filtered!$D$2:$D$461,"eucalipto",Data_filtered!$J$2:$J$461,"&lt;&gt;Incompleto")=0, "-", SUMIFS(Data_filtered!$K$2:$K$461,Data_filtered!$A$2:$A$461,V$1,Data_filtered!$F$2:$F$461,$A21,Data_filtered!$D$2:$D$461,"eucalipto",Data_filtered!$J$2:$J$461,"&lt;&gt;Incompleto"))</f>
        <v>-</v>
      </c>
      <c r="W21" s="109">
        <f>IF(SUMIFS(Data_filtered!$G$2:$G$461,Data_filtered!$A$2:$A$461,V$1,Data_filtered!$F$2:$F$461,$A21, Data_filtered!$D$2:$D$461,"mata",Data_filtered!$J$2:$J$461,"&lt;&gt;Incompleto")=0, "-", SUMIFS(Data_filtered!$K$2:$K$461,Data_filtered!$A$2:$A$461,V$1,Data_filtered!$F$2:$F$461,$A21,Data_filtered!$D$2:$D$461,"mata",Data_filtered!$J$2:$J$461,"&lt;&gt;Incompleto"))</f>
        <v>15205.30844</v>
      </c>
      <c r="X21" s="109" t="str">
        <f>IF(SUMIFS(Data_filtered!$G$2:$G$461,Data_filtered!$A$2:$A$461,X$1,Data_filtered!$F$2:$F$461,$A21, Data_filtered!$D$2:$D$461,"eucalipto",Data_filtered!$J$2:$J$461,"&lt;&gt;Incompleto")=0, "-", SUMIFS(Data_filtered!$K$2:$K$461,Data_filtered!$A$2:$A$461,X$1,Data_filtered!$F$2:$F$461,$A21,Data_filtered!$D$2:$D$461,"eucalipto",Data_filtered!$J$2:$J$461,"&lt;&gt;Incompleto"))</f>
        <v>-</v>
      </c>
      <c r="Y21" s="109">
        <f>IF(SUMIFS(Data_filtered!$G$2:$G$461,Data_filtered!$A$2:$A$461,X$1,Data_filtered!$F$2:$F$461,$A21, Data_filtered!$D$2:$D$461,"mata",Data_filtered!$J$2:$J$461,"&lt;&gt;Incompleto")=0, "-", SUMIFS(Data_filtered!$K$2:$K$461,Data_filtered!$A$2:$A$461,X$1,Data_filtered!$F$2:$F$461,$A21,Data_filtered!$D$2:$D$461,"mata",Data_filtered!$J$2:$J$461,"&lt;&gt;Incompleto"))</f>
        <v>150.7964474</v>
      </c>
      <c r="Z21" s="109" t="str">
        <f>IF(SUMIFS(Data_filtered!$G$2:$G$461,Data_filtered!$A$2:$A$461,Z$1,Data_filtered!$F$2:$F$461,$A21, Data_filtered!$D$2:$D$461,"eucalipto",Data_filtered!$J$2:$J$461,"&lt;&gt;Incompleto")=0, "-", SUMIFS(Data_filtered!$K$2:$K$461,Data_filtered!$A$2:$A$461,Z$1,Data_filtered!$F$2:$F$461,$A21,Data_filtered!$D$2:$D$461,"eucalipto",Data_filtered!$J$2:$J$461,"&lt;&gt;Incompleto"))</f>
        <v>-</v>
      </c>
      <c r="AA21" s="109" t="str">
        <f>IF(SUMIFS(Data_filtered!$G$2:$G$461,Data_filtered!$A$2:$A$461,Z$1,Data_filtered!$F$2:$F$461,$A21, Data_filtered!$D$2:$D$461,"mata",Data_filtered!$J$2:$J$461,"&lt;&gt;Incompleto")=0, "-", SUMIFS(Data_filtered!$K$2:$K$461,Data_filtered!$A$2:$A$461,Z$1,Data_filtered!$F$2:$F$461,$A21,Data_filtered!$D$2:$D$461,"mata",Data_filtered!$J$2:$J$461,"&lt;&gt;Incompleto"))</f>
        <v>-</v>
      </c>
      <c r="AB21" s="106"/>
      <c r="AC21" s="107"/>
      <c r="AD21" s="106"/>
      <c r="AE21" s="107"/>
      <c r="AF21" s="106"/>
      <c r="AG21" s="107"/>
      <c r="AH21" s="106"/>
      <c r="AI21" s="107"/>
      <c r="AJ21" s="106"/>
      <c r="AK21" s="107"/>
      <c r="AL21" s="106"/>
      <c r="AM21" s="107"/>
      <c r="AN21" s="106"/>
      <c r="AO21" s="107"/>
      <c r="AP21" s="106"/>
      <c r="AQ21" s="107"/>
      <c r="AR21" s="106"/>
      <c r="AS21" s="107"/>
    </row>
    <row r="22">
      <c r="A22" s="15" t="str">
        <f>IFERROR(__xludf.DUMMYFUNCTION("""COMPUTED_VALUE"""),"Orthoptera")</f>
        <v>Orthoptera</v>
      </c>
      <c r="B22" s="109" t="str">
        <f>IF(SUMIFS(Data_filtered!$G$2:$G$461,Data_filtered!$A$2:$A$461,B$1,Data_filtered!$F$2:$F$461,$A22, Data_filtered!$D$2:$D$461,"eucalipto",Data_filtered!$J$2:$J$461,"&lt;&gt;Incompleto")=0, "-", SUMIFS(Data_filtered!$K$2:$K$461,Data_filtered!$A$2:$A$461,B$1,Data_filtered!$F$2:$F$461,$A22,Data_filtered!$D$2:$D$461,"eucalipto",Data_filtered!$J$2:$J$461,"&lt;&gt;Incompleto"))</f>
        <v>-</v>
      </c>
      <c r="C22" s="109" t="str">
        <f>IF(SUMIFS(Data_filtered!$G$2:$G$461,Data_filtered!$A$2:$A$461,B$1,Data_filtered!$F$2:$F$461,$A22, Data_filtered!$D$2:$D$461,"mata",Data_filtered!$J$2:$J$461,"&lt;&gt;Incompleto")=0, "-", SUMIFS(Data_filtered!$K$2:$K$461,Data_filtered!$A$2:$A$461,B$1,Data_filtered!$F$2:$F$461,$A22,Data_filtered!$D$2:$D$461,"mata",Data_filtered!$J$2:$J$461,"&lt;&gt;Incompleto"))</f>
        <v>-</v>
      </c>
      <c r="D22" s="109" t="str">
        <f>IF(SUMIFS(Data_filtered!$G$2:$G$461,Data_filtered!$A$2:$A$461,D$1,Data_filtered!$F$2:$F$461,$A22, Data_filtered!$D$2:$D$461,"eucalipto",Data_filtered!$J$2:$J$461,"&lt;&gt;Incompleto")=0, "-", SUMIFS(Data_filtered!$K$2:$K$461,Data_filtered!$A$2:$A$461,D$1,Data_filtered!$F$2:$F$461,$A22,Data_filtered!$D$2:$D$461,"eucalipto",Data_filtered!$J$2:$J$461,"&lt;&gt;Incompleto"))</f>
        <v>-</v>
      </c>
      <c r="E22" s="109" t="str">
        <f>IF(SUMIFS(Data_filtered!$G$2:$G$461,Data_filtered!$A$2:$A$461,D$1,Data_filtered!$F$2:$F$461,$A22, Data_filtered!$D$2:$D$461,"mata",Data_filtered!$J$2:$J$461,"&lt;&gt;Incompleto")=0, "-", SUMIFS(Data_filtered!$K$2:$K$461,Data_filtered!$A$2:$A$461,D$1,Data_filtered!$F$2:$F$461,$A22,Data_filtered!$D$2:$D$461,"mata",Data_filtered!$J$2:$J$461,"&lt;&gt;Incompleto"))</f>
        <v>-</v>
      </c>
      <c r="F22" s="109" t="str">
        <f>IF(SUMIFS(Data_filtered!$G$2:$G$461,Data_filtered!$A$2:$A$461,F$1,Data_filtered!$F$2:$F$461,$A22, Data_filtered!$D$2:$D$461,"eucalipto",Data_filtered!$J$2:$J$461,"&lt;&gt;Incompleto")=0, "-", SUMIFS(Data_filtered!$K$2:$K$461,Data_filtered!$A$2:$A$461,F$1,Data_filtered!$F$2:$F$461,$A22,Data_filtered!$D$2:$D$461,"eucalipto",Data_filtered!$J$2:$J$461,"&lt;&gt;Incompleto"))</f>
        <v>-</v>
      </c>
      <c r="G22" s="109" t="str">
        <f>IF(SUMIFS(Data_filtered!$G$2:$G$461,Data_filtered!$A$2:$A$461,F$1,Data_filtered!$F$2:$F$461,$A22, Data_filtered!$D$2:$D$461,"mata",Data_filtered!$J$2:$J$461,"&lt;&gt;Incompleto")=0, "-", SUMIFS(Data_filtered!$K$2:$K$461,Data_filtered!$A$2:$A$461,F$1,Data_filtered!$F$2:$F$461,$A22,Data_filtered!$D$2:$D$461,"mata",Data_filtered!$J$2:$J$461,"&lt;&gt;Incompleto"))</f>
        <v>-</v>
      </c>
      <c r="H22" s="109" t="str">
        <f>IF(SUMIFS(Data_filtered!$G$2:$G$461,Data_filtered!$A$2:$A$461,H$1,Data_filtered!$F$2:$F$461,$A22, Data_filtered!$D$2:$D$461,"eucalipto",Data_filtered!$J$2:$J$461,"&lt;&gt;Incompleto")=0, "-", SUMIFS(Data_filtered!$K$2:$K$461,Data_filtered!$A$2:$A$461,H$1,Data_filtered!$F$2:$F$461,$A22,Data_filtered!$D$2:$D$461,"eucalipto",Data_filtered!$J$2:$J$461,"&lt;&gt;Incompleto"))</f>
        <v>-</v>
      </c>
      <c r="I22" s="109" t="str">
        <f>IF(SUMIFS(Data_filtered!$G$2:$G$461,Data_filtered!$A$2:$A$461,H$1,Data_filtered!$F$2:$F$461,$A22, Data_filtered!$D$2:$D$461,"mata",Data_filtered!$J$2:$J$461,"&lt;&gt;Incompleto")=0, "-", SUMIFS(Data_filtered!$K$2:$K$461,Data_filtered!$A$2:$A$461,H$1,Data_filtered!$F$2:$F$461,$A22,Data_filtered!$D$2:$D$461,"mata",Data_filtered!$J$2:$J$461,"&lt;&gt;Incompleto"))</f>
        <v>-</v>
      </c>
      <c r="J22" s="109" t="str">
        <f>IF(SUMIFS(Data_filtered!$G$2:$G$461,Data_filtered!$A$2:$A$461,J$1,Data_filtered!$F$2:$F$461,$A22, Data_filtered!$D$2:$D$461,"eucalipto",Data_filtered!$J$2:$J$461,"&lt;&gt;Incompleto")=0, "-", SUMIFS(Data_filtered!$K$2:$K$461,Data_filtered!$A$2:$A$461,J$1,Data_filtered!$F$2:$F$461,$A22,Data_filtered!$D$2:$D$461,"eucalipto",Data_filtered!$J$2:$J$461,"&lt;&gt;Incompleto"))</f>
        <v>-</v>
      </c>
      <c r="K22" s="109" t="str">
        <f>IF(SUMIFS(Data_filtered!$G$2:$G$461,Data_filtered!$A$2:$A$461,J$1,Data_filtered!$F$2:$F$461,$A22, Data_filtered!$D$2:$D$461,"mata",Data_filtered!$J$2:$J$461,"&lt;&gt;Incompleto")=0, "-", SUMIFS(Data_filtered!$K$2:$K$461,Data_filtered!$A$2:$A$461,J$1,Data_filtered!$F$2:$F$461,$A22,Data_filtered!$D$2:$D$461,"mata",Data_filtered!$J$2:$J$461,"&lt;&gt;Incompleto"))</f>
        <v>-</v>
      </c>
      <c r="L22" s="109" t="str">
        <f>IF(SUMIFS(Data_filtered!$G$2:$G$461,Data_filtered!$A$2:$A$461,L$1,Data_filtered!$F$2:$F$461,$A22, Data_filtered!$D$2:$D$461,"eucalipto",Data_filtered!$J$2:$J$461,"&lt;&gt;Incompleto")=0, "-", SUMIFS(Data_filtered!$K$2:$K$461,Data_filtered!$A$2:$A$461,L$1,Data_filtered!$F$2:$F$461,$A22,Data_filtered!$D$2:$D$461,"eucalipto",Data_filtered!$J$2:$J$461,"&lt;&gt;Incompleto"))</f>
        <v>-</v>
      </c>
      <c r="M22" s="109" t="str">
        <f>IF(SUMIFS(Data_filtered!$G$2:$G$461,Data_filtered!$A$2:$A$461,L$1,Data_filtered!$F$2:$F$461,$A22, Data_filtered!$D$2:$D$461,"mata",Data_filtered!$J$2:$J$461,"&lt;&gt;Incompleto")=0, "-", SUMIFS(Data_filtered!$K$2:$K$461,Data_filtered!$A$2:$A$461,L$1,Data_filtered!$F$2:$F$461,$A22,Data_filtered!$D$2:$D$461,"mata",Data_filtered!$J$2:$J$461,"&lt;&gt;Incompleto"))</f>
        <v>-</v>
      </c>
      <c r="N22" s="109" t="str">
        <f>IF(SUMIFS(Data_filtered!$G$2:$G$461,Data_filtered!$A$2:$A$461,N$1,Data_filtered!$F$2:$F$461,$A22, Data_filtered!$D$2:$D$461,"eucalipto",Data_filtered!$J$2:$J$461,"&lt;&gt;Incompleto")=0, "-", SUMIFS(Data_filtered!$K$2:$K$461,Data_filtered!$A$2:$A$461,N$1,Data_filtered!$F$2:$F$461,$A22,Data_filtered!$D$2:$D$461,"eucalipto",Data_filtered!$J$2:$J$461,"&lt;&gt;Incompleto"))</f>
        <v>-</v>
      </c>
      <c r="O22" s="109" t="str">
        <f>IF(SUMIFS(Data_filtered!$G$2:$G$461,Data_filtered!$A$2:$A$461,N$1,Data_filtered!$F$2:$F$461,$A22, Data_filtered!$D$2:$D$461,"mata",Data_filtered!$J$2:$J$461,"&lt;&gt;Incompleto")=0, "-", SUMIFS(Data_filtered!$K$2:$K$461,Data_filtered!$A$2:$A$461,N$1,Data_filtered!$F$2:$F$461,$A22,Data_filtered!$D$2:$D$461,"mata",Data_filtered!$J$2:$J$461,"&lt;&gt;Incompleto"))</f>
        <v>-</v>
      </c>
      <c r="P22" s="109" t="str">
        <f>IF(SUMIFS(Data_filtered!$G$2:$G$461,Data_filtered!$A$2:$A$461,P$1,Data_filtered!$F$2:$F$461,$A22, Data_filtered!$D$2:$D$461,"eucalipto",Data_filtered!$J$2:$J$461,"&lt;&gt;Incompleto")=0, "-", SUMIFS(Data_filtered!$K$2:$K$461,Data_filtered!$A$2:$A$461,P$1,Data_filtered!$F$2:$F$461,$A22,Data_filtered!$D$2:$D$461,"eucalipto",Data_filtered!$J$2:$J$461,"&lt;&gt;Incompleto"))</f>
        <v>-</v>
      </c>
      <c r="Q22" s="109" t="str">
        <f>IF(SUMIFS(Data_filtered!$G$2:$G$461,Data_filtered!$A$2:$A$461,P$1,Data_filtered!$F$2:$F$461,$A22, Data_filtered!$D$2:$D$461,"mata",Data_filtered!$J$2:$J$461,"&lt;&gt;Incompleto")=0, "-", SUMIFS(Data_filtered!$K$2:$K$461,Data_filtered!$A$2:$A$461,P$1,Data_filtered!$F$2:$F$461,$A22,Data_filtered!$D$2:$D$461,"mata",Data_filtered!$J$2:$J$461,"&lt;&gt;Incompleto"))</f>
        <v>-</v>
      </c>
      <c r="R22" s="109" t="str">
        <f>IF(SUMIFS(Data_filtered!$G$2:$G$461,Data_filtered!$A$2:$A$461,R$1,Data_filtered!$F$2:$F$461,$A22, Data_filtered!$D$2:$D$461,"eucalipto",Data_filtered!$J$2:$J$461,"&lt;&gt;Incompleto")=0, "-", SUMIFS(Data_filtered!$K$2:$K$461,Data_filtered!$A$2:$A$461,R$1,Data_filtered!$F$2:$F$461,$A22,Data_filtered!$D$2:$D$461,"eucalipto",Data_filtered!$J$2:$J$461,"&lt;&gt;Incompleto"))</f>
        <v>-</v>
      </c>
      <c r="S22" s="109" t="str">
        <f>IF(SUMIFS(Data_filtered!$G$2:$G$461,Data_filtered!$A$2:$A$461,R$1,Data_filtered!$F$2:$F$461,$A22, Data_filtered!$D$2:$D$461,"mata",Data_filtered!$J$2:$J$461,"&lt;&gt;Incompleto")=0, "-", SUMIFS(Data_filtered!$K$2:$K$461,Data_filtered!$A$2:$A$461,R$1,Data_filtered!$F$2:$F$461,$A22,Data_filtered!$D$2:$D$461,"mata",Data_filtered!$J$2:$J$461,"&lt;&gt;Incompleto"))</f>
        <v>-</v>
      </c>
      <c r="T22" s="109" t="str">
        <f>IF(SUMIFS(Data_filtered!$G$2:$G$461,Data_filtered!$A$2:$A$461,T$1,Data_filtered!$F$2:$F$461,$A22, Data_filtered!$D$2:$D$461,"eucalipto",Data_filtered!$J$2:$J$461,"&lt;&gt;Incompleto")=0, "-", SUMIFS(Data_filtered!$K$2:$K$461,Data_filtered!$A$2:$A$461,T$1,Data_filtered!$F$2:$F$461,$A22,Data_filtered!$D$2:$D$461,"eucalipto",Data_filtered!$J$2:$J$461,"&lt;&gt;Incompleto"))</f>
        <v>-</v>
      </c>
      <c r="U22" s="109" t="str">
        <f>IF(SUMIFS(Data_filtered!$G$2:$G$461,Data_filtered!$A$2:$A$461,T$1,Data_filtered!$F$2:$F$461,$A22, Data_filtered!$D$2:$D$461,"mata",Data_filtered!$J$2:$J$461,"&lt;&gt;Incompleto")=0, "-", SUMIFS(Data_filtered!$K$2:$K$461,Data_filtered!$A$2:$A$461,T$1,Data_filtered!$F$2:$F$461,$A22,Data_filtered!$D$2:$D$461,"mata",Data_filtered!$J$2:$J$461,"&lt;&gt;Incompleto"))</f>
        <v>-</v>
      </c>
      <c r="V22" s="109" t="str">
        <f>IF(SUMIFS(Data_filtered!$G$2:$G$461,Data_filtered!$A$2:$A$461,V$1,Data_filtered!$F$2:$F$461,$A22, Data_filtered!$D$2:$D$461,"eucalipto",Data_filtered!$J$2:$J$461,"&lt;&gt;Incompleto")=0, "-", SUMIFS(Data_filtered!$K$2:$K$461,Data_filtered!$A$2:$A$461,V$1,Data_filtered!$F$2:$F$461,$A22,Data_filtered!$D$2:$D$461,"eucalipto",Data_filtered!$J$2:$J$461,"&lt;&gt;Incompleto"))</f>
        <v>-</v>
      </c>
      <c r="W22" s="109" t="str">
        <f>IF(SUMIFS(Data_filtered!$G$2:$G$461,Data_filtered!$A$2:$A$461,V$1,Data_filtered!$F$2:$F$461,$A22, Data_filtered!$D$2:$D$461,"mata",Data_filtered!$J$2:$J$461,"&lt;&gt;Incompleto")=0, "-", SUMIFS(Data_filtered!$K$2:$K$461,Data_filtered!$A$2:$A$461,V$1,Data_filtered!$F$2:$F$461,$A22,Data_filtered!$D$2:$D$461,"mata",Data_filtered!$J$2:$J$461,"&lt;&gt;Incompleto"))</f>
        <v>-</v>
      </c>
      <c r="X22" s="109" t="str">
        <f>IF(SUMIFS(Data_filtered!$G$2:$G$461,Data_filtered!$A$2:$A$461,X$1,Data_filtered!$F$2:$F$461,$A22, Data_filtered!$D$2:$D$461,"eucalipto",Data_filtered!$J$2:$J$461,"&lt;&gt;Incompleto")=0, "-", SUMIFS(Data_filtered!$K$2:$K$461,Data_filtered!$A$2:$A$461,X$1,Data_filtered!$F$2:$F$461,$A22,Data_filtered!$D$2:$D$461,"eucalipto",Data_filtered!$J$2:$J$461,"&lt;&gt;Incompleto"))</f>
        <v>-</v>
      </c>
      <c r="Y22" s="109" t="str">
        <f>IF(SUMIFS(Data_filtered!$G$2:$G$461,Data_filtered!$A$2:$A$461,X$1,Data_filtered!$F$2:$F$461,$A22, Data_filtered!$D$2:$D$461,"mata",Data_filtered!$J$2:$J$461,"&lt;&gt;Incompleto")=0, "-", SUMIFS(Data_filtered!$K$2:$K$461,Data_filtered!$A$2:$A$461,X$1,Data_filtered!$F$2:$F$461,$A22,Data_filtered!$D$2:$D$461,"mata",Data_filtered!$J$2:$J$461,"&lt;&gt;Incompleto"))</f>
        <v>-</v>
      </c>
      <c r="Z22" s="109" t="str">
        <f>IF(SUMIFS(Data_filtered!$G$2:$G$461,Data_filtered!$A$2:$A$461,Z$1,Data_filtered!$F$2:$F$461,$A22, Data_filtered!$D$2:$D$461,"eucalipto",Data_filtered!$J$2:$J$461,"&lt;&gt;Incompleto")=0, "-", SUMIFS(Data_filtered!$K$2:$K$461,Data_filtered!$A$2:$A$461,Z$1,Data_filtered!$F$2:$F$461,$A22,Data_filtered!$D$2:$D$461,"eucalipto",Data_filtered!$J$2:$J$461,"&lt;&gt;Incompleto"))</f>
        <v>-</v>
      </c>
      <c r="AA22" s="109" t="str">
        <f>IF(SUMIFS(Data_filtered!$G$2:$G$461,Data_filtered!$A$2:$A$461,Z$1,Data_filtered!$F$2:$F$461,$A22, Data_filtered!$D$2:$D$461,"mata",Data_filtered!$J$2:$J$461,"&lt;&gt;Incompleto")=0, "-", SUMIFS(Data_filtered!$K$2:$K$461,Data_filtered!$A$2:$A$461,Z$1,Data_filtered!$F$2:$F$461,$A22,Data_filtered!$D$2:$D$461,"mata",Data_filtered!$J$2:$J$461,"&lt;&gt;Incompleto"))</f>
        <v>-</v>
      </c>
      <c r="AB22" s="106"/>
      <c r="AC22" s="107"/>
      <c r="AD22" s="106"/>
      <c r="AE22" s="107"/>
      <c r="AF22" s="106"/>
      <c r="AG22" s="107"/>
      <c r="AH22" s="106"/>
      <c r="AI22" s="107"/>
      <c r="AJ22" s="106"/>
      <c r="AK22" s="107"/>
      <c r="AL22" s="106"/>
      <c r="AM22" s="107"/>
      <c r="AN22" s="106"/>
      <c r="AO22" s="107"/>
      <c r="AP22" s="106"/>
      <c r="AQ22" s="107"/>
      <c r="AR22" s="106"/>
      <c r="AS22" s="107"/>
    </row>
    <row r="23">
      <c r="A23" s="15" t="str">
        <f>IFERROR(__xludf.DUMMYFUNCTION("""COMPUTED_VALUE"""),"Pterygota")</f>
        <v>Pterygota</v>
      </c>
      <c r="B23" s="109" t="str">
        <f>IF(SUMIFS(Data_filtered!$G$2:$G$461,Data_filtered!$A$2:$A$461,B$1,Data_filtered!$F$2:$F$461,$A23, Data_filtered!$D$2:$D$461,"eucalipto",Data_filtered!$J$2:$J$461,"&lt;&gt;Incompleto")=0, "-", SUMIFS(Data_filtered!$K$2:$K$461,Data_filtered!$A$2:$A$461,B$1,Data_filtered!$F$2:$F$461,$A23,Data_filtered!$D$2:$D$461,"eucalipto",Data_filtered!$J$2:$J$461,"&lt;&gt;Incompleto"))</f>
        <v>-</v>
      </c>
      <c r="C23" s="109" t="str">
        <f>IF(SUMIFS(Data_filtered!$G$2:$G$461,Data_filtered!$A$2:$A$461,B$1,Data_filtered!$F$2:$F$461,$A23, Data_filtered!$D$2:$D$461,"mata",Data_filtered!$J$2:$J$461,"&lt;&gt;Incompleto")=0, "-", SUMIFS(Data_filtered!$K$2:$K$461,Data_filtered!$A$2:$A$461,B$1,Data_filtered!$F$2:$F$461,$A23,Data_filtered!$D$2:$D$461,"mata",Data_filtered!$J$2:$J$461,"&lt;&gt;Incompleto"))</f>
        <v>-</v>
      </c>
      <c r="D23" s="109" t="str">
        <f>IF(SUMIFS(Data_filtered!$G$2:$G$461,Data_filtered!$A$2:$A$461,D$1,Data_filtered!$F$2:$F$461,$A23, Data_filtered!$D$2:$D$461,"eucalipto",Data_filtered!$J$2:$J$461,"&lt;&gt;Incompleto")=0, "-", SUMIFS(Data_filtered!$K$2:$K$461,Data_filtered!$A$2:$A$461,D$1,Data_filtered!$F$2:$F$461,$A23,Data_filtered!$D$2:$D$461,"eucalipto",Data_filtered!$J$2:$J$461,"&lt;&gt;Incompleto"))</f>
        <v>-</v>
      </c>
      <c r="E23" s="109" t="str">
        <f>IF(SUMIFS(Data_filtered!$G$2:$G$461,Data_filtered!$A$2:$A$461,D$1,Data_filtered!$F$2:$F$461,$A23, Data_filtered!$D$2:$D$461,"mata",Data_filtered!$J$2:$J$461,"&lt;&gt;Incompleto")=0, "-", SUMIFS(Data_filtered!$K$2:$K$461,Data_filtered!$A$2:$A$461,D$1,Data_filtered!$F$2:$F$461,$A23,Data_filtered!$D$2:$D$461,"mata",Data_filtered!$J$2:$J$461,"&lt;&gt;Incompleto"))</f>
        <v>-</v>
      </c>
      <c r="F23" s="109" t="str">
        <f>IF(SUMIFS(Data_filtered!$G$2:$G$461,Data_filtered!$A$2:$A$461,F$1,Data_filtered!$F$2:$F$461,$A23, Data_filtered!$D$2:$D$461,"eucalipto",Data_filtered!$J$2:$J$461,"&lt;&gt;Incompleto")=0, "-", SUMIFS(Data_filtered!$K$2:$K$461,Data_filtered!$A$2:$A$461,F$1,Data_filtered!$F$2:$F$461,$A23,Data_filtered!$D$2:$D$461,"eucalipto",Data_filtered!$J$2:$J$461,"&lt;&gt;Incompleto"))</f>
        <v>-</v>
      </c>
      <c r="G23" s="109" t="str">
        <f>IF(SUMIFS(Data_filtered!$G$2:$G$461,Data_filtered!$A$2:$A$461,F$1,Data_filtered!$F$2:$F$461,$A23, Data_filtered!$D$2:$D$461,"mata",Data_filtered!$J$2:$J$461,"&lt;&gt;Incompleto")=0, "-", SUMIFS(Data_filtered!$K$2:$K$461,Data_filtered!$A$2:$A$461,F$1,Data_filtered!$F$2:$F$461,$A23,Data_filtered!$D$2:$D$461,"mata",Data_filtered!$J$2:$J$461,"&lt;&gt;Incompleto"))</f>
        <v>-</v>
      </c>
      <c r="H23" s="109" t="str">
        <f>IF(SUMIFS(Data_filtered!$G$2:$G$461,Data_filtered!$A$2:$A$461,H$1,Data_filtered!$F$2:$F$461,$A23, Data_filtered!$D$2:$D$461,"eucalipto",Data_filtered!$J$2:$J$461,"&lt;&gt;Incompleto")=0, "-", SUMIFS(Data_filtered!$K$2:$K$461,Data_filtered!$A$2:$A$461,H$1,Data_filtered!$F$2:$F$461,$A23,Data_filtered!$D$2:$D$461,"eucalipto",Data_filtered!$J$2:$J$461,"&lt;&gt;Incompleto"))</f>
        <v>-</v>
      </c>
      <c r="I23" s="109" t="str">
        <f>IF(SUMIFS(Data_filtered!$G$2:$G$461,Data_filtered!$A$2:$A$461,H$1,Data_filtered!$F$2:$F$461,$A23, Data_filtered!$D$2:$D$461,"mata",Data_filtered!$J$2:$J$461,"&lt;&gt;Incompleto")=0, "-", SUMIFS(Data_filtered!$K$2:$K$461,Data_filtered!$A$2:$A$461,H$1,Data_filtered!$F$2:$F$461,$A23,Data_filtered!$D$2:$D$461,"mata",Data_filtered!$J$2:$J$461,"&lt;&gt;Incompleto"))</f>
        <v>-</v>
      </c>
      <c r="J23" s="109" t="str">
        <f>IF(SUMIFS(Data_filtered!$G$2:$G$461,Data_filtered!$A$2:$A$461,J$1,Data_filtered!$F$2:$F$461,$A23, Data_filtered!$D$2:$D$461,"eucalipto",Data_filtered!$J$2:$J$461,"&lt;&gt;Incompleto")=0, "-", SUMIFS(Data_filtered!$K$2:$K$461,Data_filtered!$A$2:$A$461,J$1,Data_filtered!$F$2:$F$461,$A23,Data_filtered!$D$2:$D$461,"eucalipto",Data_filtered!$J$2:$J$461,"&lt;&gt;Incompleto"))</f>
        <v>-</v>
      </c>
      <c r="K23" s="109" t="str">
        <f>IF(SUMIFS(Data_filtered!$G$2:$G$461,Data_filtered!$A$2:$A$461,J$1,Data_filtered!$F$2:$F$461,$A23, Data_filtered!$D$2:$D$461,"mata",Data_filtered!$J$2:$J$461,"&lt;&gt;Incompleto")=0, "-", SUMIFS(Data_filtered!$K$2:$K$461,Data_filtered!$A$2:$A$461,J$1,Data_filtered!$F$2:$F$461,$A23,Data_filtered!$D$2:$D$461,"mata",Data_filtered!$J$2:$J$461,"&lt;&gt;Incompleto"))</f>
        <v>-</v>
      </c>
      <c r="L23" s="109" t="str">
        <f>IF(SUMIFS(Data_filtered!$G$2:$G$461,Data_filtered!$A$2:$A$461,L$1,Data_filtered!$F$2:$F$461,$A23, Data_filtered!$D$2:$D$461,"eucalipto",Data_filtered!$J$2:$J$461,"&lt;&gt;Incompleto")=0, "-", SUMIFS(Data_filtered!$K$2:$K$461,Data_filtered!$A$2:$A$461,L$1,Data_filtered!$F$2:$F$461,$A23,Data_filtered!$D$2:$D$461,"eucalipto",Data_filtered!$J$2:$J$461,"&lt;&gt;Incompleto"))</f>
        <v>-</v>
      </c>
      <c r="M23" s="109" t="str">
        <f>IF(SUMIFS(Data_filtered!$G$2:$G$461,Data_filtered!$A$2:$A$461,L$1,Data_filtered!$F$2:$F$461,$A23, Data_filtered!$D$2:$D$461,"mata",Data_filtered!$J$2:$J$461,"&lt;&gt;Incompleto")=0, "-", SUMIFS(Data_filtered!$K$2:$K$461,Data_filtered!$A$2:$A$461,L$1,Data_filtered!$F$2:$F$461,$A23,Data_filtered!$D$2:$D$461,"mata",Data_filtered!$J$2:$J$461,"&lt;&gt;Incompleto"))</f>
        <v>-</v>
      </c>
      <c r="N23" s="109" t="str">
        <f>IF(SUMIFS(Data_filtered!$G$2:$G$461,Data_filtered!$A$2:$A$461,N$1,Data_filtered!$F$2:$F$461,$A23, Data_filtered!$D$2:$D$461,"eucalipto",Data_filtered!$J$2:$J$461,"&lt;&gt;Incompleto")=0, "-", SUMIFS(Data_filtered!$K$2:$K$461,Data_filtered!$A$2:$A$461,N$1,Data_filtered!$F$2:$F$461,$A23,Data_filtered!$D$2:$D$461,"eucalipto",Data_filtered!$J$2:$J$461,"&lt;&gt;Incompleto"))</f>
        <v>-</v>
      </c>
      <c r="O23" s="109">
        <f>IF(SUMIFS(Data_filtered!$G$2:$G$461,Data_filtered!$A$2:$A$461,N$1,Data_filtered!$F$2:$F$461,$A23, Data_filtered!$D$2:$D$461,"mata",Data_filtered!$J$2:$J$461,"&lt;&gt;Incompleto")=0, "-", SUMIFS(Data_filtered!$K$2:$K$461,Data_filtered!$A$2:$A$461,N$1,Data_filtered!$F$2:$F$461,$A23,Data_filtered!$D$2:$D$461,"mata",Data_filtered!$J$2:$J$461,"&lt;&gt;Incompleto"))</f>
        <v>50.26548246</v>
      </c>
      <c r="P23" s="109" t="str">
        <f>IF(SUMIFS(Data_filtered!$G$2:$G$461,Data_filtered!$A$2:$A$461,P$1,Data_filtered!$F$2:$F$461,$A23, Data_filtered!$D$2:$D$461,"eucalipto",Data_filtered!$J$2:$J$461,"&lt;&gt;Incompleto")=0, "-", SUMIFS(Data_filtered!$K$2:$K$461,Data_filtered!$A$2:$A$461,P$1,Data_filtered!$F$2:$F$461,$A23,Data_filtered!$D$2:$D$461,"eucalipto",Data_filtered!$J$2:$J$461,"&lt;&gt;Incompleto"))</f>
        <v>-</v>
      </c>
      <c r="Q23" s="109" t="str">
        <f>IF(SUMIFS(Data_filtered!$G$2:$G$461,Data_filtered!$A$2:$A$461,P$1,Data_filtered!$F$2:$F$461,$A23, Data_filtered!$D$2:$D$461,"mata",Data_filtered!$J$2:$J$461,"&lt;&gt;Incompleto")=0, "-", SUMIFS(Data_filtered!$K$2:$K$461,Data_filtered!$A$2:$A$461,P$1,Data_filtered!$F$2:$F$461,$A23,Data_filtered!$D$2:$D$461,"mata",Data_filtered!$J$2:$J$461,"&lt;&gt;Incompleto"))</f>
        <v>-</v>
      </c>
      <c r="R23" s="109" t="str">
        <f>IF(SUMIFS(Data_filtered!$G$2:$G$461,Data_filtered!$A$2:$A$461,R$1,Data_filtered!$F$2:$F$461,$A23, Data_filtered!$D$2:$D$461,"eucalipto",Data_filtered!$J$2:$J$461,"&lt;&gt;Incompleto")=0, "-", SUMIFS(Data_filtered!$K$2:$K$461,Data_filtered!$A$2:$A$461,R$1,Data_filtered!$F$2:$F$461,$A23,Data_filtered!$D$2:$D$461,"eucalipto",Data_filtered!$J$2:$J$461,"&lt;&gt;Incompleto"))</f>
        <v>-</v>
      </c>
      <c r="S23" s="109" t="str">
        <f>IF(SUMIFS(Data_filtered!$G$2:$G$461,Data_filtered!$A$2:$A$461,R$1,Data_filtered!$F$2:$F$461,$A23, Data_filtered!$D$2:$D$461,"mata",Data_filtered!$J$2:$J$461,"&lt;&gt;Incompleto")=0, "-", SUMIFS(Data_filtered!$K$2:$K$461,Data_filtered!$A$2:$A$461,R$1,Data_filtered!$F$2:$F$461,$A23,Data_filtered!$D$2:$D$461,"mata",Data_filtered!$J$2:$J$461,"&lt;&gt;Incompleto"))</f>
        <v>-</v>
      </c>
      <c r="T23" s="109" t="str">
        <f>IF(SUMIFS(Data_filtered!$G$2:$G$461,Data_filtered!$A$2:$A$461,T$1,Data_filtered!$F$2:$F$461,$A23, Data_filtered!$D$2:$D$461,"eucalipto",Data_filtered!$J$2:$J$461,"&lt;&gt;Incompleto")=0, "-", SUMIFS(Data_filtered!$K$2:$K$461,Data_filtered!$A$2:$A$461,T$1,Data_filtered!$F$2:$F$461,$A23,Data_filtered!$D$2:$D$461,"eucalipto",Data_filtered!$J$2:$J$461,"&lt;&gt;Incompleto"))</f>
        <v>-</v>
      </c>
      <c r="U23" s="109" t="str">
        <f>IF(SUMIFS(Data_filtered!$G$2:$G$461,Data_filtered!$A$2:$A$461,T$1,Data_filtered!$F$2:$F$461,$A23, Data_filtered!$D$2:$D$461,"mata",Data_filtered!$J$2:$J$461,"&lt;&gt;Incompleto")=0, "-", SUMIFS(Data_filtered!$K$2:$K$461,Data_filtered!$A$2:$A$461,T$1,Data_filtered!$F$2:$F$461,$A23,Data_filtered!$D$2:$D$461,"mata",Data_filtered!$J$2:$J$461,"&lt;&gt;Incompleto"))</f>
        <v>-</v>
      </c>
      <c r="V23" s="109" t="str">
        <f>IF(SUMIFS(Data_filtered!$G$2:$G$461,Data_filtered!$A$2:$A$461,V$1,Data_filtered!$F$2:$F$461,$A23, Data_filtered!$D$2:$D$461,"eucalipto",Data_filtered!$J$2:$J$461,"&lt;&gt;Incompleto")=0, "-", SUMIFS(Data_filtered!$K$2:$K$461,Data_filtered!$A$2:$A$461,V$1,Data_filtered!$F$2:$F$461,$A23,Data_filtered!$D$2:$D$461,"eucalipto",Data_filtered!$J$2:$J$461,"&lt;&gt;Incompleto"))</f>
        <v>-</v>
      </c>
      <c r="W23" s="109" t="str">
        <f>IF(SUMIFS(Data_filtered!$G$2:$G$461,Data_filtered!$A$2:$A$461,V$1,Data_filtered!$F$2:$F$461,$A23, Data_filtered!$D$2:$D$461,"mata",Data_filtered!$J$2:$J$461,"&lt;&gt;Incompleto")=0, "-", SUMIFS(Data_filtered!$K$2:$K$461,Data_filtered!$A$2:$A$461,V$1,Data_filtered!$F$2:$F$461,$A23,Data_filtered!$D$2:$D$461,"mata",Data_filtered!$J$2:$J$461,"&lt;&gt;Incompleto"))</f>
        <v>-</v>
      </c>
      <c r="X23" s="109" t="str">
        <f>IF(SUMIFS(Data_filtered!$G$2:$G$461,Data_filtered!$A$2:$A$461,X$1,Data_filtered!$F$2:$F$461,$A23, Data_filtered!$D$2:$D$461,"eucalipto",Data_filtered!$J$2:$J$461,"&lt;&gt;Incompleto")=0, "-", SUMIFS(Data_filtered!$K$2:$K$461,Data_filtered!$A$2:$A$461,X$1,Data_filtered!$F$2:$F$461,$A23,Data_filtered!$D$2:$D$461,"eucalipto",Data_filtered!$J$2:$J$461,"&lt;&gt;Incompleto"))</f>
        <v>-</v>
      </c>
      <c r="Y23" s="109" t="str">
        <f>IF(SUMIFS(Data_filtered!$G$2:$G$461,Data_filtered!$A$2:$A$461,X$1,Data_filtered!$F$2:$F$461,$A23, Data_filtered!$D$2:$D$461,"mata",Data_filtered!$J$2:$J$461,"&lt;&gt;Incompleto")=0, "-", SUMIFS(Data_filtered!$K$2:$K$461,Data_filtered!$A$2:$A$461,X$1,Data_filtered!$F$2:$F$461,$A23,Data_filtered!$D$2:$D$461,"mata",Data_filtered!$J$2:$J$461,"&lt;&gt;Incompleto"))</f>
        <v>-</v>
      </c>
      <c r="Z23" s="109" t="str">
        <f>IF(SUMIFS(Data_filtered!$G$2:$G$461,Data_filtered!$A$2:$A$461,Z$1,Data_filtered!$F$2:$F$461,$A23, Data_filtered!$D$2:$D$461,"eucalipto",Data_filtered!$J$2:$J$461,"&lt;&gt;Incompleto")=0, "-", SUMIFS(Data_filtered!$K$2:$K$461,Data_filtered!$A$2:$A$461,Z$1,Data_filtered!$F$2:$F$461,$A23,Data_filtered!$D$2:$D$461,"eucalipto",Data_filtered!$J$2:$J$461,"&lt;&gt;Incompleto"))</f>
        <v>-</v>
      </c>
      <c r="AA23" s="109" t="str">
        <f>IF(SUMIFS(Data_filtered!$G$2:$G$461,Data_filtered!$A$2:$A$461,Z$1,Data_filtered!$F$2:$F$461,$A23, Data_filtered!$D$2:$D$461,"mata",Data_filtered!$J$2:$J$461,"&lt;&gt;Incompleto")=0, "-", SUMIFS(Data_filtered!$K$2:$K$461,Data_filtered!$A$2:$A$461,Z$1,Data_filtered!$F$2:$F$461,$A23,Data_filtered!$D$2:$D$461,"mata",Data_filtered!$J$2:$J$461,"&lt;&gt;Incompleto"))</f>
        <v>-</v>
      </c>
      <c r="AB23" s="106"/>
      <c r="AC23" s="107"/>
      <c r="AD23" s="106"/>
      <c r="AE23" s="107"/>
      <c r="AF23" s="106"/>
      <c r="AG23" s="107"/>
      <c r="AH23" s="106"/>
      <c r="AI23" s="107"/>
      <c r="AJ23" s="106"/>
      <c r="AK23" s="107"/>
      <c r="AL23" s="106"/>
      <c r="AM23" s="107"/>
      <c r="AN23" s="106"/>
      <c r="AO23" s="107"/>
      <c r="AP23" s="106"/>
      <c r="AQ23" s="107"/>
      <c r="AR23" s="106"/>
      <c r="AS23" s="107"/>
    </row>
    <row r="24">
      <c r="A24" s="15" t="str">
        <f>IFERROR(__xludf.DUMMYFUNCTION("""COMPUTED_VALUE"""),"Staphylinidae")</f>
        <v>Staphylinidae</v>
      </c>
      <c r="B24" s="109" t="str">
        <f>IF(SUMIFS(Data_filtered!$G$2:$G$461,Data_filtered!$A$2:$A$461,B$1,Data_filtered!$F$2:$F$461,$A24, Data_filtered!$D$2:$D$461,"eucalipto",Data_filtered!$J$2:$J$461,"&lt;&gt;Incompleto")=0, "-", SUMIFS(Data_filtered!$K$2:$K$461,Data_filtered!$A$2:$A$461,B$1,Data_filtered!$F$2:$F$461,$A24,Data_filtered!$D$2:$D$461,"eucalipto",Data_filtered!$J$2:$J$461,"&lt;&gt;Incompleto"))</f>
        <v>-</v>
      </c>
      <c r="C24" s="109" t="str">
        <f>IF(SUMIFS(Data_filtered!$G$2:$G$461,Data_filtered!$A$2:$A$461,B$1,Data_filtered!$F$2:$F$461,$A24, Data_filtered!$D$2:$D$461,"mata",Data_filtered!$J$2:$J$461,"&lt;&gt;Incompleto")=0, "-", SUMIFS(Data_filtered!$K$2:$K$461,Data_filtered!$A$2:$A$461,B$1,Data_filtered!$F$2:$F$461,$A24,Data_filtered!$D$2:$D$461,"mata",Data_filtered!$J$2:$J$461,"&lt;&gt;Incompleto"))</f>
        <v>-</v>
      </c>
      <c r="D24" s="109" t="str">
        <f>IF(SUMIFS(Data_filtered!$G$2:$G$461,Data_filtered!$A$2:$A$461,D$1,Data_filtered!$F$2:$F$461,$A24, Data_filtered!$D$2:$D$461,"eucalipto",Data_filtered!$J$2:$J$461,"&lt;&gt;Incompleto")=0, "-", SUMIFS(Data_filtered!$K$2:$K$461,Data_filtered!$A$2:$A$461,D$1,Data_filtered!$F$2:$F$461,$A24,Data_filtered!$D$2:$D$461,"eucalipto",Data_filtered!$J$2:$J$461,"&lt;&gt;Incompleto"))</f>
        <v>-</v>
      </c>
      <c r="E24" s="109" t="str">
        <f>IF(SUMIFS(Data_filtered!$G$2:$G$461,Data_filtered!$A$2:$A$461,D$1,Data_filtered!$F$2:$F$461,$A24, Data_filtered!$D$2:$D$461,"mata",Data_filtered!$J$2:$J$461,"&lt;&gt;Incompleto")=0, "-", SUMIFS(Data_filtered!$K$2:$K$461,Data_filtered!$A$2:$A$461,D$1,Data_filtered!$F$2:$F$461,$A24,Data_filtered!$D$2:$D$461,"mata",Data_filtered!$J$2:$J$461,"&lt;&gt;Incompleto"))</f>
        <v>-</v>
      </c>
      <c r="F24" s="109" t="str">
        <f>IF(SUMIFS(Data_filtered!$G$2:$G$461,Data_filtered!$A$2:$A$461,F$1,Data_filtered!$F$2:$F$461,$A24, Data_filtered!$D$2:$D$461,"eucalipto",Data_filtered!$J$2:$J$461,"&lt;&gt;Incompleto")=0, "-", SUMIFS(Data_filtered!$K$2:$K$461,Data_filtered!$A$2:$A$461,F$1,Data_filtered!$F$2:$F$461,$A24,Data_filtered!$D$2:$D$461,"eucalipto",Data_filtered!$J$2:$J$461,"&lt;&gt;Incompleto"))</f>
        <v>-</v>
      </c>
      <c r="G24" s="109" t="str">
        <f>IF(SUMIFS(Data_filtered!$G$2:$G$461,Data_filtered!$A$2:$A$461,F$1,Data_filtered!$F$2:$F$461,$A24, Data_filtered!$D$2:$D$461,"mata",Data_filtered!$J$2:$J$461,"&lt;&gt;Incompleto")=0, "-", SUMIFS(Data_filtered!$K$2:$K$461,Data_filtered!$A$2:$A$461,F$1,Data_filtered!$F$2:$F$461,$A24,Data_filtered!$D$2:$D$461,"mata",Data_filtered!$J$2:$J$461,"&lt;&gt;Incompleto"))</f>
        <v>-</v>
      </c>
      <c r="H24" s="109">
        <f>IF(SUMIFS(Data_filtered!$G$2:$G$461,Data_filtered!$A$2:$A$461,H$1,Data_filtered!$F$2:$F$461,$A24, Data_filtered!$D$2:$D$461,"eucalipto",Data_filtered!$J$2:$J$461,"&lt;&gt;Incompleto")=0, "-", SUMIFS(Data_filtered!$K$2:$K$461,Data_filtered!$A$2:$A$461,H$1,Data_filtered!$F$2:$F$461,$A24,Data_filtered!$D$2:$D$461,"eucalipto",Data_filtered!$J$2:$J$461,"&lt;&gt;Incompleto"))</f>
        <v>134.0412866</v>
      </c>
      <c r="I24" s="109" t="str">
        <f>IF(SUMIFS(Data_filtered!$G$2:$G$461,Data_filtered!$A$2:$A$461,H$1,Data_filtered!$F$2:$F$461,$A24, Data_filtered!$D$2:$D$461,"mata",Data_filtered!$J$2:$J$461,"&lt;&gt;Incompleto")=0, "-", SUMIFS(Data_filtered!$K$2:$K$461,Data_filtered!$A$2:$A$461,H$1,Data_filtered!$F$2:$F$461,$A24,Data_filtered!$D$2:$D$461,"mata",Data_filtered!$J$2:$J$461,"&lt;&gt;Incompleto"))</f>
        <v>-</v>
      </c>
      <c r="J24" s="109" t="str">
        <f>IF(SUMIFS(Data_filtered!$G$2:$G$461,Data_filtered!$A$2:$A$461,J$1,Data_filtered!$F$2:$F$461,$A24, Data_filtered!$D$2:$D$461,"eucalipto",Data_filtered!$J$2:$J$461,"&lt;&gt;Incompleto")=0, "-", SUMIFS(Data_filtered!$K$2:$K$461,Data_filtered!$A$2:$A$461,J$1,Data_filtered!$F$2:$F$461,$A24,Data_filtered!$D$2:$D$461,"eucalipto",Data_filtered!$J$2:$J$461,"&lt;&gt;Incompleto"))</f>
        <v>-</v>
      </c>
      <c r="K24" s="109" t="str">
        <f>IF(SUMIFS(Data_filtered!$G$2:$G$461,Data_filtered!$A$2:$A$461,J$1,Data_filtered!$F$2:$F$461,$A24, Data_filtered!$D$2:$D$461,"mata",Data_filtered!$J$2:$J$461,"&lt;&gt;Incompleto")=0, "-", SUMIFS(Data_filtered!$K$2:$K$461,Data_filtered!$A$2:$A$461,J$1,Data_filtered!$F$2:$F$461,$A24,Data_filtered!$D$2:$D$461,"mata",Data_filtered!$J$2:$J$461,"&lt;&gt;Incompleto"))</f>
        <v>-</v>
      </c>
      <c r="L24" s="109">
        <f>IF(SUMIFS(Data_filtered!$G$2:$G$461,Data_filtered!$A$2:$A$461,L$1,Data_filtered!$F$2:$F$461,$A24, Data_filtered!$D$2:$D$461,"eucalipto",Data_filtered!$J$2:$J$461,"&lt;&gt;Incompleto")=0, "-", SUMIFS(Data_filtered!$K$2:$K$461,Data_filtered!$A$2:$A$461,L$1,Data_filtered!$F$2:$F$461,$A24,Data_filtered!$D$2:$D$461,"eucalipto",Data_filtered!$J$2:$J$461,"&lt;&gt;Incompleto"))</f>
        <v>20.94395102</v>
      </c>
      <c r="M24" s="109" t="str">
        <f>IF(SUMIFS(Data_filtered!$G$2:$G$461,Data_filtered!$A$2:$A$461,L$1,Data_filtered!$F$2:$F$461,$A24, Data_filtered!$D$2:$D$461,"mata",Data_filtered!$J$2:$J$461,"&lt;&gt;Incompleto")=0, "-", SUMIFS(Data_filtered!$K$2:$K$461,Data_filtered!$A$2:$A$461,L$1,Data_filtered!$F$2:$F$461,$A24,Data_filtered!$D$2:$D$461,"mata",Data_filtered!$J$2:$J$461,"&lt;&gt;Incompleto"))</f>
        <v>-</v>
      </c>
      <c r="N24" s="109" t="str">
        <f>IF(SUMIFS(Data_filtered!$G$2:$G$461,Data_filtered!$A$2:$A$461,N$1,Data_filtered!$F$2:$F$461,$A24, Data_filtered!$D$2:$D$461,"eucalipto",Data_filtered!$J$2:$J$461,"&lt;&gt;Incompleto")=0, "-", SUMIFS(Data_filtered!$K$2:$K$461,Data_filtered!$A$2:$A$461,N$1,Data_filtered!$F$2:$F$461,$A24,Data_filtered!$D$2:$D$461,"eucalipto",Data_filtered!$J$2:$J$461,"&lt;&gt;Incompleto"))</f>
        <v>-</v>
      </c>
      <c r="O24" s="109" t="str">
        <f>IF(SUMIFS(Data_filtered!$G$2:$G$461,Data_filtered!$A$2:$A$461,N$1,Data_filtered!$F$2:$F$461,$A24, Data_filtered!$D$2:$D$461,"mata",Data_filtered!$J$2:$J$461,"&lt;&gt;Incompleto")=0, "-", SUMIFS(Data_filtered!$K$2:$K$461,Data_filtered!$A$2:$A$461,N$1,Data_filtered!$F$2:$F$461,$A24,Data_filtered!$D$2:$D$461,"mata",Data_filtered!$J$2:$J$461,"&lt;&gt;Incompleto"))</f>
        <v>-</v>
      </c>
      <c r="P24" s="109" t="str">
        <f>IF(SUMIFS(Data_filtered!$G$2:$G$461,Data_filtered!$A$2:$A$461,P$1,Data_filtered!$F$2:$F$461,$A24, Data_filtered!$D$2:$D$461,"eucalipto",Data_filtered!$J$2:$J$461,"&lt;&gt;Incompleto")=0, "-", SUMIFS(Data_filtered!$K$2:$K$461,Data_filtered!$A$2:$A$461,P$1,Data_filtered!$F$2:$F$461,$A24,Data_filtered!$D$2:$D$461,"eucalipto",Data_filtered!$J$2:$J$461,"&lt;&gt;Incompleto"))</f>
        <v>-</v>
      </c>
      <c r="Q24" s="109">
        <f>IF(SUMIFS(Data_filtered!$G$2:$G$461,Data_filtered!$A$2:$A$461,P$1,Data_filtered!$F$2:$F$461,$A24, Data_filtered!$D$2:$D$461,"mata",Data_filtered!$J$2:$J$461,"&lt;&gt;Incompleto")=0, "-", SUMIFS(Data_filtered!$K$2:$K$461,Data_filtered!$A$2:$A$461,P$1,Data_filtered!$F$2:$F$461,$A24,Data_filtered!$D$2:$D$461,"mata",Data_filtered!$J$2:$J$461,"&lt;&gt;Incompleto"))</f>
        <v>201.0619298</v>
      </c>
      <c r="R24" s="109" t="str">
        <f>IF(SUMIFS(Data_filtered!$G$2:$G$461,Data_filtered!$A$2:$A$461,R$1,Data_filtered!$F$2:$F$461,$A24, Data_filtered!$D$2:$D$461,"eucalipto",Data_filtered!$J$2:$J$461,"&lt;&gt;Incompleto")=0, "-", SUMIFS(Data_filtered!$K$2:$K$461,Data_filtered!$A$2:$A$461,R$1,Data_filtered!$F$2:$F$461,$A24,Data_filtered!$D$2:$D$461,"eucalipto",Data_filtered!$J$2:$J$461,"&lt;&gt;Incompleto"))</f>
        <v>-</v>
      </c>
      <c r="S24" s="109">
        <f>IF(SUMIFS(Data_filtered!$G$2:$G$461,Data_filtered!$A$2:$A$461,R$1,Data_filtered!$F$2:$F$461,$A24, Data_filtered!$D$2:$D$461,"mata",Data_filtered!$J$2:$J$461,"&lt;&gt;Incompleto")=0, "-", SUMIFS(Data_filtered!$K$2:$K$461,Data_filtered!$A$2:$A$461,R$1,Data_filtered!$F$2:$F$461,$A24,Data_filtered!$D$2:$D$461,"mata",Data_filtered!$J$2:$J$461,"&lt;&gt;Incompleto"))</f>
        <v>603.1857895</v>
      </c>
      <c r="T24" s="109" t="str">
        <f>IF(SUMIFS(Data_filtered!$G$2:$G$461,Data_filtered!$A$2:$A$461,T$1,Data_filtered!$F$2:$F$461,$A24, Data_filtered!$D$2:$D$461,"eucalipto",Data_filtered!$J$2:$J$461,"&lt;&gt;Incompleto")=0, "-", SUMIFS(Data_filtered!$K$2:$K$461,Data_filtered!$A$2:$A$461,T$1,Data_filtered!$F$2:$F$461,$A24,Data_filtered!$D$2:$D$461,"eucalipto",Data_filtered!$J$2:$J$461,"&lt;&gt;Incompleto"))</f>
        <v>-</v>
      </c>
      <c r="U24" s="109" t="str">
        <f>IF(SUMIFS(Data_filtered!$G$2:$G$461,Data_filtered!$A$2:$A$461,T$1,Data_filtered!$F$2:$F$461,$A24, Data_filtered!$D$2:$D$461,"mata",Data_filtered!$J$2:$J$461,"&lt;&gt;Incompleto")=0, "-", SUMIFS(Data_filtered!$K$2:$K$461,Data_filtered!$A$2:$A$461,T$1,Data_filtered!$F$2:$F$461,$A24,Data_filtered!$D$2:$D$461,"mata",Data_filtered!$J$2:$J$461,"&lt;&gt;Incompleto"))</f>
        <v>-</v>
      </c>
      <c r="V24" s="109" t="str">
        <f>IF(SUMIFS(Data_filtered!$G$2:$G$461,Data_filtered!$A$2:$A$461,V$1,Data_filtered!$F$2:$F$461,$A24, Data_filtered!$D$2:$D$461,"eucalipto",Data_filtered!$J$2:$J$461,"&lt;&gt;Incompleto")=0, "-", SUMIFS(Data_filtered!$K$2:$K$461,Data_filtered!$A$2:$A$461,V$1,Data_filtered!$F$2:$F$461,$A24,Data_filtered!$D$2:$D$461,"eucalipto",Data_filtered!$J$2:$J$461,"&lt;&gt;Incompleto"))</f>
        <v>-</v>
      </c>
      <c r="W24" s="109">
        <f>IF(SUMIFS(Data_filtered!$G$2:$G$461,Data_filtered!$A$2:$A$461,V$1,Data_filtered!$F$2:$F$461,$A24, Data_filtered!$D$2:$D$461,"mata",Data_filtered!$J$2:$J$461,"&lt;&gt;Incompleto")=0, "-", SUMIFS(Data_filtered!$K$2:$K$461,Data_filtered!$A$2:$A$461,V$1,Data_filtered!$F$2:$F$461,$A24,Data_filtered!$D$2:$D$461,"mata",Data_filtered!$J$2:$J$461,"&lt;&gt;Incompleto"))</f>
        <v>917.3450548</v>
      </c>
      <c r="X24" s="109" t="str">
        <f>IF(SUMIFS(Data_filtered!$G$2:$G$461,Data_filtered!$A$2:$A$461,X$1,Data_filtered!$F$2:$F$461,$A24, Data_filtered!$D$2:$D$461,"eucalipto",Data_filtered!$J$2:$J$461,"&lt;&gt;Incompleto")=0, "-", SUMIFS(Data_filtered!$K$2:$K$461,Data_filtered!$A$2:$A$461,X$1,Data_filtered!$F$2:$F$461,$A24,Data_filtered!$D$2:$D$461,"eucalipto",Data_filtered!$J$2:$J$461,"&lt;&gt;Incompleto"))</f>
        <v>-</v>
      </c>
      <c r="Y24" s="109" t="str">
        <f>IF(SUMIFS(Data_filtered!$G$2:$G$461,Data_filtered!$A$2:$A$461,X$1,Data_filtered!$F$2:$F$461,$A24, Data_filtered!$D$2:$D$461,"mata",Data_filtered!$J$2:$J$461,"&lt;&gt;Incompleto")=0, "-", SUMIFS(Data_filtered!$K$2:$K$461,Data_filtered!$A$2:$A$461,X$1,Data_filtered!$F$2:$F$461,$A24,Data_filtered!$D$2:$D$461,"mata",Data_filtered!$J$2:$J$461,"&lt;&gt;Incompleto"))</f>
        <v>-</v>
      </c>
      <c r="Z24" s="109" t="str">
        <f>IF(SUMIFS(Data_filtered!$G$2:$G$461,Data_filtered!$A$2:$A$461,Z$1,Data_filtered!$F$2:$F$461,$A24, Data_filtered!$D$2:$D$461,"eucalipto",Data_filtered!$J$2:$J$461,"&lt;&gt;Incompleto")=0, "-", SUMIFS(Data_filtered!$K$2:$K$461,Data_filtered!$A$2:$A$461,Z$1,Data_filtered!$F$2:$F$461,$A24,Data_filtered!$D$2:$D$461,"eucalipto",Data_filtered!$J$2:$J$461,"&lt;&gt;Incompleto"))</f>
        <v>-</v>
      </c>
      <c r="AA24" s="109" t="str">
        <f>IF(SUMIFS(Data_filtered!$G$2:$G$461,Data_filtered!$A$2:$A$461,Z$1,Data_filtered!$F$2:$F$461,$A24, Data_filtered!$D$2:$D$461,"mata",Data_filtered!$J$2:$J$461,"&lt;&gt;Incompleto")=0, "-", SUMIFS(Data_filtered!$K$2:$K$461,Data_filtered!$A$2:$A$461,Z$1,Data_filtered!$F$2:$F$461,$A24,Data_filtered!$D$2:$D$461,"mata",Data_filtered!$J$2:$J$461,"&lt;&gt;Incompleto"))</f>
        <v>-</v>
      </c>
      <c r="AB24" s="106"/>
      <c r="AC24" s="107"/>
      <c r="AD24" s="106"/>
      <c r="AE24" s="107"/>
      <c r="AF24" s="106"/>
      <c r="AG24" s="107"/>
      <c r="AH24" s="106"/>
      <c r="AI24" s="107"/>
      <c r="AJ24" s="106"/>
      <c r="AK24" s="107"/>
      <c r="AL24" s="106"/>
      <c r="AM24" s="107"/>
      <c r="AN24" s="106"/>
      <c r="AO24" s="107"/>
      <c r="AP24" s="106"/>
      <c r="AQ24" s="107"/>
      <c r="AR24" s="106"/>
      <c r="AS24" s="107"/>
    </row>
    <row r="25">
      <c r="A25" s="15" t="str">
        <f>IFERROR(__xludf.DUMMYFUNCTION("""COMPUTED_VALUE"""),"Thysanoptera")</f>
        <v>Thysanoptera</v>
      </c>
      <c r="B25" s="109" t="str">
        <f>IF(SUMIFS(Data_filtered!$G$2:$G$461,Data_filtered!$A$2:$A$461,B$1,Data_filtered!$F$2:$F$461,$A25, Data_filtered!$D$2:$D$461,"eucalipto",Data_filtered!$J$2:$J$461,"&lt;&gt;Incompleto")=0, "-", SUMIFS(Data_filtered!$K$2:$K$461,Data_filtered!$A$2:$A$461,B$1,Data_filtered!$F$2:$F$461,$A25,Data_filtered!$D$2:$D$461,"eucalipto",Data_filtered!$J$2:$J$461,"&lt;&gt;Incompleto"))</f>
        <v>-</v>
      </c>
      <c r="C25" s="109" t="str">
        <f>IF(SUMIFS(Data_filtered!$G$2:$G$461,Data_filtered!$A$2:$A$461,B$1,Data_filtered!$F$2:$F$461,$A25, Data_filtered!$D$2:$D$461,"mata",Data_filtered!$J$2:$J$461,"&lt;&gt;Incompleto")=0, "-", SUMIFS(Data_filtered!$K$2:$K$461,Data_filtered!$A$2:$A$461,B$1,Data_filtered!$F$2:$F$461,$A25,Data_filtered!$D$2:$D$461,"mata",Data_filtered!$J$2:$J$461,"&lt;&gt;Incompleto"))</f>
        <v>-</v>
      </c>
      <c r="D25" s="109" t="str">
        <f>IF(SUMIFS(Data_filtered!$G$2:$G$461,Data_filtered!$A$2:$A$461,D$1,Data_filtered!$F$2:$F$461,$A25, Data_filtered!$D$2:$D$461,"eucalipto",Data_filtered!$J$2:$J$461,"&lt;&gt;Incompleto")=0, "-", SUMIFS(Data_filtered!$K$2:$K$461,Data_filtered!$A$2:$A$461,D$1,Data_filtered!$F$2:$F$461,$A25,Data_filtered!$D$2:$D$461,"eucalipto",Data_filtered!$J$2:$J$461,"&lt;&gt;Incompleto"))</f>
        <v>-</v>
      </c>
      <c r="E25" s="109" t="str">
        <f>IF(SUMIFS(Data_filtered!$G$2:$G$461,Data_filtered!$A$2:$A$461,D$1,Data_filtered!$F$2:$F$461,$A25, Data_filtered!$D$2:$D$461,"mata",Data_filtered!$J$2:$J$461,"&lt;&gt;Incompleto")=0, "-", SUMIFS(Data_filtered!$K$2:$K$461,Data_filtered!$A$2:$A$461,D$1,Data_filtered!$F$2:$F$461,$A25,Data_filtered!$D$2:$D$461,"mata",Data_filtered!$J$2:$J$461,"&lt;&gt;Incompleto"))</f>
        <v>-</v>
      </c>
      <c r="F25" s="109" t="str">
        <f>IF(SUMIFS(Data_filtered!$G$2:$G$461,Data_filtered!$A$2:$A$461,F$1,Data_filtered!$F$2:$F$461,$A25, Data_filtered!$D$2:$D$461,"eucalipto",Data_filtered!$J$2:$J$461,"&lt;&gt;Incompleto")=0, "-", SUMIFS(Data_filtered!$K$2:$K$461,Data_filtered!$A$2:$A$461,F$1,Data_filtered!$F$2:$F$461,$A25,Data_filtered!$D$2:$D$461,"eucalipto",Data_filtered!$J$2:$J$461,"&lt;&gt;Incompleto"))</f>
        <v>-</v>
      </c>
      <c r="G25" s="109" t="str">
        <f>IF(SUMIFS(Data_filtered!$G$2:$G$461,Data_filtered!$A$2:$A$461,F$1,Data_filtered!$F$2:$F$461,$A25, Data_filtered!$D$2:$D$461,"mata",Data_filtered!$J$2:$J$461,"&lt;&gt;Incompleto")=0, "-", SUMIFS(Data_filtered!$K$2:$K$461,Data_filtered!$A$2:$A$461,F$1,Data_filtered!$F$2:$F$461,$A25,Data_filtered!$D$2:$D$461,"mata",Data_filtered!$J$2:$J$461,"&lt;&gt;Incompleto"))</f>
        <v>-</v>
      </c>
      <c r="H25" s="109" t="str">
        <f>IF(SUMIFS(Data_filtered!$G$2:$G$461,Data_filtered!$A$2:$A$461,H$1,Data_filtered!$F$2:$F$461,$A25, Data_filtered!$D$2:$D$461,"eucalipto",Data_filtered!$J$2:$J$461,"&lt;&gt;Incompleto")=0, "-", SUMIFS(Data_filtered!$K$2:$K$461,Data_filtered!$A$2:$A$461,H$1,Data_filtered!$F$2:$F$461,$A25,Data_filtered!$D$2:$D$461,"eucalipto",Data_filtered!$J$2:$J$461,"&lt;&gt;Incompleto"))</f>
        <v>-</v>
      </c>
      <c r="I25" s="109" t="str">
        <f>IF(SUMIFS(Data_filtered!$G$2:$G$461,Data_filtered!$A$2:$A$461,H$1,Data_filtered!$F$2:$F$461,$A25, Data_filtered!$D$2:$D$461,"mata",Data_filtered!$J$2:$J$461,"&lt;&gt;Incompleto")=0, "-", SUMIFS(Data_filtered!$K$2:$K$461,Data_filtered!$A$2:$A$461,H$1,Data_filtered!$F$2:$F$461,$A25,Data_filtered!$D$2:$D$461,"mata",Data_filtered!$J$2:$J$461,"&lt;&gt;Incompleto"))</f>
        <v>-</v>
      </c>
      <c r="J25" s="109" t="str">
        <f>IF(SUMIFS(Data_filtered!$G$2:$G$461,Data_filtered!$A$2:$A$461,J$1,Data_filtered!$F$2:$F$461,$A25, Data_filtered!$D$2:$D$461,"eucalipto",Data_filtered!$J$2:$J$461,"&lt;&gt;Incompleto")=0, "-", SUMIFS(Data_filtered!$K$2:$K$461,Data_filtered!$A$2:$A$461,J$1,Data_filtered!$F$2:$F$461,$A25,Data_filtered!$D$2:$D$461,"eucalipto",Data_filtered!$J$2:$J$461,"&lt;&gt;Incompleto"))</f>
        <v>-</v>
      </c>
      <c r="K25" s="109" t="str">
        <f>IF(SUMIFS(Data_filtered!$G$2:$G$461,Data_filtered!$A$2:$A$461,J$1,Data_filtered!$F$2:$F$461,$A25, Data_filtered!$D$2:$D$461,"mata",Data_filtered!$J$2:$J$461,"&lt;&gt;Incompleto")=0, "-", SUMIFS(Data_filtered!$K$2:$K$461,Data_filtered!$A$2:$A$461,J$1,Data_filtered!$F$2:$F$461,$A25,Data_filtered!$D$2:$D$461,"mata",Data_filtered!$J$2:$J$461,"&lt;&gt;Incompleto"))</f>
        <v>-</v>
      </c>
      <c r="L25" s="109" t="str">
        <f>IF(SUMIFS(Data_filtered!$G$2:$G$461,Data_filtered!$A$2:$A$461,L$1,Data_filtered!$F$2:$F$461,$A25, Data_filtered!$D$2:$D$461,"eucalipto",Data_filtered!$J$2:$J$461,"&lt;&gt;Incompleto")=0, "-", SUMIFS(Data_filtered!$K$2:$K$461,Data_filtered!$A$2:$A$461,L$1,Data_filtered!$F$2:$F$461,$A25,Data_filtered!$D$2:$D$461,"eucalipto",Data_filtered!$J$2:$J$461,"&lt;&gt;Incompleto"))</f>
        <v>-</v>
      </c>
      <c r="M25" s="109" t="str">
        <f>IF(SUMIFS(Data_filtered!$G$2:$G$461,Data_filtered!$A$2:$A$461,L$1,Data_filtered!$F$2:$F$461,$A25, Data_filtered!$D$2:$D$461,"mata",Data_filtered!$J$2:$J$461,"&lt;&gt;Incompleto")=0, "-", SUMIFS(Data_filtered!$K$2:$K$461,Data_filtered!$A$2:$A$461,L$1,Data_filtered!$F$2:$F$461,$A25,Data_filtered!$D$2:$D$461,"mata",Data_filtered!$J$2:$J$461,"&lt;&gt;Incompleto"))</f>
        <v>-</v>
      </c>
      <c r="N25" s="109" t="str">
        <f>IF(SUMIFS(Data_filtered!$G$2:$G$461,Data_filtered!$A$2:$A$461,N$1,Data_filtered!$F$2:$F$461,$A25, Data_filtered!$D$2:$D$461,"eucalipto",Data_filtered!$J$2:$J$461,"&lt;&gt;Incompleto")=0, "-", SUMIFS(Data_filtered!$K$2:$K$461,Data_filtered!$A$2:$A$461,N$1,Data_filtered!$F$2:$F$461,$A25,Data_filtered!$D$2:$D$461,"eucalipto",Data_filtered!$J$2:$J$461,"&lt;&gt;Incompleto"))</f>
        <v>-</v>
      </c>
      <c r="O25" s="109" t="str">
        <f>IF(SUMIFS(Data_filtered!$G$2:$G$461,Data_filtered!$A$2:$A$461,N$1,Data_filtered!$F$2:$F$461,$A25, Data_filtered!$D$2:$D$461,"mata",Data_filtered!$J$2:$J$461,"&lt;&gt;Incompleto")=0, "-", SUMIFS(Data_filtered!$K$2:$K$461,Data_filtered!$A$2:$A$461,N$1,Data_filtered!$F$2:$F$461,$A25,Data_filtered!$D$2:$D$461,"mata",Data_filtered!$J$2:$J$461,"&lt;&gt;Incompleto"))</f>
        <v>-</v>
      </c>
      <c r="P25" s="109" t="str">
        <f>IF(SUMIFS(Data_filtered!$G$2:$G$461,Data_filtered!$A$2:$A$461,P$1,Data_filtered!$F$2:$F$461,$A25, Data_filtered!$D$2:$D$461,"eucalipto",Data_filtered!$J$2:$J$461,"&lt;&gt;Incompleto")=0, "-", SUMIFS(Data_filtered!$K$2:$K$461,Data_filtered!$A$2:$A$461,P$1,Data_filtered!$F$2:$F$461,$A25,Data_filtered!$D$2:$D$461,"eucalipto",Data_filtered!$J$2:$J$461,"&lt;&gt;Incompleto"))</f>
        <v>-</v>
      </c>
      <c r="Q25" s="109" t="str">
        <f>IF(SUMIFS(Data_filtered!$G$2:$G$461,Data_filtered!$A$2:$A$461,P$1,Data_filtered!$F$2:$F$461,$A25, Data_filtered!$D$2:$D$461,"mata",Data_filtered!$J$2:$J$461,"&lt;&gt;Incompleto")=0, "-", SUMIFS(Data_filtered!$K$2:$K$461,Data_filtered!$A$2:$A$461,P$1,Data_filtered!$F$2:$F$461,$A25,Data_filtered!$D$2:$D$461,"mata",Data_filtered!$J$2:$J$461,"&lt;&gt;Incompleto"))</f>
        <v>-</v>
      </c>
      <c r="R25" s="109" t="str">
        <f>IF(SUMIFS(Data_filtered!$G$2:$G$461,Data_filtered!$A$2:$A$461,R$1,Data_filtered!$F$2:$F$461,$A25, Data_filtered!$D$2:$D$461,"eucalipto",Data_filtered!$J$2:$J$461,"&lt;&gt;Incompleto")=0, "-", SUMIFS(Data_filtered!$K$2:$K$461,Data_filtered!$A$2:$A$461,R$1,Data_filtered!$F$2:$F$461,$A25,Data_filtered!$D$2:$D$461,"eucalipto",Data_filtered!$J$2:$J$461,"&lt;&gt;Incompleto"))</f>
        <v>-</v>
      </c>
      <c r="S25" s="109" t="str">
        <f>IF(SUMIFS(Data_filtered!$G$2:$G$461,Data_filtered!$A$2:$A$461,R$1,Data_filtered!$F$2:$F$461,$A25, Data_filtered!$D$2:$D$461,"mata",Data_filtered!$J$2:$J$461,"&lt;&gt;Incompleto")=0, "-", SUMIFS(Data_filtered!$K$2:$K$461,Data_filtered!$A$2:$A$461,R$1,Data_filtered!$F$2:$F$461,$A25,Data_filtered!$D$2:$D$461,"mata",Data_filtered!$J$2:$J$461,"&lt;&gt;Incompleto"))</f>
        <v>-</v>
      </c>
      <c r="T25" s="109" t="str">
        <f>IF(SUMIFS(Data_filtered!$G$2:$G$461,Data_filtered!$A$2:$A$461,T$1,Data_filtered!$F$2:$F$461,$A25, Data_filtered!$D$2:$D$461,"eucalipto",Data_filtered!$J$2:$J$461,"&lt;&gt;Incompleto")=0, "-", SUMIFS(Data_filtered!$K$2:$K$461,Data_filtered!$A$2:$A$461,T$1,Data_filtered!$F$2:$F$461,$A25,Data_filtered!$D$2:$D$461,"eucalipto",Data_filtered!$J$2:$J$461,"&lt;&gt;Incompleto"))</f>
        <v>-</v>
      </c>
      <c r="U25" s="109" t="str">
        <f>IF(SUMIFS(Data_filtered!$G$2:$G$461,Data_filtered!$A$2:$A$461,T$1,Data_filtered!$F$2:$F$461,$A25, Data_filtered!$D$2:$D$461,"mata",Data_filtered!$J$2:$J$461,"&lt;&gt;Incompleto")=0, "-", SUMIFS(Data_filtered!$K$2:$K$461,Data_filtered!$A$2:$A$461,T$1,Data_filtered!$F$2:$F$461,$A25,Data_filtered!$D$2:$D$461,"mata",Data_filtered!$J$2:$J$461,"&lt;&gt;Incompleto"))</f>
        <v>-</v>
      </c>
      <c r="V25" s="109" t="str">
        <f>IF(SUMIFS(Data_filtered!$G$2:$G$461,Data_filtered!$A$2:$A$461,V$1,Data_filtered!$F$2:$F$461,$A25, Data_filtered!$D$2:$D$461,"eucalipto",Data_filtered!$J$2:$J$461,"&lt;&gt;Incompleto")=0, "-", SUMIFS(Data_filtered!$K$2:$K$461,Data_filtered!$A$2:$A$461,V$1,Data_filtered!$F$2:$F$461,$A25,Data_filtered!$D$2:$D$461,"eucalipto",Data_filtered!$J$2:$J$461,"&lt;&gt;Incompleto"))</f>
        <v>-</v>
      </c>
      <c r="W25" s="109" t="str">
        <f>IF(SUMIFS(Data_filtered!$G$2:$G$461,Data_filtered!$A$2:$A$461,V$1,Data_filtered!$F$2:$F$461,$A25, Data_filtered!$D$2:$D$461,"mata",Data_filtered!$J$2:$J$461,"&lt;&gt;Incompleto")=0, "-", SUMIFS(Data_filtered!$K$2:$K$461,Data_filtered!$A$2:$A$461,V$1,Data_filtered!$F$2:$F$461,$A25,Data_filtered!$D$2:$D$461,"mata",Data_filtered!$J$2:$J$461,"&lt;&gt;Incompleto"))</f>
        <v>-</v>
      </c>
      <c r="X25" s="109" t="str">
        <f>IF(SUMIFS(Data_filtered!$G$2:$G$461,Data_filtered!$A$2:$A$461,X$1,Data_filtered!$F$2:$F$461,$A25, Data_filtered!$D$2:$D$461,"eucalipto",Data_filtered!$J$2:$J$461,"&lt;&gt;Incompleto")=0, "-", SUMIFS(Data_filtered!$K$2:$K$461,Data_filtered!$A$2:$A$461,X$1,Data_filtered!$F$2:$F$461,$A25,Data_filtered!$D$2:$D$461,"eucalipto",Data_filtered!$J$2:$J$461,"&lt;&gt;Incompleto"))</f>
        <v>-</v>
      </c>
      <c r="Y25" s="109" t="str">
        <f>IF(SUMIFS(Data_filtered!$G$2:$G$461,Data_filtered!$A$2:$A$461,X$1,Data_filtered!$F$2:$F$461,$A25, Data_filtered!$D$2:$D$461,"mata",Data_filtered!$J$2:$J$461,"&lt;&gt;Incompleto")=0, "-", SUMIFS(Data_filtered!$K$2:$K$461,Data_filtered!$A$2:$A$461,X$1,Data_filtered!$F$2:$F$461,$A25,Data_filtered!$D$2:$D$461,"mata",Data_filtered!$J$2:$J$461,"&lt;&gt;Incompleto"))</f>
        <v>-</v>
      </c>
      <c r="Z25" s="109" t="str">
        <f>IF(SUMIFS(Data_filtered!$G$2:$G$461,Data_filtered!$A$2:$A$461,Z$1,Data_filtered!$F$2:$F$461,$A25, Data_filtered!$D$2:$D$461,"eucalipto",Data_filtered!$J$2:$J$461,"&lt;&gt;Incompleto")=0, "-", SUMIFS(Data_filtered!$K$2:$K$461,Data_filtered!$A$2:$A$461,Z$1,Data_filtered!$F$2:$F$461,$A25,Data_filtered!$D$2:$D$461,"eucalipto",Data_filtered!$J$2:$J$461,"&lt;&gt;Incompleto"))</f>
        <v>-</v>
      </c>
      <c r="AA25" s="109" t="str">
        <f>IF(SUMIFS(Data_filtered!$G$2:$G$461,Data_filtered!$A$2:$A$461,Z$1,Data_filtered!$F$2:$F$461,$A25, Data_filtered!$D$2:$D$461,"mata",Data_filtered!$J$2:$J$461,"&lt;&gt;Incompleto")=0, "-", SUMIFS(Data_filtered!$K$2:$K$461,Data_filtered!$A$2:$A$461,Z$1,Data_filtered!$F$2:$F$461,$A25,Data_filtered!$D$2:$D$461,"mata",Data_filtered!$J$2:$J$461,"&lt;&gt;Incompleto"))</f>
        <v>-</v>
      </c>
      <c r="AB25" s="106"/>
      <c r="AC25" s="107"/>
      <c r="AD25" s="106"/>
      <c r="AE25" s="107"/>
      <c r="AF25" s="106"/>
      <c r="AG25" s="107"/>
      <c r="AH25" s="106"/>
      <c r="AI25" s="107"/>
      <c r="AJ25" s="106"/>
      <c r="AK25" s="107"/>
      <c r="AL25" s="106"/>
      <c r="AM25" s="107"/>
      <c r="AN25" s="106"/>
      <c r="AO25" s="107"/>
      <c r="AP25" s="106"/>
      <c r="AQ25" s="107"/>
      <c r="AR25" s="106"/>
      <c r="AS25" s="107"/>
    </row>
    <row r="26">
      <c r="A26" s="15" t="str">
        <f>IFERROR(__xludf.DUMMYFUNCTION("""COMPUTED_VALUE"""),"Vespa")</f>
        <v>Vespa</v>
      </c>
      <c r="B26" s="109" t="str">
        <f>IF(SUMIFS(Data_filtered!$G$2:$G$461,Data_filtered!$A$2:$A$461,B$1,Data_filtered!$F$2:$F$461,$A26, Data_filtered!$D$2:$D$461,"eucalipto",Data_filtered!$J$2:$J$461,"&lt;&gt;Incompleto")=0, "-", SUMIFS(Data_filtered!$K$2:$K$461,Data_filtered!$A$2:$A$461,B$1,Data_filtered!$F$2:$F$461,$A26,Data_filtered!$D$2:$D$461,"eucalipto",Data_filtered!$J$2:$J$461,"&lt;&gt;Incompleto"))</f>
        <v>-</v>
      </c>
      <c r="C26" s="109" t="str">
        <f>IF(SUMIFS(Data_filtered!$G$2:$G$461,Data_filtered!$A$2:$A$461,B$1,Data_filtered!$F$2:$F$461,$A26, Data_filtered!$D$2:$D$461,"mata",Data_filtered!$J$2:$J$461,"&lt;&gt;Incompleto")=0, "-", SUMIFS(Data_filtered!$K$2:$K$461,Data_filtered!$A$2:$A$461,B$1,Data_filtered!$F$2:$F$461,$A26,Data_filtered!$D$2:$D$461,"mata",Data_filtered!$J$2:$J$461,"&lt;&gt;Incompleto"))</f>
        <v>-</v>
      </c>
      <c r="D26" s="109" t="str">
        <f>IF(SUMIFS(Data_filtered!$G$2:$G$461,Data_filtered!$A$2:$A$461,D$1,Data_filtered!$F$2:$F$461,$A26, Data_filtered!$D$2:$D$461,"eucalipto",Data_filtered!$J$2:$J$461,"&lt;&gt;Incompleto")=0, "-", SUMIFS(Data_filtered!$K$2:$K$461,Data_filtered!$A$2:$A$461,D$1,Data_filtered!$F$2:$F$461,$A26,Data_filtered!$D$2:$D$461,"eucalipto",Data_filtered!$J$2:$J$461,"&lt;&gt;Incompleto"))</f>
        <v>-</v>
      </c>
      <c r="E26" s="109" t="str">
        <f>IF(SUMIFS(Data_filtered!$G$2:$G$461,Data_filtered!$A$2:$A$461,D$1,Data_filtered!$F$2:$F$461,$A26, Data_filtered!$D$2:$D$461,"mata",Data_filtered!$J$2:$J$461,"&lt;&gt;Incompleto")=0, "-", SUMIFS(Data_filtered!$K$2:$K$461,Data_filtered!$A$2:$A$461,D$1,Data_filtered!$F$2:$F$461,$A26,Data_filtered!$D$2:$D$461,"mata",Data_filtered!$J$2:$J$461,"&lt;&gt;Incompleto"))</f>
        <v>-</v>
      </c>
      <c r="F26" s="109" t="str">
        <f>IF(SUMIFS(Data_filtered!$G$2:$G$461,Data_filtered!$A$2:$A$461,F$1,Data_filtered!$F$2:$F$461,$A26, Data_filtered!$D$2:$D$461,"eucalipto",Data_filtered!$J$2:$J$461,"&lt;&gt;Incompleto")=0, "-", SUMIFS(Data_filtered!$K$2:$K$461,Data_filtered!$A$2:$A$461,F$1,Data_filtered!$F$2:$F$461,$A26,Data_filtered!$D$2:$D$461,"eucalipto",Data_filtered!$J$2:$J$461,"&lt;&gt;Incompleto"))</f>
        <v>-</v>
      </c>
      <c r="G26" s="109" t="str">
        <f>IF(SUMIFS(Data_filtered!$G$2:$G$461,Data_filtered!$A$2:$A$461,F$1,Data_filtered!$F$2:$F$461,$A26, Data_filtered!$D$2:$D$461,"mata",Data_filtered!$J$2:$J$461,"&lt;&gt;Incompleto")=0, "-", SUMIFS(Data_filtered!$K$2:$K$461,Data_filtered!$A$2:$A$461,F$1,Data_filtered!$F$2:$F$461,$A26,Data_filtered!$D$2:$D$461,"mata",Data_filtered!$J$2:$J$461,"&lt;&gt;Incompleto"))</f>
        <v>-</v>
      </c>
      <c r="H26" s="109" t="str">
        <f>IF(SUMIFS(Data_filtered!$G$2:$G$461,Data_filtered!$A$2:$A$461,H$1,Data_filtered!$F$2:$F$461,$A26, Data_filtered!$D$2:$D$461,"eucalipto",Data_filtered!$J$2:$J$461,"&lt;&gt;Incompleto")=0, "-", SUMIFS(Data_filtered!$K$2:$K$461,Data_filtered!$A$2:$A$461,H$1,Data_filtered!$F$2:$F$461,$A26,Data_filtered!$D$2:$D$461,"eucalipto",Data_filtered!$J$2:$J$461,"&lt;&gt;Incompleto"))</f>
        <v>-</v>
      </c>
      <c r="I26" s="109" t="str">
        <f>IF(SUMIFS(Data_filtered!$G$2:$G$461,Data_filtered!$A$2:$A$461,H$1,Data_filtered!$F$2:$F$461,$A26, Data_filtered!$D$2:$D$461,"mata",Data_filtered!$J$2:$J$461,"&lt;&gt;Incompleto")=0, "-", SUMIFS(Data_filtered!$K$2:$K$461,Data_filtered!$A$2:$A$461,H$1,Data_filtered!$F$2:$F$461,$A26,Data_filtered!$D$2:$D$461,"mata",Data_filtered!$J$2:$J$461,"&lt;&gt;Incompleto"))</f>
        <v>-</v>
      </c>
      <c r="J26" s="109" t="str">
        <f>IF(SUMIFS(Data_filtered!$G$2:$G$461,Data_filtered!$A$2:$A$461,J$1,Data_filtered!$F$2:$F$461,$A26, Data_filtered!$D$2:$D$461,"eucalipto",Data_filtered!$J$2:$J$461,"&lt;&gt;Incompleto")=0, "-", SUMIFS(Data_filtered!$K$2:$K$461,Data_filtered!$A$2:$A$461,J$1,Data_filtered!$F$2:$F$461,$A26,Data_filtered!$D$2:$D$461,"eucalipto",Data_filtered!$J$2:$J$461,"&lt;&gt;Incompleto"))</f>
        <v>-</v>
      </c>
      <c r="K26" s="109">
        <f>IF(SUMIFS(Data_filtered!$G$2:$G$461,Data_filtered!$A$2:$A$461,J$1,Data_filtered!$F$2:$F$461,$A26, Data_filtered!$D$2:$D$461,"mata",Data_filtered!$J$2:$J$461,"&lt;&gt;Incompleto")=0, "-", SUMIFS(Data_filtered!$K$2:$K$461,Data_filtered!$A$2:$A$461,J$1,Data_filtered!$F$2:$F$461,$A26,Data_filtered!$D$2:$D$461,"mata",Data_filtered!$J$2:$J$461,"&lt;&gt;Incompleto"))</f>
        <v>12.56637061</v>
      </c>
      <c r="L26" s="109">
        <f>IF(SUMIFS(Data_filtered!$G$2:$G$461,Data_filtered!$A$2:$A$461,L$1,Data_filtered!$F$2:$F$461,$A26, Data_filtered!$D$2:$D$461,"eucalipto",Data_filtered!$J$2:$J$461,"&lt;&gt;Incompleto")=0, "-", SUMIFS(Data_filtered!$K$2:$K$461,Data_filtered!$A$2:$A$461,L$1,Data_filtered!$F$2:$F$461,$A26,Data_filtered!$D$2:$D$461,"eucalipto",Data_filtered!$J$2:$J$461,"&lt;&gt;Incompleto"))</f>
        <v>8.37758041</v>
      </c>
      <c r="M26" s="109" t="str">
        <f>IF(SUMIFS(Data_filtered!$G$2:$G$461,Data_filtered!$A$2:$A$461,L$1,Data_filtered!$F$2:$F$461,$A26, Data_filtered!$D$2:$D$461,"mata",Data_filtered!$J$2:$J$461,"&lt;&gt;Incompleto")=0, "-", SUMIFS(Data_filtered!$K$2:$K$461,Data_filtered!$A$2:$A$461,L$1,Data_filtered!$F$2:$F$461,$A26,Data_filtered!$D$2:$D$461,"mata",Data_filtered!$J$2:$J$461,"&lt;&gt;Incompleto"))</f>
        <v>-</v>
      </c>
      <c r="N26" s="109" t="str">
        <f>IF(SUMIFS(Data_filtered!$G$2:$G$461,Data_filtered!$A$2:$A$461,N$1,Data_filtered!$F$2:$F$461,$A26, Data_filtered!$D$2:$D$461,"eucalipto",Data_filtered!$J$2:$J$461,"&lt;&gt;Incompleto")=0, "-", SUMIFS(Data_filtered!$K$2:$K$461,Data_filtered!$A$2:$A$461,N$1,Data_filtered!$F$2:$F$461,$A26,Data_filtered!$D$2:$D$461,"eucalipto",Data_filtered!$J$2:$J$461,"&lt;&gt;Incompleto"))</f>
        <v>-</v>
      </c>
      <c r="O26" s="109" t="str">
        <f>IF(SUMIFS(Data_filtered!$G$2:$G$461,Data_filtered!$A$2:$A$461,N$1,Data_filtered!$F$2:$F$461,$A26, Data_filtered!$D$2:$D$461,"mata",Data_filtered!$J$2:$J$461,"&lt;&gt;Incompleto")=0, "-", SUMIFS(Data_filtered!$K$2:$K$461,Data_filtered!$A$2:$A$461,N$1,Data_filtered!$F$2:$F$461,$A26,Data_filtered!$D$2:$D$461,"mata",Data_filtered!$J$2:$J$461,"&lt;&gt;Incompleto"))</f>
        <v>-</v>
      </c>
      <c r="P26" s="109" t="str">
        <f>IF(SUMIFS(Data_filtered!$G$2:$G$461,Data_filtered!$A$2:$A$461,P$1,Data_filtered!$F$2:$F$461,$A26, Data_filtered!$D$2:$D$461,"eucalipto",Data_filtered!$J$2:$J$461,"&lt;&gt;Incompleto")=0, "-", SUMIFS(Data_filtered!$K$2:$K$461,Data_filtered!$A$2:$A$461,P$1,Data_filtered!$F$2:$F$461,$A26,Data_filtered!$D$2:$D$461,"eucalipto",Data_filtered!$J$2:$J$461,"&lt;&gt;Incompleto"))</f>
        <v>-</v>
      </c>
      <c r="Q26" s="109" t="str">
        <f>IF(SUMIFS(Data_filtered!$G$2:$G$461,Data_filtered!$A$2:$A$461,P$1,Data_filtered!$F$2:$F$461,$A26, Data_filtered!$D$2:$D$461,"mata",Data_filtered!$J$2:$J$461,"&lt;&gt;Incompleto")=0, "-", SUMIFS(Data_filtered!$K$2:$K$461,Data_filtered!$A$2:$A$461,P$1,Data_filtered!$F$2:$F$461,$A26,Data_filtered!$D$2:$D$461,"mata",Data_filtered!$J$2:$J$461,"&lt;&gt;Incompleto"))</f>
        <v>-</v>
      </c>
      <c r="R26" s="109" t="str">
        <f>IF(SUMIFS(Data_filtered!$G$2:$G$461,Data_filtered!$A$2:$A$461,R$1,Data_filtered!$F$2:$F$461,$A26, Data_filtered!$D$2:$D$461,"eucalipto",Data_filtered!$J$2:$J$461,"&lt;&gt;Incompleto")=0, "-", SUMIFS(Data_filtered!$K$2:$K$461,Data_filtered!$A$2:$A$461,R$1,Data_filtered!$F$2:$F$461,$A26,Data_filtered!$D$2:$D$461,"eucalipto",Data_filtered!$J$2:$J$461,"&lt;&gt;Incompleto"))</f>
        <v>-</v>
      </c>
      <c r="S26" s="109" t="str">
        <f>IF(SUMIFS(Data_filtered!$G$2:$G$461,Data_filtered!$A$2:$A$461,R$1,Data_filtered!$F$2:$F$461,$A26, Data_filtered!$D$2:$D$461,"mata",Data_filtered!$J$2:$J$461,"&lt;&gt;Incompleto")=0, "-", SUMIFS(Data_filtered!$K$2:$K$461,Data_filtered!$A$2:$A$461,R$1,Data_filtered!$F$2:$F$461,$A26,Data_filtered!$D$2:$D$461,"mata",Data_filtered!$J$2:$J$461,"&lt;&gt;Incompleto"))</f>
        <v>-</v>
      </c>
      <c r="T26" s="109" t="str">
        <f>IF(SUMIFS(Data_filtered!$G$2:$G$461,Data_filtered!$A$2:$A$461,T$1,Data_filtered!$F$2:$F$461,$A26, Data_filtered!$D$2:$D$461,"eucalipto",Data_filtered!$J$2:$J$461,"&lt;&gt;Incompleto")=0, "-", SUMIFS(Data_filtered!$K$2:$K$461,Data_filtered!$A$2:$A$461,T$1,Data_filtered!$F$2:$F$461,$A26,Data_filtered!$D$2:$D$461,"eucalipto",Data_filtered!$J$2:$J$461,"&lt;&gt;Incompleto"))</f>
        <v>-</v>
      </c>
      <c r="U26" s="109" t="str">
        <f>IF(SUMIFS(Data_filtered!$G$2:$G$461,Data_filtered!$A$2:$A$461,T$1,Data_filtered!$F$2:$F$461,$A26, Data_filtered!$D$2:$D$461,"mata",Data_filtered!$J$2:$J$461,"&lt;&gt;Incompleto")=0, "-", SUMIFS(Data_filtered!$K$2:$K$461,Data_filtered!$A$2:$A$461,T$1,Data_filtered!$F$2:$F$461,$A26,Data_filtered!$D$2:$D$461,"mata",Data_filtered!$J$2:$J$461,"&lt;&gt;Incompleto"))</f>
        <v>-</v>
      </c>
      <c r="V26" s="109" t="str">
        <f>IF(SUMIFS(Data_filtered!$G$2:$G$461,Data_filtered!$A$2:$A$461,V$1,Data_filtered!$F$2:$F$461,$A26, Data_filtered!$D$2:$D$461,"eucalipto",Data_filtered!$J$2:$J$461,"&lt;&gt;Incompleto")=0, "-", SUMIFS(Data_filtered!$K$2:$K$461,Data_filtered!$A$2:$A$461,V$1,Data_filtered!$F$2:$F$461,$A26,Data_filtered!$D$2:$D$461,"eucalipto",Data_filtered!$J$2:$J$461,"&lt;&gt;Incompleto"))</f>
        <v>-</v>
      </c>
      <c r="W26" s="109" t="str">
        <f>IF(SUMIFS(Data_filtered!$G$2:$G$461,Data_filtered!$A$2:$A$461,V$1,Data_filtered!$F$2:$F$461,$A26, Data_filtered!$D$2:$D$461,"mata",Data_filtered!$J$2:$J$461,"&lt;&gt;Incompleto")=0, "-", SUMIFS(Data_filtered!$K$2:$K$461,Data_filtered!$A$2:$A$461,V$1,Data_filtered!$F$2:$F$461,$A26,Data_filtered!$D$2:$D$461,"mata",Data_filtered!$J$2:$J$461,"&lt;&gt;Incompleto"))</f>
        <v>-</v>
      </c>
      <c r="X26" s="109" t="str">
        <f>IF(SUMIFS(Data_filtered!$G$2:$G$461,Data_filtered!$A$2:$A$461,X$1,Data_filtered!$F$2:$F$461,$A26, Data_filtered!$D$2:$D$461,"eucalipto",Data_filtered!$J$2:$J$461,"&lt;&gt;Incompleto")=0, "-", SUMIFS(Data_filtered!$K$2:$K$461,Data_filtered!$A$2:$A$461,X$1,Data_filtered!$F$2:$F$461,$A26,Data_filtered!$D$2:$D$461,"eucalipto",Data_filtered!$J$2:$J$461,"&lt;&gt;Incompleto"))</f>
        <v>-</v>
      </c>
      <c r="Y26" s="109" t="str">
        <f>IF(SUMIFS(Data_filtered!$G$2:$G$461,Data_filtered!$A$2:$A$461,X$1,Data_filtered!$F$2:$F$461,$A26, Data_filtered!$D$2:$D$461,"mata",Data_filtered!$J$2:$J$461,"&lt;&gt;Incompleto")=0, "-", SUMIFS(Data_filtered!$K$2:$K$461,Data_filtered!$A$2:$A$461,X$1,Data_filtered!$F$2:$F$461,$A26,Data_filtered!$D$2:$D$461,"mata",Data_filtered!$J$2:$J$461,"&lt;&gt;Incompleto"))</f>
        <v>-</v>
      </c>
      <c r="Z26" s="109" t="str">
        <f>IF(SUMIFS(Data_filtered!$G$2:$G$461,Data_filtered!$A$2:$A$461,Z$1,Data_filtered!$F$2:$F$461,$A26, Data_filtered!$D$2:$D$461,"eucalipto",Data_filtered!$J$2:$J$461,"&lt;&gt;Incompleto")=0, "-", SUMIFS(Data_filtered!$K$2:$K$461,Data_filtered!$A$2:$A$461,Z$1,Data_filtered!$F$2:$F$461,$A26,Data_filtered!$D$2:$D$461,"eucalipto",Data_filtered!$J$2:$J$461,"&lt;&gt;Incompleto"))</f>
        <v>-</v>
      </c>
      <c r="AA26" s="109" t="str">
        <f>IF(SUMIFS(Data_filtered!$G$2:$G$461,Data_filtered!$A$2:$A$461,Z$1,Data_filtered!$F$2:$F$461,$A26, Data_filtered!$D$2:$D$461,"mata",Data_filtered!$J$2:$J$461,"&lt;&gt;Incompleto")=0, "-", SUMIFS(Data_filtered!$K$2:$K$461,Data_filtered!$A$2:$A$461,Z$1,Data_filtered!$F$2:$F$461,$A26,Data_filtered!$D$2:$D$461,"mata",Data_filtered!$J$2:$J$461,"&lt;&gt;Incompleto"))</f>
        <v>-</v>
      </c>
      <c r="AB26" s="106"/>
      <c r="AC26" s="107"/>
      <c r="AD26" s="106"/>
      <c r="AE26" s="107"/>
      <c r="AF26" s="106"/>
      <c r="AG26" s="107"/>
      <c r="AH26" s="106"/>
      <c r="AI26" s="107"/>
      <c r="AJ26" s="106"/>
      <c r="AK26" s="107"/>
      <c r="AL26" s="106"/>
      <c r="AM26" s="107"/>
      <c r="AN26" s="106"/>
      <c r="AO26" s="107"/>
      <c r="AP26" s="106"/>
      <c r="AQ26" s="107"/>
      <c r="AR26" s="106"/>
      <c r="AS26" s="107"/>
    </row>
    <row r="27">
      <c r="A27" s="68"/>
      <c r="B27" s="106"/>
      <c r="C27" s="108"/>
      <c r="D27" s="106"/>
      <c r="E27" s="108"/>
      <c r="F27" s="106"/>
      <c r="G27" s="108"/>
      <c r="H27" s="106"/>
      <c r="I27" s="108"/>
      <c r="J27" s="106"/>
      <c r="K27" s="108"/>
      <c r="L27" s="106"/>
      <c r="M27" s="108"/>
      <c r="N27" s="106"/>
      <c r="O27" s="108"/>
      <c r="P27" s="106"/>
      <c r="Q27" s="108"/>
      <c r="R27" s="106"/>
      <c r="S27" s="108"/>
      <c r="T27" s="106"/>
      <c r="U27" s="108"/>
      <c r="V27" s="106"/>
      <c r="W27" s="108"/>
      <c r="X27" s="106"/>
      <c r="Y27" s="108"/>
      <c r="Z27" s="106"/>
      <c r="AA27" s="108"/>
      <c r="AB27" s="106"/>
      <c r="AC27" s="108"/>
      <c r="AD27" s="106"/>
      <c r="AE27" s="108"/>
      <c r="AF27" s="106"/>
      <c r="AG27" s="108"/>
      <c r="AH27" s="106"/>
      <c r="AI27" s="108"/>
      <c r="AJ27" s="106"/>
      <c r="AK27" s="108"/>
      <c r="AL27" s="106"/>
      <c r="AM27" s="108"/>
      <c r="AN27" s="106"/>
      <c r="AO27" s="108"/>
      <c r="AP27" s="106"/>
      <c r="AQ27" s="108"/>
      <c r="AR27" s="106"/>
      <c r="AS27" s="108"/>
    </row>
    <row r="28">
      <c r="A28" s="68"/>
      <c r="B28" s="106"/>
      <c r="C28" s="108"/>
      <c r="D28" s="106"/>
      <c r="E28" s="108"/>
      <c r="F28" s="106"/>
      <c r="G28" s="108"/>
      <c r="H28" s="106"/>
      <c r="I28" s="108"/>
      <c r="J28" s="106"/>
      <c r="K28" s="108"/>
      <c r="L28" s="106"/>
      <c r="M28" s="108"/>
      <c r="N28" s="106"/>
      <c r="O28" s="108"/>
      <c r="P28" s="106"/>
      <c r="Q28" s="108"/>
      <c r="R28" s="106"/>
      <c r="S28" s="108"/>
      <c r="T28" s="106"/>
      <c r="U28" s="108"/>
      <c r="V28" s="106"/>
      <c r="W28" s="108"/>
      <c r="X28" s="106"/>
      <c r="Y28" s="108"/>
      <c r="Z28" s="106"/>
      <c r="AA28" s="108"/>
      <c r="AB28" s="106"/>
      <c r="AC28" s="108"/>
      <c r="AD28" s="106"/>
      <c r="AE28" s="108"/>
      <c r="AF28" s="106"/>
      <c r="AG28" s="108"/>
      <c r="AH28" s="106"/>
      <c r="AI28" s="108"/>
      <c r="AJ28" s="106"/>
      <c r="AK28" s="108"/>
      <c r="AL28" s="106"/>
      <c r="AM28" s="108"/>
      <c r="AN28" s="106"/>
      <c r="AO28" s="108"/>
      <c r="AP28" s="106"/>
      <c r="AQ28" s="108"/>
      <c r="AR28" s="106"/>
      <c r="AS28" s="108"/>
    </row>
    <row r="29">
      <c r="A29" s="68"/>
      <c r="B29" s="106"/>
      <c r="C29" s="108"/>
      <c r="D29" s="106"/>
      <c r="E29" s="108"/>
      <c r="F29" s="106"/>
      <c r="G29" s="108"/>
      <c r="H29" s="106"/>
      <c r="I29" s="108"/>
      <c r="J29" s="106"/>
      <c r="K29" s="108"/>
      <c r="L29" s="106"/>
      <c r="M29" s="108"/>
      <c r="N29" s="106"/>
      <c r="O29" s="108"/>
      <c r="P29" s="106"/>
      <c r="Q29" s="108"/>
      <c r="R29" s="106"/>
      <c r="S29" s="108"/>
      <c r="T29" s="106"/>
      <c r="U29" s="108"/>
      <c r="V29" s="106"/>
      <c r="W29" s="108"/>
      <c r="X29" s="106"/>
      <c r="Y29" s="108"/>
      <c r="Z29" s="106"/>
      <c r="AA29" s="108"/>
      <c r="AB29" s="106"/>
      <c r="AC29" s="108"/>
      <c r="AD29" s="106"/>
      <c r="AE29" s="108"/>
      <c r="AF29" s="106"/>
      <c r="AG29" s="108"/>
      <c r="AH29" s="106"/>
      <c r="AI29" s="108"/>
      <c r="AJ29" s="106"/>
      <c r="AK29" s="108"/>
      <c r="AL29" s="106"/>
      <c r="AM29" s="108"/>
      <c r="AN29" s="106"/>
      <c r="AO29" s="108"/>
      <c r="AP29" s="106"/>
      <c r="AQ29" s="108"/>
      <c r="AR29" s="106"/>
      <c r="AS29" s="108"/>
    </row>
    <row r="30">
      <c r="B30" s="106"/>
      <c r="C30" s="108"/>
      <c r="D30" s="106"/>
      <c r="E30" s="108"/>
      <c r="F30" s="106"/>
      <c r="G30" s="108"/>
      <c r="H30" s="106"/>
      <c r="I30" s="108"/>
      <c r="J30" s="106"/>
      <c r="K30" s="108"/>
      <c r="L30" s="106"/>
      <c r="M30" s="108"/>
      <c r="N30" s="106"/>
      <c r="O30" s="108"/>
      <c r="P30" s="106"/>
      <c r="Q30" s="108"/>
      <c r="R30" s="106"/>
      <c r="S30" s="108"/>
      <c r="T30" s="106"/>
      <c r="U30" s="108"/>
      <c r="V30" s="106"/>
      <c r="W30" s="108"/>
      <c r="X30" s="106"/>
      <c r="Y30" s="108"/>
      <c r="Z30" s="106"/>
      <c r="AA30" s="108"/>
      <c r="AB30" s="106"/>
      <c r="AC30" s="108"/>
      <c r="AD30" s="106"/>
      <c r="AE30" s="108"/>
      <c r="AF30" s="106"/>
      <c r="AG30" s="108"/>
      <c r="AH30" s="106"/>
      <c r="AI30" s="108"/>
      <c r="AJ30" s="106"/>
      <c r="AK30" s="108"/>
      <c r="AL30" s="106"/>
      <c r="AM30" s="108"/>
      <c r="AN30" s="106"/>
      <c r="AO30" s="108"/>
      <c r="AP30" s="106"/>
      <c r="AQ30" s="108"/>
      <c r="AR30" s="106"/>
      <c r="AS30" s="108"/>
    </row>
    <row r="31">
      <c r="B31" s="106"/>
      <c r="C31" s="108"/>
      <c r="D31" s="106"/>
      <c r="E31" s="108"/>
      <c r="F31" s="106"/>
      <c r="G31" s="108"/>
      <c r="H31" s="106"/>
      <c r="I31" s="108"/>
      <c r="J31" s="106"/>
      <c r="K31" s="108"/>
      <c r="L31" s="106"/>
      <c r="M31" s="108"/>
      <c r="N31" s="106"/>
      <c r="O31" s="108"/>
      <c r="P31" s="106"/>
      <c r="Q31" s="108"/>
      <c r="R31" s="106"/>
      <c r="S31" s="108"/>
      <c r="T31" s="106"/>
      <c r="U31" s="108"/>
      <c r="V31" s="106"/>
      <c r="W31" s="108"/>
      <c r="X31" s="106"/>
      <c r="Y31" s="108"/>
      <c r="Z31" s="106"/>
      <c r="AA31" s="108"/>
      <c r="AB31" s="106"/>
      <c r="AC31" s="108"/>
      <c r="AD31" s="106"/>
      <c r="AE31" s="108"/>
      <c r="AF31" s="106"/>
      <c r="AG31" s="108"/>
      <c r="AH31" s="106"/>
      <c r="AI31" s="108"/>
      <c r="AJ31" s="106"/>
      <c r="AK31" s="108"/>
      <c r="AL31" s="106"/>
      <c r="AM31" s="108"/>
      <c r="AN31" s="106"/>
      <c r="AO31" s="108"/>
      <c r="AP31" s="106"/>
      <c r="AQ31" s="108"/>
      <c r="AR31" s="106"/>
      <c r="AS31" s="108"/>
    </row>
    <row r="32">
      <c r="A32" s="106"/>
    </row>
  </sheetData>
  <mergeCells count="22">
    <mergeCell ref="B1:C1"/>
    <mergeCell ref="D1:E1"/>
    <mergeCell ref="F1:G1"/>
    <mergeCell ref="H1:I1"/>
    <mergeCell ref="J1:K1"/>
    <mergeCell ref="L1:M1"/>
    <mergeCell ref="N1:O1"/>
    <mergeCell ref="AD1:AE1"/>
    <mergeCell ref="AF1:AG1"/>
    <mergeCell ref="AH1:AI1"/>
    <mergeCell ref="AJ1:AK1"/>
    <mergeCell ref="AL1:AM1"/>
    <mergeCell ref="AN1:AO1"/>
    <mergeCell ref="AP1:AQ1"/>
    <mergeCell ref="AR1:AS1"/>
    <mergeCell ref="P1:Q1"/>
    <mergeCell ref="R1:S1"/>
    <mergeCell ref="T1:U1"/>
    <mergeCell ref="V1:W1"/>
    <mergeCell ref="X1:Y1"/>
    <mergeCell ref="Z1:AA1"/>
    <mergeCell ref="AB1:AC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</cols>
  <sheetData>
    <row r="1">
      <c r="B1" s="106" t="s">
        <v>214</v>
      </c>
      <c r="D1" s="106" t="s">
        <v>360</v>
      </c>
      <c r="F1" s="106" t="s">
        <v>126</v>
      </c>
      <c r="H1" s="106" t="s">
        <v>150</v>
      </c>
      <c r="J1" s="106" t="s">
        <v>137</v>
      </c>
      <c r="L1" s="106" t="s">
        <v>170</v>
      </c>
      <c r="N1" s="106" t="s">
        <v>388</v>
      </c>
      <c r="P1" s="106" t="s">
        <v>305</v>
      </c>
      <c r="R1" s="106" t="s">
        <v>145</v>
      </c>
      <c r="T1" s="106" t="s">
        <v>714</v>
      </c>
      <c r="V1" s="106" t="s">
        <v>119</v>
      </c>
      <c r="X1" s="106" t="s">
        <v>434</v>
      </c>
      <c r="Z1" s="106" t="s">
        <v>129</v>
      </c>
      <c r="AB1" s="106" t="s">
        <v>448</v>
      </c>
      <c r="AD1" s="106" t="s">
        <v>165</v>
      </c>
      <c r="AF1" s="106" t="s">
        <v>134</v>
      </c>
      <c r="AH1" s="106" t="s">
        <v>207</v>
      </c>
      <c r="AJ1" s="106" t="s">
        <v>343</v>
      </c>
      <c r="AL1" s="106" t="s">
        <v>210</v>
      </c>
      <c r="AN1" s="106" t="s">
        <v>441</v>
      </c>
      <c r="AP1" s="106" t="s">
        <v>175</v>
      </c>
      <c r="AR1" s="106" t="s">
        <v>349</v>
      </c>
    </row>
    <row r="2">
      <c r="B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substrato"",Data_filtered!$A$2:$A$461=B$1,Data_filtered!$D$2:$D$461=""eucalipto"",Data_filtered!$J$2:$J$461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substrato"",Data_filtered!$A$2:$A$461=B$1,Data_filtered!$D$2:$D$461=""eucalipto"",Data"&amp;"_filtered!$J$2:$J$461 &lt;&gt;""Incompleto""))),"" indiv."",
  "" - "",
  SUMIFS(Data_filtered!$G$2:$G$461,Data_filtered!$A$2:$A$461,B$1,Data_filtered!$E$2:$E$461,""&lt;&gt;Não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1 indiv. - 1 items")</f>
        <v>Eucalyptus
1 indiv. - 1 items</v>
      </c>
      <c r="C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substrato"",Data_filtered!$A$2:$A$461=B$1,Data_filtered!$D$2:$D$461=""mata"",Data_filtered!$J$2:$J$461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substrato"",Data_filtered!$A$2:$A$461=B$1,Data_filtered!$D$2:$D$461=""mata"",Data_filter"&amp;"ed!$J$2:$J$461 &lt;&gt;""Incompleto""))), "" indiv."","" - "", SUMIFS(Data_filtered!$G$2:$G$461,Data_filtered!$A$2:$A$461,B$1,Data_filtered!$E$2:$E$461,""&lt;&gt;Não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1 indiv. - 1 items")</f>
        <v>Atlantic Forest
1 indiv. - 1 items</v>
      </c>
      <c r="D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substrato"",Data_filtered!$A$2:$A$461=D$1,Data_filtered!$D$2:$D$461=""eucalipto"",Data_filtered!$J$2:$J$461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substrato"",Data_filtered!$A$2:$A$461=D$1,Data_filtered!$D$2:$D$461=""eucalipto"",Data"&amp;"_filtered!$J$2:$J$461 &lt;&gt;""Incompleto""))),"" indiv."",
  "" - "",
  SUMIFS(Data_filtered!$G$2:$G$461,Data_filtered!$A$2:$A$461,D$1,Data_filtered!$E$2:$E$461,""&lt;&gt;Não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1 indiv. - 1 items")</f>
        <v>Eucalyptus
1 indiv. - 1 items</v>
      </c>
      <c r="E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substrato"",Data_filtered!$A$2:$A$461=D$1,Data_filtered!$D$2:$D$461=""mata"",Data_filtered!$J$2:$J$461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substrato"",Data_filtered!$A$2:$A$461=D$1,Data_filtered!$D$2:$D$461=""mata"",Data_filter"&amp;"ed!$J$2:$J$461 &lt;&gt;""Incompleto""))), "" indiv."","" - "", SUMIFS(Data_filtered!$G$2:$G$461,Data_filtered!$A$2:$A$461,D$1,Data_filtered!$E$2:$E$461,""&lt;&gt;Não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1 indiv. - 3 items")</f>
        <v>Atlantic Forest
1 indiv. - 3 items</v>
      </c>
      <c r="F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substrato"",Data_filtered!$A$2:$A$461=F$1,Data_filtered!$D$2:$D$461=""eucalipto"",Data_filtered!$J$2:$J$461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substrato"",Data_filtered!$A$2:$A$461=F$1,Data_filtered!$D$2:$D$461=""eucalipto"",Data"&amp;"_filtered!$J$2:$J$461 &lt;&gt;""Incompleto""))),"" indiv."",
  "" - "",
  SUMIFS(Data_filtered!$G$2:$G$461,Data_filtered!$A$2:$A$461,F$1,Data_filtered!$E$2:$E$461,""&lt;&gt;Não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G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substrato"",Data_filtered!$A$2:$A$461=F$1,Data_filtered!$D$2:$D$461=""mata"",Data_filtered!$J$2:$J$461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substrato"",Data_filtered!$A$2:$A$461=F$1,Data_filtered!$D$2:$D$461=""mata"",Data_filter"&amp;"ed!$J$2:$J$461 &lt;&gt;""Incompleto""))), "" indiv."","" - "", SUMIFS(Data_filtered!$G$2:$G$461,Data_filtered!$A$2:$A$461,F$1,Data_filtered!$E$2:$E$461,""&lt;&gt;Não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1 indiv. - 3 items")</f>
        <v>Atlantic Forest
1 indiv. - 3 items</v>
      </c>
      <c r="H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substrato"",Data_filtered!$A$2:$A$461=H$1,Data_filtered!$D$2:$D$461=""eucalipto"",Data_filtered!$J$2:$J$461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substrato"",Data_filtered!$A$2:$A$461=H$1,Data_filtered!$D$2:$D$461=""eucalipto"",Data"&amp;"_filtered!$J$2:$J$461 &lt;&gt;""Incompleto""))),"" indiv."",
  "" - "",
  SUMIFS(Data_filtered!$G$2:$G$461,Data_filtered!$A$2:$A$461,H$1,Data_filtered!$E$2:$E$461,""&lt;&gt;Não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I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substrato"",Data_filtered!$A$2:$A$461=H$1,Data_filtered!$D$2:$D$461=""mata"",Data_filtered!$J$2:$J$461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substrato"",Data_filtered!$A$2:$A$461=H$1,Data_filtered!$D$2:$D$461=""mata"",Data_filter"&amp;"ed!$J$2:$J$461 &lt;&gt;""Incompleto""))), "" indiv."","" - "", SUMIFS(Data_filtered!$G$2:$G$461,Data_filtered!$A$2:$A$461,H$1,Data_filtered!$E$2:$E$461,""&lt;&gt;Não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7 indiv. - 10 items")</f>
        <v>Atlantic Forest
7 indiv. - 10 items</v>
      </c>
      <c r="J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substrato"",Data_filtered!$A$2:$A$461=J$1,Data_filtered!$D$2:$D$461=""eucalipto"",Data_filtered!$J$2:$J$461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substrato"",Data_filtered!$A$2:$A$461=J$1,Data_filtered!$D$2:$D$461=""eucalipto"",Data"&amp;"_filtered!$J$2:$J$461 &lt;&gt;""Incompleto""))),"" indiv."",
  "" - "",
  SUMIFS(Data_filtered!$G$2:$G$461,Data_filtered!$A$2:$A$461,J$1,Data_filtered!$E$2:$E$461,""&lt;&gt;Não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11 indiv. - 82 items")</f>
        <v>Eucalyptus
11 indiv. - 82 items</v>
      </c>
      <c r="K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substrato"",Data_filtered!$A$2:$A$461=J$1,Data_filtered!$D$2:$D$461=""mata"",Data_filtered!$J$2:$J$461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substrato"",Data_filtered!$A$2:$A$461=J$1,Data_filtered!$D$2:$D$461=""mata"",Data_filter"&amp;"ed!$J$2:$J$461 &lt;&gt;""Incompleto""))), "" indiv."","" - "", SUMIFS(Data_filtered!$G$2:$G$461,Data_filtered!$A$2:$A$461,J$1,Data_filtered!$E$2:$E$461,""&lt;&gt;Não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2 indiv. - 4 items")</f>
        <v>Atlantic Forest
2 indiv. - 4 items</v>
      </c>
      <c r="L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substrato"",Data_filtered!$A$2:$A$461=L$1,Data_filtered!$D$2:$D$461=""eucalipto"",Data_filtered!$J$2:$J$461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substrato"",Data_filtered!$A$2:$A$461=L$1,Data_filtered!$D$2:$D$461=""eucalipto"",Data"&amp;"_filtered!$J$2:$J$461 &lt;&gt;""Incompleto""))),"" indiv."",
  "" - "",
  SUMIFS(Data_filtered!$G$2:$G$461,Data_filtered!$A$2:$A$461,L$1,Data_filtered!$E$2:$E$461,""&lt;&gt;Não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M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substrato"",Data_filtered!$A$2:$A$461=L$1,Data_filtered!$D$2:$D$461=""mata"",Data_filtered!$J$2:$J$461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substrato"",Data_filtered!$A$2:$A$461=L$1,Data_filtered!$D$2:$D$461=""mata"",Data_filter"&amp;"ed!$J$2:$J$461 &lt;&gt;""Incompleto""))), "" indiv."","" - "", SUMIFS(Data_filtered!$G$2:$G$461,Data_filtered!$A$2:$A$461,L$1,Data_filtered!$E$2:$E$461,""&lt;&gt;Não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7 indiv. - 21 items")</f>
        <v>Atlantic Forest
7 indiv. - 21 items</v>
      </c>
      <c r="N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substrato"",Data_filtered!$A$2:$A$461=N$1,Data_filtered!$D$2:$D$461=""eucalipto"",Data_filtered!$J$2:$J$461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substrato"",Data_filtered!$A$2:$A$461=N$1,Data_filtered!$D$2:$D$461=""eucalipto"",Data"&amp;"_filtered!$J$2:$J$461 &lt;&gt;""Incompleto""))),"" indiv."",
  "" - "",
  SUMIFS(Data_filtered!$G$2:$G$461,Data_filtered!$A$2:$A$461,N$1,Data_filtered!$E$2:$E$461,""&lt;&gt;Não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O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substrato"",Data_filtered!$A$2:$A$461=N$1,Data_filtered!$D$2:$D$461=""mata"",Data_filtered!$J$2:$J$461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substrato"",Data_filtered!$A$2:$A$461=N$1,Data_filtered!$D$2:$D$461=""mata"",Data_filter"&amp;"ed!$J$2:$J$461 &lt;&gt;""Incompleto""))), "" indiv."","" - "", SUMIFS(Data_filtered!$G$2:$G$461,Data_filtered!$A$2:$A$461,N$1,Data_filtered!$E$2:$E$461,""&lt;&gt;Não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1 indiv. - 1 items")</f>
        <v>Atlantic Forest
1 indiv. - 1 items</v>
      </c>
      <c r="P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substrato"",Data_filtered!$A$2:$A$461=P$1,Data_filtered!$D$2:$D$461=""eucalipto"",Data_filtered!$J$2:$J$461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substrato"",Data_filtered!$A$2:$A$461=P$1,Data_filtered!$D$2:$D$461=""eucalipto"",Data"&amp;"_filtered!$J$2:$J$461 &lt;&gt;""Incompleto""))),"" indiv."",
  "" - "",
  SUMIFS(Data_filtered!$G$2:$G$461,Data_filtered!$A$2:$A$461,P$1,Data_filtered!$E$2:$E$461,""&lt;&gt;Não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1 indiv. - 1 items")</f>
        <v>Eucalyptus
1 indiv. - 1 items</v>
      </c>
      <c r="Q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substrato"",Data_filtered!$A$2:$A$461=P$1,Data_filtered!$D$2:$D$461=""mata"",Data_filtered!$J$2:$J$461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substrato"",Data_filtered!$A$2:$A$461=P$1,Data_filtered!$D$2:$D$461=""mata"",Data_filter"&amp;"ed!$J$2:$J$461 &lt;&gt;""Incompleto""))), "" indiv."","" - "", SUMIFS(Data_filtered!$G$2:$G$461,Data_filtered!$A$2:$A$461,P$1,Data_filtered!$E$2:$E$461,""&lt;&gt;Não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4 indiv. - 5 items")</f>
        <v>Atlantic Forest
4 indiv. - 5 items</v>
      </c>
      <c r="R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substrato"",Data_filtered!$A$2:$A$461=R$1,Data_filtered!$D$2:$D$461=""eucalipto"",Data_filtered!$J$2:$J$461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substrato"",Data_filtered!$A$2:$A$461=R$1,Data_filtered!$D$2:$D$461=""eucalipto"",Data"&amp;"_filtered!$J$2:$J$461 &lt;&gt;""Incompleto""))),"" indiv."",
  "" - "",
  SUMIFS(Data_filtered!$G$2:$G$461,Data_filtered!$A$2:$A$461,R$1,Data_filtered!$E$2:$E$461,""&lt;&gt;Não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6 indiv. - 15 items")</f>
        <v>Eucalyptus
6 indiv. - 15 items</v>
      </c>
      <c r="S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substrato"",Data_filtered!$A$2:$A$461=R$1,Data_filtered!$D$2:$D$461=""mata"",Data_filtered!$J$2:$J$461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substrato"",Data_filtered!$A$2:$A$461=R$1,Data_filtered!$D$2:$D$461=""mata"",Data_filter"&amp;"ed!$J$2:$J$461 &lt;&gt;""Incompleto""))), "" indiv."","" - "", SUMIFS(Data_filtered!$G$2:$G$461,Data_filtered!$A$2:$A$461,R$1,Data_filtered!$E$2:$E$461,""&lt;&gt;Não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3 indiv. - 7 items")</f>
        <v>Atlantic Forest
3 indiv. - 7 items</v>
      </c>
      <c r="T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substrato"",Data_filtered!$A$2:$A$461=T$1,Data_filtered!$D$2:$D$461=""eucalipto"",Data_filtered!$J$2:$J$461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substrato"",Data_filtered!$A$2:$A$461=T$1,Data_filtered!$D$2:$D$461=""eucalipto"",Data"&amp;"_filtered!$J$2:$J$461 &lt;&gt;""Incompleto""))),"" indiv."",
  "" - "",
  SUMIFS(Data_filtered!$G$2:$G$461,Data_filtered!$A$2:$A$461,T$1,Data_filtered!$E$2:$E$461,""&lt;&gt;Não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U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substrato"",Data_filtered!$A$2:$A$461=T$1,Data_filtered!$D$2:$D$461=""mata"",Data_filtered!$J$2:$J$461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substrato"",Data_filtered!$A$2:$A$461=T$1,Data_filtered!$D$2:$D$461=""mata"",Data_filter"&amp;"ed!$J$2:$J$461 &lt;&gt;""Incompleto""))), "" indiv."","" - "", SUMIFS(Data_filtered!$G$2:$G$461,Data_filtered!$A$2:$A$461,T$1,Data_filtered!$E$2:$E$461,""&lt;&gt;Não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2 indiv. - 6 items")</f>
        <v>Atlantic Forest
2 indiv. - 6 items</v>
      </c>
      <c r="V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substrato"",Data_filtered!$A$2:$A$461=V$1,Data_filtered!$D$2:$D$461=""eucalipto"",Data_filtered!$J$2:$J$461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substrato"",Data_filtered!$A$2:$A$461=V$1,Data_filtered!$D$2:$D$461=""eucalipto"",Data"&amp;"_filtered!$J$2:$J$461 &lt;&gt;""Incompleto""))),"" indiv."",
  "" - "",
  SUMIFS(Data_filtered!$G$2:$G$461,Data_filtered!$A$2:$A$461,V$1,Data_filtered!$E$2:$E$461,""&lt;&gt;Não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8 indiv. - 22 items")</f>
        <v>Eucalyptus
8 indiv. - 22 items</v>
      </c>
      <c r="W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substrato"",Data_filtered!$A$2:$A$461=V$1,Data_filtered!$D$2:$D$461=""mata"",Data_filtered!$J$2:$J$461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substrato"",Data_filtered!$A$2:$A$461=V$1,Data_filtered!$D$2:$D$461=""mata"",Data_filter"&amp;"ed!$J$2:$J$461 &lt;&gt;""Incompleto""))), "" indiv."","" - "", SUMIFS(Data_filtered!$G$2:$G$461,Data_filtered!$A$2:$A$461,V$1,Data_filtered!$E$2:$E$461,""&lt;&gt;Não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1 indiv. - 1 items")</f>
        <v>Atlantic Forest
1 indiv. - 1 items</v>
      </c>
      <c r="X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substrato"",Data_filtered!$A$2:$A$461=X$1,Data_filtered!$D$2:$D$461=""eucalipto"",Data_filtered!$J$2:$J$461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substrato"",Data_filtered!$A$2:$A$461=X$1,Data_filtered!$D$2:$D$461=""eucalipto"",Data"&amp;"_filtered!$J$2:$J$461 &lt;&gt;""Incompleto""))),"" indiv."",
  "" - "",
  SUMIFS(Data_filtered!$G$2:$G$461,Data_filtered!$A$2:$A$461,X$1,Data_filtered!$E$2:$E$461,""&lt;&gt;Não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Y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substrato"",Data_filtered!$A$2:$A$461=X$1,Data_filtered!$D$2:$D$461=""mata"",Data_filtered!$J$2:$J$461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substrato"",Data_filtered!$A$2:$A$461=X$1,Data_filtered!$D$2:$D$461=""mata"",Data_filter"&amp;"ed!$J$2:$J$461 &lt;&gt;""Incompleto""))), "" indiv."","" - "", SUMIFS(Data_filtered!$G$2:$G$461,Data_filtered!$A$2:$A$461,X$1,Data_filtered!$E$2:$E$461,""&lt;&gt;Não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1 indiv. - 2 items")</f>
        <v>Atlantic Forest
1 indiv. - 2 items</v>
      </c>
      <c r="Z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substrato"",Data_filtered!$A$2:$A$461=Z$1,Data_filtered!$D$2:$D$461=""eucalipto"",Data_filtered!$J$2:$J$461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substrato"",Data_filtered!$A$2:$A$461=Z$1,Data_filtered!$D$2:$D$461=""eucalipto"",Data"&amp;"_filtered!$J$2:$J$461 &lt;&gt;""Incompleto""))),"" indiv."",
  "" - "",
  SUMIFS(Data_filtered!$G$2:$G$461,Data_filtered!$A$2:$A$461,Z$1,Data_filtered!$E$2:$E$461,""&lt;&gt;Não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1 indiv. - 1 items")</f>
        <v>Eucalyptus
1 indiv. - 1 items</v>
      </c>
      <c r="AA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substrato"",Data_filtered!$A$2:$A$461=Z$1,Data_filtered!$D$2:$D$461=""mata"",Data_filtered!$J$2:$J$461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substrato"",Data_filtered!$A$2:$A$461=Z$1,Data_filtered!$D$2:$D$461=""mata"",Data_filter"&amp;"ed!$J$2:$J$461 &lt;&gt;""Incompleto""))), "" indiv."","" - "", SUMIFS(Data_filtered!$G$2:$G$461,Data_filtered!$A$2:$A$461,Z$1,Data_filtered!$E$2:$E$461,""&lt;&gt;Não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6 indiv. - 7 items")</f>
        <v>Atlantic Forest
6 indiv. - 7 items</v>
      </c>
      <c r="AB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substrato"",Data_filtered!$A$2:$A$461=AB$1,Data_filtered!$D$2:$D$461=""eucalipto"",Data_filtered!$J$2:$J$461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substrato"",Data_filtered!$A$2:$A$461=AB$1,Data_filtered!$D$2:$D$461=""eucalipto"",Da"&amp;"ta_filtered!$J$2:$J$461 &lt;&gt;""Incompleto""))),"" indiv."",
  "" - "",
  SUMIFS(Data_filtered!$G$2:$G$461,Data_filtered!$A$2:$A$461,AB$1,Data_filtered!$E$2:$E$461,""&lt;&gt;Não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AC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substrato"",Data_filtered!$A$2:$A$461=AB$1,Data_filtered!$D$2:$D$461=""mata"",Data_filtered!$J$2:$J$461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substrato"",Data_filtered!$A$2:$A$461=AB$1,Data_filtered!$D$2:$D$461=""mata"",Data_filt"&amp;"ered!$J$2:$J$461 &lt;&gt;""Incompleto""))), "" indiv."","" - "", SUMIFS(Data_filtered!$G$2:$G$461,Data_filtered!$A$2:$A$461,AB$1,Data_filtered!$E$2:$E$461,""&lt;&gt;Não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1 indiv. - 3 items")</f>
        <v>Atlantic Forest
1 indiv. - 3 items</v>
      </c>
      <c r="AD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substrato"",Data_filtered!$A$2:$A$461=AD$1,Data_filtered!$D$2:$D$461=""eucalipto"",Data_filtered!$J$2:$J$461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substrato"",Data_filtered!$A$2:$A$461=AD$1,Data_filtered!$D$2:$D$461=""eucalipto"",Da"&amp;"ta_filtered!$J$2:$J$461 &lt;&gt;""Incompleto""))),"" indiv."",
  "" - "",
  SUMIFS(Data_filtered!$G$2:$G$461,Data_filtered!$A$2:$A$461,AD$1,Data_filtered!$E$2:$E$461,""&lt;&gt;Não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AE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substrato"",Data_filtered!$A$2:$A$461=AD$1,Data_filtered!$D$2:$D$461=""mata"",Data_filtered!$J$2:$J$461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substrato"",Data_filtered!$A$2:$A$461=AD$1,Data_filtered!$D$2:$D$461=""mata"",Data_filt"&amp;"ered!$J$2:$J$461 &lt;&gt;""Incompleto""))), "" indiv."","" - "", SUMIFS(Data_filtered!$G$2:$G$461,Data_filtered!$A$2:$A$461,AD$1,Data_filtered!$E$2:$E$461,""&lt;&gt;Não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1 indiv. - 2 items")</f>
        <v>Atlantic Forest
1 indiv. - 2 items</v>
      </c>
      <c r="AF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substrato"",Data_filtered!$A$2:$A$461=AF$1,Data_filtered!$D$2:$D$461=""eucalipto"",Data_filtered!$J$2:$J$461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substrato"",Data_filtered!$A$2:$A$461=AF$1,Data_filtered!$D$2:$D$461=""eucalipto"",Da"&amp;"ta_filtered!$J$2:$J$461 &lt;&gt;""Incompleto""))),"" indiv."",
  "" - "",
  SUMIFS(Data_filtered!$G$2:$G$461,Data_filtered!$A$2:$A$461,AF$1,Data_filtered!$E$2:$E$461,""&lt;&gt;Não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3 indiv. - 16 items")</f>
        <v>Eucalyptus
3 indiv. - 16 items</v>
      </c>
      <c r="AG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substrato"",Data_filtered!$A$2:$A$461=AF$1,Data_filtered!$D$2:$D$461=""mata"",Data_filtered!$J$2:$J$461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substrato"",Data_filtered!$A$2:$A$461=AF$1,Data_filtered!$D$2:$D$461=""mata"",Data_filt"&amp;"ered!$J$2:$J$461 &lt;&gt;""Incompleto""))), "" indiv."","" - "", SUMIFS(Data_filtered!$G$2:$G$461,Data_filtered!$A$2:$A$461,AF$1,Data_filtered!$E$2:$E$461,""&lt;&gt;Não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6 indiv. - 28 items")</f>
        <v>Atlantic Forest
6 indiv. - 28 items</v>
      </c>
      <c r="AH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substrato"",Data_filtered!$A$2:$A$461=AH$1,Data_filtered!$D$2:$D$461=""eucalipto"",Data_filtered!$J$2:$J$461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substrato"",Data_filtered!$A$2:$A$461=AH$1,Data_filtered!$D$2:$D$461=""eucalipto"",Da"&amp;"ta_filtered!$J$2:$J$461 &lt;&gt;""Incompleto""))),"" indiv."",
  "" - "",
  SUMIFS(Data_filtered!$G$2:$G$461,Data_filtered!$A$2:$A$461,AH$1,Data_filtered!$E$2:$E$461,""&lt;&gt;Não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1 indiv. - 1 items")</f>
        <v>Eucalyptus
1 indiv. - 1 items</v>
      </c>
      <c r="AI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substrato"",Data_filtered!$A$2:$A$461=AH$1,Data_filtered!$D$2:$D$461=""mata"",Data_filtered!$J$2:$J$461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substrato"",Data_filtered!$A$2:$A$461=AH$1,Data_filtered!$D$2:$D$461=""mata"",Data_filt"&amp;"ered!$J$2:$J$461 &lt;&gt;""Incompleto""))), "" indiv."","" - "", SUMIFS(Data_filtered!$G$2:$G$461,Data_filtered!$A$2:$A$461,AH$1,Data_filtered!$E$2:$E$461,""&lt;&gt;Não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7 indiv. - 17 items")</f>
        <v>Atlantic Forest
7 indiv. - 17 items</v>
      </c>
      <c r="AJ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substrato"",Data_filtered!$A$2:$A$461=AJ$1,Data_filtered!$D$2:$D$461=""eucalipto"",Data_filtered!$J$2:$J$461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substrato"",Data_filtered!$A$2:$A$461=AJ$1,Data_filtered!$D$2:$D$461=""eucalipto"",Da"&amp;"ta_filtered!$J$2:$J$461 &lt;&gt;""Incompleto""))),"" indiv."",
  "" - "",
  SUMIFS(Data_filtered!$G$2:$G$461,Data_filtered!$A$2:$A$461,AJ$1,Data_filtered!$E$2:$E$461,""&lt;&gt;Não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AK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substrato"",Data_filtered!$A$2:$A$461=AJ$1,Data_filtered!$D$2:$D$461=""mata"",Data_filtered!$J$2:$J$461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substrato"",Data_filtered!$A$2:$A$461=AJ$1,Data_filtered!$D$2:$D$461=""mata"",Data_filt"&amp;"ered!$J$2:$J$461 &lt;&gt;""Incompleto""))), "" indiv."","" - "", SUMIFS(Data_filtered!$G$2:$G$461,Data_filtered!$A$2:$A$461,AJ$1,Data_filtered!$E$2:$E$461,""&lt;&gt;Não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3 indiv. - 6 items")</f>
        <v>Atlantic Forest
3 indiv. - 6 items</v>
      </c>
      <c r="AL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substrato"",Data_filtered!$A$2:$A$461=AL$1,Data_filtered!$D$2:$D$461=""eucalipto"",Data_filtered!$J$2:$J$461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substrato"",Data_filtered!$A$2:$A$461=AL$1,Data_filtered!$D$2:$D$461=""eucalipto"",Da"&amp;"ta_filtered!$J$2:$J$461 &lt;&gt;""Incompleto""))),"" indiv."",
  "" - "",
  SUMIFS(Data_filtered!$G$2:$G$461,Data_filtered!$A$2:$A$461,AL$1,Data_filtered!$E$2:$E$461,""&lt;&gt;Não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2 indiv. - 13 items")</f>
        <v>Eucalyptus
2 indiv. - 13 items</v>
      </c>
      <c r="AM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substrato"",Data_filtered!$A$2:$A$461=AL$1,Data_filtered!$D$2:$D$461=""mata"",Data_filtered!$J$2:$J$461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substrato"",Data_filtered!$A$2:$A$461=AL$1,Data_filtered!$D$2:$D$461=""mata"",Data_filt"&amp;"ered!$J$2:$J$461 &lt;&gt;""Incompleto""))), "" indiv."","" - "", SUMIFS(Data_filtered!$G$2:$G$461,Data_filtered!$A$2:$A$461,AL$1,Data_filtered!$E$2:$E$461,""&lt;&gt;Não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10 indiv. - 193 items")</f>
        <v>Atlantic Forest
10 indiv. - 193 items</v>
      </c>
      <c r="AN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substrato"",Data_filtered!$A$2:$A$461=AN$1,Data_filtered!$D$2:$D$461=""eucalipto"",Data_filtered!$J$2:$J$461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substrato"",Data_filtered!$A$2:$A$461=AN$1,Data_filtered!$D$2:$D$461=""eucalipto"",Da"&amp;"ta_filtered!$J$2:$J$461 &lt;&gt;""Incompleto""))),"" indiv."",
  "" - "",
  SUMIFS(Data_filtered!$G$2:$G$461,Data_filtered!$A$2:$A$461,AN$1,Data_filtered!$E$2:$E$461,""&lt;&gt;Não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AO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substrato"",Data_filtered!$A$2:$A$461=AN$1,Data_filtered!$D$2:$D$461=""mata"",Data_filtered!$J$2:$J$461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substrato"",Data_filtered!$A$2:$A$461=AN$1,Data_filtered!$D$2:$D$461=""mata"",Data_filt"&amp;"ered!$J$2:$J$461 &lt;&gt;""Incompleto""))), "" indiv."","" - "", SUMIFS(Data_filtered!$G$2:$G$461,Data_filtered!$A$2:$A$461,AN$1,Data_filtered!$E$2:$E$461,""&lt;&gt;Não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2 indiv. - 69 items")</f>
        <v>Atlantic Forest
2 indiv. - 69 items</v>
      </c>
      <c r="AP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substrato"",Data_filtered!$A$2:$A$461=AP$1,Data_filtered!$D$2:$D$461=""eucalipto"",Data_filtered!$J$2:$J$461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substrato"",Data_filtered!$A$2:$A$461=AP$1,Data_filtered!$D$2:$D$461=""eucalipto"",Da"&amp;"ta_filtered!$J$2:$J$461 &lt;&gt;""Incompleto""))),"" indiv."",
  "" - "",
  SUMIFS(Data_filtered!$G$2:$G$461,Data_filtered!$A$2:$A$461,AP$1,Data_filtered!$E$2:$E$461,""&lt;&gt;Não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AQ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substrato"",Data_filtered!$A$2:$A$461=AP$1,Data_filtered!$D$2:$D$461=""mata"",Data_filtered!$J$2:$J$461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substrato"",Data_filtered!$A$2:$A$461=AP$1,Data_filtered!$D$2:$D$461=""mata"",Data_filt"&amp;"ered!$J$2:$J$461 &lt;&gt;""Incompleto""))), "" indiv."","" - "", SUMIFS(Data_filtered!$G$2:$G$461,Data_filtered!$A$2:$A$461,AP$1,Data_filtered!$E$2:$E$461,""&lt;&gt;Não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4 indiv. - 7 items")</f>
        <v>Atlantic Forest
4 indiv. - 7 items</v>
      </c>
      <c r="AR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substrato"",Data_filtered!$A$2:$A$461=AR$1,Data_filtered!$D$2:$D$461=""eucalipto"",Data_filtered!$J$2:$J$461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substrato"",Data_filtered!$A$2:$A$461=AR$1,Data_filtered!$D$2:$D$461=""eucalipto"",Da"&amp;"ta_filtered!$J$2:$J$461 &lt;&gt;""Incompleto""))),"" indiv."",
  "" - "",
  SUMIFS(Data_filtered!$G$2:$G$461,Data_filtered!$A$2:$A$461,AR$1,Data_filtered!$E$2:$E$461,""&lt;&gt;Não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AS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substrato"",Data_filtered!$A$2:$A$461=AR$1,Data_filtered!$D$2:$D$461=""mata"",Data_filtered!$J$2:$J$461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substrato"",Data_filtered!$A$2:$A$461=AR$1,Data_filtered!$D$2:$D$461=""mata"",Data_filt"&amp;"ered!$J$2:$J$461 &lt;&gt;""Incompleto""))), "" indiv."","" - "", SUMIFS(Data_filtered!$G$2:$G$461,Data_filtered!$A$2:$A$461,AR$1,Data_filtered!$E$2:$E$461,""&lt;&gt;Não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1 indiv. - 1 items")</f>
        <v>Atlantic Forest
1 indiv. - 1 items</v>
      </c>
    </row>
    <row r="3">
      <c r="A3" s="9" t="str">
        <f>IFERROR(__xludf.DUMMYFUNCTION("SORT(UNIQUE(FILTER(Data_filtered!F2:F461,Data_filtered!E$2:E$461&lt;&gt;""Não identificado"",Data_filtered!E$2:E$461&lt;&gt;""Semente"",Data_filtered!E$2:E$461&lt;&gt;""Semente de capim"",Data_filtered!E$2:E$461&lt;&gt;""Apenas substrato"",Data_filtered!E$2:E$461&lt;&gt;""Vazio"",Data"&amp;"_filtered!$J$2:$J$461 &lt;&gt;""Incompleto"")))"),"Acari")</f>
        <v>Acari</v>
      </c>
      <c r="B3" s="106" t="str">
        <f>IF(SUMIFS(Data_filtered!$G$2:$G$461,Data_filtered!$A$2:$A$461,B$1,Data_filtered!$F$2:$F$461,$A3, Data_filtered!$D$2:$D$461,"eucalipto",Data_filtered!$J$2:$J$461,"&lt;&gt;Incompleto")=0, "-", SUMIFS(Data_filtered!$G$2:$G$461,Data_filtered!$A$2:$A$461,B$1,Data_filtered!$F$2:$F$461,$A3, Data_filtered!$D$2:$D$461,"eucalipto",Data_filtered!$J$2:$J$461,"&lt;&gt;Incompleto"))</f>
        <v>-</v>
      </c>
      <c r="C3" s="108" t="str">
        <f>IF(SUMIFS(Data_filtered!$G$2:$G$461,Data_filtered!$A$2:$A$461,B$1,Data_filtered!$F$2:$F$461,$A3, Data_filtered!$D$2:$D$461,"mata",Data_filtered!$J$2:$J$461,"&lt;&gt;Incompleto")=0, "-", SUMIFS(Data_filtered!$G$2:$G$461,Data_filtered!$A$2:$A$461,B$1,Data_filtered!$F$2:$F$461,$A3, Data_filtered!$D$2:$D$461,"mata",Data_filtered!$J$2:$J$461,"&lt;&gt;Incompleto"))
</f>
        <v>-</v>
      </c>
      <c r="D3" s="106" t="str">
        <f>IF(SUMIFS(Data_filtered!$G$2:$G$461,Data_filtered!$A$2:$A$461,D$1,Data_filtered!$F$2:$F$461,$A3, Data_filtered!$D$2:$D$461,"eucalipto",Data_filtered!$J$2:$J$461,"&lt;&gt;Incompleto")=0, "-", SUMIFS(Data_filtered!$G$2:$G$461,Data_filtered!$A$2:$A$461,D$1,Data_filtered!$F$2:$F$461,$A3, Data_filtered!$D$2:$D$461,"eucalipto",Data_filtered!$J$2:$J$461,"&lt;&gt;Incompleto"))</f>
        <v>-</v>
      </c>
      <c r="E3" s="108" t="str">
        <f>IF(SUMIFS(Data_filtered!$G$2:$G$461,Data_filtered!$A$2:$A$461,D$1,Data_filtered!$F$2:$F$461,$A3, Data_filtered!$D$2:$D$461,"mata",Data_filtered!$J$2:$J$461,"&lt;&gt;Incompleto")=0, "-", SUMIFS(Data_filtered!$G$2:$G$461,Data_filtered!$A$2:$A$461,D$1,Data_filtered!$F$2:$F$461,$A3, Data_filtered!$D$2:$D$461,"mata",Data_filtered!$J$2:$J$461,"&lt;&gt;Incompleto"))
</f>
        <v>-</v>
      </c>
      <c r="F3" s="106" t="str">
        <f>IF(SUMIFS(Data_filtered!$G$2:$G$461,Data_filtered!$A$2:$A$461,F$1,Data_filtered!$F$2:$F$461,$A3, Data_filtered!$D$2:$D$461,"eucalipto",Data_filtered!$J$2:$J$461,"&lt;&gt;Incompleto")=0, "-", SUMIFS(Data_filtered!$G$2:$G$461,Data_filtered!$A$2:$A$461,F$1,Data_filtered!$F$2:$F$461,$A3, Data_filtered!$D$2:$D$461,"eucalipto",Data_filtered!$J$2:$J$461,"&lt;&gt;Incompleto"))</f>
        <v>-</v>
      </c>
      <c r="G3" s="108" t="str">
        <f>IF(SUMIFS(Data_filtered!$G$2:$G$461,Data_filtered!$A$2:$A$461,F$1,Data_filtered!$F$2:$F$461,$A3, Data_filtered!$D$2:$D$461,"mata",Data_filtered!$J$2:$J$461,"&lt;&gt;Incompleto")=0, "-", SUMIFS(Data_filtered!$G$2:$G$461,Data_filtered!$A$2:$A$461,F$1,Data_filtered!$F$2:$F$461,$A3, Data_filtered!$D$2:$D$461,"mata",Data_filtered!$J$2:$J$461,"&lt;&gt;Incompleto"))
</f>
        <v>-</v>
      </c>
      <c r="H3" s="106" t="str">
        <f>IF(SUMIFS(Data_filtered!$G$2:$G$461,Data_filtered!$A$2:$A$461,H$1,Data_filtered!$F$2:$F$461,$A3, Data_filtered!$D$2:$D$461,"eucalipto",Data_filtered!$J$2:$J$461,"&lt;&gt;Incompleto")=0, "-", SUMIFS(Data_filtered!$G$2:$G$461,Data_filtered!$A$2:$A$461,H$1,Data_filtered!$F$2:$F$461,$A3, Data_filtered!$D$2:$D$461,"eucalipto",Data_filtered!$J$2:$J$461,"&lt;&gt;Incompleto"))</f>
        <v>-</v>
      </c>
      <c r="I3" s="108">
        <f>IF(SUMIFS(Data_filtered!$G$2:$G$461,Data_filtered!$A$2:$A$461,H$1,Data_filtered!$F$2:$F$461,$A3, Data_filtered!$D$2:$D$461,"mata",Data_filtered!$J$2:$J$461,"&lt;&gt;Incompleto")=0, "-", SUMIFS(Data_filtered!$G$2:$G$461,Data_filtered!$A$2:$A$461,H$1,Data_filtered!$F$2:$F$461,$A3, Data_filtered!$D$2:$D$461,"mata",Data_filtered!$J$2:$J$461,"&lt;&gt;Incompleto"))
</f>
        <v>1</v>
      </c>
      <c r="J3" s="106">
        <f>IF(SUMIFS(Data_filtered!$G$2:$G$461,Data_filtered!$A$2:$A$461,J$1,Data_filtered!$F$2:$F$461,$A3, Data_filtered!$D$2:$D$461,"eucalipto",Data_filtered!$J$2:$J$461,"&lt;&gt;Incompleto")=0, "-", SUMIFS(Data_filtered!$G$2:$G$461,Data_filtered!$A$2:$A$461,J$1,Data_filtered!$F$2:$F$461,$A3, Data_filtered!$D$2:$D$461,"eucalipto",Data_filtered!$J$2:$J$461,"&lt;&gt;Incompleto"))</f>
        <v>1</v>
      </c>
      <c r="K3" s="108" t="str">
        <f>IF(SUMIFS(Data_filtered!$G$2:$G$461,Data_filtered!$A$2:$A$461,J$1,Data_filtered!$F$2:$F$461,$A3, Data_filtered!$D$2:$D$461,"mata",Data_filtered!$J$2:$J$461,"&lt;&gt;Incompleto")=0, "-", SUMIFS(Data_filtered!$G$2:$G$461,Data_filtered!$A$2:$A$461,J$1,Data_filtered!$F$2:$F$461,$A3, Data_filtered!$D$2:$D$461,"mata",Data_filtered!$J$2:$J$461,"&lt;&gt;Incompleto"))
</f>
        <v>-</v>
      </c>
      <c r="L3" s="106" t="str">
        <f>IF(SUMIFS(Data_filtered!$G$2:$G$461,Data_filtered!$A$2:$A$461,L$1,Data_filtered!$F$2:$F$461,$A3, Data_filtered!$D$2:$D$461,"eucalipto",Data_filtered!$J$2:$J$461,"&lt;&gt;Incompleto")=0, "-", SUMIFS(Data_filtered!$G$2:$G$461,Data_filtered!$A$2:$A$461,L$1,Data_filtered!$F$2:$F$461,$A3, Data_filtered!$D$2:$D$461,"eucalipto",Data_filtered!$J$2:$J$461,"&lt;&gt;Incompleto"))</f>
        <v>-</v>
      </c>
      <c r="M3" s="108" t="str">
        <f>IF(SUMIFS(Data_filtered!$G$2:$G$461,Data_filtered!$A$2:$A$461,L$1,Data_filtered!$F$2:$F$461,$A3, Data_filtered!$D$2:$D$461,"mata",Data_filtered!$J$2:$J$461,"&lt;&gt;Incompleto")=0, "-", SUMIFS(Data_filtered!$G$2:$G$461,Data_filtered!$A$2:$A$461,L$1,Data_filtered!$F$2:$F$461,$A3, Data_filtered!$D$2:$D$461,"mata",Data_filtered!$J$2:$J$461,"&lt;&gt;Incompleto"))
</f>
        <v>-</v>
      </c>
      <c r="N3" s="106" t="str">
        <f>IF(SUMIFS(Data_filtered!$G$2:$G$461,Data_filtered!$A$2:$A$461,N$1,Data_filtered!$F$2:$F$461,$A3, Data_filtered!$D$2:$D$461,"eucalipto",Data_filtered!$J$2:$J$461,"&lt;&gt;Incompleto")=0, "-", SUMIFS(Data_filtered!$G$2:$G$461,Data_filtered!$A$2:$A$461,N$1,Data_filtered!$F$2:$F$461,$A3, Data_filtered!$D$2:$D$461,"eucalipto",Data_filtered!$J$2:$J$461,"&lt;&gt;Incompleto"))</f>
        <v>-</v>
      </c>
      <c r="O3" s="108" t="str">
        <f>IF(SUMIFS(Data_filtered!$G$2:$G$461,Data_filtered!$A$2:$A$461,N$1,Data_filtered!$F$2:$F$461,$A3, Data_filtered!$D$2:$D$461,"mata",Data_filtered!$J$2:$J$461,"&lt;&gt;Incompleto")=0, "-", SUMIFS(Data_filtered!$G$2:$G$461,Data_filtered!$A$2:$A$461,N$1,Data_filtered!$F$2:$F$461,$A3, Data_filtered!$D$2:$D$461,"mata",Data_filtered!$J$2:$J$461,"&lt;&gt;Incompleto"))
</f>
        <v>-</v>
      </c>
      <c r="P3" s="106" t="str">
        <f>IF(SUMIFS(Data_filtered!$G$2:$G$461,Data_filtered!$A$2:$A$461,P$1,Data_filtered!$F$2:$F$461,$A3, Data_filtered!$D$2:$D$461,"eucalipto",Data_filtered!$J$2:$J$461,"&lt;&gt;Incompleto")=0, "-", SUMIFS(Data_filtered!$G$2:$G$461,Data_filtered!$A$2:$A$461,P$1,Data_filtered!$F$2:$F$461,$A3, Data_filtered!$D$2:$D$461,"eucalipto",Data_filtered!$J$2:$J$461,"&lt;&gt;Incompleto"))</f>
        <v>-</v>
      </c>
      <c r="Q3" s="108" t="str">
        <f>IF(SUMIFS(Data_filtered!$G$2:$G$461,Data_filtered!$A$2:$A$461,P$1,Data_filtered!$F$2:$F$461,$A3, Data_filtered!$D$2:$D$461,"mata",Data_filtered!$J$2:$J$461,"&lt;&gt;Incompleto")=0, "-", SUMIFS(Data_filtered!$G$2:$G$461,Data_filtered!$A$2:$A$461,P$1,Data_filtered!$F$2:$F$461,$A3, Data_filtered!$D$2:$D$461,"mata",Data_filtered!$J$2:$J$461,"&lt;&gt;Incompleto"))
</f>
        <v>-</v>
      </c>
      <c r="R3" s="106" t="str">
        <f>IF(SUMIFS(Data_filtered!$G$2:$G$461,Data_filtered!$A$2:$A$461,R$1,Data_filtered!$F$2:$F$461,$A3, Data_filtered!$D$2:$D$461,"eucalipto",Data_filtered!$J$2:$J$461,"&lt;&gt;Incompleto")=0, "-", SUMIFS(Data_filtered!$G$2:$G$461,Data_filtered!$A$2:$A$461,R$1,Data_filtered!$F$2:$F$461,$A3, Data_filtered!$D$2:$D$461,"eucalipto",Data_filtered!$J$2:$J$461,"&lt;&gt;Incompleto"))</f>
        <v>-</v>
      </c>
      <c r="S3" s="108" t="str">
        <f>IF(SUMIFS(Data_filtered!$G$2:$G$461,Data_filtered!$A$2:$A$461,R$1,Data_filtered!$F$2:$F$461,$A3, Data_filtered!$D$2:$D$461,"mata",Data_filtered!$J$2:$J$461,"&lt;&gt;Incompleto")=0, "-", SUMIFS(Data_filtered!$G$2:$G$461,Data_filtered!$A$2:$A$461,R$1,Data_filtered!$F$2:$F$461,$A3, Data_filtered!$D$2:$D$461,"mata",Data_filtered!$J$2:$J$461,"&lt;&gt;Incompleto"))
</f>
        <v>-</v>
      </c>
      <c r="T3" s="106" t="str">
        <f>IF(SUMIFS(Data_filtered!$G$2:$G$461,Data_filtered!$A$2:$A$461,T$1,Data_filtered!$F$2:$F$461,$A3, Data_filtered!$D$2:$D$461,"eucalipto",Data_filtered!$J$2:$J$461,"&lt;&gt;Incompleto")=0, "-", SUMIFS(Data_filtered!$G$2:$G$461,Data_filtered!$A$2:$A$461,T$1,Data_filtered!$F$2:$F$461,$A3, Data_filtered!$D$2:$D$461,"eucalipto",Data_filtered!$J$2:$J$461,"&lt;&gt;Incompleto"))</f>
        <v>-</v>
      </c>
      <c r="U3" s="108" t="str">
        <f>IF(SUMIFS(Data_filtered!$G$2:$G$461,Data_filtered!$A$2:$A$461,T$1,Data_filtered!$F$2:$F$461,$A3, Data_filtered!$D$2:$D$461,"mata",Data_filtered!$J$2:$J$461,"&lt;&gt;Incompleto")=0, "-", SUMIFS(Data_filtered!$G$2:$G$461,Data_filtered!$A$2:$A$461,T$1,Data_filtered!$F$2:$F$461,$A3, Data_filtered!$D$2:$D$461,"mata",Data_filtered!$J$2:$J$461,"&lt;&gt;Incompleto"))
</f>
        <v>-</v>
      </c>
      <c r="V3" s="106" t="str">
        <f>IF(SUMIFS(Data_filtered!$G$2:$G$461,Data_filtered!$A$2:$A$461,V$1,Data_filtered!$F$2:$F$461,$A3, Data_filtered!$D$2:$D$461,"eucalipto",Data_filtered!$J$2:$J$461,"&lt;&gt;Incompleto")=0, "-", SUMIFS(Data_filtered!$G$2:$G$461,Data_filtered!$A$2:$A$461,V$1,Data_filtered!$F$2:$F$461,$A3, Data_filtered!$D$2:$D$461,"eucalipto",Data_filtered!$J$2:$J$461,"&lt;&gt;Incompleto"))</f>
        <v>-</v>
      </c>
      <c r="W3" s="108" t="str">
        <f>IF(SUMIFS(Data_filtered!$G$2:$G$461,Data_filtered!$A$2:$A$461,V$1,Data_filtered!$F$2:$F$461,$A3, Data_filtered!$D$2:$D$461,"mata",Data_filtered!$J$2:$J$461,"&lt;&gt;Incompleto")=0, "-", SUMIFS(Data_filtered!$G$2:$G$461,Data_filtered!$A$2:$A$461,V$1,Data_filtered!$F$2:$F$461,$A3, Data_filtered!$D$2:$D$461,"mata",Data_filtered!$J$2:$J$461,"&lt;&gt;Incompleto"))
</f>
        <v>-</v>
      </c>
      <c r="X3" s="106" t="str">
        <f>IF(SUMIFS(Data_filtered!$G$2:$G$461,Data_filtered!$A$2:$A$461,X$1,Data_filtered!$F$2:$F$461,$A3, Data_filtered!$D$2:$D$461,"eucalipto",Data_filtered!$J$2:$J$461,"&lt;&gt;Incompleto")=0, "-", SUMIFS(Data_filtered!$G$2:$G$461,Data_filtered!$A$2:$A$461,X$1,Data_filtered!$F$2:$F$461,$A3, Data_filtered!$D$2:$D$461,"eucalipto",Data_filtered!$J$2:$J$461,"&lt;&gt;Incompleto"))</f>
        <v>-</v>
      </c>
      <c r="Y3" s="108" t="str">
        <f>IF(SUMIFS(Data_filtered!$G$2:$G$461,Data_filtered!$A$2:$A$461,X$1,Data_filtered!$F$2:$F$461,$A3, Data_filtered!$D$2:$D$461,"mata",Data_filtered!$J$2:$J$461,"&lt;&gt;Incompleto")=0, "-", SUMIFS(Data_filtered!$G$2:$G$461,Data_filtered!$A$2:$A$461,X$1,Data_filtered!$F$2:$F$461,$A3, Data_filtered!$D$2:$D$461,"mata",Data_filtered!$J$2:$J$461,"&lt;&gt;Incompleto"))
</f>
        <v>-</v>
      </c>
      <c r="Z3" s="106" t="str">
        <f>IF(SUMIFS(Data_filtered!$G$2:$G$461,Data_filtered!$A$2:$A$461,Z$1,Data_filtered!$F$2:$F$461,$A3, Data_filtered!$D$2:$D$461,"eucalipto",Data_filtered!$J$2:$J$461,"&lt;&gt;Incompleto")=0, "-", SUMIFS(Data_filtered!$G$2:$G$461,Data_filtered!$A$2:$A$461,Z$1,Data_filtered!$F$2:$F$461,$A3, Data_filtered!$D$2:$D$461,"eucalipto",Data_filtered!$J$2:$J$461,"&lt;&gt;Incompleto"))</f>
        <v>-</v>
      </c>
      <c r="AA3" s="108" t="str">
        <f>IF(SUMIFS(Data_filtered!$G$2:$G$461,Data_filtered!$A$2:$A$461,Z$1,Data_filtered!$F$2:$F$461,$A3, Data_filtered!$D$2:$D$461,"mata",Data_filtered!$J$2:$J$461,"&lt;&gt;Incompleto")=0, "-", SUMIFS(Data_filtered!$G$2:$G$461,Data_filtered!$A$2:$A$461,Z$1,Data_filtered!$F$2:$F$461,$A3, Data_filtered!$D$2:$D$461,"mata",Data_filtered!$J$2:$J$461,"&lt;&gt;Incompleto"))
</f>
        <v>-</v>
      </c>
      <c r="AB3" s="106" t="str">
        <f>IF(SUMIFS(Data_filtered!$G$2:$G$461,Data_filtered!$A$2:$A$461,AB$1,Data_filtered!$F$2:$F$461,$A3, Data_filtered!$D$2:$D$461,"eucalipto",Data_filtered!$J$2:$J$461,"&lt;&gt;Incompleto")=0, "-", SUMIFS(Data_filtered!$G$2:$G$461,Data_filtered!$A$2:$A$461,AB$1,Data_filtered!$F$2:$F$461,$A3, Data_filtered!$D$2:$D$461,"eucalipto",Data_filtered!$J$2:$J$461,"&lt;&gt;Incompleto"))</f>
        <v>-</v>
      </c>
      <c r="AC3" s="108" t="str">
        <f>IF(SUMIFS(Data_filtered!$G$2:$G$461,Data_filtered!$A$2:$A$461,AB$1,Data_filtered!$F$2:$F$461,$A3, Data_filtered!$D$2:$D$461,"mata",Data_filtered!$J$2:$J$461,"&lt;&gt;Incompleto")=0, "-", SUMIFS(Data_filtered!$G$2:$G$461,Data_filtered!$A$2:$A$461,AB$1,Data_filtered!$F$2:$F$461,$A3, Data_filtered!$D$2:$D$461,"mata",Data_filtered!$J$2:$J$461,"&lt;&gt;Incompleto"))
</f>
        <v>-</v>
      </c>
      <c r="AD3" s="106" t="str">
        <f>IF(SUMIFS(Data_filtered!$G$2:$G$461,Data_filtered!$A$2:$A$461,AD$1,Data_filtered!$F$2:$F$461,$A3, Data_filtered!$D$2:$D$461,"eucalipto",Data_filtered!$J$2:$J$461,"&lt;&gt;Incompleto")=0, "-", SUMIFS(Data_filtered!$G$2:$G$461,Data_filtered!$A$2:$A$461,AD$1,Data_filtered!$F$2:$F$461,$A3, Data_filtered!$D$2:$D$461,"eucalipto",Data_filtered!$J$2:$J$461,"&lt;&gt;Incompleto"))</f>
        <v>-</v>
      </c>
      <c r="AE3" s="108" t="str">
        <f>IF(SUMIFS(Data_filtered!$G$2:$G$461,Data_filtered!$A$2:$A$461,AD$1,Data_filtered!$F$2:$F$461,$A3, Data_filtered!$D$2:$D$461,"mata",Data_filtered!$J$2:$J$461,"&lt;&gt;Incompleto")=0, "-", SUMIFS(Data_filtered!$G$2:$G$461,Data_filtered!$A$2:$A$461,AD$1,Data_filtered!$F$2:$F$461,$A3, Data_filtered!$D$2:$D$461,"mata",Data_filtered!$J$2:$J$461,"&lt;&gt;Incompleto"))
</f>
        <v>-</v>
      </c>
      <c r="AF3" s="106" t="str">
        <f>IF(SUMIFS(Data_filtered!$G$2:$G$461,Data_filtered!$A$2:$A$461,AF$1,Data_filtered!$F$2:$F$461,$A3, Data_filtered!$D$2:$D$461,"eucalipto",Data_filtered!$J$2:$J$461,"&lt;&gt;Incompleto")=0, "-", SUMIFS(Data_filtered!$G$2:$G$461,Data_filtered!$A$2:$A$461,AF$1,Data_filtered!$F$2:$F$461,$A3, Data_filtered!$D$2:$D$461,"eucalipto",Data_filtered!$J$2:$J$461,"&lt;&gt;Incompleto"))</f>
        <v>-</v>
      </c>
      <c r="AG3" s="108" t="str">
        <f>IF(SUMIFS(Data_filtered!$G$2:$G$461,Data_filtered!$A$2:$A$461,AF$1,Data_filtered!$F$2:$F$461,$A3, Data_filtered!$D$2:$D$461,"mata",Data_filtered!$J$2:$J$461,"&lt;&gt;Incompleto")=0, "-", SUMIFS(Data_filtered!$G$2:$G$461,Data_filtered!$A$2:$A$461,AF$1,Data_filtered!$F$2:$F$461,$A3, Data_filtered!$D$2:$D$461,"mata",Data_filtered!$J$2:$J$461,"&lt;&gt;Incompleto"))
</f>
        <v>-</v>
      </c>
      <c r="AH3" s="106" t="str">
        <f>IF(SUMIFS(Data_filtered!$G$2:$G$461,Data_filtered!$A$2:$A$461,AH$1,Data_filtered!$F$2:$F$461,$A3, Data_filtered!$D$2:$D$461,"eucalipto",Data_filtered!$J$2:$J$461,"&lt;&gt;Incompleto")=0, "-", SUMIFS(Data_filtered!$G$2:$G$461,Data_filtered!$A$2:$A$461,AH$1,Data_filtered!$F$2:$F$461,$A3, Data_filtered!$D$2:$D$461,"eucalipto",Data_filtered!$J$2:$J$461,"&lt;&gt;Incompleto"))</f>
        <v>-</v>
      </c>
      <c r="AI3" s="108">
        <f>IF(SUMIFS(Data_filtered!$G$2:$G$461,Data_filtered!$A$2:$A$461,AH$1,Data_filtered!$F$2:$F$461,$A3, Data_filtered!$D$2:$D$461,"mata",Data_filtered!$J$2:$J$461,"&lt;&gt;Incompleto")=0, "-", SUMIFS(Data_filtered!$G$2:$G$461,Data_filtered!$A$2:$A$461,AH$1,Data_filtered!$F$2:$F$461,$A3, Data_filtered!$D$2:$D$461,"mata",Data_filtered!$J$2:$J$461,"&lt;&gt;Incompleto"))
</f>
        <v>1</v>
      </c>
      <c r="AJ3" s="106" t="str">
        <f>IF(SUMIFS(Data_filtered!$G$2:$G$461,Data_filtered!$A$2:$A$461,AJ$1,Data_filtered!$F$2:$F$461,$A3, Data_filtered!$D$2:$D$461,"eucalipto",Data_filtered!$J$2:$J$461,"&lt;&gt;Incompleto")=0, "-", SUMIFS(Data_filtered!$G$2:$G$461,Data_filtered!$A$2:$A$461,AJ$1,Data_filtered!$F$2:$F$461,$A3, Data_filtered!$D$2:$D$461,"eucalipto",Data_filtered!$J$2:$J$461,"&lt;&gt;Incompleto"))</f>
        <v>-</v>
      </c>
      <c r="AK3" s="108" t="str">
        <f>IF(SUMIFS(Data_filtered!$G$2:$G$461,Data_filtered!$A$2:$A$461,AJ$1,Data_filtered!$F$2:$F$461,$A3, Data_filtered!$D$2:$D$461,"mata",Data_filtered!$J$2:$J$461,"&lt;&gt;Incompleto")=0, "-", SUMIFS(Data_filtered!$G$2:$G$461,Data_filtered!$A$2:$A$461,AJ$1,Data_filtered!$F$2:$F$461,$A3, Data_filtered!$D$2:$D$461,"mata",Data_filtered!$J$2:$J$461,"&lt;&gt;Incompleto"))
</f>
        <v>-</v>
      </c>
      <c r="AL3" s="106" t="str">
        <f>IF(SUMIFS(Data_filtered!$G$2:$G$461,Data_filtered!$A$2:$A$461,AL$1,Data_filtered!$F$2:$F$461,$A3, Data_filtered!$D$2:$D$461,"eucalipto",Data_filtered!$J$2:$J$461,"&lt;&gt;Incompleto")=0, "-", SUMIFS(Data_filtered!$G$2:$G$461,Data_filtered!$A$2:$A$461,AL$1,Data_filtered!$F$2:$F$461,$A3, Data_filtered!$D$2:$D$461,"eucalipto",Data_filtered!$J$2:$J$461,"&lt;&gt;Incompleto"))</f>
        <v>-</v>
      </c>
      <c r="AM3" s="108" t="str">
        <f>IF(SUMIFS(Data_filtered!$G$2:$G$461,Data_filtered!$A$2:$A$461,AL$1,Data_filtered!$F$2:$F$461,$A3, Data_filtered!$D$2:$D$461,"mata",Data_filtered!$J$2:$J$461,"&lt;&gt;Incompleto")=0, "-", SUMIFS(Data_filtered!$G$2:$G$461,Data_filtered!$A$2:$A$461,AL$1,Data_filtered!$F$2:$F$461,$A3, Data_filtered!$D$2:$D$461,"mata",Data_filtered!$J$2:$J$461,"&lt;&gt;Incompleto"))
</f>
        <v>-</v>
      </c>
      <c r="AN3" s="106" t="str">
        <f>IF(SUMIFS(Data_filtered!$G$2:$G$461,Data_filtered!$A$2:$A$461,AN$1,Data_filtered!$F$2:$F$461,$A3, Data_filtered!$D$2:$D$461,"eucalipto",Data_filtered!$J$2:$J$461,"&lt;&gt;Incompleto")=0, "-", SUMIFS(Data_filtered!$G$2:$G$461,Data_filtered!$A$2:$A$461,AN$1,Data_filtered!$F$2:$F$461,$A3, Data_filtered!$D$2:$D$461,"eucalipto",Data_filtered!$J$2:$J$461,"&lt;&gt;Incompleto"))</f>
        <v>-</v>
      </c>
      <c r="AO3" s="108" t="str">
        <f>IF(SUMIFS(Data_filtered!$G$2:$G$461,Data_filtered!$A$2:$A$461,AN$1,Data_filtered!$F$2:$F$461,$A3, Data_filtered!$D$2:$D$461,"mata",Data_filtered!$J$2:$J$461,"&lt;&gt;Incompleto")=0, "-", SUMIFS(Data_filtered!$G$2:$G$461,Data_filtered!$A$2:$A$461,AN$1,Data_filtered!$F$2:$F$461,$A3, Data_filtered!$D$2:$D$461,"mata",Data_filtered!$J$2:$J$461,"&lt;&gt;Incompleto"))
</f>
        <v>-</v>
      </c>
      <c r="AP3" s="106" t="str">
        <f>IF(SUMIFS(Data_filtered!$G$2:$G$461,Data_filtered!$A$2:$A$461,AP$1,Data_filtered!$F$2:$F$461,$A3, Data_filtered!$D$2:$D$461,"eucalipto",Data_filtered!$J$2:$J$461,"&lt;&gt;Incompleto")=0, "-", SUMIFS(Data_filtered!$G$2:$G$461,Data_filtered!$A$2:$A$461,AP$1,Data_filtered!$F$2:$F$461,$A3, Data_filtered!$D$2:$D$461,"eucalipto",Data_filtered!$J$2:$J$461,"&lt;&gt;Incompleto"))</f>
        <v>-</v>
      </c>
      <c r="AQ3" s="108" t="str">
        <f>IF(SUMIFS(Data_filtered!$G$2:$G$461,Data_filtered!$A$2:$A$461,AP$1,Data_filtered!$F$2:$F$461,$A3, Data_filtered!$D$2:$D$461,"mata",Data_filtered!$J$2:$J$461,"&lt;&gt;Incompleto")=0, "-", SUMIFS(Data_filtered!$G$2:$G$461,Data_filtered!$A$2:$A$461,AP$1,Data_filtered!$F$2:$F$461,$A3, Data_filtered!$D$2:$D$461,"mata",Data_filtered!$J$2:$J$461,"&lt;&gt;Incompleto"))
</f>
        <v>-</v>
      </c>
      <c r="AR3" s="106" t="str">
        <f>IF(SUMIFS(Data_filtered!$G$2:$G$461,Data_filtered!$A$2:$A$461,AR$1,Data_filtered!$F$2:$F$461,$A3, Data_filtered!$D$2:$D$461,"eucalipto",Data_filtered!$J$2:$J$461,"&lt;&gt;Incompleto")=0, "-", SUMIFS(Data_filtered!$G$2:$G$461,Data_filtered!$A$2:$A$461,AR$1,Data_filtered!$F$2:$F$461,$A3, Data_filtered!$D$2:$D$461,"eucalipto",Data_filtered!$J$2:$J$461,"&lt;&gt;Incompleto"))</f>
        <v>-</v>
      </c>
      <c r="AS3" s="108" t="str">
        <f>IF(SUMIFS(Data_filtered!$G$2:$G$461,Data_filtered!$A$2:$A$461,AR$1,Data_filtered!$F$2:$F$461,$A3, Data_filtered!$D$2:$D$461,"mata",Data_filtered!$J$2:$J$461,"&lt;&gt;Incompleto")=0, "-", SUMIFS(Data_filtered!$G$2:$G$461,Data_filtered!$A$2:$A$461,AR$1,Data_filtered!$F$2:$F$461,$A3, Data_filtered!$D$2:$D$461,"mata",Data_filtered!$J$2:$J$461,"&lt;&gt;Incompleto"))
</f>
        <v>-</v>
      </c>
    </row>
    <row r="4">
      <c r="A4" s="9" t="str">
        <f>IFERROR(__xludf.DUMMYFUNCTION("""COMPUTED_VALUE"""),"Araneae")</f>
        <v>Araneae</v>
      </c>
      <c r="B4" s="106" t="str">
        <f>IF(SUMIFS(Data_filtered!$G$2:$G$461,Data_filtered!$A$2:$A$461,B$1,Data_filtered!$F$2:$F$461,$A4, Data_filtered!$D$2:$D$461,"eucalipto",Data_filtered!$J$2:$J$461,"&lt;&gt;Incompleto")=0, "-", SUMIFS(Data_filtered!$G$2:$G$461,Data_filtered!$A$2:$A$461,B$1,Data_filtered!$F$2:$F$461,$A4, Data_filtered!$D$2:$D$461,"eucalipto",Data_filtered!$J$2:$J$461,"&lt;&gt;Incompleto"))</f>
        <v>-</v>
      </c>
      <c r="C4" s="108" t="str">
        <f>IF(SUMIFS(Data_filtered!$G$2:$G$461,Data_filtered!$A$2:$A$461,B$1,Data_filtered!$F$2:$F$461,$A4, Data_filtered!$D$2:$D$461,"mata",Data_filtered!$J$2:$J$461,"&lt;&gt;Incompleto")=0, "-", SUMIFS(Data_filtered!$G$2:$G$461,Data_filtered!$A$2:$A$461,B$1,Data_filtered!$F$2:$F$461,$A4, Data_filtered!$D$2:$D$461,"mata",Data_filtered!$J$2:$J$461,"&lt;&gt;Incompleto"))
</f>
        <v>-</v>
      </c>
      <c r="D4" s="106" t="str">
        <f>IF(SUMIFS(Data_filtered!$G$2:$G$461,Data_filtered!$A$2:$A$461,D$1,Data_filtered!$F$2:$F$461,$A4, Data_filtered!$D$2:$D$461,"eucalipto",Data_filtered!$J$2:$J$461,"&lt;&gt;Incompleto")=0, "-", SUMIFS(Data_filtered!$G$2:$G$461,Data_filtered!$A$2:$A$461,D$1,Data_filtered!$F$2:$F$461,$A4, Data_filtered!$D$2:$D$461,"eucalipto",Data_filtered!$J$2:$J$461,"&lt;&gt;Incompleto"))</f>
        <v>-</v>
      </c>
      <c r="E4" s="108">
        <f>IF(SUMIFS(Data_filtered!$G$2:$G$461,Data_filtered!$A$2:$A$461,D$1,Data_filtered!$F$2:$F$461,$A4, Data_filtered!$D$2:$D$461,"mata",Data_filtered!$J$2:$J$461,"&lt;&gt;Incompleto")=0, "-", SUMIFS(Data_filtered!$G$2:$G$461,Data_filtered!$A$2:$A$461,D$1,Data_filtered!$F$2:$F$461,$A4, Data_filtered!$D$2:$D$461,"mata",Data_filtered!$J$2:$J$461,"&lt;&gt;Incompleto"))
</f>
        <v>1</v>
      </c>
      <c r="F4" s="106" t="str">
        <f>IF(SUMIFS(Data_filtered!$G$2:$G$461,Data_filtered!$A$2:$A$461,F$1,Data_filtered!$F$2:$F$461,$A4, Data_filtered!$D$2:$D$461,"eucalipto",Data_filtered!$J$2:$J$461,"&lt;&gt;Incompleto")=0, "-", SUMIFS(Data_filtered!$G$2:$G$461,Data_filtered!$A$2:$A$461,F$1,Data_filtered!$F$2:$F$461,$A4, Data_filtered!$D$2:$D$461,"eucalipto",Data_filtered!$J$2:$J$461,"&lt;&gt;Incompleto"))</f>
        <v>-</v>
      </c>
      <c r="G4" s="108">
        <f>IF(SUMIFS(Data_filtered!$G$2:$G$461,Data_filtered!$A$2:$A$461,F$1,Data_filtered!$F$2:$F$461,$A4, Data_filtered!$D$2:$D$461,"mata",Data_filtered!$J$2:$J$461,"&lt;&gt;Incompleto")=0, "-", SUMIFS(Data_filtered!$G$2:$G$461,Data_filtered!$A$2:$A$461,F$1,Data_filtered!$F$2:$F$461,$A4, Data_filtered!$D$2:$D$461,"mata",Data_filtered!$J$2:$J$461,"&lt;&gt;Incompleto"))
</f>
        <v>1</v>
      </c>
      <c r="H4" s="106" t="str">
        <f>IF(SUMIFS(Data_filtered!$G$2:$G$461,Data_filtered!$A$2:$A$461,H$1,Data_filtered!$F$2:$F$461,$A4, Data_filtered!$D$2:$D$461,"eucalipto",Data_filtered!$J$2:$J$461,"&lt;&gt;Incompleto")=0, "-", SUMIFS(Data_filtered!$G$2:$G$461,Data_filtered!$A$2:$A$461,H$1,Data_filtered!$F$2:$F$461,$A4, Data_filtered!$D$2:$D$461,"eucalipto",Data_filtered!$J$2:$J$461,"&lt;&gt;Incompleto"))</f>
        <v>-</v>
      </c>
      <c r="I4" s="108">
        <f>IF(SUMIFS(Data_filtered!$G$2:$G$461,Data_filtered!$A$2:$A$461,H$1,Data_filtered!$F$2:$F$461,$A4, Data_filtered!$D$2:$D$461,"mata",Data_filtered!$J$2:$J$461,"&lt;&gt;Incompleto")=0, "-", SUMIFS(Data_filtered!$G$2:$G$461,Data_filtered!$A$2:$A$461,H$1,Data_filtered!$F$2:$F$461,$A4, Data_filtered!$D$2:$D$461,"mata",Data_filtered!$J$2:$J$461,"&lt;&gt;Incompleto"))
</f>
        <v>2</v>
      </c>
      <c r="J4" s="106" t="str">
        <f>IF(SUMIFS(Data_filtered!$G$2:$G$461,Data_filtered!$A$2:$A$461,J$1,Data_filtered!$F$2:$F$461,$A4, Data_filtered!$D$2:$D$461,"eucalipto",Data_filtered!$J$2:$J$461,"&lt;&gt;Incompleto")=0, "-", SUMIFS(Data_filtered!$G$2:$G$461,Data_filtered!$A$2:$A$461,J$1,Data_filtered!$F$2:$F$461,$A4, Data_filtered!$D$2:$D$461,"eucalipto",Data_filtered!$J$2:$J$461,"&lt;&gt;Incompleto"))</f>
        <v>-</v>
      </c>
      <c r="K4" s="108" t="str">
        <f>IF(SUMIFS(Data_filtered!$G$2:$G$461,Data_filtered!$A$2:$A$461,J$1,Data_filtered!$F$2:$F$461,$A4, Data_filtered!$D$2:$D$461,"mata",Data_filtered!$J$2:$J$461,"&lt;&gt;Incompleto")=0, "-", SUMIFS(Data_filtered!$G$2:$G$461,Data_filtered!$A$2:$A$461,J$1,Data_filtered!$F$2:$F$461,$A4, Data_filtered!$D$2:$D$461,"mata",Data_filtered!$J$2:$J$461,"&lt;&gt;Incompleto"))
</f>
        <v>-</v>
      </c>
      <c r="L4" s="106" t="str">
        <f>IF(SUMIFS(Data_filtered!$G$2:$G$461,Data_filtered!$A$2:$A$461,L$1,Data_filtered!$F$2:$F$461,$A4, Data_filtered!$D$2:$D$461,"eucalipto",Data_filtered!$J$2:$J$461,"&lt;&gt;Incompleto")=0, "-", SUMIFS(Data_filtered!$G$2:$G$461,Data_filtered!$A$2:$A$461,L$1,Data_filtered!$F$2:$F$461,$A4, Data_filtered!$D$2:$D$461,"eucalipto",Data_filtered!$J$2:$J$461,"&lt;&gt;Incompleto"))</f>
        <v>-</v>
      </c>
      <c r="M4" s="108">
        <f>IF(SUMIFS(Data_filtered!$G$2:$G$461,Data_filtered!$A$2:$A$461,L$1,Data_filtered!$F$2:$F$461,$A4, Data_filtered!$D$2:$D$461,"mata",Data_filtered!$J$2:$J$461,"&lt;&gt;Incompleto")=0, "-", SUMIFS(Data_filtered!$G$2:$G$461,Data_filtered!$A$2:$A$461,L$1,Data_filtered!$F$2:$F$461,$A4, Data_filtered!$D$2:$D$461,"mata",Data_filtered!$J$2:$J$461,"&lt;&gt;Incompleto"))
</f>
        <v>1</v>
      </c>
      <c r="N4" s="106" t="str">
        <f>IF(SUMIFS(Data_filtered!$G$2:$G$461,Data_filtered!$A$2:$A$461,N$1,Data_filtered!$F$2:$F$461,$A4, Data_filtered!$D$2:$D$461,"eucalipto",Data_filtered!$J$2:$J$461,"&lt;&gt;Incompleto")=0, "-", SUMIFS(Data_filtered!$G$2:$G$461,Data_filtered!$A$2:$A$461,N$1,Data_filtered!$F$2:$F$461,$A4, Data_filtered!$D$2:$D$461,"eucalipto",Data_filtered!$J$2:$J$461,"&lt;&gt;Incompleto"))</f>
        <v>-</v>
      </c>
      <c r="O4" s="108" t="str">
        <f>IF(SUMIFS(Data_filtered!$G$2:$G$461,Data_filtered!$A$2:$A$461,N$1,Data_filtered!$F$2:$F$461,$A4, Data_filtered!$D$2:$D$461,"mata",Data_filtered!$J$2:$J$461,"&lt;&gt;Incompleto")=0, "-", SUMIFS(Data_filtered!$G$2:$G$461,Data_filtered!$A$2:$A$461,N$1,Data_filtered!$F$2:$F$461,$A4, Data_filtered!$D$2:$D$461,"mata",Data_filtered!$J$2:$J$461,"&lt;&gt;Incompleto"))
</f>
        <v>-</v>
      </c>
      <c r="P4" s="106" t="str">
        <f>IF(SUMIFS(Data_filtered!$G$2:$G$461,Data_filtered!$A$2:$A$461,P$1,Data_filtered!$F$2:$F$461,$A4, Data_filtered!$D$2:$D$461,"eucalipto",Data_filtered!$J$2:$J$461,"&lt;&gt;Incompleto")=0, "-", SUMIFS(Data_filtered!$G$2:$G$461,Data_filtered!$A$2:$A$461,P$1,Data_filtered!$F$2:$F$461,$A4, Data_filtered!$D$2:$D$461,"eucalipto",Data_filtered!$J$2:$J$461,"&lt;&gt;Incompleto"))</f>
        <v>-</v>
      </c>
      <c r="Q4" s="108">
        <f>IF(SUMIFS(Data_filtered!$G$2:$G$461,Data_filtered!$A$2:$A$461,P$1,Data_filtered!$F$2:$F$461,$A4, Data_filtered!$D$2:$D$461,"mata",Data_filtered!$J$2:$J$461,"&lt;&gt;Incompleto")=0, "-", SUMIFS(Data_filtered!$G$2:$G$461,Data_filtered!$A$2:$A$461,P$1,Data_filtered!$F$2:$F$461,$A4, Data_filtered!$D$2:$D$461,"mata",Data_filtered!$J$2:$J$461,"&lt;&gt;Incompleto"))
</f>
        <v>1</v>
      </c>
      <c r="R4" s="106" t="str">
        <f>IF(SUMIFS(Data_filtered!$G$2:$G$461,Data_filtered!$A$2:$A$461,R$1,Data_filtered!$F$2:$F$461,$A4, Data_filtered!$D$2:$D$461,"eucalipto",Data_filtered!$J$2:$J$461,"&lt;&gt;Incompleto")=0, "-", SUMIFS(Data_filtered!$G$2:$G$461,Data_filtered!$A$2:$A$461,R$1,Data_filtered!$F$2:$F$461,$A4, Data_filtered!$D$2:$D$461,"eucalipto",Data_filtered!$J$2:$J$461,"&lt;&gt;Incompleto"))</f>
        <v>-</v>
      </c>
      <c r="S4" s="108">
        <f>IF(SUMIFS(Data_filtered!$G$2:$G$461,Data_filtered!$A$2:$A$461,R$1,Data_filtered!$F$2:$F$461,$A4, Data_filtered!$D$2:$D$461,"mata",Data_filtered!$J$2:$J$461,"&lt;&gt;Incompleto")=0, "-", SUMIFS(Data_filtered!$G$2:$G$461,Data_filtered!$A$2:$A$461,R$1,Data_filtered!$F$2:$F$461,$A4, Data_filtered!$D$2:$D$461,"mata",Data_filtered!$J$2:$J$461,"&lt;&gt;Incompleto"))
</f>
        <v>4</v>
      </c>
      <c r="T4" s="106" t="str">
        <f>IF(SUMIFS(Data_filtered!$G$2:$G$461,Data_filtered!$A$2:$A$461,T$1,Data_filtered!$F$2:$F$461,$A4, Data_filtered!$D$2:$D$461,"eucalipto",Data_filtered!$J$2:$J$461,"&lt;&gt;Incompleto")=0, "-", SUMIFS(Data_filtered!$G$2:$G$461,Data_filtered!$A$2:$A$461,T$1,Data_filtered!$F$2:$F$461,$A4, Data_filtered!$D$2:$D$461,"eucalipto",Data_filtered!$J$2:$J$461,"&lt;&gt;Incompleto"))</f>
        <v>-</v>
      </c>
      <c r="U4" s="108" t="str">
        <f>IF(SUMIFS(Data_filtered!$G$2:$G$461,Data_filtered!$A$2:$A$461,T$1,Data_filtered!$F$2:$F$461,$A4, Data_filtered!$D$2:$D$461,"mata",Data_filtered!$J$2:$J$461,"&lt;&gt;Incompleto")=0, "-", SUMIFS(Data_filtered!$G$2:$G$461,Data_filtered!$A$2:$A$461,T$1,Data_filtered!$F$2:$F$461,$A4, Data_filtered!$D$2:$D$461,"mata",Data_filtered!$J$2:$J$461,"&lt;&gt;Incompleto"))
</f>
        <v>-</v>
      </c>
      <c r="V4" s="106">
        <f>IF(SUMIFS(Data_filtered!$G$2:$G$461,Data_filtered!$A$2:$A$461,V$1,Data_filtered!$F$2:$F$461,$A4, Data_filtered!$D$2:$D$461,"eucalipto",Data_filtered!$J$2:$J$461,"&lt;&gt;Incompleto")=0, "-", SUMIFS(Data_filtered!$G$2:$G$461,Data_filtered!$A$2:$A$461,V$1,Data_filtered!$F$2:$F$461,$A4, Data_filtered!$D$2:$D$461,"eucalipto",Data_filtered!$J$2:$J$461,"&lt;&gt;Incompleto"))</f>
        <v>9</v>
      </c>
      <c r="W4" s="108" t="str">
        <f>IF(SUMIFS(Data_filtered!$G$2:$G$461,Data_filtered!$A$2:$A$461,V$1,Data_filtered!$F$2:$F$461,$A4, Data_filtered!$D$2:$D$461,"mata",Data_filtered!$J$2:$J$461,"&lt;&gt;Incompleto")=0, "-", SUMIFS(Data_filtered!$G$2:$G$461,Data_filtered!$A$2:$A$461,V$1,Data_filtered!$F$2:$F$461,$A4, Data_filtered!$D$2:$D$461,"mata",Data_filtered!$J$2:$J$461,"&lt;&gt;Incompleto"))
</f>
        <v>-</v>
      </c>
      <c r="X4" s="106" t="str">
        <f>IF(SUMIFS(Data_filtered!$G$2:$G$461,Data_filtered!$A$2:$A$461,X$1,Data_filtered!$F$2:$F$461,$A4, Data_filtered!$D$2:$D$461,"eucalipto",Data_filtered!$J$2:$J$461,"&lt;&gt;Incompleto")=0, "-", SUMIFS(Data_filtered!$G$2:$G$461,Data_filtered!$A$2:$A$461,X$1,Data_filtered!$F$2:$F$461,$A4, Data_filtered!$D$2:$D$461,"eucalipto",Data_filtered!$J$2:$J$461,"&lt;&gt;Incompleto"))</f>
        <v>-</v>
      </c>
      <c r="Y4" s="108" t="str">
        <f>IF(SUMIFS(Data_filtered!$G$2:$G$461,Data_filtered!$A$2:$A$461,X$1,Data_filtered!$F$2:$F$461,$A4, Data_filtered!$D$2:$D$461,"mata",Data_filtered!$J$2:$J$461,"&lt;&gt;Incompleto")=0, "-", SUMIFS(Data_filtered!$G$2:$G$461,Data_filtered!$A$2:$A$461,X$1,Data_filtered!$F$2:$F$461,$A4, Data_filtered!$D$2:$D$461,"mata",Data_filtered!$J$2:$J$461,"&lt;&gt;Incompleto"))
</f>
        <v>-</v>
      </c>
      <c r="Z4" s="106">
        <f>IF(SUMIFS(Data_filtered!$G$2:$G$461,Data_filtered!$A$2:$A$461,Z$1,Data_filtered!$F$2:$F$461,$A4, Data_filtered!$D$2:$D$461,"eucalipto",Data_filtered!$J$2:$J$461,"&lt;&gt;Incompleto")=0, "-", SUMIFS(Data_filtered!$G$2:$G$461,Data_filtered!$A$2:$A$461,Z$1,Data_filtered!$F$2:$F$461,$A4, Data_filtered!$D$2:$D$461,"eucalipto",Data_filtered!$J$2:$J$461,"&lt;&gt;Incompleto"))</f>
        <v>1</v>
      </c>
      <c r="AA4" s="108">
        <f>IF(SUMIFS(Data_filtered!$G$2:$G$461,Data_filtered!$A$2:$A$461,Z$1,Data_filtered!$F$2:$F$461,$A4, Data_filtered!$D$2:$D$461,"mata",Data_filtered!$J$2:$J$461,"&lt;&gt;Incompleto")=0, "-", SUMIFS(Data_filtered!$G$2:$G$461,Data_filtered!$A$2:$A$461,Z$1,Data_filtered!$F$2:$F$461,$A4, Data_filtered!$D$2:$D$461,"mata",Data_filtered!$J$2:$J$461,"&lt;&gt;Incompleto"))
</f>
        <v>5</v>
      </c>
      <c r="AB4" s="106" t="str">
        <f>IF(SUMIFS(Data_filtered!$G$2:$G$461,Data_filtered!$A$2:$A$461,AB$1,Data_filtered!$F$2:$F$461,$A4, Data_filtered!$D$2:$D$461,"eucalipto",Data_filtered!$J$2:$J$461,"&lt;&gt;Incompleto")=0, "-", SUMIFS(Data_filtered!$G$2:$G$461,Data_filtered!$A$2:$A$461,AB$1,Data_filtered!$F$2:$F$461,$A4, Data_filtered!$D$2:$D$461,"eucalipto",Data_filtered!$J$2:$J$461,"&lt;&gt;Incompleto"))</f>
        <v>-</v>
      </c>
      <c r="AC4" s="108">
        <f>IF(SUMIFS(Data_filtered!$G$2:$G$461,Data_filtered!$A$2:$A$461,AB$1,Data_filtered!$F$2:$F$461,$A4, Data_filtered!$D$2:$D$461,"mata",Data_filtered!$J$2:$J$461,"&lt;&gt;Incompleto")=0, "-", SUMIFS(Data_filtered!$G$2:$G$461,Data_filtered!$A$2:$A$461,AB$1,Data_filtered!$F$2:$F$461,$A4, Data_filtered!$D$2:$D$461,"mata",Data_filtered!$J$2:$J$461,"&lt;&gt;Incompleto"))
</f>
        <v>1</v>
      </c>
      <c r="AD4" s="106" t="str">
        <f>IF(SUMIFS(Data_filtered!$G$2:$G$461,Data_filtered!$A$2:$A$461,AD$1,Data_filtered!$F$2:$F$461,$A4, Data_filtered!$D$2:$D$461,"eucalipto",Data_filtered!$J$2:$J$461,"&lt;&gt;Incompleto")=0, "-", SUMIFS(Data_filtered!$G$2:$G$461,Data_filtered!$A$2:$A$461,AD$1,Data_filtered!$F$2:$F$461,$A4, Data_filtered!$D$2:$D$461,"eucalipto",Data_filtered!$J$2:$J$461,"&lt;&gt;Incompleto"))</f>
        <v>-</v>
      </c>
      <c r="AE4" s="108" t="str">
        <f>IF(SUMIFS(Data_filtered!$G$2:$G$461,Data_filtered!$A$2:$A$461,AD$1,Data_filtered!$F$2:$F$461,$A4, Data_filtered!$D$2:$D$461,"mata",Data_filtered!$J$2:$J$461,"&lt;&gt;Incompleto")=0, "-", SUMIFS(Data_filtered!$G$2:$G$461,Data_filtered!$A$2:$A$461,AD$1,Data_filtered!$F$2:$F$461,$A4, Data_filtered!$D$2:$D$461,"mata",Data_filtered!$J$2:$J$461,"&lt;&gt;Incompleto"))
</f>
        <v>-</v>
      </c>
      <c r="AF4" s="106" t="str">
        <f>IF(SUMIFS(Data_filtered!$G$2:$G$461,Data_filtered!$A$2:$A$461,AF$1,Data_filtered!$F$2:$F$461,$A4, Data_filtered!$D$2:$D$461,"eucalipto",Data_filtered!$J$2:$J$461,"&lt;&gt;Incompleto")=0, "-", SUMIFS(Data_filtered!$G$2:$G$461,Data_filtered!$A$2:$A$461,AF$1,Data_filtered!$F$2:$F$461,$A4, Data_filtered!$D$2:$D$461,"eucalipto",Data_filtered!$J$2:$J$461,"&lt;&gt;Incompleto"))</f>
        <v>-</v>
      </c>
      <c r="AG4" s="108">
        <f>IF(SUMIFS(Data_filtered!$G$2:$G$461,Data_filtered!$A$2:$A$461,AF$1,Data_filtered!$F$2:$F$461,$A4, Data_filtered!$D$2:$D$461,"mata",Data_filtered!$J$2:$J$461,"&lt;&gt;Incompleto")=0, "-", SUMIFS(Data_filtered!$G$2:$G$461,Data_filtered!$A$2:$A$461,AF$1,Data_filtered!$F$2:$F$461,$A4, Data_filtered!$D$2:$D$461,"mata",Data_filtered!$J$2:$J$461,"&lt;&gt;Incompleto"))
</f>
        <v>2</v>
      </c>
      <c r="AH4" s="106" t="str">
        <f>IF(SUMIFS(Data_filtered!$G$2:$G$461,Data_filtered!$A$2:$A$461,AH$1,Data_filtered!$F$2:$F$461,$A4, Data_filtered!$D$2:$D$461,"eucalipto",Data_filtered!$J$2:$J$461,"&lt;&gt;Incompleto")=0, "-", SUMIFS(Data_filtered!$G$2:$G$461,Data_filtered!$A$2:$A$461,AH$1,Data_filtered!$F$2:$F$461,$A4, Data_filtered!$D$2:$D$461,"eucalipto",Data_filtered!$J$2:$J$461,"&lt;&gt;Incompleto"))</f>
        <v>-</v>
      </c>
      <c r="AI4" s="108" t="str">
        <f>IF(SUMIFS(Data_filtered!$G$2:$G$461,Data_filtered!$A$2:$A$461,AH$1,Data_filtered!$F$2:$F$461,$A4, Data_filtered!$D$2:$D$461,"mata",Data_filtered!$J$2:$J$461,"&lt;&gt;Incompleto")=0, "-", SUMIFS(Data_filtered!$G$2:$G$461,Data_filtered!$A$2:$A$461,AH$1,Data_filtered!$F$2:$F$461,$A4, Data_filtered!$D$2:$D$461,"mata",Data_filtered!$J$2:$J$461,"&lt;&gt;Incompleto"))
</f>
        <v>-</v>
      </c>
      <c r="AJ4" s="106" t="str">
        <f>IF(SUMIFS(Data_filtered!$G$2:$G$461,Data_filtered!$A$2:$A$461,AJ$1,Data_filtered!$F$2:$F$461,$A4, Data_filtered!$D$2:$D$461,"eucalipto",Data_filtered!$J$2:$J$461,"&lt;&gt;Incompleto")=0, "-", SUMIFS(Data_filtered!$G$2:$G$461,Data_filtered!$A$2:$A$461,AJ$1,Data_filtered!$F$2:$F$461,$A4, Data_filtered!$D$2:$D$461,"eucalipto",Data_filtered!$J$2:$J$461,"&lt;&gt;Incompleto"))</f>
        <v>-</v>
      </c>
      <c r="AK4" s="108">
        <f>IF(SUMIFS(Data_filtered!$G$2:$G$461,Data_filtered!$A$2:$A$461,AJ$1,Data_filtered!$F$2:$F$461,$A4, Data_filtered!$D$2:$D$461,"mata",Data_filtered!$J$2:$J$461,"&lt;&gt;Incompleto")=0, "-", SUMIFS(Data_filtered!$G$2:$G$461,Data_filtered!$A$2:$A$461,AJ$1,Data_filtered!$F$2:$F$461,$A4, Data_filtered!$D$2:$D$461,"mata",Data_filtered!$J$2:$J$461,"&lt;&gt;Incompleto"))
</f>
        <v>1</v>
      </c>
      <c r="AL4" s="106" t="str">
        <f>IF(SUMIFS(Data_filtered!$G$2:$G$461,Data_filtered!$A$2:$A$461,AL$1,Data_filtered!$F$2:$F$461,$A4, Data_filtered!$D$2:$D$461,"eucalipto",Data_filtered!$J$2:$J$461,"&lt;&gt;Incompleto")=0, "-", SUMIFS(Data_filtered!$G$2:$G$461,Data_filtered!$A$2:$A$461,AL$1,Data_filtered!$F$2:$F$461,$A4, Data_filtered!$D$2:$D$461,"eucalipto",Data_filtered!$J$2:$J$461,"&lt;&gt;Incompleto"))</f>
        <v>-</v>
      </c>
      <c r="AM4" s="108" t="str">
        <f>IF(SUMIFS(Data_filtered!$G$2:$G$461,Data_filtered!$A$2:$A$461,AL$1,Data_filtered!$F$2:$F$461,$A4, Data_filtered!$D$2:$D$461,"mata",Data_filtered!$J$2:$J$461,"&lt;&gt;Incompleto")=0, "-", SUMIFS(Data_filtered!$G$2:$G$461,Data_filtered!$A$2:$A$461,AL$1,Data_filtered!$F$2:$F$461,$A4, Data_filtered!$D$2:$D$461,"mata",Data_filtered!$J$2:$J$461,"&lt;&gt;Incompleto"))
</f>
        <v>-</v>
      </c>
      <c r="AN4" s="106" t="str">
        <f>IF(SUMIFS(Data_filtered!$G$2:$G$461,Data_filtered!$A$2:$A$461,AN$1,Data_filtered!$F$2:$F$461,$A4, Data_filtered!$D$2:$D$461,"eucalipto",Data_filtered!$J$2:$J$461,"&lt;&gt;Incompleto")=0, "-", SUMIFS(Data_filtered!$G$2:$G$461,Data_filtered!$A$2:$A$461,AN$1,Data_filtered!$F$2:$F$461,$A4, Data_filtered!$D$2:$D$461,"eucalipto",Data_filtered!$J$2:$J$461,"&lt;&gt;Incompleto"))</f>
        <v>-</v>
      </c>
      <c r="AO4" s="108" t="str">
        <f>IF(SUMIFS(Data_filtered!$G$2:$G$461,Data_filtered!$A$2:$A$461,AN$1,Data_filtered!$F$2:$F$461,$A4, Data_filtered!$D$2:$D$461,"mata",Data_filtered!$J$2:$J$461,"&lt;&gt;Incompleto")=0, "-", SUMIFS(Data_filtered!$G$2:$G$461,Data_filtered!$A$2:$A$461,AN$1,Data_filtered!$F$2:$F$461,$A4, Data_filtered!$D$2:$D$461,"mata",Data_filtered!$J$2:$J$461,"&lt;&gt;Incompleto"))
</f>
        <v>-</v>
      </c>
      <c r="AP4" s="106" t="str">
        <f>IF(SUMIFS(Data_filtered!$G$2:$G$461,Data_filtered!$A$2:$A$461,AP$1,Data_filtered!$F$2:$F$461,$A4, Data_filtered!$D$2:$D$461,"eucalipto",Data_filtered!$J$2:$J$461,"&lt;&gt;Incompleto")=0, "-", SUMIFS(Data_filtered!$G$2:$G$461,Data_filtered!$A$2:$A$461,AP$1,Data_filtered!$F$2:$F$461,$A4, Data_filtered!$D$2:$D$461,"eucalipto",Data_filtered!$J$2:$J$461,"&lt;&gt;Incompleto"))</f>
        <v>-</v>
      </c>
      <c r="AQ4" s="108">
        <f>IF(SUMIFS(Data_filtered!$G$2:$G$461,Data_filtered!$A$2:$A$461,AP$1,Data_filtered!$F$2:$F$461,$A4, Data_filtered!$D$2:$D$461,"mata",Data_filtered!$J$2:$J$461,"&lt;&gt;Incompleto")=0, "-", SUMIFS(Data_filtered!$G$2:$G$461,Data_filtered!$A$2:$A$461,AP$1,Data_filtered!$F$2:$F$461,$A4, Data_filtered!$D$2:$D$461,"mata",Data_filtered!$J$2:$J$461,"&lt;&gt;Incompleto"))
</f>
        <v>4</v>
      </c>
      <c r="AR4" s="106" t="str">
        <f>IF(SUMIFS(Data_filtered!$G$2:$G$461,Data_filtered!$A$2:$A$461,AR$1,Data_filtered!$F$2:$F$461,$A4, Data_filtered!$D$2:$D$461,"eucalipto",Data_filtered!$J$2:$J$461,"&lt;&gt;Incompleto")=0, "-", SUMIFS(Data_filtered!$G$2:$G$461,Data_filtered!$A$2:$A$461,AR$1,Data_filtered!$F$2:$F$461,$A4, Data_filtered!$D$2:$D$461,"eucalipto",Data_filtered!$J$2:$J$461,"&lt;&gt;Incompleto"))</f>
        <v>-</v>
      </c>
      <c r="AS4" s="108" t="str">
        <f>IF(SUMIFS(Data_filtered!$G$2:$G$461,Data_filtered!$A$2:$A$461,AR$1,Data_filtered!$F$2:$F$461,$A4, Data_filtered!$D$2:$D$461,"mata",Data_filtered!$J$2:$J$461,"&lt;&gt;Incompleto")=0, "-", SUMIFS(Data_filtered!$G$2:$G$461,Data_filtered!$A$2:$A$461,AR$1,Data_filtered!$F$2:$F$461,$A4, Data_filtered!$D$2:$D$461,"mata",Data_filtered!$J$2:$J$461,"&lt;&gt;Incompleto"))
</f>
        <v>-</v>
      </c>
    </row>
    <row r="5">
      <c r="A5" s="68" t="str">
        <f>IFERROR(__xludf.DUMMYFUNCTION("""COMPUTED_VALUE"""),"Blattodea")</f>
        <v>Blattodea</v>
      </c>
      <c r="B5" s="106" t="str">
        <f>IF(SUMIFS(Data_filtered!$G$2:$G$461,Data_filtered!$A$2:$A$461,B$1,Data_filtered!$F$2:$F$461,$A5, Data_filtered!$D$2:$D$461,"eucalipto",Data_filtered!$J$2:$J$461,"&lt;&gt;Incompleto")=0, "-", SUMIFS(Data_filtered!$G$2:$G$461,Data_filtered!$A$2:$A$461,B$1,Data_filtered!$F$2:$F$461,$A5, Data_filtered!$D$2:$D$461,"eucalipto",Data_filtered!$J$2:$J$461,"&lt;&gt;Incompleto"))</f>
        <v>-</v>
      </c>
      <c r="C5" s="108" t="str">
        <f>IF(SUMIFS(Data_filtered!$G$2:$G$461,Data_filtered!$A$2:$A$461,B$1,Data_filtered!$F$2:$F$461,$A5, Data_filtered!$D$2:$D$461,"mata",Data_filtered!$J$2:$J$461,"&lt;&gt;Incompleto")=0, "-", SUMIFS(Data_filtered!$G$2:$G$461,Data_filtered!$A$2:$A$461,B$1,Data_filtered!$F$2:$F$461,$A5, Data_filtered!$D$2:$D$461,"mata",Data_filtered!$J$2:$J$461,"&lt;&gt;Incompleto"))
</f>
        <v>-</v>
      </c>
      <c r="D5" s="106">
        <f>IF(SUMIFS(Data_filtered!$G$2:$G$461,Data_filtered!$A$2:$A$461,D$1,Data_filtered!$F$2:$F$461,$A5, Data_filtered!$D$2:$D$461,"eucalipto",Data_filtered!$J$2:$J$461,"&lt;&gt;Incompleto")=0, "-", SUMIFS(Data_filtered!$G$2:$G$461,Data_filtered!$A$2:$A$461,D$1,Data_filtered!$F$2:$F$461,$A5, Data_filtered!$D$2:$D$461,"eucalipto",Data_filtered!$J$2:$J$461,"&lt;&gt;Incompleto"))</f>
        <v>1</v>
      </c>
      <c r="E5" s="108" t="str">
        <f>IF(SUMIFS(Data_filtered!$G$2:$G$461,Data_filtered!$A$2:$A$461,D$1,Data_filtered!$F$2:$F$461,$A5, Data_filtered!$D$2:$D$461,"mata",Data_filtered!$J$2:$J$461,"&lt;&gt;Incompleto")=0, "-", SUMIFS(Data_filtered!$G$2:$G$461,Data_filtered!$A$2:$A$461,D$1,Data_filtered!$F$2:$F$461,$A5, Data_filtered!$D$2:$D$461,"mata",Data_filtered!$J$2:$J$461,"&lt;&gt;Incompleto"))
</f>
        <v>-</v>
      </c>
      <c r="F5" s="106" t="str">
        <f>IF(SUMIFS(Data_filtered!$G$2:$G$461,Data_filtered!$A$2:$A$461,F$1,Data_filtered!$F$2:$F$461,$A5, Data_filtered!$D$2:$D$461,"eucalipto",Data_filtered!$J$2:$J$461,"&lt;&gt;Incompleto")=0, "-", SUMIFS(Data_filtered!$G$2:$G$461,Data_filtered!$A$2:$A$461,F$1,Data_filtered!$F$2:$F$461,$A5, Data_filtered!$D$2:$D$461,"eucalipto",Data_filtered!$J$2:$J$461,"&lt;&gt;Incompleto"))</f>
        <v>-</v>
      </c>
      <c r="G5" s="108">
        <f>IF(SUMIFS(Data_filtered!$G$2:$G$461,Data_filtered!$A$2:$A$461,F$1,Data_filtered!$F$2:$F$461,$A5, Data_filtered!$D$2:$D$461,"mata",Data_filtered!$J$2:$J$461,"&lt;&gt;Incompleto")=0, "-", SUMIFS(Data_filtered!$G$2:$G$461,Data_filtered!$A$2:$A$461,F$1,Data_filtered!$F$2:$F$461,$A5, Data_filtered!$D$2:$D$461,"mata",Data_filtered!$J$2:$J$461,"&lt;&gt;Incompleto"))
</f>
        <v>1</v>
      </c>
      <c r="H5" s="106" t="str">
        <f>IF(SUMIFS(Data_filtered!$G$2:$G$461,Data_filtered!$A$2:$A$461,H$1,Data_filtered!$F$2:$F$461,$A5, Data_filtered!$D$2:$D$461,"eucalipto",Data_filtered!$J$2:$J$461,"&lt;&gt;Incompleto")=0, "-", SUMIFS(Data_filtered!$G$2:$G$461,Data_filtered!$A$2:$A$461,H$1,Data_filtered!$F$2:$F$461,$A5, Data_filtered!$D$2:$D$461,"eucalipto",Data_filtered!$J$2:$J$461,"&lt;&gt;Incompleto"))</f>
        <v>-</v>
      </c>
      <c r="I5" s="108">
        <f>IF(SUMIFS(Data_filtered!$G$2:$G$461,Data_filtered!$A$2:$A$461,H$1,Data_filtered!$F$2:$F$461,$A5, Data_filtered!$D$2:$D$461,"mata",Data_filtered!$J$2:$J$461,"&lt;&gt;Incompleto")=0, "-", SUMIFS(Data_filtered!$G$2:$G$461,Data_filtered!$A$2:$A$461,H$1,Data_filtered!$F$2:$F$461,$A5, Data_filtered!$D$2:$D$461,"mata",Data_filtered!$J$2:$J$461,"&lt;&gt;Incompleto"))
</f>
        <v>1</v>
      </c>
      <c r="J5" s="106" t="str">
        <f>IF(SUMIFS(Data_filtered!$G$2:$G$461,Data_filtered!$A$2:$A$461,J$1,Data_filtered!$F$2:$F$461,$A5, Data_filtered!$D$2:$D$461,"eucalipto",Data_filtered!$J$2:$J$461,"&lt;&gt;Incompleto")=0, "-", SUMIFS(Data_filtered!$G$2:$G$461,Data_filtered!$A$2:$A$461,J$1,Data_filtered!$F$2:$F$461,$A5, Data_filtered!$D$2:$D$461,"eucalipto",Data_filtered!$J$2:$J$461,"&lt;&gt;Incompleto"))</f>
        <v>-</v>
      </c>
      <c r="K5" s="108" t="str">
        <f>IF(SUMIFS(Data_filtered!$G$2:$G$461,Data_filtered!$A$2:$A$461,J$1,Data_filtered!$F$2:$F$461,$A5, Data_filtered!$D$2:$D$461,"mata",Data_filtered!$J$2:$J$461,"&lt;&gt;Incompleto")=0, "-", SUMIFS(Data_filtered!$G$2:$G$461,Data_filtered!$A$2:$A$461,J$1,Data_filtered!$F$2:$F$461,$A5, Data_filtered!$D$2:$D$461,"mata",Data_filtered!$J$2:$J$461,"&lt;&gt;Incompleto"))
</f>
        <v>-</v>
      </c>
      <c r="L5" s="106" t="str">
        <f>IF(SUMIFS(Data_filtered!$G$2:$G$461,Data_filtered!$A$2:$A$461,L$1,Data_filtered!$F$2:$F$461,$A5, Data_filtered!$D$2:$D$461,"eucalipto",Data_filtered!$J$2:$J$461,"&lt;&gt;Incompleto")=0, "-", SUMIFS(Data_filtered!$G$2:$G$461,Data_filtered!$A$2:$A$461,L$1,Data_filtered!$F$2:$F$461,$A5, Data_filtered!$D$2:$D$461,"eucalipto",Data_filtered!$J$2:$J$461,"&lt;&gt;Incompleto"))</f>
        <v>-</v>
      </c>
      <c r="M5" s="108" t="str">
        <f>IF(SUMIFS(Data_filtered!$G$2:$G$461,Data_filtered!$A$2:$A$461,L$1,Data_filtered!$F$2:$F$461,$A5, Data_filtered!$D$2:$D$461,"mata",Data_filtered!$J$2:$J$461,"&lt;&gt;Incompleto")=0, "-", SUMIFS(Data_filtered!$G$2:$G$461,Data_filtered!$A$2:$A$461,L$1,Data_filtered!$F$2:$F$461,$A5, Data_filtered!$D$2:$D$461,"mata",Data_filtered!$J$2:$J$461,"&lt;&gt;Incompleto"))
</f>
        <v>-</v>
      </c>
      <c r="N5" s="106" t="str">
        <f>IF(SUMIFS(Data_filtered!$G$2:$G$461,Data_filtered!$A$2:$A$461,N$1,Data_filtered!$F$2:$F$461,$A5, Data_filtered!$D$2:$D$461,"eucalipto",Data_filtered!$J$2:$J$461,"&lt;&gt;Incompleto")=0, "-", SUMIFS(Data_filtered!$G$2:$G$461,Data_filtered!$A$2:$A$461,N$1,Data_filtered!$F$2:$F$461,$A5, Data_filtered!$D$2:$D$461,"eucalipto",Data_filtered!$J$2:$J$461,"&lt;&gt;Incompleto"))</f>
        <v>-</v>
      </c>
      <c r="O5" s="108" t="str">
        <f>IF(SUMIFS(Data_filtered!$G$2:$G$461,Data_filtered!$A$2:$A$461,N$1,Data_filtered!$F$2:$F$461,$A5, Data_filtered!$D$2:$D$461,"mata",Data_filtered!$J$2:$J$461,"&lt;&gt;Incompleto")=0, "-", SUMIFS(Data_filtered!$G$2:$G$461,Data_filtered!$A$2:$A$461,N$1,Data_filtered!$F$2:$F$461,$A5, Data_filtered!$D$2:$D$461,"mata",Data_filtered!$J$2:$J$461,"&lt;&gt;Incompleto"))
</f>
        <v>-</v>
      </c>
      <c r="P5" s="106" t="str">
        <f>IF(SUMIFS(Data_filtered!$G$2:$G$461,Data_filtered!$A$2:$A$461,P$1,Data_filtered!$F$2:$F$461,$A5, Data_filtered!$D$2:$D$461,"eucalipto",Data_filtered!$J$2:$J$461,"&lt;&gt;Incompleto")=0, "-", SUMIFS(Data_filtered!$G$2:$G$461,Data_filtered!$A$2:$A$461,P$1,Data_filtered!$F$2:$F$461,$A5, Data_filtered!$D$2:$D$461,"eucalipto",Data_filtered!$J$2:$J$461,"&lt;&gt;Incompleto"))</f>
        <v>-</v>
      </c>
      <c r="Q5" s="108" t="str">
        <f>IF(SUMIFS(Data_filtered!$G$2:$G$461,Data_filtered!$A$2:$A$461,P$1,Data_filtered!$F$2:$F$461,$A5, Data_filtered!$D$2:$D$461,"mata",Data_filtered!$J$2:$J$461,"&lt;&gt;Incompleto")=0, "-", SUMIFS(Data_filtered!$G$2:$G$461,Data_filtered!$A$2:$A$461,P$1,Data_filtered!$F$2:$F$461,$A5, Data_filtered!$D$2:$D$461,"mata",Data_filtered!$J$2:$J$461,"&lt;&gt;Incompleto"))
</f>
        <v>-</v>
      </c>
      <c r="R5" s="106">
        <f>IF(SUMIFS(Data_filtered!$G$2:$G$461,Data_filtered!$A$2:$A$461,R$1,Data_filtered!$F$2:$F$461,$A5, Data_filtered!$D$2:$D$461,"eucalipto",Data_filtered!$J$2:$J$461,"&lt;&gt;Incompleto")=0, "-", SUMIFS(Data_filtered!$G$2:$G$461,Data_filtered!$A$2:$A$461,R$1,Data_filtered!$F$2:$F$461,$A5, Data_filtered!$D$2:$D$461,"eucalipto",Data_filtered!$J$2:$J$461,"&lt;&gt;Incompleto"))</f>
        <v>3</v>
      </c>
      <c r="S5" s="108" t="str">
        <f>IF(SUMIFS(Data_filtered!$G$2:$G$461,Data_filtered!$A$2:$A$461,R$1,Data_filtered!$F$2:$F$461,$A5, Data_filtered!$D$2:$D$461,"mata",Data_filtered!$J$2:$J$461,"&lt;&gt;Incompleto")=0, "-", SUMIFS(Data_filtered!$G$2:$G$461,Data_filtered!$A$2:$A$461,R$1,Data_filtered!$F$2:$F$461,$A5, Data_filtered!$D$2:$D$461,"mata",Data_filtered!$J$2:$J$461,"&lt;&gt;Incompleto"))
</f>
        <v>-</v>
      </c>
      <c r="T5" s="106" t="str">
        <f>IF(SUMIFS(Data_filtered!$G$2:$G$461,Data_filtered!$A$2:$A$461,T$1,Data_filtered!$F$2:$F$461,$A5, Data_filtered!$D$2:$D$461,"eucalipto",Data_filtered!$J$2:$J$461,"&lt;&gt;Incompleto")=0, "-", SUMIFS(Data_filtered!$G$2:$G$461,Data_filtered!$A$2:$A$461,T$1,Data_filtered!$F$2:$F$461,$A5, Data_filtered!$D$2:$D$461,"eucalipto",Data_filtered!$J$2:$J$461,"&lt;&gt;Incompleto"))</f>
        <v>-</v>
      </c>
      <c r="U5" s="108">
        <f>IF(SUMIFS(Data_filtered!$G$2:$G$461,Data_filtered!$A$2:$A$461,T$1,Data_filtered!$F$2:$F$461,$A5, Data_filtered!$D$2:$D$461,"mata",Data_filtered!$J$2:$J$461,"&lt;&gt;Incompleto")=0, "-", SUMIFS(Data_filtered!$G$2:$G$461,Data_filtered!$A$2:$A$461,T$1,Data_filtered!$F$2:$F$461,$A5, Data_filtered!$D$2:$D$461,"mata",Data_filtered!$J$2:$J$461,"&lt;&gt;Incompleto"))
</f>
        <v>1</v>
      </c>
      <c r="V5" s="106" t="str">
        <f>IF(SUMIFS(Data_filtered!$G$2:$G$461,Data_filtered!$A$2:$A$461,V$1,Data_filtered!$F$2:$F$461,$A5, Data_filtered!$D$2:$D$461,"eucalipto",Data_filtered!$J$2:$J$461,"&lt;&gt;Incompleto")=0, "-", SUMIFS(Data_filtered!$G$2:$G$461,Data_filtered!$A$2:$A$461,V$1,Data_filtered!$F$2:$F$461,$A5, Data_filtered!$D$2:$D$461,"eucalipto",Data_filtered!$J$2:$J$461,"&lt;&gt;Incompleto"))</f>
        <v>-</v>
      </c>
      <c r="W5" s="108" t="str">
        <f>IF(SUMIFS(Data_filtered!$G$2:$G$461,Data_filtered!$A$2:$A$461,V$1,Data_filtered!$F$2:$F$461,$A5, Data_filtered!$D$2:$D$461,"mata",Data_filtered!$J$2:$J$461,"&lt;&gt;Incompleto")=0, "-", SUMIFS(Data_filtered!$G$2:$G$461,Data_filtered!$A$2:$A$461,V$1,Data_filtered!$F$2:$F$461,$A5, Data_filtered!$D$2:$D$461,"mata",Data_filtered!$J$2:$J$461,"&lt;&gt;Incompleto"))
</f>
        <v>-</v>
      </c>
      <c r="X5" s="106" t="str">
        <f>IF(SUMIFS(Data_filtered!$G$2:$G$461,Data_filtered!$A$2:$A$461,X$1,Data_filtered!$F$2:$F$461,$A5, Data_filtered!$D$2:$D$461,"eucalipto",Data_filtered!$J$2:$J$461,"&lt;&gt;Incompleto")=0, "-", SUMIFS(Data_filtered!$G$2:$G$461,Data_filtered!$A$2:$A$461,X$1,Data_filtered!$F$2:$F$461,$A5, Data_filtered!$D$2:$D$461,"eucalipto",Data_filtered!$J$2:$J$461,"&lt;&gt;Incompleto"))</f>
        <v>-</v>
      </c>
      <c r="Y5" s="108" t="str">
        <f>IF(SUMIFS(Data_filtered!$G$2:$G$461,Data_filtered!$A$2:$A$461,X$1,Data_filtered!$F$2:$F$461,$A5, Data_filtered!$D$2:$D$461,"mata",Data_filtered!$J$2:$J$461,"&lt;&gt;Incompleto")=0, "-", SUMIFS(Data_filtered!$G$2:$G$461,Data_filtered!$A$2:$A$461,X$1,Data_filtered!$F$2:$F$461,$A5, Data_filtered!$D$2:$D$461,"mata",Data_filtered!$J$2:$J$461,"&lt;&gt;Incompleto"))
</f>
        <v>-</v>
      </c>
      <c r="Z5" s="106" t="str">
        <f>IF(SUMIFS(Data_filtered!$G$2:$G$461,Data_filtered!$A$2:$A$461,Z$1,Data_filtered!$F$2:$F$461,$A5, Data_filtered!$D$2:$D$461,"eucalipto",Data_filtered!$J$2:$J$461,"&lt;&gt;Incompleto")=0, "-", SUMIFS(Data_filtered!$G$2:$G$461,Data_filtered!$A$2:$A$461,Z$1,Data_filtered!$F$2:$F$461,$A5, Data_filtered!$D$2:$D$461,"eucalipto",Data_filtered!$J$2:$J$461,"&lt;&gt;Incompleto"))</f>
        <v>-</v>
      </c>
      <c r="AA5" s="108" t="str">
        <f>IF(SUMIFS(Data_filtered!$G$2:$G$461,Data_filtered!$A$2:$A$461,Z$1,Data_filtered!$F$2:$F$461,$A5, Data_filtered!$D$2:$D$461,"mata",Data_filtered!$J$2:$J$461,"&lt;&gt;Incompleto")=0, "-", SUMIFS(Data_filtered!$G$2:$G$461,Data_filtered!$A$2:$A$461,Z$1,Data_filtered!$F$2:$F$461,$A5, Data_filtered!$D$2:$D$461,"mata",Data_filtered!$J$2:$J$461,"&lt;&gt;Incompleto"))
</f>
        <v>-</v>
      </c>
      <c r="AB5" s="106" t="str">
        <f>IF(SUMIFS(Data_filtered!$G$2:$G$461,Data_filtered!$A$2:$A$461,AB$1,Data_filtered!$F$2:$F$461,$A5, Data_filtered!$D$2:$D$461,"eucalipto",Data_filtered!$J$2:$J$461,"&lt;&gt;Incompleto")=0, "-", SUMIFS(Data_filtered!$G$2:$G$461,Data_filtered!$A$2:$A$461,AB$1,Data_filtered!$F$2:$F$461,$A5, Data_filtered!$D$2:$D$461,"eucalipto",Data_filtered!$J$2:$J$461,"&lt;&gt;Incompleto"))</f>
        <v>-</v>
      </c>
      <c r="AC5" s="108" t="str">
        <f>IF(SUMIFS(Data_filtered!$G$2:$G$461,Data_filtered!$A$2:$A$461,AB$1,Data_filtered!$F$2:$F$461,$A5, Data_filtered!$D$2:$D$461,"mata",Data_filtered!$J$2:$J$461,"&lt;&gt;Incompleto")=0, "-", SUMIFS(Data_filtered!$G$2:$G$461,Data_filtered!$A$2:$A$461,AB$1,Data_filtered!$F$2:$F$461,$A5, Data_filtered!$D$2:$D$461,"mata",Data_filtered!$J$2:$J$461,"&lt;&gt;Incompleto"))
</f>
        <v>-</v>
      </c>
      <c r="AD5" s="106" t="str">
        <f>IF(SUMIFS(Data_filtered!$G$2:$G$461,Data_filtered!$A$2:$A$461,AD$1,Data_filtered!$F$2:$F$461,$A5, Data_filtered!$D$2:$D$461,"eucalipto",Data_filtered!$J$2:$J$461,"&lt;&gt;Incompleto")=0, "-", SUMIFS(Data_filtered!$G$2:$G$461,Data_filtered!$A$2:$A$461,AD$1,Data_filtered!$F$2:$F$461,$A5, Data_filtered!$D$2:$D$461,"eucalipto",Data_filtered!$J$2:$J$461,"&lt;&gt;Incompleto"))</f>
        <v>-</v>
      </c>
      <c r="AE5" s="108" t="str">
        <f>IF(SUMIFS(Data_filtered!$G$2:$G$461,Data_filtered!$A$2:$A$461,AD$1,Data_filtered!$F$2:$F$461,$A5, Data_filtered!$D$2:$D$461,"mata",Data_filtered!$J$2:$J$461,"&lt;&gt;Incompleto")=0, "-", SUMIFS(Data_filtered!$G$2:$G$461,Data_filtered!$A$2:$A$461,AD$1,Data_filtered!$F$2:$F$461,$A5, Data_filtered!$D$2:$D$461,"mata",Data_filtered!$J$2:$J$461,"&lt;&gt;Incompleto"))
</f>
        <v>-</v>
      </c>
      <c r="AF5" s="106" t="str">
        <f>IF(SUMIFS(Data_filtered!$G$2:$G$461,Data_filtered!$A$2:$A$461,AF$1,Data_filtered!$F$2:$F$461,$A5, Data_filtered!$D$2:$D$461,"eucalipto",Data_filtered!$J$2:$J$461,"&lt;&gt;Incompleto")=0, "-", SUMIFS(Data_filtered!$G$2:$G$461,Data_filtered!$A$2:$A$461,AF$1,Data_filtered!$F$2:$F$461,$A5, Data_filtered!$D$2:$D$461,"eucalipto",Data_filtered!$J$2:$J$461,"&lt;&gt;Incompleto"))</f>
        <v>-</v>
      </c>
      <c r="AG5" s="108" t="str">
        <f>IF(SUMIFS(Data_filtered!$G$2:$G$461,Data_filtered!$A$2:$A$461,AF$1,Data_filtered!$F$2:$F$461,$A5, Data_filtered!$D$2:$D$461,"mata",Data_filtered!$J$2:$J$461,"&lt;&gt;Incompleto")=0, "-", SUMIFS(Data_filtered!$G$2:$G$461,Data_filtered!$A$2:$A$461,AF$1,Data_filtered!$F$2:$F$461,$A5, Data_filtered!$D$2:$D$461,"mata",Data_filtered!$J$2:$J$461,"&lt;&gt;Incompleto"))
</f>
        <v>-</v>
      </c>
      <c r="AH5" s="106" t="str">
        <f>IF(SUMIFS(Data_filtered!$G$2:$G$461,Data_filtered!$A$2:$A$461,AH$1,Data_filtered!$F$2:$F$461,$A5, Data_filtered!$D$2:$D$461,"eucalipto",Data_filtered!$J$2:$J$461,"&lt;&gt;Incompleto")=0, "-", SUMIFS(Data_filtered!$G$2:$G$461,Data_filtered!$A$2:$A$461,AH$1,Data_filtered!$F$2:$F$461,$A5, Data_filtered!$D$2:$D$461,"eucalipto",Data_filtered!$J$2:$J$461,"&lt;&gt;Incompleto"))</f>
        <v>-</v>
      </c>
      <c r="AI5" s="108" t="str">
        <f>IF(SUMIFS(Data_filtered!$G$2:$G$461,Data_filtered!$A$2:$A$461,AH$1,Data_filtered!$F$2:$F$461,$A5, Data_filtered!$D$2:$D$461,"mata",Data_filtered!$J$2:$J$461,"&lt;&gt;Incompleto")=0, "-", SUMIFS(Data_filtered!$G$2:$G$461,Data_filtered!$A$2:$A$461,AH$1,Data_filtered!$F$2:$F$461,$A5, Data_filtered!$D$2:$D$461,"mata",Data_filtered!$J$2:$J$461,"&lt;&gt;Incompleto"))
</f>
        <v>-</v>
      </c>
      <c r="AJ5" s="106" t="str">
        <f>IF(SUMIFS(Data_filtered!$G$2:$G$461,Data_filtered!$A$2:$A$461,AJ$1,Data_filtered!$F$2:$F$461,$A5, Data_filtered!$D$2:$D$461,"eucalipto",Data_filtered!$J$2:$J$461,"&lt;&gt;Incompleto")=0, "-", SUMIFS(Data_filtered!$G$2:$G$461,Data_filtered!$A$2:$A$461,AJ$1,Data_filtered!$F$2:$F$461,$A5, Data_filtered!$D$2:$D$461,"eucalipto",Data_filtered!$J$2:$J$461,"&lt;&gt;Incompleto"))</f>
        <v>-</v>
      </c>
      <c r="AK5" s="108" t="str">
        <f>IF(SUMIFS(Data_filtered!$G$2:$G$461,Data_filtered!$A$2:$A$461,AJ$1,Data_filtered!$F$2:$F$461,$A5, Data_filtered!$D$2:$D$461,"mata",Data_filtered!$J$2:$J$461,"&lt;&gt;Incompleto")=0, "-", SUMIFS(Data_filtered!$G$2:$G$461,Data_filtered!$A$2:$A$461,AJ$1,Data_filtered!$F$2:$F$461,$A5, Data_filtered!$D$2:$D$461,"mata",Data_filtered!$J$2:$J$461,"&lt;&gt;Incompleto"))
</f>
        <v>-</v>
      </c>
      <c r="AL5" s="106" t="str">
        <f>IF(SUMIFS(Data_filtered!$G$2:$G$461,Data_filtered!$A$2:$A$461,AL$1,Data_filtered!$F$2:$F$461,$A5, Data_filtered!$D$2:$D$461,"eucalipto",Data_filtered!$J$2:$J$461,"&lt;&gt;Incompleto")=0, "-", SUMIFS(Data_filtered!$G$2:$G$461,Data_filtered!$A$2:$A$461,AL$1,Data_filtered!$F$2:$F$461,$A5, Data_filtered!$D$2:$D$461,"eucalipto",Data_filtered!$J$2:$J$461,"&lt;&gt;Incompleto"))</f>
        <v>-</v>
      </c>
      <c r="AM5" s="108" t="str">
        <f>IF(SUMIFS(Data_filtered!$G$2:$G$461,Data_filtered!$A$2:$A$461,AL$1,Data_filtered!$F$2:$F$461,$A5, Data_filtered!$D$2:$D$461,"mata",Data_filtered!$J$2:$J$461,"&lt;&gt;Incompleto")=0, "-", SUMIFS(Data_filtered!$G$2:$G$461,Data_filtered!$A$2:$A$461,AL$1,Data_filtered!$F$2:$F$461,$A5, Data_filtered!$D$2:$D$461,"mata",Data_filtered!$J$2:$J$461,"&lt;&gt;Incompleto"))
</f>
        <v>-</v>
      </c>
      <c r="AN5" s="106" t="str">
        <f>IF(SUMIFS(Data_filtered!$G$2:$G$461,Data_filtered!$A$2:$A$461,AN$1,Data_filtered!$F$2:$F$461,$A5, Data_filtered!$D$2:$D$461,"eucalipto",Data_filtered!$J$2:$J$461,"&lt;&gt;Incompleto")=0, "-", SUMIFS(Data_filtered!$G$2:$G$461,Data_filtered!$A$2:$A$461,AN$1,Data_filtered!$F$2:$F$461,$A5, Data_filtered!$D$2:$D$461,"eucalipto",Data_filtered!$J$2:$J$461,"&lt;&gt;Incompleto"))</f>
        <v>-</v>
      </c>
      <c r="AO5" s="108" t="str">
        <f>IF(SUMIFS(Data_filtered!$G$2:$G$461,Data_filtered!$A$2:$A$461,AN$1,Data_filtered!$F$2:$F$461,$A5, Data_filtered!$D$2:$D$461,"mata",Data_filtered!$J$2:$J$461,"&lt;&gt;Incompleto")=0, "-", SUMIFS(Data_filtered!$G$2:$G$461,Data_filtered!$A$2:$A$461,AN$1,Data_filtered!$F$2:$F$461,$A5, Data_filtered!$D$2:$D$461,"mata",Data_filtered!$J$2:$J$461,"&lt;&gt;Incompleto"))
</f>
        <v>-</v>
      </c>
      <c r="AP5" s="106" t="str">
        <f>IF(SUMIFS(Data_filtered!$G$2:$G$461,Data_filtered!$A$2:$A$461,AP$1,Data_filtered!$F$2:$F$461,$A5, Data_filtered!$D$2:$D$461,"eucalipto",Data_filtered!$J$2:$J$461,"&lt;&gt;Incompleto")=0, "-", SUMIFS(Data_filtered!$G$2:$G$461,Data_filtered!$A$2:$A$461,AP$1,Data_filtered!$F$2:$F$461,$A5, Data_filtered!$D$2:$D$461,"eucalipto",Data_filtered!$J$2:$J$461,"&lt;&gt;Incompleto"))</f>
        <v>-</v>
      </c>
      <c r="AQ5" s="108" t="str">
        <f>IF(SUMIFS(Data_filtered!$G$2:$G$461,Data_filtered!$A$2:$A$461,AP$1,Data_filtered!$F$2:$F$461,$A5, Data_filtered!$D$2:$D$461,"mata",Data_filtered!$J$2:$J$461,"&lt;&gt;Incompleto")=0, "-", SUMIFS(Data_filtered!$G$2:$G$461,Data_filtered!$A$2:$A$461,AP$1,Data_filtered!$F$2:$F$461,$A5, Data_filtered!$D$2:$D$461,"mata",Data_filtered!$J$2:$J$461,"&lt;&gt;Incompleto"))
</f>
        <v>-</v>
      </c>
      <c r="AR5" s="106" t="str">
        <f>IF(SUMIFS(Data_filtered!$G$2:$G$461,Data_filtered!$A$2:$A$461,AR$1,Data_filtered!$F$2:$F$461,$A5, Data_filtered!$D$2:$D$461,"eucalipto",Data_filtered!$J$2:$J$461,"&lt;&gt;Incompleto")=0, "-", SUMIFS(Data_filtered!$G$2:$G$461,Data_filtered!$A$2:$A$461,AR$1,Data_filtered!$F$2:$F$461,$A5, Data_filtered!$D$2:$D$461,"eucalipto",Data_filtered!$J$2:$J$461,"&lt;&gt;Incompleto"))</f>
        <v>-</v>
      </c>
      <c r="AS5" s="108" t="str">
        <f>IF(SUMIFS(Data_filtered!$G$2:$G$461,Data_filtered!$A$2:$A$461,AR$1,Data_filtered!$F$2:$F$461,$A5, Data_filtered!$D$2:$D$461,"mata",Data_filtered!$J$2:$J$461,"&lt;&gt;Incompleto")=0, "-", SUMIFS(Data_filtered!$G$2:$G$461,Data_filtered!$A$2:$A$461,AR$1,Data_filtered!$F$2:$F$461,$A5, Data_filtered!$D$2:$D$461,"mata",Data_filtered!$J$2:$J$461,"&lt;&gt;Incompleto"))
</f>
        <v>-</v>
      </c>
    </row>
    <row r="6">
      <c r="A6" s="68" t="str">
        <f>IFERROR(__xludf.DUMMYFUNCTION("""COMPUTED_VALUE"""),"Chilopoda")</f>
        <v>Chilopoda</v>
      </c>
      <c r="B6" s="106" t="str">
        <f>IF(SUMIFS(Data_filtered!$G$2:$G$461,Data_filtered!$A$2:$A$461,B$1,Data_filtered!$F$2:$F$461,$A6, Data_filtered!$D$2:$D$461,"eucalipto",Data_filtered!$J$2:$J$461,"&lt;&gt;Incompleto")=0, "-", SUMIFS(Data_filtered!$G$2:$G$461,Data_filtered!$A$2:$A$461,B$1,Data_filtered!$F$2:$F$461,$A6, Data_filtered!$D$2:$D$461,"eucalipto",Data_filtered!$J$2:$J$461,"&lt;&gt;Incompleto"))</f>
        <v>-</v>
      </c>
      <c r="C6" s="108" t="str">
        <f>IF(SUMIFS(Data_filtered!$G$2:$G$461,Data_filtered!$A$2:$A$461,B$1,Data_filtered!$F$2:$F$461,$A6, Data_filtered!$D$2:$D$461,"mata",Data_filtered!$J$2:$J$461,"&lt;&gt;Incompleto")=0, "-", SUMIFS(Data_filtered!$G$2:$G$461,Data_filtered!$A$2:$A$461,B$1,Data_filtered!$F$2:$F$461,$A6, Data_filtered!$D$2:$D$461,"mata",Data_filtered!$J$2:$J$461,"&lt;&gt;Incompleto"))
</f>
        <v>-</v>
      </c>
      <c r="D6" s="106" t="str">
        <f>IF(SUMIFS(Data_filtered!$G$2:$G$461,Data_filtered!$A$2:$A$461,D$1,Data_filtered!$F$2:$F$461,$A6, Data_filtered!$D$2:$D$461,"eucalipto",Data_filtered!$J$2:$J$461,"&lt;&gt;Incompleto")=0, "-", SUMIFS(Data_filtered!$G$2:$G$461,Data_filtered!$A$2:$A$461,D$1,Data_filtered!$F$2:$F$461,$A6, Data_filtered!$D$2:$D$461,"eucalipto",Data_filtered!$J$2:$J$461,"&lt;&gt;Incompleto"))</f>
        <v>-</v>
      </c>
      <c r="E6" s="108" t="str">
        <f>IF(SUMIFS(Data_filtered!$G$2:$G$461,Data_filtered!$A$2:$A$461,D$1,Data_filtered!$F$2:$F$461,$A6, Data_filtered!$D$2:$D$461,"mata",Data_filtered!$J$2:$J$461,"&lt;&gt;Incompleto")=0, "-", SUMIFS(Data_filtered!$G$2:$G$461,Data_filtered!$A$2:$A$461,D$1,Data_filtered!$F$2:$F$461,$A6, Data_filtered!$D$2:$D$461,"mata",Data_filtered!$J$2:$J$461,"&lt;&gt;Incompleto"))
</f>
        <v>-</v>
      </c>
      <c r="F6" s="106" t="str">
        <f>IF(SUMIFS(Data_filtered!$G$2:$G$461,Data_filtered!$A$2:$A$461,F$1,Data_filtered!$F$2:$F$461,$A6, Data_filtered!$D$2:$D$461,"eucalipto",Data_filtered!$J$2:$J$461,"&lt;&gt;Incompleto")=0, "-", SUMIFS(Data_filtered!$G$2:$G$461,Data_filtered!$A$2:$A$461,F$1,Data_filtered!$F$2:$F$461,$A6, Data_filtered!$D$2:$D$461,"eucalipto",Data_filtered!$J$2:$J$461,"&lt;&gt;Incompleto"))</f>
        <v>-</v>
      </c>
      <c r="G6" s="108" t="str">
        <f>IF(SUMIFS(Data_filtered!$G$2:$G$461,Data_filtered!$A$2:$A$461,F$1,Data_filtered!$F$2:$F$461,$A6, Data_filtered!$D$2:$D$461,"mata",Data_filtered!$J$2:$J$461,"&lt;&gt;Incompleto")=0, "-", SUMIFS(Data_filtered!$G$2:$G$461,Data_filtered!$A$2:$A$461,F$1,Data_filtered!$F$2:$F$461,$A6, Data_filtered!$D$2:$D$461,"mata",Data_filtered!$J$2:$J$461,"&lt;&gt;Incompleto"))
</f>
        <v>-</v>
      </c>
      <c r="H6" s="106" t="str">
        <f>IF(SUMIFS(Data_filtered!$G$2:$G$461,Data_filtered!$A$2:$A$461,H$1,Data_filtered!$F$2:$F$461,$A6, Data_filtered!$D$2:$D$461,"eucalipto",Data_filtered!$J$2:$J$461,"&lt;&gt;Incompleto")=0, "-", SUMIFS(Data_filtered!$G$2:$G$461,Data_filtered!$A$2:$A$461,H$1,Data_filtered!$F$2:$F$461,$A6, Data_filtered!$D$2:$D$461,"eucalipto",Data_filtered!$J$2:$J$461,"&lt;&gt;Incompleto"))</f>
        <v>-</v>
      </c>
      <c r="I6" s="108" t="str">
        <f>IF(SUMIFS(Data_filtered!$G$2:$G$461,Data_filtered!$A$2:$A$461,H$1,Data_filtered!$F$2:$F$461,$A6, Data_filtered!$D$2:$D$461,"mata",Data_filtered!$J$2:$J$461,"&lt;&gt;Incompleto")=0, "-", SUMIFS(Data_filtered!$G$2:$G$461,Data_filtered!$A$2:$A$461,H$1,Data_filtered!$F$2:$F$461,$A6, Data_filtered!$D$2:$D$461,"mata",Data_filtered!$J$2:$J$461,"&lt;&gt;Incompleto"))
</f>
        <v>-</v>
      </c>
      <c r="J6" s="106" t="str">
        <f>IF(SUMIFS(Data_filtered!$G$2:$G$461,Data_filtered!$A$2:$A$461,J$1,Data_filtered!$F$2:$F$461,$A6, Data_filtered!$D$2:$D$461,"eucalipto",Data_filtered!$J$2:$J$461,"&lt;&gt;Incompleto")=0, "-", SUMIFS(Data_filtered!$G$2:$G$461,Data_filtered!$A$2:$A$461,J$1,Data_filtered!$F$2:$F$461,$A6, Data_filtered!$D$2:$D$461,"eucalipto",Data_filtered!$J$2:$J$461,"&lt;&gt;Incompleto"))</f>
        <v>-</v>
      </c>
      <c r="K6" s="108" t="str">
        <f>IF(SUMIFS(Data_filtered!$G$2:$G$461,Data_filtered!$A$2:$A$461,J$1,Data_filtered!$F$2:$F$461,$A6, Data_filtered!$D$2:$D$461,"mata",Data_filtered!$J$2:$J$461,"&lt;&gt;Incompleto")=0, "-", SUMIFS(Data_filtered!$G$2:$G$461,Data_filtered!$A$2:$A$461,J$1,Data_filtered!$F$2:$F$461,$A6, Data_filtered!$D$2:$D$461,"mata",Data_filtered!$J$2:$J$461,"&lt;&gt;Incompleto"))
</f>
        <v>-</v>
      </c>
      <c r="L6" s="106" t="str">
        <f>IF(SUMIFS(Data_filtered!$G$2:$G$461,Data_filtered!$A$2:$A$461,L$1,Data_filtered!$F$2:$F$461,$A6, Data_filtered!$D$2:$D$461,"eucalipto",Data_filtered!$J$2:$J$461,"&lt;&gt;Incompleto")=0, "-", SUMIFS(Data_filtered!$G$2:$G$461,Data_filtered!$A$2:$A$461,L$1,Data_filtered!$F$2:$F$461,$A6, Data_filtered!$D$2:$D$461,"eucalipto",Data_filtered!$J$2:$J$461,"&lt;&gt;Incompleto"))</f>
        <v>-</v>
      </c>
      <c r="M6" s="108" t="str">
        <f>IF(SUMIFS(Data_filtered!$G$2:$G$461,Data_filtered!$A$2:$A$461,L$1,Data_filtered!$F$2:$F$461,$A6, Data_filtered!$D$2:$D$461,"mata",Data_filtered!$J$2:$J$461,"&lt;&gt;Incompleto")=0, "-", SUMIFS(Data_filtered!$G$2:$G$461,Data_filtered!$A$2:$A$461,L$1,Data_filtered!$F$2:$F$461,$A6, Data_filtered!$D$2:$D$461,"mata",Data_filtered!$J$2:$J$461,"&lt;&gt;Incompleto"))
</f>
        <v>-</v>
      </c>
      <c r="N6" s="106" t="str">
        <f>IF(SUMIFS(Data_filtered!$G$2:$G$461,Data_filtered!$A$2:$A$461,N$1,Data_filtered!$F$2:$F$461,$A6, Data_filtered!$D$2:$D$461,"eucalipto",Data_filtered!$J$2:$J$461,"&lt;&gt;Incompleto")=0, "-", SUMIFS(Data_filtered!$G$2:$G$461,Data_filtered!$A$2:$A$461,N$1,Data_filtered!$F$2:$F$461,$A6, Data_filtered!$D$2:$D$461,"eucalipto",Data_filtered!$J$2:$J$461,"&lt;&gt;Incompleto"))</f>
        <v>-</v>
      </c>
      <c r="O6" s="108" t="str">
        <f>IF(SUMIFS(Data_filtered!$G$2:$G$461,Data_filtered!$A$2:$A$461,N$1,Data_filtered!$F$2:$F$461,$A6, Data_filtered!$D$2:$D$461,"mata",Data_filtered!$J$2:$J$461,"&lt;&gt;Incompleto")=0, "-", SUMIFS(Data_filtered!$G$2:$G$461,Data_filtered!$A$2:$A$461,N$1,Data_filtered!$F$2:$F$461,$A6, Data_filtered!$D$2:$D$461,"mata",Data_filtered!$J$2:$J$461,"&lt;&gt;Incompleto"))
</f>
        <v>-</v>
      </c>
      <c r="P6" s="106" t="str">
        <f>IF(SUMIFS(Data_filtered!$G$2:$G$461,Data_filtered!$A$2:$A$461,P$1,Data_filtered!$F$2:$F$461,$A6, Data_filtered!$D$2:$D$461,"eucalipto",Data_filtered!$J$2:$J$461,"&lt;&gt;Incompleto")=0, "-", SUMIFS(Data_filtered!$G$2:$G$461,Data_filtered!$A$2:$A$461,P$1,Data_filtered!$F$2:$F$461,$A6, Data_filtered!$D$2:$D$461,"eucalipto",Data_filtered!$J$2:$J$461,"&lt;&gt;Incompleto"))</f>
        <v>-</v>
      </c>
      <c r="Q6" s="108" t="str">
        <f>IF(SUMIFS(Data_filtered!$G$2:$G$461,Data_filtered!$A$2:$A$461,P$1,Data_filtered!$F$2:$F$461,$A6, Data_filtered!$D$2:$D$461,"mata",Data_filtered!$J$2:$J$461,"&lt;&gt;Incompleto")=0, "-", SUMIFS(Data_filtered!$G$2:$G$461,Data_filtered!$A$2:$A$461,P$1,Data_filtered!$F$2:$F$461,$A6, Data_filtered!$D$2:$D$461,"mata",Data_filtered!$J$2:$J$461,"&lt;&gt;Incompleto"))
</f>
        <v>-</v>
      </c>
      <c r="R6" s="106">
        <f>IF(SUMIFS(Data_filtered!$G$2:$G$461,Data_filtered!$A$2:$A$461,R$1,Data_filtered!$F$2:$F$461,$A6, Data_filtered!$D$2:$D$461,"eucalipto",Data_filtered!$J$2:$J$461,"&lt;&gt;Incompleto")=0, "-", SUMIFS(Data_filtered!$G$2:$G$461,Data_filtered!$A$2:$A$461,R$1,Data_filtered!$F$2:$F$461,$A6, Data_filtered!$D$2:$D$461,"eucalipto",Data_filtered!$J$2:$J$461,"&lt;&gt;Incompleto"))</f>
        <v>2</v>
      </c>
      <c r="S6" s="108" t="str">
        <f>IF(SUMIFS(Data_filtered!$G$2:$G$461,Data_filtered!$A$2:$A$461,R$1,Data_filtered!$F$2:$F$461,$A6, Data_filtered!$D$2:$D$461,"mata",Data_filtered!$J$2:$J$461,"&lt;&gt;Incompleto")=0, "-", SUMIFS(Data_filtered!$G$2:$G$461,Data_filtered!$A$2:$A$461,R$1,Data_filtered!$F$2:$F$461,$A6, Data_filtered!$D$2:$D$461,"mata",Data_filtered!$J$2:$J$461,"&lt;&gt;Incompleto"))
</f>
        <v>-</v>
      </c>
      <c r="T6" s="106" t="str">
        <f>IF(SUMIFS(Data_filtered!$G$2:$G$461,Data_filtered!$A$2:$A$461,T$1,Data_filtered!$F$2:$F$461,$A6, Data_filtered!$D$2:$D$461,"eucalipto",Data_filtered!$J$2:$J$461,"&lt;&gt;Incompleto")=0, "-", SUMIFS(Data_filtered!$G$2:$G$461,Data_filtered!$A$2:$A$461,T$1,Data_filtered!$F$2:$F$461,$A6, Data_filtered!$D$2:$D$461,"eucalipto",Data_filtered!$J$2:$J$461,"&lt;&gt;Incompleto"))</f>
        <v>-</v>
      </c>
      <c r="U6" s="108" t="str">
        <f>IF(SUMIFS(Data_filtered!$G$2:$G$461,Data_filtered!$A$2:$A$461,T$1,Data_filtered!$F$2:$F$461,$A6, Data_filtered!$D$2:$D$461,"mata",Data_filtered!$J$2:$J$461,"&lt;&gt;Incompleto")=0, "-", SUMIFS(Data_filtered!$G$2:$G$461,Data_filtered!$A$2:$A$461,T$1,Data_filtered!$F$2:$F$461,$A6, Data_filtered!$D$2:$D$461,"mata",Data_filtered!$J$2:$J$461,"&lt;&gt;Incompleto"))
</f>
        <v>-</v>
      </c>
      <c r="V6" s="106">
        <f>IF(SUMIFS(Data_filtered!$G$2:$G$461,Data_filtered!$A$2:$A$461,V$1,Data_filtered!$F$2:$F$461,$A6, Data_filtered!$D$2:$D$461,"eucalipto",Data_filtered!$J$2:$J$461,"&lt;&gt;Incompleto")=0, "-", SUMIFS(Data_filtered!$G$2:$G$461,Data_filtered!$A$2:$A$461,V$1,Data_filtered!$F$2:$F$461,$A6, Data_filtered!$D$2:$D$461,"eucalipto",Data_filtered!$J$2:$J$461,"&lt;&gt;Incompleto"))</f>
        <v>1</v>
      </c>
      <c r="W6" s="108" t="str">
        <f>IF(SUMIFS(Data_filtered!$G$2:$G$461,Data_filtered!$A$2:$A$461,V$1,Data_filtered!$F$2:$F$461,$A6, Data_filtered!$D$2:$D$461,"mata",Data_filtered!$J$2:$J$461,"&lt;&gt;Incompleto")=0, "-", SUMIFS(Data_filtered!$G$2:$G$461,Data_filtered!$A$2:$A$461,V$1,Data_filtered!$F$2:$F$461,$A6, Data_filtered!$D$2:$D$461,"mata",Data_filtered!$J$2:$J$461,"&lt;&gt;Incompleto"))
</f>
        <v>-</v>
      </c>
      <c r="X6" s="106" t="str">
        <f>IF(SUMIFS(Data_filtered!$G$2:$G$461,Data_filtered!$A$2:$A$461,X$1,Data_filtered!$F$2:$F$461,$A6, Data_filtered!$D$2:$D$461,"eucalipto",Data_filtered!$J$2:$J$461,"&lt;&gt;Incompleto")=0, "-", SUMIFS(Data_filtered!$G$2:$G$461,Data_filtered!$A$2:$A$461,X$1,Data_filtered!$F$2:$F$461,$A6, Data_filtered!$D$2:$D$461,"eucalipto",Data_filtered!$J$2:$J$461,"&lt;&gt;Incompleto"))</f>
        <v>-</v>
      </c>
      <c r="Y6" s="108" t="str">
        <f>IF(SUMIFS(Data_filtered!$G$2:$G$461,Data_filtered!$A$2:$A$461,X$1,Data_filtered!$F$2:$F$461,$A6, Data_filtered!$D$2:$D$461,"mata",Data_filtered!$J$2:$J$461,"&lt;&gt;Incompleto")=0, "-", SUMIFS(Data_filtered!$G$2:$G$461,Data_filtered!$A$2:$A$461,X$1,Data_filtered!$F$2:$F$461,$A6, Data_filtered!$D$2:$D$461,"mata",Data_filtered!$J$2:$J$461,"&lt;&gt;Incompleto"))
</f>
        <v>-</v>
      </c>
      <c r="Z6" s="106" t="str">
        <f>IF(SUMIFS(Data_filtered!$G$2:$G$461,Data_filtered!$A$2:$A$461,Z$1,Data_filtered!$F$2:$F$461,$A6, Data_filtered!$D$2:$D$461,"eucalipto",Data_filtered!$J$2:$J$461,"&lt;&gt;Incompleto")=0, "-", SUMIFS(Data_filtered!$G$2:$G$461,Data_filtered!$A$2:$A$461,Z$1,Data_filtered!$F$2:$F$461,$A6, Data_filtered!$D$2:$D$461,"eucalipto",Data_filtered!$J$2:$J$461,"&lt;&gt;Incompleto"))</f>
        <v>-</v>
      </c>
      <c r="AA6" s="108" t="str">
        <f>IF(SUMIFS(Data_filtered!$G$2:$G$461,Data_filtered!$A$2:$A$461,Z$1,Data_filtered!$F$2:$F$461,$A6, Data_filtered!$D$2:$D$461,"mata",Data_filtered!$J$2:$J$461,"&lt;&gt;Incompleto")=0, "-", SUMIFS(Data_filtered!$G$2:$G$461,Data_filtered!$A$2:$A$461,Z$1,Data_filtered!$F$2:$F$461,$A6, Data_filtered!$D$2:$D$461,"mata",Data_filtered!$J$2:$J$461,"&lt;&gt;Incompleto"))
</f>
        <v>-</v>
      </c>
      <c r="AB6" s="106" t="str">
        <f>IF(SUMIFS(Data_filtered!$G$2:$G$461,Data_filtered!$A$2:$A$461,AB$1,Data_filtered!$F$2:$F$461,$A6, Data_filtered!$D$2:$D$461,"eucalipto",Data_filtered!$J$2:$J$461,"&lt;&gt;Incompleto")=0, "-", SUMIFS(Data_filtered!$G$2:$G$461,Data_filtered!$A$2:$A$461,AB$1,Data_filtered!$F$2:$F$461,$A6, Data_filtered!$D$2:$D$461,"eucalipto",Data_filtered!$J$2:$J$461,"&lt;&gt;Incompleto"))</f>
        <v>-</v>
      </c>
      <c r="AC6" s="108" t="str">
        <f>IF(SUMIFS(Data_filtered!$G$2:$G$461,Data_filtered!$A$2:$A$461,AB$1,Data_filtered!$F$2:$F$461,$A6, Data_filtered!$D$2:$D$461,"mata",Data_filtered!$J$2:$J$461,"&lt;&gt;Incompleto")=0, "-", SUMIFS(Data_filtered!$G$2:$G$461,Data_filtered!$A$2:$A$461,AB$1,Data_filtered!$F$2:$F$461,$A6, Data_filtered!$D$2:$D$461,"mata",Data_filtered!$J$2:$J$461,"&lt;&gt;Incompleto"))
</f>
        <v>-</v>
      </c>
      <c r="AD6" s="106" t="str">
        <f>IF(SUMIFS(Data_filtered!$G$2:$G$461,Data_filtered!$A$2:$A$461,AD$1,Data_filtered!$F$2:$F$461,$A6, Data_filtered!$D$2:$D$461,"eucalipto",Data_filtered!$J$2:$J$461,"&lt;&gt;Incompleto")=0, "-", SUMIFS(Data_filtered!$G$2:$G$461,Data_filtered!$A$2:$A$461,AD$1,Data_filtered!$F$2:$F$461,$A6, Data_filtered!$D$2:$D$461,"eucalipto",Data_filtered!$J$2:$J$461,"&lt;&gt;Incompleto"))</f>
        <v>-</v>
      </c>
      <c r="AE6" s="108" t="str">
        <f>IF(SUMIFS(Data_filtered!$G$2:$G$461,Data_filtered!$A$2:$A$461,AD$1,Data_filtered!$F$2:$F$461,$A6, Data_filtered!$D$2:$D$461,"mata",Data_filtered!$J$2:$J$461,"&lt;&gt;Incompleto")=0, "-", SUMIFS(Data_filtered!$G$2:$G$461,Data_filtered!$A$2:$A$461,AD$1,Data_filtered!$F$2:$F$461,$A6, Data_filtered!$D$2:$D$461,"mata",Data_filtered!$J$2:$J$461,"&lt;&gt;Incompleto"))
</f>
        <v>-</v>
      </c>
      <c r="AF6" s="106" t="str">
        <f>IF(SUMIFS(Data_filtered!$G$2:$G$461,Data_filtered!$A$2:$A$461,AF$1,Data_filtered!$F$2:$F$461,$A6, Data_filtered!$D$2:$D$461,"eucalipto",Data_filtered!$J$2:$J$461,"&lt;&gt;Incompleto")=0, "-", SUMIFS(Data_filtered!$G$2:$G$461,Data_filtered!$A$2:$A$461,AF$1,Data_filtered!$F$2:$F$461,$A6, Data_filtered!$D$2:$D$461,"eucalipto",Data_filtered!$J$2:$J$461,"&lt;&gt;Incompleto"))</f>
        <v>-</v>
      </c>
      <c r="AG6" s="108" t="str">
        <f>IF(SUMIFS(Data_filtered!$G$2:$G$461,Data_filtered!$A$2:$A$461,AF$1,Data_filtered!$F$2:$F$461,$A6, Data_filtered!$D$2:$D$461,"mata",Data_filtered!$J$2:$J$461,"&lt;&gt;Incompleto")=0, "-", SUMIFS(Data_filtered!$G$2:$G$461,Data_filtered!$A$2:$A$461,AF$1,Data_filtered!$F$2:$F$461,$A6, Data_filtered!$D$2:$D$461,"mata",Data_filtered!$J$2:$J$461,"&lt;&gt;Incompleto"))
</f>
        <v>-</v>
      </c>
      <c r="AH6" s="106" t="str">
        <f>IF(SUMIFS(Data_filtered!$G$2:$G$461,Data_filtered!$A$2:$A$461,AH$1,Data_filtered!$F$2:$F$461,$A6, Data_filtered!$D$2:$D$461,"eucalipto",Data_filtered!$J$2:$J$461,"&lt;&gt;Incompleto")=0, "-", SUMIFS(Data_filtered!$G$2:$G$461,Data_filtered!$A$2:$A$461,AH$1,Data_filtered!$F$2:$F$461,$A6, Data_filtered!$D$2:$D$461,"eucalipto",Data_filtered!$J$2:$J$461,"&lt;&gt;Incompleto"))</f>
        <v>-</v>
      </c>
      <c r="AI6" s="108">
        <f>IF(SUMIFS(Data_filtered!$G$2:$G$461,Data_filtered!$A$2:$A$461,AH$1,Data_filtered!$F$2:$F$461,$A6, Data_filtered!$D$2:$D$461,"mata",Data_filtered!$J$2:$J$461,"&lt;&gt;Incompleto")=0, "-", SUMIFS(Data_filtered!$G$2:$G$461,Data_filtered!$A$2:$A$461,AH$1,Data_filtered!$F$2:$F$461,$A6, Data_filtered!$D$2:$D$461,"mata",Data_filtered!$J$2:$J$461,"&lt;&gt;Incompleto"))
</f>
        <v>1</v>
      </c>
      <c r="AJ6" s="106" t="str">
        <f>IF(SUMIFS(Data_filtered!$G$2:$G$461,Data_filtered!$A$2:$A$461,AJ$1,Data_filtered!$F$2:$F$461,$A6, Data_filtered!$D$2:$D$461,"eucalipto",Data_filtered!$J$2:$J$461,"&lt;&gt;Incompleto")=0, "-", SUMIFS(Data_filtered!$G$2:$G$461,Data_filtered!$A$2:$A$461,AJ$1,Data_filtered!$F$2:$F$461,$A6, Data_filtered!$D$2:$D$461,"eucalipto",Data_filtered!$J$2:$J$461,"&lt;&gt;Incompleto"))</f>
        <v>-</v>
      </c>
      <c r="AK6" s="108" t="str">
        <f>IF(SUMIFS(Data_filtered!$G$2:$G$461,Data_filtered!$A$2:$A$461,AJ$1,Data_filtered!$F$2:$F$461,$A6, Data_filtered!$D$2:$D$461,"mata",Data_filtered!$J$2:$J$461,"&lt;&gt;Incompleto")=0, "-", SUMIFS(Data_filtered!$G$2:$G$461,Data_filtered!$A$2:$A$461,AJ$1,Data_filtered!$F$2:$F$461,$A6, Data_filtered!$D$2:$D$461,"mata",Data_filtered!$J$2:$J$461,"&lt;&gt;Incompleto"))
</f>
        <v>-</v>
      </c>
      <c r="AL6" s="106" t="str">
        <f>IF(SUMIFS(Data_filtered!$G$2:$G$461,Data_filtered!$A$2:$A$461,AL$1,Data_filtered!$F$2:$F$461,$A6, Data_filtered!$D$2:$D$461,"eucalipto",Data_filtered!$J$2:$J$461,"&lt;&gt;Incompleto")=0, "-", SUMIFS(Data_filtered!$G$2:$G$461,Data_filtered!$A$2:$A$461,AL$1,Data_filtered!$F$2:$F$461,$A6, Data_filtered!$D$2:$D$461,"eucalipto",Data_filtered!$J$2:$J$461,"&lt;&gt;Incompleto"))</f>
        <v>-</v>
      </c>
      <c r="AM6" s="108" t="str">
        <f>IF(SUMIFS(Data_filtered!$G$2:$G$461,Data_filtered!$A$2:$A$461,AL$1,Data_filtered!$F$2:$F$461,$A6, Data_filtered!$D$2:$D$461,"mata",Data_filtered!$J$2:$J$461,"&lt;&gt;Incompleto")=0, "-", SUMIFS(Data_filtered!$G$2:$G$461,Data_filtered!$A$2:$A$461,AL$1,Data_filtered!$F$2:$F$461,$A6, Data_filtered!$D$2:$D$461,"mata",Data_filtered!$J$2:$J$461,"&lt;&gt;Incompleto"))
</f>
        <v>-</v>
      </c>
      <c r="AN6" s="106" t="str">
        <f>IF(SUMIFS(Data_filtered!$G$2:$G$461,Data_filtered!$A$2:$A$461,AN$1,Data_filtered!$F$2:$F$461,$A6, Data_filtered!$D$2:$D$461,"eucalipto",Data_filtered!$J$2:$J$461,"&lt;&gt;Incompleto")=0, "-", SUMIFS(Data_filtered!$G$2:$G$461,Data_filtered!$A$2:$A$461,AN$1,Data_filtered!$F$2:$F$461,$A6, Data_filtered!$D$2:$D$461,"eucalipto",Data_filtered!$J$2:$J$461,"&lt;&gt;Incompleto"))</f>
        <v>-</v>
      </c>
      <c r="AO6" s="108" t="str">
        <f>IF(SUMIFS(Data_filtered!$G$2:$G$461,Data_filtered!$A$2:$A$461,AN$1,Data_filtered!$F$2:$F$461,$A6, Data_filtered!$D$2:$D$461,"mata",Data_filtered!$J$2:$J$461,"&lt;&gt;Incompleto")=0, "-", SUMIFS(Data_filtered!$G$2:$G$461,Data_filtered!$A$2:$A$461,AN$1,Data_filtered!$F$2:$F$461,$A6, Data_filtered!$D$2:$D$461,"mata",Data_filtered!$J$2:$J$461,"&lt;&gt;Incompleto"))
</f>
        <v>-</v>
      </c>
      <c r="AP6" s="106" t="str">
        <f>IF(SUMIFS(Data_filtered!$G$2:$G$461,Data_filtered!$A$2:$A$461,AP$1,Data_filtered!$F$2:$F$461,$A6, Data_filtered!$D$2:$D$461,"eucalipto",Data_filtered!$J$2:$J$461,"&lt;&gt;Incompleto")=0, "-", SUMIFS(Data_filtered!$G$2:$G$461,Data_filtered!$A$2:$A$461,AP$1,Data_filtered!$F$2:$F$461,$A6, Data_filtered!$D$2:$D$461,"eucalipto",Data_filtered!$J$2:$J$461,"&lt;&gt;Incompleto"))</f>
        <v>-</v>
      </c>
      <c r="AQ6" s="108" t="str">
        <f>IF(SUMIFS(Data_filtered!$G$2:$G$461,Data_filtered!$A$2:$A$461,AP$1,Data_filtered!$F$2:$F$461,$A6, Data_filtered!$D$2:$D$461,"mata",Data_filtered!$J$2:$J$461,"&lt;&gt;Incompleto")=0, "-", SUMIFS(Data_filtered!$G$2:$G$461,Data_filtered!$A$2:$A$461,AP$1,Data_filtered!$F$2:$F$461,$A6, Data_filtered!$D$2:$D$461,"mata",Data_filtered!$J$2:$J$461,"&lt;&gt;Incompleto"))
</f>
        <v>-</v>
      </c>
      <c r="AR6" s="106" t="str">
        <f>IF(SUMIFS(Data_filtered!$G$2:$G$461,Data_filtered!$A$2:$A$461,AR$1,Data_filtered!$F$2:$F$461,$A6, Data_filtered!$D$2:$D$461,"eucalipto",Data_filtered!$J$2:$J$461,"&lt;&gt;Incompleto")=0, "-", SUMIFS(Data_filtered!$G$2:$G$461,Data_filtered!$A$2:$A$461,AR$1,Data_filtered!$F$2:$F$461,$A6, Data_filtered!$D$2:$D$461,"eucalipto",Data_filtered!$J$2:$J$461,"&lt;&gt;Incompleto"))</f>
        <v>-</v>
      </c>
      <c r="AS6" s="108" t="str">
        <f>IF(SUMIFS(Data_filtered!$G$2:$G$461,Data_filtered!$A$2:$A$461,AR$1,Data_filtered!$F$2:$F$461,$A6, Data_filtered!$D$2:$D$461,"mata",Data_filtered!$J$2:$J$461,"&lt;&gt;Incompleto")=0, "-", SUMIFS(Data_filtered!$G$2:$G$461,Data_filtered!$A$2:$A$461,AR$1,Data_filtered!$F$2:$F$461,$A6, Data_filtered!$D$2:$D$461,"mata",Data_filtered!$J$2:$J$461,"&lt;&gt;Incompleto"))
</f>
        <v>-</v>
      </c>
    </row>
    <row r="7">
      <c r="A7" s="68" t="str">
        <f>IFERROR(__xludf.DUMMYFUNCTION("""COMPUTED_VALUE"""),"Coleoptera")</f>
        <v>Coleoptera</v>
      </c>
      <c r="B7" s="106">
        <f>IF(SUMIFS(Data_filtered!$G$2:$G$461,Data_filtered!$A$2:$A$461,B$1,Data_filtered!$F$2:$F$461,$A7, Data_filtered!$D$2:$D$461,"eucalipto",Data_filtered!$J$2:$J$461,"&lt;&gt;Incompleto")=0, "-", SUMIFS(Data_filtered!$G$2:$G$461,Data_filtered!$A$2:$A$461,B$1,Data_filtered!$F$2:$F$461,$A7, Data_filtered!$D$2:$D$461,"eucalipto",Data_filtered!$J$2:$J$461,"&lt;&gt;Incompleto"))</f>
        <v>1</v>
      </c>
      <c r="C7" s="108">
        <f>IF(SUMIFS(Data_filtered!$G$2:$G$461,Data_filtered!$A$2:$A$461,B$1,Data_filtered!$F$2:$F$461,$A7, Data_filtered!$D$2:$D$461,"mata",Data_filtered!$J$2:$J$461,"&lt;&gt;Incompleto")=0, "-", SUMIFS(Data_filtered!$G$2:$G$461,Data_filtered!$A$2:$A$461,B$1,Data_filtered!$F$2:$F$461,$A7, Data_filtered!$D$2:$D$461,"mata",Data_filtered!$J$2:$J$461,"&lt;&gt;Incompleto"))
</f>
        <v>1</v>
      </c>
      <c r="D7" s="106" t="str">
        <f>IF(SUMIFS(Data_filtered!$G$2:$G$461,Data_filtered!$A$2:$A$461,D$1,Data_filtered!$F$2:$F$461,$A7, Data_filtered!$D$2:$D$461,"eucalipto",Data_filtered!$J$2:$J$461,"&lt;&gt;Incompleto")=0, "-", SUMIFS(Data_filtered!$G$2:$G$461,Data_filtered!$A$2:$A$461,D$1,Data_filtered!$F$2:$F$461,$A7, Data_filtered!$D$2:$D$461,"eucalipto",Data_filtered!$J$2:$J$461,"&lt;&gt;Incompleto"))</f>
        <v>-</v>
      </c>
      <c r="E7" s="108" t="str">
        <f>IF(SUMIFS(Data_filtered!$G$2:$G$461,Data_filtered!$A$2:$A$461,D$1,Data_filtered!$F$2:$F$461,$A7, Data_filtered!$D$2:$D$461,"mata",Data_filtered!$J$2:$J$461,"&lt;&gt;Incompleto")=0, "-", SUMIFS(Data_filtered!$G$2:$G$461,Data_filtered!$A$2:$A$461,D$1,Data_filtered!$F$2:$F$461,$A7, Data_filtered!$D$2:$D$461,"mata",Data_filtered!$J$2:$J$461,"&lt;&gt;Incompleto"))
</f>
        <v>-</v>
      </c>
      <c r="F7" s="106" t="str">
        <f>IF(SUMIFS(Data_filtered!$G$2:$G$461,Data_filtered!$A$2:$A$461,F$1,Data_filtered!$F$2:$F$461,$A7, Data_filtered!$D$2:$D$461,"eucalipto",Data_filtered!$J$2:$J$461,"&lt;&gt;Incompleto")=0, "-", SUMIFS(Data_filtered!$G$2:$G$461,Data_filtered!$A$2:$A$461,F$1,Data_filtered!$F$2:$F$461,$A7, Data_filtered!$D$2:$D$461,"eucalipto",Data_filtered!$J$2:$J$461,"&lt;&gt;Incompleto"))</f>
        <v>-</v>
      </c>
      <c r="G7" s="108">
        <f>IF(SUMIFS(Data_filtered!$G$2:$G$461,Data_filtered!$A$2:$A$461,F$1,Data_filtered!$F$2:$F$461,$A7, Data_filtered!$D$2:$D$461,"mata",Data_filtered!$J$2:$J$461,"&lt;&gt;Incompleto")=0, "-", SUMIFS(Data_filtered!$G$2:$G$461,Data_filtered!$A$2:$A$461,F$1,Data_filtered!$F$2:$F$461,$A7, Data_filtered!$D$2:$D$461,"mata",Data_filtered!$J$2:$J$461,"&lt;&gt;Incompleto"))
</f>
        <v>1</v>
      </c>
      <c r="H7" s="106" t="str">
        <f>IF(SUMIFS(Data_filtered!$G$2:$G$461,Data_filtered!$A$2:$A$461,H$1,Data_filtered!$F$2:$F$461,$A7, Data_filtered!$D$2:$D$461,"eucalipto",Data_filtered!$J$2:$J$461,"&lt;&gt;Incompleto")=0, "-", SUMIFS(Data_filtered!$G$2:$G$461,Data_filtered!$A$2:$A$461,H$1,Data_filtered!$F$2:$F$461,$A7, Data_filtered!$D$2:$D$461,"eucalipto",Data_filtered!$J$2:$J$461,"&lt;&gt;Incompleto"))</f>
        <v>-</v>
      </c>
      <c r="I7" s="108">
        <f>IF(SUMIFS(Data_filtered!$G$2:$G$461,Data_filtered!$A$2:$A$461,H$1,Data_filtered!$F$2:$F$461,$A7, Data_filtered!$D$2:$D$461,"mata",Data_filtered!$J$2:$J$461,"&lt;&gt;Incompleto")=0, "-", SUMIFS(Data_filtered!$G$2:$G$461,Data_filtered!$A$2:$A$461,H$1,Data_filtered!$F$2:$F$461,$A7, Data_filtered!$D$2:$D$461,"mata",Data_filtered!$J$2:$J$461,"&lt;&gt;Incompleto"))
</f>
        <v>1</v>
      </c>
      <c r="J7" s="106">
        <f>IF(SUMIFS(Data_filtered!$G$2:$G$461,Data_filtered!$A$2:$A$461,J$1,Data_filtered!$F$2:$F$461,$A7, Data_filtered!$D$2:$D$461,"eucalipto",Data_filtered!$J$2:$J$461,"&lt;&gt;Incompleto")=0, "-", SUMIFS(Data_filtered!$G$2:$G$461,Data_filtered!$A$2:$A$461,J$1,Data_filtered!$F$2:$F$461,$A7, Data_filtered!$D$2:$D$461,"eucalipto",Data_filtered!$J$2:$J$461,"&lt;&gt;Incompleto"))</f>
        <v>3</v>
      </c>
      <c r="K7" s="108">
        <f>IF(SUMIFS(Data_filtered!$G$2:$G$461,Data_filtered!$A$2:$A$461,J$1,Data_filtered!$F$2:$F$461,$A7, Data_filtered!$D$2:$D$461,"mata",Data_filtered!$J$2:$J$461,"&lt;&gt;Incompleto")=0, "-", SUMIFS(Data_filtered!$G$2:$G$461,Data_filtered!$A$2:$A$461,J$1,Data_filtered!$F$2:$F$461,$A7, Data_filtered!$D$2:$D$461,"mata",Data_filtered!$J$2:$J$461,"&lt;&gt;Incompleto"))
</f>
        <v>1</v>
      </c>
      <c r="L7" s="106" t="str">
        <f>IF(SUMIFS(Data_filtered!$G$2:$G$461,Data_filtered!$A$2:$A$461,L$1,Data_filtered!$F$2:$F$461,$A7, Data_filtered!$D$2:$D$461,"eucalipto",Data_filtered!$J$2:$J$461,"&lt;&gt;Incompleto")=0, "-", SUMIFS(Data_filtered!$G$2:$G$461,Data_filtered!$A$2:$A$461,L$1,Data_filtered!$F$2:$F$461,$A7, Data_filtered!$D$2:$D$461,"eucalipto",Data_filtered!$J$2:$J$461,"&lt;&gt;Incompleto"))</f>
        <v>-</v>
      </c>
      <c r="M7" s="108">
        <f>IF(SUMIFS(Data_filtered!$G$2:$G$461,Data_filtered!$A$2:$A$461,L$1,Data_filtered!$F$2:$F$461,$A7, Data_filtered!$D$2:$D$461,"mata",Data_filtered!$J$2:$J$461,"&lt;&gt;Incompleto")=0, "-", SUMIFS(Data_filtered!$G$2:$G$461,Data_filtered!$A$2:$A$461,L$1,Data_filtered!$F$2:$F$461,$A7, Data_filtered!$D$2:$D$461,"mata",Data_filtered!$J$2:$J$461,"&lt;&gt;Incompleto"))
</f>
        <v>6</v>
      </c>
      <c r="N7" s="106" t="str">
        <f>IF(SUMIFS(Data_filtered!$G$2:$G$461,Data_filtered!$A$2:$A$461,N$1,Data_filtered!$F$2:$F$461,$A7, Data_filtered!$D$2:$D$461,"eucalipto",Data_filtered!$J$2:$J$461,"&lt;&gt;Incompleto")=0, "-", SUMIFS(Data_filtered!$G$2:$G$461,Data_filtered!$A$2:$A$461,N$1,Data_filtered!$F$2:$F$461,$A7, Data_filtered!$D$2:$D$461,"eucalipto",Data_filtered!$J$2:$J$461,"&lt;&gt;Incompleto"))</f>
        <v>-</v>
      </c>
      <c r="O7" s="108" t="str">
        <f>IF(SUMIFS(Data_filtered!$G$2:$G$461,Data_filtered!$A$2:$A$461,N$1,Data_filtered!$F$2:$F$461,$A7, Data_filtered!$D$2:$D$461,"mata",Data_filtered!$J$2:$J$461,"&lt;&gt;Incompleto")=0, "-", SUMIFS(Data_filtered!$G$2:$G$461,Data_filtered!$A$2:$A$461,N$1,Data_filtered!$F$2:$F$461,$A7, Data_filtered!$D$2:$D$461,"mata",Data_filtered!$J$2:$J$461,"&lt;&gt;Incompleto"))
</f>
        <v>-</v>
      </c>
      <c r="P7" s="106">
        <f>IF(SUMIFS(Data_filtered!$G$2:$G$461,Data_filtered!$A$2:$A$461,P$1,Data_filtered!$F$2:$F$461,$A7, Data_filtered!$D$2:$D$461,"eucalipto",Data_filtered!$J$2:$J$461,"&lt;&gt;Incompleto")=0, "-", SUMIFS(Data_filtered!$G$2:$G$461,Data_filtered!$A$2:$A$461,P$1,Data_filtered!$F$2:$F$461,$A7, Data_filtered!$D$2:$D$461,"eucalipto",Data_filtered!$J$2:$J$461,"&lt;&gt;Incompleto"))</f>
        <v>1</v>
      </c>
      <c r="Q7" s="108">
        <f>IF(SUMIFS(Data_filtered!$G$2:$G$461,Data_filtered!$A$2:$A$461,P$1,Data_filtered!$F$2:$F$461,$A7, Data_filtered!$D$2:$D$461,"mata",Data_filtered!$J$2:$J$461,"&lt;&gt;Incompleto")=0, "-", SUMIFS(Data_filtered!$G$2:$G$461,Data_filtered!$A$2:$A$461,P$1,Data_filtered!$F$2:$F$461,$A7, Data_filtered!$D$2:$D$461,"mata",Data_filtered!$J$2:$J$461,"&lt;&gt;Incompleto"))
</f>
        <v>2</v>
      </c>
      <c r="R7" s="106">
        <f>IF(SUMIFS(Data_filtered!$G$2:$G$461,Data_filtered!$A$2:$A$461,R$1,Data_filtered!$F$2:$F$461,$A7, Data_filtered!$D$2:$D$461,"eucalipto",Data_filtered!$J$2:$J$461,"&lt;&gt;Incompleto")=0, "-", SUMIFS(Data_filtered!$G$2:$G$461,Data_filtered!$A$2:$A$461,R$1,Data_filtered!$F$2:$F$461,$A7, Data_filtered!$D$2:$D$461,"eucalipto",Data_filtered!$J$2:$J$461,"&lt;&gt;Incompleto"))</f>
        <v>5</v>
      </c>
      <c r="S7" s="108">
        <f>IF(SUMIFS(Data_filtered!$G$2:$G$461,Data_filtered!$A$2:$A$461,R$1,Data_filtered!$F$2:$F$461,$A7, Data_filtered!$D$2:$D$461,"mata",Data_filtered!$J$2:$J$461,"&lt;&gt;Incompleto")=0, "-", SUMIFS(Data_filtered!$G$2:$G$461,Data_filtered!$A$2:$A$461,R$1,Data_filtered!$F$2:$F$461,$A7, Data_filtered!$D$2:$D$461,"mata",Data_filtered!$J$2:$J$461,"&lt;&gt;Incompleto"))
</f>
        <v>1</v>
      </c>
      <c r="T7" s="106" t="str">
        <f>IF(SUMIFS(Data_filtered!$G$2:$G$461,Data_filtered!$A$2:$A$461,T$1,Data_filtered!$F$2:$F$461,$A7, Data_filtered!$D$2:$D$461,"eucalipto",Data_filtered!$J$2:$J$461,"&lt;&gt;Incompleto")=0, "-", SUMIFS(Data_filtered!$G$2:$G$461,Data_filtered!$A$2:$A$461,T$1,Data_filtered!$F$2:$F$461,$A7, Data_filtered!$D$2:$D$461,"eucalipto",Data_filtered!$J$2:$J$461,"&lt;&gt;Incompleto"))</f>
        <v>-</v>
      </c>
      <c r="U7" s="108">
        <f>IF(SUMIFS(Data_filtered!$G$2:$G$461,Data_filtered!$A$2:$A$461,T$1,Data_filtered!$F$2:$F$461,$A7, Data_filtered!$D$2:$D$461,"mata",Data_filtered!$J$2:$J$461,"&lt;&gt;Incompleto")=0, "-", SUMIFS(Data_filtered!$G$2:$G$461,Data_filtered!$A$2:$A$461,T$1,Data_filtered!$F$2:$F$461,$A7, Data_filtered!$D$2:$D$461,"mata",Data_filtered!$J$2:$J$461,"&lt;&gt;Incompleto"))
</f>
        <v>2</v>
      </c>
      <c r="V7" s="106">
        <f>IF(SUMIFS(Data_filtered!$G$2:$G$461,Data_filtered!$A$2:$A$461,V$1,Data_filtered!$F$2:$F$461,$A7, Data_filtered!$D$2:$D$461,"eucalipto",Data_filtered!$J$2:$J$461,"&lt;&gt;Incompleto")=0, "-", SUMIFS(Data_filtered!$G$2:$G$461,Data_filtered!$A$2:$A$461,V$1,Data_filtered!$F$2:$F$461,$A7, Data_filtered!$D$2:$D$461,"eucalipto",Data_filtered!$J$2:$J$461,"&lt;&gt;Incompleto"))</f>
        <v>5</v>
      </c>
      <c r="W7" s="108">
        <f>IF(SUMIFS(Data_filtered!$G$2:$G$461,Data_filtered!$A$2:$A$461,V$1,Data_filtered!$F$2:$F$461,$A7, Data_filtered!$D$2:$D$461,"mata",Data_filtered!$J$2:$J$461,"&lt;&gt;Incompleto")=0, "-", SUMIFS(Data_filtered!$G$2:$G$461,Data_filtered!$A$2:$A$461,V$1,Data_filtered!$F$2:$F$461,$A7, Data_filtered!$D$2:$D$461,"mata",Data_filtered!$J$2:$J$461,"&lt;&gt;Incompleto"))
</f>
        <v>1</v>
      </c>
      <c r="X7" s="106" t="str">
        <f>IF(SUMIFS(Data_filtered!$G$2:$G$461,Data_filtered!$A$2:$A$461,X$1,Data_filtered!$F$2:$F$461,$A7, Data_filtered!$D$2:$D$461,"eucalipto",Data_filtered!$J$2:$J$461,"&lt;&gt;Incompleto")=0, "-", SUMIFS(Data_filtered!$G$2:$G$461,Data_filtered!$A$2:$A$461,X$1,Data_filtered!$F$2:$F$461,$A7, Data_filtered!$D$2:$D$461,"eucalipto",Data_filtered!$J$2:$J$461,"&lt;&gt;Incompleto"))</f>
        <v>-</v>
      </c>
      <c r="Y7" s="108" t="str">
        <f>IF(SUMIFS(Data_filtered!$G$2:$G$461,Data_filtered!$A$2:$A$461,X$1,Data_filtered!$F$2:$F$461,$A7, Data_filtered!$D$2:$D$461,"mata",Data_filtered!$J$2:$J$461,"&lt;&gt;Incompleto")=0, "-", SUMIFS(Data_filtered!$G$2:$G$461,Data_filtered!$A$2:$A$461,X$1,Data_filtered!$F$2:$F$461,$A7, Data_filtered!$D$2:$D$461,"mata",Data_filtered!$J$2:$J$461,"&lt;&gt;Incompleto"))
</f>
        <v>-</v>
      </c>
      <c r="Z7" s="106" t="str">
        <f>IF(SUMIFS(Data_filtered!$G$2:$G$461,Data_filtered!$A$2:$A$461,Z$1,Data_filtered!$F$2:$F$461,$A7, Data_filtered!$D$2:$D$461,"eucalipto",Data_filtered!$J$2:$J$461,"&lt;&gt;Incompleto")=0, "-", SUMIFS(Data_filtered!$G$2:$G$461,Data_filtered!$A$2:$A$461,Z$1,Data_filtered!$F$2:$F$461,$A7, Data_filtered!$D$2:$D$461,"eucalipto",Data_filtered!$J$2:$J$461,"&lt;&gt;Incompleto"))</f>
        <v>-</v>
      </c>
      <c r="AA7" s="108">
        <f>IF(SUMIFS(Data_filtered!$G$2:$G$461,Data_filtered!$A$2:$A$461,Z$1,Data_filtered!$F$2:$F$461,$A7, Data_filtered!$D$2:$D$461,"mata",Data_filtered!$J$2:$J$461,"&lt;&gt;Incompleto")=0, "-", SUMIFS(Data_filtered!$G$2:$G$461,Data_filtered!$A$2:$A$461,Z$1,Data_filtered!$F$2:$F$461,$A7, Data_filtered!$D$2:$D$461,"mata",Data_filtered!$J$2:$J$461,"&lt;&gt;Incompleto"))
</f>
        <v>1</v>
      </c>
      <c r="AB7" s="106" t="str">
        <f>IF(SUMIFS(Data_filtered!$G$2:$G$461,Data_filtered!$A$2:$A$461,AB$1,Data_filtered!$F$2:$F$461,$A7, Data_filtered!$D$2:$D$461,"eucalipto",Data_filtered!$J$2:$J$461,"&lt;&gt;Incompleto")=0, "-", SUMIFS(Data_filtered!$G$2:$G$461,Data_filtered!$A$2:$A$461,AB$1,Data_filtered!$F$2:$F$461,$A7, Data_filtered!$D$2:$D$461,"eucalipto",Data_filtered!$J$2:$J$461,"&lt;&gt;Incompleto"))</f>
        <v>-</v>
      </c>
      <c r="AC7" s="108" t="str">
        <f>IF(SUMIFS(Data_filtered!$G$2:$G$461,Data_filtered!$A$2:$A$461,AB$1,Data_filtered!$F$2:$F$461,$A7, Data_filtered!$D$2:$D$461,"mata",Data_filtered!$J$2:$J$461,"&lt;&gt;Incompleto")=0, "-", SUMIFS(Data_filtered!$G$2:$G$461,Data_filtered!$A$2:$A$461,AB$1,Data_filtered!$F$2:$F$461,$A7, Data_filtered!$D$2:$D$461,"mata",Data_filtered!$J$2:$J$461,"&lt;&gt;Incompleto"))
</f>
        <v>-</v>
      </c>
      <c r="AD7" s="106" t="str">
        <f>IF(SUMIFS(Data_filtered!$G$2:$G$461,Data_filtered!$A$2:$A$461,AD$1,Data_filtered!$F$2:$F$461,$A7, Data_filtered!$D$2:$D$461,"eucalipto",Data_filtered!$J$2:$J$461,"&lt;&gt;Incompleto")=0, "-", SUMIFS(Data_filtered!$G$2:$G$461,Data_filtered!$A$2:$A$461,AD$1,Data_filtered!$F$2:$F$461,$A7, Data_filtered!$D$2:$D$461,"eucalipto",Data_filtered!$J$2:$J$461,"&lt;&gt;Incompleto"))</f>
        <v>-</v>
      </c>
      <c r="AE7" s="108" t="str">
        <f>IF(SUMIFS(Data_filtered!$G$2:$G$461,Data_filtered!$A$2:$A$461,AD$1,Data_filtered!$F$2:$F$461,$A7, Data_filtered!$D$2:$D$461,"mata",Data_filtered!$J$2:$J$461,"&lt;&gt;Incompleto")=0, "-", SUMIFS(Data_filtered!$G$2:$G$461,Data_filtered!$A$2:$A$461,AD$1,Data_filtered!$F$2:$F$461,$A7, Data_filtered!$D$2:$D$461,"mata",Data_filtered!$J$2:$J$461,"&lt;&gt;Incompleto"))
</f>
        <v>-</v>
      </c>
      <c r="AF7" s="106">
        <f>IF(SUMIFS(Data_filtered!$G$2:$G$461,Data_filtered!$A$2:$A$461,AF$1,Data_filtered!$F$2:$F$461,$A7, Data_filtered!$D$2:$D$461,"eucalipto",Data_filtered!$J$2:$J$461,"&lt;&gt;Incompleto")=0, "-", SUMIFS(Data_filtered!$G$2:$G$461,Data_filtered!$A$2:$A$461,AF$1,Data_filtered!$F$2:$F$461,$A7, Data_filtered!$D$2:$D$461,"eucalipto",Data_filtered!$J$2:$J$461,"&lt;&gt;Incompleto"))</f>
        <v>1</v>
      </c>
      <c r="AG7" s="108">
        <f>IF(SUMIFS(Data_filtered!$G$2:$G$461,Data_filtered!$A$2:$A$461,AF$1,Data_filtered!$F$2:$F$461,$A7, Data_filtered!$D$2:$D$461,"mata",Data_filtered!$J$2:$J$461,"&lt;&gt;Incompleto")=0, "-", SUMIFS(Data_filtered!$G$2:$G$461,Data_filtered!$A$2:$A$461,AF$1,Data_filtered!$F$2:$F$461,$A7, Data_filtered!$D$2:$D$461,"mata",Data_filtered!$J$2:$J$461,"&lt;&gt;Incompleto"))
</f>
        <v>4</v>
      </c>
      <c r="AH7" s="106">
        <f>IF(SUMIFS(Data_filtered!$G$2:$G$461,Data_filtered!$A$2:$A$461,AH$1,Data_filtered!$F$2:$F$461,$A7, Data_filtered!$D$2:$D$461,"eucalipto",Data_filtered!$J$2:$J$461,"&lt;&gt;Incompleto")=0, "-", SUMIFS(Data_filtered!$G$2:$G$461,Data_filtered!$A$2:$A$461,AH$1,Data_filtered!$F$2:$F$461,$A7, Data_filtered!$D$2:$D$461,"eucalipto",Data_filtered!$J$2:$J$461,"&lt;&gt;Incompleto"))</f>
        <v>1</v>
      </c>
      <c r="AI7" s="108">
        <f>IF(SUMIFS(Data_filtered!$G$2:$G$461,Data_filtered!$A$2:$A$461,AH$1,Data_filtered!$F$2:$F$461,$A7, Data_filtered!$D$2:$D$461,"mata",Data_filtered!$J$2:$J$461,"&lt;&gt;Incompleto")=0, "-", SUMIFS(Data_filtered!$G$2:$G$461,Data_filtered!$A$2:$A$461,AH$1,Data_filtered!$F$2:$F$461,$A7, Data_filtered!$D$2:$D$461,"mata",Data_filtered!$J$2:$J$461,"&lt;&gt;Incompleto"))
</f>
        <v>11</v>
      </c>
      <c r="AJ7" s="106" t="str">
        <f>IF(SUMIFS(Data_filtered!$G$2:$G$461,Data_filtered!$A$2:$A$461,AJ$1,Data_filtered!$F$2:$F$461,$A7, Data_filtered!$D$2:$D$461,"eucalipto",Data_filtered!$J$2:$J$461,"&lt;&gt;Incompleto")=0, "-", SUMIFS(Data_filtered!$G$2:$G$461,Data_filtered!$A$2:$A$461,AJ$1,Data_filtered!$F$2:$F$461,$A7, Data_filtered!$D$2:$D$461,"eucalipto",Data_filtered!$J$2:$J$461,"&lt;&gt;Incompleto"))</f>
        <v>-</v>
      </c>
      <c r="AK7" s="108">
        <f>IF(SUMIFS(Data_filtered!$G$2:$G$461,Data_filtered!$A$2:$A$461,AJ$1,Data_filtered!$F$2:$F$461,$A7, Data_filtered!$D$2:$D$461,"mata",Data_filtered!$J$2:$J$461,"&lt;&gt;Incompleto")=0, "-", SUMIFS(Data_filtered!$G$2:$G$461,Data_filtered!$A$2:$A$461,AJ$1,Data_filtered!$F$2:$F$461,$A7, Data_filtered!$D$2:$D$461,"mata",Data_filtered!$J$2:$J$461,"&lt;&gt;Incompleto"))
</f>
        <v>2</v>
      </c>
      <c r="AL7" s="106">
        <f>IF(SUMIFS(Data_filtered!$G$2:$G$461,Data_filtered!$A$2:$A$461,AL$1,Data_filtered!$F$2:$F$461,$A7, Data_filtered!$D$2:$D$461,"eucalipto",Data_filtered!$J$2:$J$461,"&lt;&gt;Incompleto")=0, "-", SUMIFS(Data_filtered!$G$2:$G$461,Data_filtered!$A$2:$A$461,AL$1,Data_filtered!$F$2:$F$461,$A7, Data_filtered!$D$2:$D$461,"eucalipto",Data_filtered!$J$2:$J$461,"&lt;&gt;Incompleto"))</f>
        <v>13</v>
      </c>
      <c r="AM7" s="108">
        <f>IF(SUMIFS(Data_filtered!$G$2:$G$461,Data_filtered!$A$2:$A$461,AL$1,Data_filtered!$F$2:$F$461,$A7, Data_filtered!$D$2:$D$461,"mata",Data_filtered!$J$2:$J$461,"&lt;&gt;Incompleto")=0, "-", SUMIFS(Data_filtered!$G$2:$G$461,Data_filtered!$A$2:$A$461,AL$1,Data_filtered!$F$2:$F$461,$A7, Data_filtered!$D$2:$D$461,"mata",Data_filtered!$J$2:$J$461,"&lt;&gt;Incompleto"))
</f>
        <v>119</v>
      </c>
      <c r="AN7" s="106" t="str">
        <f>IF(SUMIFS(Data_filtered!$G$2:$G$461,Data_filtered!$A$2:$A$461,AN$1,Data_filtered!$F$2:$F$461,$A7, Data_filtered!$D$2:$D$461,"eucalipto",Data_filtered!$J$2:$J$461,"&lt;&gt;Incompleto")=0, "-", SUMIFS(Data_filtered!$G$2:$G$461,Data_filtered!$A$2:$A$461,AN$1,Data_filtered!$F$2:$F$461,$A7, Data_filtered!$D$2:$D$461,"eucalipto",Data_filtered!$J$2:$J$461,"&lt;&gt;Incompleto"))</f>
        <v>-</v>
      </c>
      <c r="AO7" s="108">
        <f>IF(SUMIFS(Data_filtered!$G$2:$G$461,Data_filtered!$A$2:$A$461,AN$1,Data_filtered!$F$2:$F$461,$A7, Data_filtered!$D$2:$D$461,"mata",Data_filtered!$J$2:$J$461,"&lt;&gt;Incompleto")=0, "-", SUMIFS(Data_filtered!$G$2:$G$461,Data_filtered!$A$2:$A$461,AN$1,Data_filtered!$F$2:$F$461,$A7, Data_filtered!$D$2:$D$461,"mata",Data_filtered!$J$2:$J$461,"&lt;&gt;Incompleto"))
</f>
        <v>7</v>
      </c>
      <c r="AP7" s="106" t="str">
        <f>IF(SUMIFS(Data_filtered!$G$2:$G$461,Data_filtered!$A$2:$A$461,AP$1,Data_filtered!$F$2:$F$461,$A7, Data_filtered!$D$2:$D$461,"eucalipto",Data_filtered!$J$2:$J$461,"&lt;&gt;Incompleto")=0, "-", SUMIFS(Data_filtered!$G$2:$G$461,Data_filtered!$A$2:$A$461,AP$1,Data_filtered!$F$2:$F$461,$A7, Data_filtered!$D$2:$D$461,"eucalipto",Data_filtered!$J$2:$J$461,"&lt;&gt;Incompleto"))</f>
        <v>-</v>
      </c>
      <c r="AQ7" s="108">
        <f>IF(SUMIFS(Data_filtered!$G$2:$G$461,Data_filtered!$A$2:$A$461,AP$1,Data_filtered!$F$2:$F$461,$A7, Data_filtered!$D$2:$D$461,"mata",Data_filtered!$J$2:$J$461,"&lt;&gt;Incompleto")=0, "-", SUMIFS(Data_filtered!$G$2:$G$461,Data_filtered!$A$2:$A$461,AP$1,Data_filtered!$F$2:$F$461,$A7, Data_filtered!$D$2:$D$461,"mata",Data_filtered!$J$2:$J$461,"&lt;&gt;Incompleto"))
</f>
        <v>3</v>
      </c>
      <c r="AR7" s="106" t="str">
        <f>IF(SUMIFS(Data_filtered!$G$2:$G$461,Data_filtered!$A$2:$A$461,AR$1,Data_filtered!$F$2:$F$461,$A7, Data_filtered!$D$2:$D$461,"eucalipto",Data_filtered!$J$2:$J$461,"&lt;&gt;Incompleto")=0, "-", SUMIFS(Data_filtered!$G$2:$G$461,Data_filtered!$A$2:$A$461,AR$1,Data_filtered!$F$2:$F$461,$A7, Data_filtered!$D$2:$D$461,"eucalipto",Data_filtered!$J$2:$J$461,"&lt;&gt;Incompleto"))</f>
        <v>-</v>
      </c>
      <c r="AS7" s="108">
        <f>IF(SUMIFS(Data_filtered!$G$2:$G$461,Data_filtered!$A$2:$A$461,AR$1,Data_filtered!$F$2:$F$461,$A7, Data_filtered!$D$2:$D$461,"mata",Data_filtered!$J$2:$J$461,"&lt;&gt;Incompleto")=0, "-", SUMIFS(Data_filtered!$G$2:$G$461,Data_filtered!$A$2:$A$461,AR$1,Data_filtered!$F$2:$F$461,$A7, Data_filtered!$D$2:$D$461,"mata",Data_filtered!$J$2:$J$461,"&lt;&gt;Incompleto"))
</f>
        <v>1</v>
      </c>
    </row>
    <row r="8">
      <c r="A8" s="68" t="str">
        <f>IFERROR(__xludf.DUMMYFUNCTION("""COMPUTED_VALUE"""),"Coleoptera Larva")</f>
        <v>Coleoptera Larva</v>
      </c>
      <c r="B8" s="106" t="str">
        <f>IF(SUMIFS(Data_filtered!$G$2:$G$461,Data_filtered!$A$2:$A$461,B$1,Data_filtered!$F$2:$F$461,$A8, Data_filtered!$D$2:$D$461,"eucalipto",Data_filtered!$J$2:$J$461,"&lt;&gt;Incompleto")=0, "-", SUMIFS(Data_filtered!$G$2:$G$461,Data_filtered!$A$2:$A$461,B$1,Data_filtered!$F$2:$F$461,$A8, Data_filtered!$D$2:$D$461,"eucalipto",Data_filtered!$J$2:$J$461,"&lt;&gt;Incompleto"))</f>
        <v>-</v>
      </c>
      <c r="C8" s="108" t="str">
        <f>IF(SUMIFS(Data_filtered!$G$2:$G$461,Data_filtered!$A$2:$A$461,B$1,Data_filtered!$F$2:$F$461,$A8, Data_filtered!$D$2:$D$461,"mata",Data_filtered!$J$2:$J$461,"&lt;&gt;Incompleto")=0, "-", SUMIFS(Data_filtered!$G$2:$G$461,Data_filtered!$A$2:$A$461,B$1,Data_filtered!$F$2:$F$461,$A8, Data_filtered!$D$2:$D$461,"mata",Data_filtered!$J$2:$J$461,"&lt;&gt;Incompleto"))
</f>
        <v>-</v>
      </c>
      <c r="D8" s="106" t="str">
        <f>IF(SUMIFS(Data_filtered!$G$2:$G$461,Data_filtered!$A$2:$A$461,D$1,Data_filtered!$F$2:$F$461,$A8, Data_filtered!$D$2:$D$461,"eucalipto",Data_filtered!$J$2:$J$461,"&lt;&gt;Incompleto")=0, "-", SUMIFS(Data_filtered!$G$2:$G$461,Data_filtered!$A$2:$A$461,D$1,Data_filtered!$F$2:$F$461,$A8, Data_filtered!$D$2:$D$461,"eucalipto",Data_filtered!$J$2:$J$461,"&lt;&gt;Incompleto"))</f>
        <v>-</v>
      </c>
      <c r="E8" s="108" t="str">
        <f>IF(SUMIFS(Data_filtered!$G$2:$G$461,Data_filtered!$A$2:$A$461,D$1,Data_filtered!$F$2:$F$461,$A8, Data_filtered!$D$2:$D$461,"mata",Data_filtered!$J$2:$J$461,"&lt;&gt;Incompleto")=0, "-", SUMIFS(Data_filtered!$G$2:$G$461,Data_filtered!$A$2:$A$461,D$1,Data_filtered!$F$2:$F$461,$A8, Data_filtered!$D$2:$D$461,"mata",Data_filtered!$J$2:$J$461,"&lt;&gt;Incompleto"))
</f>
        <v>-</v>
      </c>
      <c r="F8" s="106" t="str">
        <f>IF(SUMIFS(Data_filtered!$G$2:$G$461,Data_filtered!$A$2:$A$461,F$1,Data_filtered!$F$2:$F$461,$A8, Data_filtered!$D$2:$D$461,"eucalipto",Data_filtered!$J$2:$J$461,"&lt;&gt;Incompleto")=0, "-", SUMIFS(Data_filtered!$G$2:$G$461,Data_filtered!$A$2:$A$461,F$1,Data_filtered!$F$2:$F$461,$A8, Data_filtered!$D$2:$D$461,"eucalipto",Data_filtered!$J$2:$J$461,"&lt;&gt;Incompleto"))</f>
        <v>-</v>
      </c>
      <c r="G8" s="108" t="str">
        <f>IF(SUMIFS(Data_filtered!$G$2:$G$461,Data_filtered!$A$2:$A$461,F$1,Data_filtered!$F$2:$F$461,$A8, Data_filtered!$D$2:$D$461,"mata",Data_filtered!$J$2:$J$461,"&lt;&gt;Incompleto")=0, "-", SUMIFS(Data_filtered!$G$2:$G$461,Data_filtered!$A$2:$A$461,F$1,Data_filtered!$F$2:$F$461,$A8, Data_filtered!$D$2:$D$461,"mata",Data_filtered!$J$2:$J$461,"&lt;&gt;Incompleto"))
</f>
        <v>-</v>
      </c>
      <c r="H8" s="106" t="str">
        <f>IF(SUMIFS(Data_filtered!$G$2:$G$461,Data_filtered!$A$2:$A$461,H$1,Data_filtered!$F$2:$F$461,$A8, Data_filtered!$D$2:$D$461,"eucalipto",Data_filtered!$J$2:$J$461,"&lt;&gt;Incompleto")=0, "-", SUMIFS(Data_filtered!$G$2:$G$461,Data_filtered!$A$2:$A$461,H$1,Data_filtered!$F$2:$F$461,$A8, Data_filtered!$D$2:$D$461,"eucalipto",Data_filtered!$J$2:$J$461,"&lt;&gt;Incompleto"))</f>
        <v>-</v>
      </c>
      <c r="I8" s="108" t="str">
        <f>IF(SUMIFS(Data_filtered!$G$2:$G$461,Data_filtered!$A$2:$A$461,H$1,Data_filtered!$F$2:$F$461,$A8, Data_filtered!$D$2:$D$461,"mata",Data_filtered!$J$2:$J$461,"&lt;&gt;Incompleto")=0, "-", SUMIFS(Data_filtered!$G$2:$G$461,Data_filtered!$A$2:$A$461,H$1,Data_filtered!$F$2:$F$461,$A8, Data_filtered!$D$2:$D$461,"mata",Data_filtered!$J$2:$J$461,"&lt;&gt;Incompleto"))
</f>
        <v>-</v>
      </c>
      <c r="J8" s="106" t="str">
        <f>IF(SUMIFS(Data_filtered!$G$2:$G$461,Data_filtered!$A$2:$A$461,J$1,Data_filtered!$F$2:$F$461,$A8, Data_filtered!$D$2:$D$461,"eucalipto",Data_filtered!$J$2:$J$461,"&lt;&gt;Incompleto")=0, "-", SUMIFS(Data_filtered!$G$2:$G$461,Data_filtered!$A$2:$A$461,J$1,Data_filtered!$F$2:$F$461,$A8, Data_filtered!$D$2:$D$461,"eucalipto",Data_filtered!$J$2:$J$461,"&lt;&gt;Incompleto"))</f>
        <v>-</v>
      </c>
      <c r="K8" s="108" t="str">
        <f>IF(SUMIFS(Data_filtered!$G$2:$G$461,Data_filtered!$A$2:$A$461,J$1,Data_filtered!$F$2:$F$461,$A8, Data_filtered!$D$2:$D$461,"mata",Data_filtered!$J$2:$J$461,"&lt;&gt;Incompleto")=0, "-", SUMIFS(Data_filtered!$G$2:$G$461,Data_filtered!$A$2:$A$461,J$1,Data_filtered!$F$2:$F$461,$A8, Data_filtered!$D$2:$D$461,"mata",Data_filtered!$J$2:$J$461,"&lt;&gt;Incompleto"))
</f>
        <v>-</v>
      </c>
      <c r="L8" s="106" t="str">
        <f>IF(SUMIFS(Data_filtered!$G$2:$G$461,Data_filtered!$A$2:$A$461,L$1,Data_filtered!$F$2:$F$461,$A8, Data_filtered!$D$2:$D$461,"eucalipto",Data_filtered!$J$2:$J$461,"&lt;&gt;Incompleto")=0, "-", SUMIFS(Data_filtered!$G$2:$G$461,Data_filtered!$A$2:$A$461,L$1,Data_filtered!$F$2:$F$461,$A8, Data_filtered!$D$2:$D$461,"eucalipto",Data_filtered!$J$2:$J$461,"&lt;&gt;Incompleto"))</f>
        <v>-</v>
      </c>
      <c r="M8" s="108" t="str">
        <f>IF(SUMIFS(Data_filtered!$G$2:$G$461,Data_filtered!$A$2:$A$461,L$1,Data_filtered!$F$2:$F$461,$A8, Data_filtered!$D$2:$D$461,"mata",Data_filtered!$J$2:$J$461,"&lt;&gt;Incompleto")=0, "-", SUMIFS(Data_filtered!$G$2:$G$461,Data_filtered!$A$2:$A$461,L$1,Data_filtered!$F$2:$F$461,$A8, Data_filtered!$D$2:$D$461,"mata",Data_filtered!$J$2:$J$461,"&lt;&gt;Incompleto"))
</f>
        <v>-</v>
      </c>
      <c r="N8" s="106" t="str">
        <f>IF(SUMIFS(Data_filtered!$G$2:$G$461,Data_filtered!$A$2:$A$461,N$1,Data_filtered!$F$2:$F$461,$A8, Data_filtered!$D$2:$D$461,"eucalipto",Data_filtered!$J$2:$J$461,"&lt;&gt;Incompleto")=0, "-", SUMIFS(Data_filtered!$G$2:$G$461,Data_filtered!$A$2:$A$461,N$1,Data_filtered!$F$2:$F$461,$A8, Data_filtered!$D$2:$D$461,"eucalipto",Data_filtered!$J$2:$J$461,"&lt;&gt;Incompleto"))</f>
        <v>-</v>
      </c>
      <c r="O8" s="108" t="str">
        <f>IF(SUMIFS(Data_filtered!$G$2:$G$461,Data_filtered!$A$2:$A$461,N$1,Data_filtered!$F$2:$F$461,$A8, Data_filtered!$D$2:$D$461,"mata",Data_filtered!$J$2:$J$461,"&lt;&gt;Incompleto")=0, "-", SUMIFS(Data_filtered!$G$2:$G$461,Data_filtered!$A$2:$A$461,N$1,Data_filtered!$F$2:$F$461,$A8, Data_filtered!$D$2:$D$461,"mata",Data_filtered!$J$2:$J$461,"&lt;&gt;Incompleto"))
</f>
        <v>-</v>
      </c>
      <c r="P8" s="106" t="str">
        <f>IF(SUMIFS(Data_filtered!$G$2:$G$461,Data_filtered!$A$2:$A$461,P$1,Data_filtered!$F$2:$F$461,$A8, Data_filtered!$D$2:$D$461,"eucalipto",Data_filtered!$J$2:$J$461,"&lt;&gt;Incompleto")=0, "-", SUMIFS(Data_filtered!$G$2:$G$461,Data_filtered!$A$2:$A$461,P$1,Data_filtered!$F$2:$F$461,$A8, Data_filtered!$D$2:$D$461,"eucalipto",Data_filtered!$J$2:$J$461,"&lt;&gt;Incompleto"))</f>
        <v>-</v>
      </c>
      <c r="Q8" s="108" t="str">
        <f>IF(SUMIFS(Data_filtered!$G$2:$G$461,Data_filtered!$A$2:$A$461,P$1,Data_filtered!$F$2:$F$461,$A8, Data_filtered!$D$2:$D$461,"mata",Data_filtered!$J$2:$J$461,"&lt;&gt;Incompleto")=0, "-", SUMIFS(Data_filtered!$G$2:$G$461,Data_filtered!$A$2:$A$461,P$1,Data_filtered!$F$2:$F$461,$A8, Data_filtered!$D$2:$D$461,"mata",Data_filtered!$J$2:$J$461,"&lt;&gt;Incompleto"))
</f>
        <v>-</v>
      </c>
      <c r="R8" s="106" t="str">
        <f>IF(SUMIFS(Data_filtered!$G$2:$G$461,Data_filtered!$A$2:$A$461,R$1,Data_filtered!$F$2:$F$461,$A8, Data_filtered!$D$2:$D$461,"eucalipto",Data_filtered!$J$2:$J$461,"&lt;&gt;Incompleto")=0, "-", SUMIFS(Data_filtered!$G$2:$G$461,Data_filtered!$A$2:$A$461,R$1,Data_filtered!$F$2:$F$461,$A8, Data_filtered!$D$2:$D$461,"eucalipto",Data_filtered!$J$2:$J$461,"&lt;&gt;Incompleto"))</f>
        <v>-</v>
      </c>
      <c r="S8" s="108" t="str">
        <f>IF(SUMIFS(Data_filtered!$G$2:$G$461,Data_filtered!$A$2:$A$461,R$1,Data_filtered!$F$2:$F$461,$A8, Data_filtered!$D$2:$D$461,"mata",Data_filtered!$J$2:$J$461,"&lt;&gt;Incompleto")=0, "-", SUMIFS(Data_filtered!$G$2:$G$461,Data_filtered!$A$2:$A$461,R$1,Data_filtered!$F$2:$F$461,$A8, Data_filtered!$D$2:$D$461,"mata",Data_filtered!$J$2:$J$461,"&lt;&gt;Incompleto"))
</f>
        <v>-</v>
      </c>
      <c r="T8" s="106" t="str">
        <f>IF(SUMIFS(Data_filtered!$G$2:$G$461,Data_filtered!$A$2:$A$461,T$1,Data_filtered!$F$2:$F$461,$A8, Data_filtered!$D$2:$D$461,"eucalipto",Data_filtered!$J$2:$J$461,"&lt;&gt;Incompleto")=0, "-", SUMIFS(Data_filtered!$G$2:$G$461,Data_filtered!$A$2:$A$461,T$1,Data_filtered!$F$2:$F$461,$A8, Data_filtered!$D$2:$D$461,"eucalipto",Data_filtered!$J$2:$J$461,"&lt;&gt;Incompleto"))</f>
        <v>-</v>
      </c>
      <c r="U8" s="108">
        <f>IF(SUMIFS(Data_filtered!$G$2:$G$461,Data_filtered!$A$2:$A$461,T$1,Data_filtered!$F$2:$F$461,$A8, Data_filtered!$D$2:$D$461,"mata",Data_filtered!$J$2:$J$461,"&lt;&gt;Incompleto")=0, "-", SUMIFS(Data_filtered!$G$2:$G$461,Data_filtered!$A$2:$A$461,T$1,Data_filtered!$F$2:$F$461,$A8, Data_filtered!$D$2:$D$461,"mata",Data_filtered!$J$2:$J$461,"&lt;&gt;Incompleto"))
</f>
        <v>1</v>
      </c>
      <c r="V8" s="106" t="str">
        <f>IF(SUMIFS(Data_filtered!$G$2:$G$461,Data_filtered!$A$2:$A$461,V$1,Data_filtered!$F$2:$F$461,$A8, Data_filtered!$D$2:$D$461,"eucalipto",Data_filtered!$J$2:$J$461,"&lt;&gt;Incompleto")=0, "-", SUMIFS(Data_filtered!$G$2:$G$461,Data_filtered!$A$2:$A$461,V$1,Data_filtered!$F$2:$F$461,$A8, Data_filtered!$D$2:$D$461,"eucalipto",Data_filtered!$J$2:$J$461,"&lt;&gt;Incompleto"))</f>
        <v>-</v>
      </c>
      <c r="W8" s="108" t="str">
        <f>IF(SUMIFS(Data_filtered!$G$2:$G$461,Data_filtered!$A$2:$A$461,V$1,Data_filtered!$F$2:$F$461,$A8, Data_filtered!$D$2:$D$461,"mata",Data_filtered!$J$2:$J$461,"&lt;&gt;Incompleto")=0, "-", SUMIFS(Data_filtered!$G$2:$G$461,Data_filtered!$A$2:$A$461,V$1,Data_filtered!$F$2:$F$461,$A8, Data_filtered!$D$2:$D$461,"mata",Data_filtered!$J$2:$J$461,"&lt;&gt;Incompleto"))
</f>
        <v>-</v>
      </c>
      <c r="X8" s="106" t="str">
        <f>IF(SUMIFS(Data_filtered!$G$2:$G$461,Data_filtered!$A$2:$A$461,X$1,Data_filtered!$F$2:$F$461,$A8, Data_filtered!$D$2:$D$461,"eucalipto",Data_filtered!$J$2:$J$461,"&lt;&gt;Incompleto")=0, "-", SUMIFS(Data_filtered!$G$2:$G$461,Data_filtered!$A$2:$A$461,X$1,Data_filtered!$F$2:$F$461,$A8, Data_filtered!$D$2:$D$461,"eucalipto",Data_filtered!$J$2:$J$461,"&lt;&gt;Incompleto"))</f>
        <v>-</v>
      </c>
      <c r="Y8" s="108" t="str">
        <f>IF(SUMIFS(Data_filtered!$G$2:$G$461,Data_filtered!$A$2:$A$461,X$1,Data_filtered!$F$2:$F$461,$A8, Data_filtered!$D$2:$D$461,"mata",Data_filtered!$J$2:$J$461,"&lt;&gt;Incompleto")=0, "-", SUMIFS(Data_filtered!$G$2:$G$461,Data_filtered!$A$2:$A$461,X$1,Data_filtered!$F$2:$F$461,$A8, Data_filtered!$D$2:$D$461,"mata",Data_filtered!$J$2:$J$461,"&lt;&gt;Incompleto"))
</f>
        <v>-</v>
      </c>
      <c r="Z8" s="106" t="str">
        <f>IF(SUMIFS(Data_filtered!$G$2:$G$461,Data_filtered!$A$2:$A$461,Z$1,Data_filtered!$F$2:$F$461,$A8, Data_filtered!$D$2:$D$461,"eucalipto",Data_filtered!$J$2:$J$461,"&lt;&gt;Incompleto")=0, "-", SUMIFS(Data_filtered!$G$2:$G$461,Data_filtered!$A$2:$A$461,Z$1,Data_filtered!$F$2:$F$461,$A8, Data_filtered!$D$2:$D$461,"eucalipto",Data_filtered!$J$2:$J$461,"&lt;&gt;Incompleto"))</f>
        <v>-</v>
      </c>
      <c r="AA8" s="108" t="str">
        <f>IF(SUMIFS(Data_filtered!$G$2:$G$461,Data_filtered!$A$2:$A$461,Z$1,Data_filtered!$F$2:$F$461,$A8, Data_filtered!$D$2:$D$461,"mata",Data_filtered!$J$2:$J$461,"&lt;&gt;Incompleto")=0, "-", SUMIFS(Data_filtered!$G$2:$G$461,Data_filtered!$A$2:$A$461,Z$1,Data_filtered!$F$2:$F$461,$A8, Data_filtered!$D$2:$D$461,"mata",Data_filtered!$J$2:$J$461,"&lt;&gt;Incompleto"))
</f>
        <v>-</v>
      </c>
      <c r="AB8" s="106" t="str">
        <f>IF(SUMIFS(Data_filtered!$G$2:$G$461,Data_filtered!$A$2:$A$461,AB$1,Data_filtered!$F$2:$F$461,$A8, Data_filtered!$D$2:$D$461,"eucalipto",Data_filtered!$J$2:$J$461,"&lt;&gt;Incompleto")=0, "-", SUMIFS(Data_filtered!$G$2:$G$461,Data_filtered!$A$2:$A$461,AB$1,Data_filtered!$F$2:$F$461,$A8, Data_filtered!$D$2:$D$461,"eucalipto",Data_filtered!$J$2:$J$461,"&lt;&gt;Incompleto"))</f>
        <v>-</v>
      </c>
      <c r="AC8" s="108" t="str">
        <f>IF(SUMIFS(Data_filtered!$G$2:$G$461,Data_filtered!$A$2:$A$461,AB$1,Data_filtered!$F$2:$F$461,$A8, Data_filtered!$D$2:$D$461,"mata",Data_filtered!$J$2:$J$461,"&lt;&gt;Incompleto")=0, "-", SUMIFS(Data_filtered!$G$2:$G$461,Data_filtered!$A$2:$A$461,AB$1,Data_filtered!$F$2:$F$461,$A8, Data_filtered!$D$2:$D$461,"mata",Data_filtered!$J$2:$J$461,"&lt;&gt;Incompleto"))
</f>
        <v>-</v>
      </c>
      <c r="AD8" s="106" t="str">
        <f>IF(SUMIFS(Data_filtered!$G$2:$G$461,Data_filtered!$A$2:$A$461,AD$1,Data_filtered!$F$2:$F$461,$A8, Data_filtered!$D$2:$D$461,"eucalipto",Data_filtered!$J$2:$J$461,"&lt;&gt;Incompleto")=0, "-", SUMIFS(Data_filtered!$G$2:$G$461,Data_filtered!$A$2:$A$461,AD$1,Data_filtered!$F$2:$F$461,$A8, Data_filtered!$D$2:$D$461,"eucalipto",Data_filtered!$J$2:$J$461,"&lt;&gt;Incompleto"))</f>
        <v>-</v>
      </c>
      <c r="AE8" s="108" t="str">
        <f>IF(SUMIFS(Data_filtered!$G$2:$G$461,Data_filtered!$A$2:$A$461,AD$1,Data_filtered!$F$2:$F$461,$A8, Data_filtered!$D$2:$D$461,"mata",Data_filtered!$J$2:$J$461,"&lt;&gt;Incompleto")=0, "-", SUMIFS(Data_filtered!$G$2:$G$461,Data_filtered!$A$2:$A$461,AD$1,Data_filtered!$F$2:$F$461,$A8, Data_filtered!$D$2:$D$461,"mata",Data_filtered!$J$2:$J$461,"&lt;&gt;Incompleto"))
</f>
        <v>-</v>
      </c>
      <c r="AF8" s="106" t="str">
        <f>IF(SUMIFS(Data_filtered!$G$2:$G$461,Data_filtered!$A$2:$A$461,AF$1,Data_filtered!$F$2:$F$461,$A8, Data_filtered!$D$2:$D$461,"eucalipto",Data_filtered!$J$2:$J$461,"&lt;&gt;Incompleto")=0, "-", SUMIFS(Data_filtered!$G$2:$G$461,Data_filtered!$A$2:$A$461,AF$1,Data_filtered!$F$2:$F$461,$A8, Data_filtered!$D$2:$D$461,"eucalipto",Data_filtered!$J$2:$J$461,"&lt;&gt;Incompleto"))</f>
        <v>-</v>
      </c>
      <c r="AG8" s="108" t="str">
        <f>IF(SUMIFS(Data_filtered!$G$2:$G$461,Data_filtered!$A$2:$A$461,AF$1,Data_filtered!$F$2:$F$461,$A8, Data_filtered!$D$2:$D$461,"mata",Data_filtered!$J$2:$J$461,"&lt;&gt;Incompleto")=0, "-", SUMIFS(Data_filtered!$G$2:$G$461,Data_filtered!$A$2:$A$461,AF$1,Data_filtered!$F$2:$F$461,$A8, Data_filtered!$D$2:$D$461,"mata",Data_filtered!$J$2:$J$461,"&lt;&gt;Incompleto"))
</f>
        <v>-</v>
      </c>
      <c r="AH8" s="106" t="str">
        <f>IF(SUMIFS(Data_filtered!$G$2:$G$461,Data_filtered!$A$2:$A$461,AH$1,Data_filtered!$F$2:$F$461,$A8, Data_filtered!$D$2:$D$461,"eucalipto",Data_filtered!$J$2:$J$461,"&lt;&gt;Incompleto")=0, "-", SUMIFS(Data_filtered!$G$2:$G$461,Data_filtered!$A$2:$A$461,AH$1,Data_filtered!$F$2:$F$461,$A8, Data_filtered!$D$2:$D$461,"eucalipto",Data_filtered!$J$2:$J$461,"&lt;&gt;Incompleto"))</f>
        <v>-</v>
      </c>
      <c r="AI8" s="108" t="str">
        <f>IF(SUMIFS(Data_filtered!$G$2:$G$461,Data_filtered!$A$2:$A$461,AH$1,Data_filtered!$F$2:$F$461,$A8, Data_filtered!$D$2:$D$461,"mata",Data_filtered!$J$2:$J$461,"&lt;&gt;Incompleto")=0, "-", SUMIFS(Data_filtered!$G$2:$G$461,Data_filtered!$A$2:$A$461,AH$1,Data_filtered!$F$2:$F$461,$A8, Data_filtered!$D$2:$D$461,"mata",Data_filtered!$J$2:$J$461,"&lt;&gt;Incompleto"))
</f>
        <v>-</v>
      </c>
      <c r="AJ8" s="106" t="str">
        <f>IF(SUMIFS(Data_filtered!$G$2:$G$461,Data_filtered!$A$2:$A$461,AJ$1,Data_filtered!$F$2:$F$461,$A8, Data_filtered!$D$2:$D$461,"eucalipto",Data_filtered!$J$2:$J$461,"&lt;&gt;Incompleto")=0, "-", SUMIFS(Data_filtered!$G$2:$G$461,Data_filtered!$A$2:$A$461,AJ$1,Data_filtered!$F$2:$F$461,$A8, Data_filtered!$D$2:$D$461,"eucalipto",Data_filtered!$J$2:$J$461,"&lt;&gt;Incompleto"))</f>
        <v>-</v>
      </c>
      <c r="AK8" s="108" t="str">
        <f>IF(SUMIFS(Data_filtered!$G$2:$G$461,Data_filtered!$A$2:$A$461,AJ$1,Data_filtered!$F$2:$F$461,$A8, Data_filtered!$D$2:$D$461,"mata",Data_filtered!$J$2:$J$461,"&lt;&gt;Incompleto")=0, "-", SUMIFS(Data_filtered!$G$2:$G$461,Data_filtered!$A$2:$A$461,AJ$1,Data_filtered!$F$2:$F$461,$A8, Data_filtered!$D$2:$D$461,"mata",Data_filtered!$J$2:$J$461,"&lt;&gt;Incompleto"))
</f>
        <v>-</v>
      </c>
      <c r="AL8" s="106" t="str">
        <f>IF(SUMIFS(Data_filtered!$G$2:$G$461,Data_filtered!$A$2:$A$461,AL$1,Data_filtered!$F$2:$F$461,$A8, Data_filtered!$D$2:$D$461,"eucalipto",Data_filtered!$J$2:$J$461,"&lt;&gt;Incompleto")=0, "-", SUMIFS(Data_filtered!$G$2:$G$461,Data_filtered!$A$2:$A$461,AL$1,Data_filtered!$F$2:$F$461,$A8, Data_filtered!$D$2:$D$461,"eucalipto",Data_filtered!$J$2:$J$461,"&lt;&gt;Incompleto"))</f>
        <v>-</v>
      </c>
      <c r="AM8" s="108">
        <f>IF(SUMIFS(Data_filtered!$G$2:$G$461,Data_filtered!$A$2:$A$461,AL$1,Data_filtered!$F$2:$F$461,$A8, Data_filtered!$D$2:$D$461,"mata",Data_filtered!$J$2:$J$461,"&lt;&gt;Incompleto")=0, "-", SUMIFS(Data_filtered!$G$2:$G$461,Data_filtered!$A$2:$A$461,AL$1,Data_filtered!$F$2:$F$461,$A8, Data_filtered!$D$2:$D$461,"mata",Data_filtered!$J$2:$J$461,"&lt;&gt;Incompleto"))
</f>
        <v>2</v>
      </c>
      <c r="AN8" s="106" t="str">
        <f>IF(SUMIFS(Data_filtered!$G$2:$G$461,Data_filtered!$A$2:$A$461,AN$1,Data_filtered!$F$2:$F$461,$A8, Data_filtered!$D$2:$D$461,"eucalipto",Data_filtered!$J$2:$J$461,"&lt;&gt;Incompleto")=0, "-", SUMIFS(Data_filtered!$G$2:$G$461,Data_filtered!$A$2:$A$461,AN$1,Data_filtered!$F$2:$F$461,$A8, Data_filtered!$D$2:$D$461,"eucalipto",Data_filtered!$J$2:$J$461,"&lt;&gt;Incompleto"))</f>
        <v>-</v>
      </c>
      <c r="AO8" s="108" t="str">
        <f>IF(SUMIFS(Data_filtered!$G$2:$G$461,Data_filtered!$A$2:$A$461,AN$1,Data_filtered!$F$2:$F$461,$A8, Data_filtered!$D$2:$D$461,"mata",Data_filtered!$J$2:$J$461,"&lt;&gt;Incompleto")=0, "-", SUMIFS(Data_filtered!$G$2:$G$461,Data_filtered!$A$2:$A$461,AN$1,Data_filtered!$F$2:$F$461,$A8, Data_filtered!$D$2:$D$461,"mata",Data_filtered!$J$2:$J$461,"&lt;&gt;Incompleto"))
</f>
        <v>-</v>
      </c>
      <c r="AP8" s="106" t="str">
        <f>IF(SUMIFS(Data_filtered!$G$2:$G$461,Data_filtered!$A$2:$A$461,AP$1,Data_filtered!$F$2:$F$461,$A8, Data_filtered!$D$2:$D$461,"eucalipto",Data_filtered!$J$2:$J$461,"&lt;&gt;Incompleto")=0, "-", SUMIFS(Data_filtered!$G$2:$G$461,Data_filtered!$A$2:$A$461,AP$1,Data_filtered!$F$2:$F$461,$A8, Data_filtered!$D$2:$D$461,"eucalipto",Data_filtered!$J$2:$J$461,"&lt;&gt;Incompleto"))</f>
        <v>-</v>
      </c>
      <c r="AQ8" s="108" t="str">
        <f>IF(SUMIFS(Data_filtered!$G$2:$G$461,Data_filtered!$A$2:$A$461,AP$1,Data_filtered!$F$2:$F$461,$A8, Data_filtered!$D$2:$D$461,"mata",Data_filtered!$J$2:$J$461,"&lt;&gt;Incompleto")=0, "-", SUMIFS(Data_filtered!$G$2:$G$461,Data_filtered!$A$2:$A$461,AP$1,Data_filtered!$F$2:$F$461,$A8, Data_filtered!$D$2:$D$461,"mata",Data_filtered!$J$2:$J$461,"&lt;&gt;Incompleto"))
</f>
        <v>-</v>
      </c>
      <c r="AR8" s="106" t="str">
        <f>IF(SUMIFS(Data_filtered!$G$2:$G$461,Data_filtered!$A$2:$A$461,AR$1,Data_filtered!$F$2:$F$461,$A8, Data_filtered!$D$2:$D$461,"eucalipto",Data_filtered!$J$2:$J$461,"&lt;&gt;Incompleto")=0, "-", SUMIFS(Data_filtered!$G$2:$G$461,Data_filtered!$A$2:$A$461,AR$1,Data_filtered!$F$2:$F$461,$A8, Data_filtered!$D$2:$D$461,"eucalipto",Data_filtered!$J$2:$J$461,"&lt;&gt;Incompleto"))</f>
        <v>-</v>
      </c>
      <c r="AS8" s="108" t="str">
        <f>IF(SUMIFS(Data_filtered!$G$2:$G$461,Data_filtered!$A$2:$A$461,AR$1,Data_filtered!$F$2:$F$461,$A8, Data_filtered!$D$2:$D$461,"mata",Data_filtered!$J$2:$J$461,"&lt;&gt;Incompleto")=0, "-", SUMIFS(Data_filtered!$G$2:$G$461,Data_filtered!$A$2:$A$461,AR$1,Data_filtered!$F$2:$F$461,$A8, Data_filtered!$D$2:$D$461,"mata",Data_filtered!$J$2:$J$461,"&lt;&gt;Incompleto"))
</f>
        <v>-</v>
      </c>
    </row>
    <row r="9">
      <c r="A9" s="68" t="str">
        <f>IFERROR(__xludf.DUMMYFUNCTION("""COMPUTED_VALUE"""),"Collembola")</f>
        <v>Collembola</v>
      </c>
      <c r="B9" s="106" t="str">
        <f>IF(SUMIFS(Data_filtered!$G$2:$G$461,Data_filtered!$A$2:$A$461,B$1,Data_filtered!$F$2:$F$461,$A9, Data_filtered!$D$2:$D$461,"eucalipto",Data_filtered!$J$2:$J$461,"&lt;&gt;Incompleto")=0, "-", SUMIFS(Data_filtered!$G$2:$G$461,Data_filtered!$A$2:$A$461,B$1,Data_filtered!$F$2:$F$461,$A9, Data_filtered!$D$2:$D$461,"eucalipto",Data_filtered!$J$2:$J$461,"&lt;&gt;Incompleto"))</f>
        <v>-</v>
      </c>
      <c r="C9" s="108" t="str">
        <f>IF(SUMIFS(Data_filtered!$G$2:$G$461,Data_filtered!$A$2:$A$461,B$1,Data_filtered!$F$2:$F$461,$A9, Data_filtered!$D$2:$D$461,"mata",Data_filtered!$J$2:$J$461,"&lt;&gt;Incompleto")=0, "-", SUMIFS(Data_filtered!$G$2:$G$461,Data_filtered!$A$2:$A$461,B$1,Data_filtered!$F$2:$F$461,$A9, Data_filtered!$D$2:$D$461,"mata",Data_filtered!$J$2:$J$461,"&lt;&gt;Incompleto"))
</f>
        <v>-</v>
      </c>
      <c r="D9" s="106" t="str">
        <f>IF(SUMIFS(Data_filtered!$G$2:$G$461,Data_filtered!$A$2:$A$461,D$1,Data_filtered!$F$2:$F$461,$A9, Data_filtered!$D$2:$D$461,"eucalipto",Data_filtered!$J$2:$J$461,"&lt;&gt;Incompleto")=0, "-", SUMIFS(Data_filtered!$G$2:$G$461,Data_filtered!$A$2:$A$461,D$1,Data_filtered!$F$2:$F$461,$A9, Data_filtered!$D$2:$D$461,"eucalipto",Data_filtered!$J$2:$J$461,"&lt;&gt;Incompleto"))</f>
        <v>-</v>
      </c>
      <c r="E9" s="108" t="str">
        <f>IF(SUMIFS(Data_filtered!$G$2:$G$461,Data_filtered!$A$2:$A$461,D$1,Data_filtered!$F$2:$F$461,$A9, Data_filtered!$D$2:$D$461,"mata",Data_filtered!$J$2:$J$461,"&lt;&gt;Incompleto")=0, "-", SUMIFS(Data_filtered!$G$2:$G$461,Data_filtered!$A$2:$A$461,D$1,Data_filtered!$F$2:$F$461,$A9, Data_filtered!$D$2:$D$461,"mata",Data_filtered!$J$2:$J$461,"&lt;&gt;Incompleto"))
</f>
        <v>-</v>
      </c>
      <c r="F9" s="106" t="str">
        <f>IF(SUMIFS(Data_filtered!$G$2:$G$461,Data_filtered!$A$2:$A$461,F$1,Data_filtered!$F$2:$F$461,$A9, Data_filtered!$D$2:$D$461,"eucalipto",Data_filtered!$J$2:$J$461,"&lt;&gt;Incompleto")=0, "-", SUMIFS(Data_filtered!$G$2:$G$461,Data_filtered!$A$2:$A$461,F$1,Data_filtered!$F$2:$F$461,$A9, Data_filtered!$D$2:$D$461,"eucalipto",Data_filtered!$J$2:$J$461,"&lt;&gt;Incompleto"))</f>
        <v>-</v>
      </c>
      <c r="G9" s="108" t="str">
        <f>IF(SUMIFS(Data_filtered!$G$2:$G$461,Data_filtered!$A$2:$A$461,F$1,Data_filtered!$F$2:$F$461,$A9, Data_filtered!$D$2:$D$461,"mata",Data_filtered!$J$2:$J$461,"&lt;&gt;Incompleto")=0, "-", SUMIFS(Data_filtered!$G$2:$G$461,Data_filtered!$A$2:$A$461,F$1,Data_filtered!$F$2:$F$461,$A9, Data_filtered!$D$2:$D$461,"mata",Data_filtered!$J$2:$J$461,"&lt;&gt;Incompleto"))
</f>
        <v>-</v>
      </c>
      <c r="H9" s="106" t="str">
        <f>IF(SUMIFS(Data_filtered!$G$2:$G$461,Data_filtered!$A$2:$A$461,H$1,Data_filtered!$F$2:$F$461,$A9, Data_filtered!$D$2:$D$461,"eucalipto",Data_filtered!$J$2:$J$461,"&lt;&gt;Incompleto")=0, "-", SUMIFS(Data_filtered!$G$2:$G$461,Data_filtered!$A$2:$A$461,H$1,Data_filtered!$F$2:$F$461,$A9, Data_filtered!$D$2:$D$461,"eucalipto",Data_filtered!$J$2:$J$461,"&lt;&gt;Incompleto"))</f>
        <v>-</v>
      </c>
      <c r="I9" s="108" t="str">
        <f>IF(SUMIFS(Data_filtered!$G$2:$G$461,Data_filtered!$A$2:$A$461,H$1,Data_filtered!$F$2:$F$461,$A9, Data_filtered!$D$2:$D$461,"mata",Data_filtered!$J$2:$J$461,"&lt;&gt;Incompleto")=0, "-", SUMIFS(Data_filtered!$G$2:$G$461,Data_filtered!$A$2:$A$461,H$1,Data_filtered!$F$2:$F$461,$A9, Data_filtered!$D$2:$D$461,"mata",Data_filtered!$J$2:$J$461,"&lt;&gt;Incompleto"))
</f>
        <v>-</v>
      </c>
      <c r="J9" s="106" t="str">
        <f>IF(SUMIFS(Data_filtered!$G$2:$G$461,Data_filtered!$A$2:$A$461,J$1,Data_filtered!$F$2:$F$461,$A9, Data_filtered!$D$2:$D$461,"eucalipto",Data_filtered!$J$2:$J$461,"&lt;&gt;Incompleto")=0, "-", SUMIFS(Data_filtered!$G$2:$G$461,Data_filtered!$A$2:$A$461,J$1,Data_filtered!$F$2:$F$461,$A9, Data_filtered!$D$2:$D$461,"eucalipto",Data_filtered!$J$2:$J$461,"&lt;&gt;Incompleto"))</f>
        <v>-</v>
      </c>
      <c r="K9" s="108" t="str">
        <f>IF(SUMIFS(Data_filtered!$G$2:$G$461,Data_filtered!$A$2:$A$461,J$1,Data_filtered!$F$2:$F$461,$A9, Data_filtered!$D$2:$D$461,"mata",Data_filtered!$J$2:$J$461,"&lt;&gt;Incompleto")=0, "-", SUMIFS(Data_filtered!$G$2:$G$461,Data_filtered!$A$2:$A$461,J$1,Data_filtered!$F$2:$F$461,$A9, Data_filtered!$D$2:$D$461,"mata",Data_filtered!$J$2:$J$461,"&lt;&gt;Incompleto"))
</f>
        <v>-</v>
      </c>
      <c r="L9" s="106" t="str">
        <f>IF(SUMIFS(Data_filtered!$G$2:$G$461,Data_filtered!$A$2:$A$461,L$1,Data_filtered!$F$2:$F$461,$A9, Data_filtered!$D$2:$D$461,"eucalipto",Data_filtered!$J$2:$J$461,"&lt;&gt;Incompleto")=0, "-", SUMIFS(Data_filtered!$G$2:$G$461,Data_filtered!$A$2:$A$461,L$1,Data_filtered!$F$2:$F$461,$A9, Data_filtered!$D$2:$D$461,"eucalipto",Data_filtered!$J$2:$J$461,"&lt;&gt;Incompleto"))</f>
        <v>-</v>
      </c>
      <c r="M9" s="108" t="str">
        <f>IF(SUMIFS(Data_filtered!$G$2:$G$461,Data_filtered!$A$2:$A$461,L$1,Data_filtered!$F$2:$F$461,$A9, Data_filtered!$D$2:$D$461,"mata",Data_filtered!$J$2:$J$461,"&lt;&gt;Incompleto")=0, "-", SUMIFS(Data_filtered!$G$2:$G$461,Data_filtered!$A$2:$A$461,L$1,Data_filtered!$F$2:$F$461,$A9, Data_filtered!$D$2:$D$461,"mata",Data_filtered!$J$2:$J$461,"&lt;&gt;Incompleto"))
</f>
        <v>-</v>
      </c>
      <c r="N9" s="106" t="str">
        <f>IF(SUMIFS(Data_filtered!$G$2:$G$461,Data_filtered!$A$2:$A$461,N$1,Data_filtered!$F$2:$F$461,$A9, Data_filtered!$D$2:$D$461,"eucalipto",Data_filtered!$J$2:$J$461,"&lt;&gt;Incompleto")=0, "-", SUMIFS(Data_filtered!$G$2:$G$461,Data_filtered!$A$2:$A$461,N$1,Data_filtered!$F$2:$F$461,$A9, Data_filtered!$D$2:$D$461,"eucalipto",Data_filtered!$J$2:$J$461,"&lt;&gt;Incompleto"))</f>
        <v>-</v>
      </c>
      <c r="O9" s="108" t="str">
        <f>IF(SUMIFS(Data_filtered!$G$2:$G$461,Data_filtered!$A$2:$A$461,N$1,Data_filtered!$F$2:$F$461,$A9, Data_filtered!$D$2:$D$461,"mata",Data_filtered!$J$2:$J$461,"&lt;&gt;Incompleto")=0, "-", SUMIFS(Data_filtered!$G$2:$G$461,Data_filtered!$A$2:$A$461,N$1,Data_filtered!$F$2:$F$461,$A9, Data_filtered!$D$2:$D$461,"mata",Data_filtered!$J$2:$J$461,"&lt;&gt;Incompleto"))
</f>
        <v>-</v>
      </c>
      <c r="P9" s="106" t="str">
        <f>IF(SUMIFS(Data_filtered!$G$2:$G$461,Data_filtered!$A$2:$A$461,P$1,Data_filtered!$F$2:$F$461,$A9, Data_filtered!$D$2:$D$461,"eucalipto",Data_filtered!$J$2:$J$461,"&lt;&gt;Incompleto")=0, "-", SUMIFS(Data_filtered!$G$2:$G$461,Data_filtered!$A$2:$A$461,P$1,Data_filtered!$F$2:$F$461,$A9, Data_filtered!$D$2:$D$461,"eucalipto",Data_filtered!$J$2:$J$461,"&lt;&gt;Incompleto"))</f>
        <v>-</v>
      </c>
      <c r="Q9" s="108">
        <f>IF(SUMIFS(Data_filtered!$G$2:$G$461,Data_filtered!$A$2:$A$461,P$1,Data_filtered!$F$2:$F$461,$A9, Data_filtered!$D$2:$D$461,"mata",Data_filtered!$J$2:$J$461,"&lt;&gt;Incompleto")=0, "-", SUMIFS(Data_filtered!$G$2:$G$461,Data_filtered!$A$2:$A$461,P$1,Data_filtered!$F$2:$F$461,$A9, Data_filtered!$D$2:$D$461,"mata",Data_filtered!$J$2:$J$461,"&lt;&gt;Incompleto"))
</f>
        <v>1</v>
      </c>
      <c r="R9" s="106" t="str">
        <f>IF(SUMIFS(Data_filtered!$G$2:$G$461,Data_filtered!$A$2:$A$461,R$1,Data_filtered!$F$2:$F$461,$A9, Data_filtered!$D$2:$D$461,"eucalipto",Data_filtered!$J$2:$J$461,"&lt;&gt;Incompleto")=0, "-", SUMIFS(Data_filtered!$G$2:$G$461,Data_filtered!$A$2:$A$461,R$1,Data_filtered!$F$2:$F$461,$A9, Data_filtered!$D$2:$D$461,"eucalipto",Data_filtered!$J$2:$J$461,"&lt;&gt;Incompleto"))</f>
        <v>-</v>
      </c>
      <c r="S9" s="108" t="str">
        <f>IF(SUMIFS(Data_filtered!$G$2:$G$461,Data_filtered!$A$2:$A$461,R$1,Data_filtered!$F$2:$F$461,$A9, Data_filtered!$D$2:$D$461,"mata",Data_filtered!$J$2:$J$461,"&lt;&gt;Incompleto")=0, "-", SUMIFS(Data_filtered!$G$2:$G$461,Data_filtered!$A$2:$A$461,R$1,Data_filtered!$F$2:$F$461,$A9, Data_filtered!$D$2:$D$461,"mata",Data_filtered!$J$2:$J$461,"&lt;&gt;Incompleto"))
</f>
        <v>-</v>
      </c>
      <c r="T9" s="106" t="str">
        <f>IF(SUMIFS(Data_filtered!$G$2:$G$461,Data_filtered!$A$2:$A$461,T$1,Data_filtered!$F$2:$F$461,$A9, Data_filtered!$D$2:$D$461,"eucalipto",Data_filtered!$J$2:$J$461,"&lt;&gt;Incompleto")=0, "-", SUMIFS(Data_filtered!$G$2:$G$461,Data_filtered!$A$2:$A$461,T$1,Data_filtered!$F$2:$F$461,$A9, Data_filtered!$D$2:$D$461,"eucalipto",Data_filtered!$J$2:$J$461,"&lt;&gt;Incompleto"))</f>
        <v>-</v>
      </c>
      <c r="U9" s="108" t="str">
        <f>IF(SUMIFS(Data_filtered!$G$2:$G$461,Data_filtered!$A$2:$A$461,T$1,Data_filtered!$F$2:$F$461,$A9, Data_filtered!$D$2:$D$461,"mata",Data_filtered!$J$2:$J$461,"&lt;&gt;Incompleto")=0, "-", SUMIFS(Data_filtered!$G$2:$G$461,Data_filtered!$A$2:$A$461,T$1,Data_filtered!$F$2:$F$461,$A9, Data_filtered!$D$2:$D$461,"mata",Data_filtered!$J$2:$J$461,"&lt;&gt;Incompleto"))
</f>
        <v>-</v>
      </c>
      <c r="V9" s="106">
        <f>IF(SUMIFS(Data_filtered!$G$2:$G$461,Data_filtered!$A$2:$A$461,V$1,Data_filtered!$F$2:$F$461,$A9, Data_filtered!$D$2:$D$461,"eucalipto",Data_filtered!$J$2:$J$461,"&lt;&gt;Incompleto")=0, "-", SUMIFS(Data_filtered!$G$2:$G$461,Data_filtered!$A$2:$A$461,V$1,Data_filtered!$F$2:$F$461,$A9, Data_filtered!$D$2:$D$461,"eucalipto",Data_filtered!$J$2:$J$461,"&lt;&gt;Incompleto"))</f>
        <v>1</v>
      </c>
      <c r="W9" s="108" t="str">
        <f>IF(SUMIFS(Data_filtered!$G$2:$G$461,Data_filtered!$A$2:$A$461,V$1,Data_filtered!$F$2:$F$461,$A9, Data_filtered!$D$2:$D$461,"mata",Data_filtered!$J$2:$J$461,"&lt;&gt;Incompleto")=0, "-", SUMIFS(Data_filtered!$G$2:$G$461,Data_filtered!$A$2:$A$461,V$1,Data_filtered!$F$2:$F$461,$A9, Data_filtered!$D$2:$D$461,"mata",Data_filtered!$J$2:$J$461,"&lt;&gt;Incompleto"))
</f>
        <v>-</v>
      </c>
      <c r="X9" s="106" t="str">
        <f>IF(SUMIFS(Data_filtered!$G$2:$G$461,Data_filtered!$A$2:$A$461,X$1,Data_filtered!$F$2:$F$461,$A9, Data_filtered!$D$2:$D$461,"eucalipto",Data_filtered!$J$2:$J$461,"&lt;&gt;Incompleto")=0, "-", SUMIFS(Data_filtered!$G$2:$G$461,Data_filtered!$A$2:$A$461,X$1,Data_filtered!$F$2:$F$461,$A9, Data_filtered!$D$2:$D$461,"eucalipto",Data_filtered!$J$2:$J$461,"&lt;&gt;Incompleto"))</f>
        <v>-</v>
      </c>
      <c r="Y9" s="108" t="str">
        <f>IF(SUMIFS(Data_filtered!$G$2:$G$461,Data_filtered!$A$2:$A$461,X$1,Data_filtered!$F$2:$F$461,$A9, Data_filtered!$D$2:$D$461,"mata",Data_filtered!$J$2:$J$461,"&lt;&gt;Incompleto")=0, "-", SUMIFS(Data_filtered!$G$2:$G$461,Data_filtered!$A$2:$A$461,X$1,Data_filtered!$F$2:$F$461,$A9, Data_filtered!$D$2:$D$461,"mata",Data_filtered!$J$2:$J$461,"&lt;&gt;Incompleto"))
</f>
        <v>-</v>
      </c>
      <c r="Z9" s="106" t="str">
        <f>IF(SUMIFS(Data_filtered!$G$2:$G$461,Data_filtered!$A$2:$A$461,Z$1,Data_filtered!$F$2:$F$461,$A9, Data_filtered!$D$2:$D$461,"eucalipto",Data_filtered!$J$2:$J$461,"&lt;&gt;Incompleto")=0, "-", SUMIFS(Data_filtered!$G$2:$G$461,Data_filtered!$A$2:$A$461,Z$1,Data_filtered!$F$2:$F$461,$A9, Data_filtered!$D$2:$D$461,"eucalipto",Data_filtered!$J$2:$J$461,"&lt;&gt;Incompleto"))</f>
        <v>-</v>
      </c>
      <c r="AA9" s="108" t="str">
        <f>IF(SUMIFS(Data_filtered!$G$2:$G$461,Data_filtered!$A$2:$A$461,Z$1,Data_filtered!$F$2:$F$461,$A9, Data_filtered!$D$2:$D$461,"mata",Data_filtered!$J$2:$J$461,"&lt;&gt;Incompleto")=0, "-", SUMIFS(Data_filtered!$G$2:$G$461,Data_filtered!$A$2:$A$461,Z$1,Data_filtered!$F$2:$F$461,$A9, Data_filtered!$D$2:$D$461,"mata",Data_filtered!$J$2:$J$461,"&lt;&gt;Incompleto"))
</f>
        <v>-</v>
      </c>
      <c r="AB9" s="106" t="str">
        <f>IF(SUMIFS(Data_filtered!$G$2:$G$461,Data_filtered!$A$2:$A$461,AB$1,Data_filtered!$F$2:$F$461,$A9, Data_filtered!$D$2:$D$461,"eucalipto",Data_filtered!$J$2:$J$461,"&lt;&gt;Incompleto")=0, "-", SUMIFS(Data_filtered!$G$2:$G$461,Data_filtered!$A$2:$A$461,AB$1,Data_filtered!$F$2:$F$461,$A9, Data_filtered!$D$2:$D$461,"eucalipto",Data_filtered!$J$2:$J$461,"&lt;&gt;Incompleto"))</f>
        <v>-</v>
      </c>
      <c r="AC9" s="108" t="str">
        <f>IF(SUMIFS(Data_filtered!$G$2:$G$461,Data_filtered!$A$2:$A$461,AB$1,Data_filtered!$F$2:$F$461,$A9, Data_filtered!$D$2:$D$461,"mata",Data_filtered!$J$2:$J$461,"&lt;&gt;Incompleto")=0, "-", SUMIFS(Data_filtered!$G$2:$G$461,Data_filtered!$A$2:$A$461,AB$1,Data_filtered!$F$2:$F$461,$A9, Data_filtered!$D$2:$D$461,"mata",Data_filtered!$J$2:$J$461,"&lt;&gt;Incompleto"))
</f>
        <v>-</v>
      </c>
      <c r="AD9" s="106" t="str">
        <f>IF(SUMIFS(Data_filtered!$G$2:$G$461,Data_filtered!$A$2:$A$461,AD$1,Data_filtered!$F$2:$F$461,$A9, Data_filtered!$D$2:$D$461,"eucalipto",Data_filtered!$J$2:$J$461,"&lt;&gt;Incompleto")=0, "-", SUMIFS(Data_filtered!$G$2:$G$461,Data_filtered!$A$2:$A$461,AD$1,Data_filtered!$F$2:$F$461,$A9, Data_filtered!$D$2:$D$461,"eucalipto",Data_filtered!$J$2:$J$461,"&lt;&gt;Incompleto"))</f>
        <v>-</v>
      </c>
      <c r="AE9" s="108" t="str">
        <f>IF(SUMIFS(Data_filtered!$G$2:$G$461,Data_filtered!$A$2:$A$461,AD$1,Data_filtered!$F$2:$F$461,$A9, Data_filtered!$D$2:$D$461,"mata",Data_filtered!$J$2:$J$461,"&lt;&gt;Incompleto")=0, "-", SUMIFS(Data_filtered!$G$2:$G$461,Data_filtered!$A$2:$A$461,AD$1,Data_filtered!$F$2:$F$461,$A9, Data_filtered!$D$2:$D$461,"mata",Data_filtered!$J$2:$J$461,"&lt;&gt;Incompleto"))
</f>
        <v>-</v>
      </c>
      <c r="AF9" s="106" t="str">
        <f>IF(SUMIFS(Data_filtered!$G$2:$G$461,Data_filtered!$A$2:$A$461,AF$1,Data_filtered!$F$2:$F$461,$A9, Data_filtered!$D$2:$D$461,"eucalipto",Data_filtered!$J$2:$J$461,"&lt;&gt;Incompleto")=0, "-", SUMIFS(Data_filtered!$G$2:$G$461,Data_filtered!$A$2:$A$461,AF$1,Data_filtered!$F$2:$F$461,$A9, Data_filtered!$D$2:$D$461,"eucalipto",Data_filtered!$J$2:$J$461,"&lt;&gt;Incompleto"))</f>
        <v>-</v>
      </c>
      <c r="AG9" s="108" t="str">
        <f>IF(SUMIFS(Data_filtered!$G$2:$G$461,Data_filtered!$A$2:$A$461,AF$1,Data_filtered!$F$2:$F$461,$A9, Data_filtered!$D$2:$D$461,"mata",Data_filtered!$J$2:$J$461,"&lt;&gt;Incompleto")=0, "-", SUMIFS(Data_filtered!$G$2:$G$461,Data_filtered!$A$2:$A$461,AF$1,Data_filtered!$F$2:$F$461,$A9, Data_filtered!$D$2:$D$461,"mata",Data_filtered!$J$2:$J$461,"&lt;&gt;Incompleto"))
</f>
        <v>-</v>
      </c>
      <c r="AH9" s="106" t="str">
        <f>IF(SUMIFS(Data_filtered!$G$2:$G$461,Data_filtered!$A$2:$A$461,AH$1,Data_filtered!$F$2:$F$461,$A9, Data_filtered!$D$2:$D$461,"eucalipto",Data_filtered!$J$2:$J$461,"&lt;&gt;Incompleto")=0, "-", SUMIFS(Data_filtered!$G$2:$G$461,Data_filtered!$A$2:$A$461,AH$1,Data_filtered!$F$2:$F$461,$A9, Data_filtered!$D$2:$D$461,"eucalipto",Data_filtered!$J$2:$J$461,"&lt;&gt;Incompleto"))</f>
        <v>-</v>
      </c>
      <c r="AI9" s="108" t="str">
        <f>IF(SUMIFS(Data_filtered!$G$2:$G$461,Data_filtered!$A$2:$A$461,AH$1,Data_filtered!$F$2:$F$461,$A9, Data_filtered!$D$2:$D$461,"mata",Data_filtered!$J$2:$J$461,"&lt;&gt;Incompleto")=0, "-", SUMIFS(Data_filtered!$G$2:$G$461,Data_filtered!$A$2:$A$461,AH$1,Data_filtered!$F$2:$F$461,$A9, Data_filtered!$D$2:$D$461,"mata",Data_filtered!$J$2:$J$461,"&lt;&gt;Incompleto"))
</f>
        <v>-</v>
      </c>
      <c r="AJ9" s="106" t="str">
        <f>IF(SUMIFS(Data_filtered!$G$2:$G$461,Data_filtered!$A$2:$A$461,AJ$1,Data_filtered!$F$2:$F$461,$A9, Data_filtered!$D$2:$D$461,"eucalipto",Data_filtered!$J$2:$J$461,"&lt;&gt;Incompleto")=0, "-", SUMIFS(Data_filtered!$G$2:$G$461,Data_filtered!$A$2:$A$461,AJ$1,Data_filtered!$F$2:$F$461,$A9, Data_filtered!$D$2:$D$461,"eucalipto",Data_filtered!$J$2:$J$461,"&lt;&gt;Incompleto"))</f>
        <v>-</v>
      </c>
      <c r="AK9" s="108" t="str">
        <f>IF(SUMIFS(Data_filtered!$G$2:$G$461,Data_filtered!$A$2:$A$461,AJ$1,Data_filtered!$F$2:$F$461,$A9, Data_filtered!$D$2:$D$461,"mata",Data_filtered!$J$2:$J$461,"&lt;&gt;Incompleto")=0, "-", SUMIFS(Data_filtered!$G$2:$G$461,Data_filtered!$A$2:$A$461,AJ$1,Data_filtered!$F$2:$F$461,$A9, Data_filtered!$D$2:$D$461,"mata",Data_filtered!$J$2:$J$461,"&lt;&gt;Incompleto"))
</f>
        <v>-</v>
      </c>
      <c r="AL9" s="106" t="str">
        <f>IF(SUMIFS(Data_filtered!$G$2:$G$461,Data_filtered!$A$2:$A$461,AL$1,Data_filtered!$F$2:$F$461,$A9, Data_filtered!$D$2:$D$461,"eucalipto",Data_filtered!$J$2:$J$461,"&lt;&gt;Incompleto")=0, "-", SUMIFS(Data_filtered!$G$2:$G$461,Data_filtered!$A$2:$A$461,AL$1,Data_filtered!$F$2:$F$461,$A9, Data_filtered!$D$2:$D$461,"eucalipto",Data_filtered!$J$2:$J$461,"&lt;&gt;Incompleto"))</f>
        <v>-</v>
      </c>
      <c r="AM9" s="108" t="str">
        <f>IF(SUMIFS(Data_filtered!$G$2:$G$461,Data_filtered!$A$2:$A$461,AL$1,Data_filtered!$F$2:$F$461,$A9, Data_filtered!$D$2:$D$461,"mata",Data_filtered!$J$2:$J$461,"&lt;&gt;Incompleto")=0, "-", SUMIFS(Data_filtered!$G$2:$G$461,Data_filtered!$A$2:$A$461,AL$1,Data_filtered!$F$2:$F$461,$A9, Data_filtered!$D$2:$D$461,"mata",Data_filtered!$J$2:$J$461,"&lt;&gt;Incompleto"))
</f>
        <v>-</v>
      </c>
      <c r="AN9" s="106" t="str">
        <f>IF(SUMIFS(Data_filtered!$G$2:$G$461,Data_filtered!$A$2:$A$461,AN$1,Data_filtered!$F$2:$F$461,$A9, Data_filtered!$D$2:$D$461,"eucalipto",Data_filtered!$J$2:$J$461,"&lt;&gt;Incompleto")=0, "-", SUMIFS(Data_filtered!$G$2:$G$461,Data_filtered!$A$2:$A$461,AN$1,Data_filtered!$F$2:$F$461,$A9, Data_filtered!$D$2:$D$461,"eucalipto",Data_filtered!$J$2:$J$461,"&lt;&gt;Incompleto"))</f>
        <v>-</v>
      </c>
      <c r="AO9" s="108" t="str">
        <f>IF(SUMIFS(Data_filtered!$G$2:$G$461,Data_filtered!$A$2:$A$461,AN$1,Data_filtered!$F$2:$F$461,$A9, Data_filtered!$D$2:$D$461,"mata",Data_filtered!$J$2:$J$461,"&lt;&gt;Incompleto")=0, "-", SUMIFS(Data_filtered!$G$2:$G$461,Data_filtered!$A$2:$A$461,AN$1,Data_filtered!$F$2:$F$461,$A9, Data_filtered!$D$2:$D$461,"mata",Data_filtered!$J$2:$J$461,"&lt;&gt;Incompleto"))
</f>
        <v>-</v>
      </c>
      <c r="AP9" s="106" t="str">
        <f>IF(SUMIFS(Data_filtered!$G$2:$G$461,Data_filtered!$A$2:$A$461,AP$1,Data_filtered!$F$2:$F$461,$A9, Data_filtered!$D$2:$D$461,"eucalipto",Data_filtered!$J$2:$J$461,"&lt;&gt;Incompleto")=0, "-", SUMIFS(Data_filtered!$G$2:$G$461,Data_filtered!$A$2:$A$461,AP$1,Data_filtered!$F$2:$F$461,$A9, Data_filtered!$D$2:$D$461,"eucalipto",Data_filtered!$J$2:$J$461,"&lt;&gt;Incompleto"))</f>
        <v>-</v>
      </c>
      <c r="AQ9" s="108" t="str">
        <f>IF(SUMIFS(Data_filtered!$G$2:$G$461,Data_filtered!$A$2:$A$461,AP$1,Data_filtered!$F$2:$F$461,$A9, Data_filtered!$D$2:$D$461,"mata",Data_filtered!$J$2:$J$461,"&lt;&gt;Incompleto")=0, "-", SUMIFS(Data_filtered!$G$2:$G$461,Data_filtered!$A$2:$A$461,AP$1,Data_filtered!$F$2:$F$461,$A9, Data_filtered!$D$2:$D$461,"mata",Data_filtered!$J$2:$J$461,"&lt;&gt;Incompleto"))
</f>
        <v>-</v>
      </c>
      <c r="AR9" s="106" t="str">
        <f>IF(SUMIFS(Data_filtered!$G$2:$G$461,Data_filtered!$A$2:$A$461,AR$1,Data_filtered!$F$2:$F$461,$A9, Data_filtered!$D$2:$D$461,"eucalipto",Data_filtered!$J$2:$J$461,"&lt;&gt;Incompleto")=0, "-", SUMIFS(Data_filtered!$G$2:$G$461,Data_filtered!$A$2:$A$461,AR$1,Data_filtered!$F$2:$F$461,$A9, Data_filtered!$D$2:$D$461,"eucalipto",Data_filtered!$J$2:$J$461,"&lt;&gt;Incompleto"))</f>
        <v>-</v>
      </c>
      <c r="AS9" s="108" t="str">
        <f>IF(SUMIFS(Data_filtered!$G$2:$G$461,Data_filtered!$A$2:$A$461,AR$1,Data_filtered!$F$2:$F$461,$A9, Data_filtered!$D$2:$D$461,"mata",Data_filtered!$J$2:$J$461,"&lt;&gt;Incompleto")=0, "-", SUMIFS(Data_filtered!$G$2:$G$461,Data_filtered!$A$2:$A$461,AR$1,Data_filtered!$F$2:$F$461,$A9, Data_filtered!$D$2:$D$461,"mata",Data_filtered!$J$2:$J$461,"&lt;&gt;Incompleto"))
</f>
        <v>-</v>
      </c>
    </row>
    <row r="10">
      <c r="A10" s="68" t="str">
        <f>IFERROR(__xludf.DUMMYFUNCTION("""COMPUTED_VALUE"""),"Dermaptera")</f>
        <v>Dermaptera</v>
      </c>
      <c r="B10" s="106" t="str">
        <f>IF(SUMIFS(Data_filtered!$G$2:$G$461,Data_filtered!$A$2:$A$461,B$1,Data_filtered!$F$2:$F$461,$A10, Data_filtered!$D$2:$D$461,"eucalipto",Data_filtered!$J$2:$J$461,"&lt;&gt;Incompleto")=0, "-", SUMIFS(Data_filtered!$G$2:$G$461,Data_filtered!$A$2:$A$461,B$1,Data_filtered!$F$2:$F$461,$A10, Data_filtered!$D$2:$D$461,"eucalipto",Data_filtered!$J$2:$J$461,"&lt;&gt;Incompleto"))</f>
        <v>-</v>
      </c>
      <c r="C10" s="108" t="str">
        <f>IF(SUMIFS(Data_filtered!$G$2:$G$461,Data_filtered!$A$2:$A$461,B$1,Data_filtered!$F$2:$F$461,$A10, Data_filtered!$D$2:$D$461,"mata",Data_filtered!$J$2:$J$461,"&lt;&gt;Incompleto")=0, "-", SUMIFS(Data_filtered!$G$2:$G$461,Data_filtered!$A$2:$A$461,B$1,Data_filtered!$F$2:$F$461,$A10, Data_filtered!$D$2:$D$461,"mata",Data_filtered!$J$2:$J$461,"&lt;&gt;Incompleto"))
</f>
        <v>-</v>
      </c>
      <c r="D10" s="106" t="str">
        <f>IF(SUMIFS(Data_filtered!$G$2:$G$461,Data_filtered!$A$2:$A$461,D$1,Data_filtered!$F$2:$F$461,$A10, Data_filtered!$D$2:$D$461,"eucalipto",Data_filtered!$J$2:$J$461,"&lt;&gt;Incompleto")=0, "-", SUMIFS(Data_filtered!$G$2:$G$461,Data_filtered!$A$2:$A$461,D$1,Data_filtered!$F$2:$F$461,$A10, Data_filtered!$D$2:$D$461,"eucalipto",Data_filtered!$J$2:$J$461,"&lt;&gt;Incompleto"))</f>
        <v>-</v>
      </c>
      <c r="E10" s="108" t="str">
        <f>IF(SUMIFS(Data_filtered!$G$2:$G$461,Data_filtered!$A$2:$A$461,D$1,Data_filtered!$F$2:$F$461,$A10, Data_filtered!$D$2:$D$461,"mata",Data_filtered!$J$2:$J$461,"&lt;&gt;Incompleto")=0, "-", SUMIFS(Data_filtered!$G$2:$G$461,Data_filtered!$A$2:$A$461,D$1,Data_filtered!$F$2:$F$461,$A10, Data_filtered!$D$2:$D$461,"mata",Data_filtered!$J$2:$J$461,"&lt;&gt;Incompleto"))
</f>
        <v>-</v>
      </c>
      <c r="F10" s="106" t="str">
        <f>IF(SUMIFS(Data_filtered!$G$2:$G$461,Data_filtered!$A$2:$A$461,F$1,Data_filtered!$F$2:$F$461,$A10, Data_filtered!$D$2:$D$461,"eucalipto",Data_filtered!$J$2:$J$461,"&lt;&gt;Incompleto")=0, "-", SUMIFS(Data_filtered!$G$2:$G$461,Data_filtered!$A$2:$A$461,F$1,Data_filtered!$F$2:$F$461,$A10, Data_filtered!$D$2:$D$461,"eucalipto",Data_filtered!$J$2:$J$461,"&lt;&gt;Incompleto"))</f>
        <v>-</v>
      </c>
      <c r="G10" s="108" t="str">
        <f>IF(SUMIFS(Data_filtered!$G$2:$G$461,Data_filtered!$A$2:$A$461,F$1,Data_filtered!$F$2:$F$461,$A10, Data_filtered!$D$2:$D$461,"mata",Data_filtered!$J$2:$J$461,"&lt;&gt;Incompleto")=0, "-", SUMIFS(Data_filtered!$G$2:$G$461,Data_filtered!$A$2:$A$461,F$1,Data_filtered!$F$2:$F$461,$A10, Data_filtered!$D$2:$D$461,"mata",Data_filtered!$J$2:$J$461,"&lt;&gt;Incompleto"))
</f>
        <v>-</v>
      </c>
      <c r="H10" s="106" t="str">
        <f>IF(SUMIFS(Data_filtered!$G$2:$G$461,Data_filtered!$A$2:$A$461,H$1,Data_filtered!$F$2:$F$461,$A10, Data_filtered!$D$2:$D$461,"eucalipto",Data_filtered!$J$2:$J$461,"&lt;&gt;Incompleto")=0, "-", SUMIFS(Data_filtered!$G$2:$G$461,Data_filtered!$A$2:$A$461,H$1,Data_filtered!$F$2:$F$461,$A10, Data_filtered!$D$2:$D$461,"eucalipto",Data_filtered!$J$2:$J$461,"&lt;&gt;Incompleto"))</f>
        <v>-</v>
      </c>
      <c r="I10" s="108" t="str">
        <f>IF(SUMIFS(Data_filtered!$G$2:$G$461,Data_filtered!$A$2:$A$461,H$1,Data_filtered!$F$2:$F$461,$A10, Data_filtered!$D$2:$D$461,"mata",Data_filtered!$J$2:$J$461,"&lt;&gt;Incompleto")=0, "-", SUMIFS(Data_filtered!$G$2:$G$461,Data_filtered!$A$2:$A$461,H$1,Data_filtered!$F$2:$F$461,$A10, Data_filtered!$D$2:$D$461,"mata",Data_filtered!$J$2:$J$461,"&lt;&gt;Incompleto"))
</f>
        <v>-</v>
      </c>
      <c r="J10" s="106" t="str">
        <f>IF(SUMIFS(Data_filtered!$G$2:$G$461,Data_filtered!$A$2:$A$461,J$1,Data_filtered!$F$2:$F$461,$A10, Data_filtered!$D$2:$D$461,"eucalipto",Data_filtered!$J$2:$J$461,"&lt;&gt;Incompleto")=0, "-", SUMIFS(Data_filtered!$G$2:$G$461,Data_filtered!$A$2:$A$461,J$1,Data_filtered!$F$2:$F$461,$A10, Data_filtered!$D$2:$D$461,"eucalipto",Data_filtered!$J$2:$J$461,"&lt;&gt;Incompleto"))</f>
        <v>-</v>
      </c>
      <c r="K10" s="108" t="str">
        <f>IF(SUMIFS(Data_filtered!$G$2:$G$461,Data_filtered!$A$2:$A$461,J$1,Data_filtered!$F$2:$F$461,$A10, Data_filtered!$D$2:$D$461,"mata",Data_filtered!$J$2:$J$461,"&lt;&gt;Incompleto")=0, "-", SUMIFS(Data_filtered!$G$2:$G$461,Data_filtered!$A$2:$A$461,J$1,Data_filtered!$F$2:$F$461,$A10, Data_filtered!$D$2:$D$461,"mata",Data_filtered!$J$2:$J$461,"&lt;&gt;Incompleto"))
</f>
        <v>-</v>
      </c>
      <c r="L10" s="106" t="str">
        <f>IF(SUMIFS(Data_filtered!$G$2:$G$461,Data_filtered!$A$2:$A$461,L$1,Data_filtered!$F$2:$F$461,$A10, Data_filtered!$D$2:$D$461,"eucalipto",Data_filtered!$J$2:$J$461,"&lt;&gt;Incompleto")=0, "-", SUMIFS(Data_filtered!$G$2:$G$461,Data_filtered!$A$2:$A$461,L$1,Data_filtered!$F$2:$F$461,$A10, Data_filtered!$D$2:$D$461,"eucalipto",Data_filtered!$J$2:$J$461,"&lt;&gt;Incompleto"))</f>
        <v>-</v>
      </c>
      <c r="M10" s="108" t="str">
        <f>IF(SUMIFS(Data_filtered!$G$2:$G$461,Data_filtered!$A$2:$A$461,L$1,Data_filtered!$F$2:$F$461,$A10, Data_filtered!$D$2:$D$461,"mata",Data_filtered!$J$2:$J$461,"&lt;&gt;Incompleto")=0, "-", SUMIFS(Data_filtered!$G$2:$G$461,Data_filtered!$A$2:$A$461,L$1,Data_filtered!$F$2:$F$461,$A10, Data_filtered!$D$2:$D$461,"mata",Data_filtered!$J$2:$J$461,"&lt;&gt;Incompleto"))
</f>
        <v>-</v>
      </c>
      <c r="N10" s="106" t="str">
        <f>IF(SUMIFS(Data_filtered!$G$2:$G$461,Data_filtered!$A$2:$A$461,N$1,Data_filtered!$F$2:$F$461,$A10, Data_filtered!$D$2:$D$461,"eucalipto",Data_filtered!$J$2:$J$461,"&lt;&gt;Incompleto")=0, "-", SUMIFS(Data_filtered!$G$2:$G$461,Data_filtered!$A$2:$A$461,N$1,Data_filtered!$F$2:$F$461,$A10, Data_filtered!$D$2:$D$461,"eucalipto",Data_filtered!$J$2:$J$461,"&lt;&gt;Incompleto"))</f>
        <v>-</v>
      </c>
      <c r="O10" s="108" t="str">
        <f>IF(SUMIFS(Data_filtered!$G$2:$G$461,Data_filtered!$A$2:$A$461,N$1,Data_filtered!$F$2:$F$461,$A10, Data_filtered!$D$2:$D$461,"mata",Data_filtered!$J$2:$J$461,"&lt;&gt;Incompleto")=0, "-", SUMIFS(Data_filtered!$G$2:$G$461,Data_filtered!$A$2:$A$461,N$1,Data_filtered!$F$2:$F$461,$A10, Data_filtered!$D$2:$D$461,"mata",Data_filtered!$J$2:$J$461,"&lt;&gt;Incompleto"))
</f>
        <v>-</v>
      </c>
      <c r="P10" s="106" t="str">
        <f>IF(SUMIFS(Data_filtered!$G$2:$G$461,Data_filtered!$A$2:$A$461,P$1,Data_filtered!$F$2:$F$461,$A10, Data_filtered!$D$2:$D$461,"eucalipto",Data_filtered!$J$2:$J$461,"&lt;&gt;Incompleto")=0, "-", SUMIFS(Data_filtered!$G$2:$G$461,Data_filtered!$A$2:$A$461,P$1,Data_filtered!$F$2:$F$461,$A10, Data_filtered!$D$2:$D$461,"eucalipto",Data_filtered!$J$2:$J$461,"&lt;&gt;Incompleto"))</f>
        <v>-</v>
      </c>
      <c r="Q10" s="108" t="str">
        <f>IF(SUMIFS(Data_filtered!$G$2:$G$461,Data_filtered!$A$2:$A$461,P$1,Data_filtered!$F$2:$F$461,$A10, Data_filtered!$D$2:$D$461,"mata",Data_filtered!$J$2:$J$461,"&lt;&gt;Incompleto")=0, "-", SUMIFS(Data_filtered!$G$2:$G$461,Data_filtered!$A$2:$A$461,P$1,Data_filtered!$F$2:$F$461,$A10, Data_filtered!$D$2:$D$461,"mata",Data_filtered!$J$2:$J$461,"&lt;&gt;Incompleto"))
</f>
        <v>-</v>
      </c>
      <c r="R10" s="106">
        <f>IF(SUMIFS(Data_filtered!$G$2:$G$461,Data_filtered!$A$2:$A$461,R$1,Data_filtered!$F$2:$F$461,$A10, Data_filtered!$D$2:$D$461,"eucalipto",Data_filtered!$J$2:$J$461,"&lt;&gt;Incompleto")=0, "-", SUMIFS(Data_filtered!$G$2:$G$461,Data_filtered!$A$2:$A$461,R$1,Data_filtered!$F$2:$F$461,$A10, Data_filtered!$D$2:$D$461,"eucalipto",Data_filtered!$J$2:$J$461,"&lt;&gt;Incompleto"))</f>
        <v>1</v>
      </c>
      <c r="S10" s="108">
        <f>IF(SUMIFS(Data_filtered!$G$2:$G$461,Data_filtered!$A$2:$A$461,R$1,Data_filtered!$F$2:$F$461,$A10, Data_filtered!$D$2:$D$461,"mata",Data_filtered!$J$2:$J$461,"&lt;&gt;Incompleto")=0, "-", SUMIFS(Data_filtered!$G$2:$G$461,Data_filtered!$A$2:$A$461,R$1,Data_filtered!$F$2:$F$461,$A10, Data_filtered!$D$2:$D$461,"mata",Data_filtered!$J$2:$J$461,"&lt;&gt;Incompleto"))
</f>
        <v>1</v>
      </c>
      <c r="T10" s="106" t="str">
        <f>IF(SUMIFS(Data_filtered!$G$2:$G$461,Data_filtered!$A$2:$A$461,T$1,Data_filtered!$F$2:$F$461,$A10, Data_filtered!$D$2:$D$461,"eucalipto",Data_filtered!$J$2:$J$461,"&lt;&gt;Incompleto")=0, "-", SUMIFS(Data_filtered!$G$2:$G$461,Data_filtered!$A$2:$A$461,T$1,Data_filtered!$F$2:$F$461,$A10, Data_filtered!$D$2:$D$461,"eucalipto",Data_filtered!$J$2:$J$461,"&lt;&gt;Incompleto"))</f>
        <v>-</v>
      </c>
      <c r="U10" s="108" t="str">
        <f>IF(SUMIFS(Data_filtered!$G$2:$G$461,Data_filtered!$A$2:$A$461,T$1,Data_filtered!$F$2:$F$461,$A10, Data_filtered!$D$2:$D$461,"mata",Data_filtered!$J$2:$J$461,"&lt;&gt;Incompleto")=0, "-", SUMIFS(Data_filtered!$G$2:$G$461,Data_filtered!$A$2:$A$461,T$1,Data_filtered!$F$2:$F$461,$A10, Data_filtered!$D$2:$D$461,"mata",Data_filtered!$J$2:$J$461,"&lt;&gt;Incompleto"))
</f>
        <v>-</v>
      </c>
      <c r="V10" s="106" t="str">
        <f>IF(SUMIFS(Data_filtered!$G$2:$G$461,Data_filtered!$A$2:$A$461,V$1,Data_filtered!$F$2:$F$461,$A10, Data_filtered!$D$2:$D$461,"eucalipto",Data_filtered!$J$2:$J$461,"&lt;&gt;Incompleto")=0, "-", SUMIFS(Data_filtered!$G$2:$G$461,Data_filtered!$A$2:$A$461,V$1,Data_filtered!$F$2:$F$461,$A10, Data_filtered!$D$2:$D$461,"eucalipto",Data_filtered!$J$2:$J$461,"&lt;&gt;Incompleto"))</f>
        <v>-</v>
      </c>
      <c r="W10" s="108" t="str">
        <f>IF(SUMIFS(Data_filtered!$G$2:$G$461,Data_filtered!$A$2:$A$461,V$1,Data_filtered!$F$2:$F$461,$A10, Data_filtered!$D$2:$D$461,"mata",Data_filtered!$J$2:$J$461,"&lt;&gt;Incompleto")=0, "-", SUMIFS(Data_filtered!$G$2:$G$461,Data_filtered!$A$2:$A$461,V$1,Data_filtered!$F$2:$F$461,$A10, Data_filtered!$D$2:$D$461,"mata",Data_filtered!$J$2:$J$461,"&lt;&gt;Incompleto"))
</f>
        <v>-</v>
      </c>
      <c r="X10" s="106" t="str">
        <f>IF(SUMIFS(Data_filtered!$G$2:$G$461,Data_filtered!$A$2:$A$461,X$1,Data_filtered!$F$2:$F$461,$A10, Data_filtered!$D$2:$D$461,"eucalipto",Data_filtered!$J$2:$J$461,"&lt;&gt;Incompleto")=0, "-", SUMIFS(Data_filtered!$G$2:$G$461,Data_filtered!$A$2:$A$461,X$1,Data_filtered!$F$2:$F$461,$A10, Data_filtered!$D$2:$D$461,"eucalipto",Data_filtered!$J$2:$J$461,"&lt;&gt;Incompleto"))</f>
        <v>-</v>
      </c>
      <c r="Y10" s="108" t="str">
        <f>IF(SUMIFS(Data_filtered!$G$2:$G$461,Data_filtered!$A$2:$A$461,X$1,Data_filtered!$F$2:$F$461,$A10, Data_filtered!$D$2:$D$461,"mata",Data_filtered!$J$2:$J$461,"&lt;&gt;Incompleto")=0, "-", SUMIFS(Data_filtered!$G$2:$G$461,Data_filtered!$A$2:$A$461,X$1,Data_filtered!$F$2:$F$461,$A10, Data_filtered!$D$2:$D$461,"mata",Data_filtered!$J$2:$J$461,"&lt;&gt;Incompleto"))
</f>
        <v>-</v>
      </c>
      <c r="Z10" s="106" t="str">
        <f>IF(SUMIFS(Data_filtered!$G$2:$G$461,Data_filtered!$A$2:$A$461,Z$1,Data_filtered!$F$2:$F$461,$A10, Data_filtered!$D$2:$D$461,"eucalipto",Data_filtered!$J$2:$J$461,"&lt;&gt;Incompleto")=0, "-", SUMIFS(Data_filtered!$G$2:$G$461,Data_filtered!$A$2:$A$461,Z$1,Data_filtered!$F$2:$F$461,$A10, Data_filtered!$D$2:$D$461,"eucalipto",Data_filtered!$J$2:$J$461,"&lt;&gt;Incompleto"))</f>
        <v>-</v>
      </c>
      <c r="AA10" s="108" t="str">
        <f>IF(SUMIFS(Data_filtered!$G$2:$G$461,Data_filtered!$A$2:$A$461,Z$1,Data_filtered!$F$2:$F$461,$A10, Data_filtered!$D$2:$D$461,"mata",Data_filtered!$J$2:$J$461,"&lt;&gt;Incompleto")=0, "-", SUMIFS(Data_filtered!$G$2:$G$461,Data_filtered!$A$2:$A$461,Z$1,Data_filtered!$F$2:$F$461,$A10, Data_filtered!$D$2:$D$461,"mata",Data_filtered!$J$2:$J$461,"&lt;&gt;Incompleto"))
</f>
        <v>-</v>
      </c>
      <c r="AB10" s="106" t="str">
        <f>IF(SUMIFS(Data_filtered!$G$2:$G$461,Data_filtered!$A$2:$A$461,AB$1,Data_filtered!$F$2:$F$461,$A10, Data_filtered!$D$2:$D$461,"eucalipto",Data_filtered!$J$2:$J$461,"&lt;&gt;Incompleto")=0, "-", SUMIFS(Data_filtered!$G$2:$G$461,Data_filtered!$A$2:$A$461,AB$1,Data_filtered!$F$2:$F$461,$A10, Data_filtered!$D$2:$D$461,"eucalipto",Data_filtered!$J$2:$J$461,"&lt;&gt;Incompleto"))</f>
        <v>-</v>
      </c>
      <c r="AC10" s="108" t="str">
        <f>IF(SUMIFS(Data_filtered!$G$2:$G$461,Data_filtered!$A$2:$A$461,AB$1,Data_filtered!$F$2:$F$461,$A10, Data_filtered!$D$2:$D$461,"mata",Data_filtered!$J$2:$J$461,"&lt;&gt;Incompleto")=0, "-", SUMIFS(Data_filtered!$G$2:$G$461,Data_filtered!$A$2:$A$461,AB$1,Data_filtered!$F$2:$F$461,$A10, Data_filtered!$D$2:$D$461,"mata",Data_filtered!$J$2:$J$461,"&lt;&gt;Incompleto"))
</f>
        <v>-</v>
      </c>
      <c r="AD10" s="106" t="str">
        <f>IF(SUMIFS(Data_filtered!$G$2:$G$461,Data_filtered!$A$2:$A$461,AD$1,Data_filtered!$F$2:$F$461,$A10, Data_filtered!$D$2:$D$461,"eucalipto",Data_filtered!$J$2:$J$461,"&lt;&gt;Incompleto")=0, "-", SUMIFS(Data_filtered!$G$2:$G$461,Data_filtered!$A$2:$A$461,AD$1,Data_filtered!$F$2:$F$461,$A10, Data_filtered!$D$2:$D$461,"eucalipto",Data_filtered!$J$2:$J$461,"&lt;&gt;Incompleto"))</f>
        <v>-</v>
      </c>
      <c r="AE10" s="108" t="str">
        <f>IF(SUMIFS(Data_filtered!$G$2:$G$461,Data_filtered!$A$2:$A$461,AD$1,Data_filtered!$F$2:$F$461,$A10, Data_filtered!$D$2:$D$461,"mata",Data_filtered!$J$2:$J$461,"&lt;&gt;Incompleto")=0, "-", SUMIFS(Data_filtered!$G$2:$G$461,Data_filtered!$A$2:$A$461,AD$1,Data_filtered!$F$2:$F$461,$A10, Data_filtered!$D$2:$D$461,"mata",Data_filtered!$J$2:$J$461,"&lt;&gt;Incompleto"))
</f>
        <v>-</v>
      </c>
      <c r="AF10" s="106" t="str">
        <f>IF(SUMIFS(Data_filtered!$G$2:$G$461,Data_filtered!$A$2:$A$461,AF$1,Data_filtered!$F$2:$F$461,$A10, Data_filtered!$D$2:$D$461,"eucalipto",Data_filtered!$J$2:$J$461,"&lt;&gt;Incompleto")=0, "-", SUMIFS(Data_filtered!$G$2:$G$461,Data_filtered!$A$2:$A$461,AF$1,Data_filtered!$F$2:$F$461,$A10, Data_filtered!$D$2:$D$461,"eucalipto",Data_filtered!$J$2:$J$461,"&lt;&gt;Incompleto"))</f>
        <v>-</v>
      </c>
      <c r="AG10" s="108" t="str">
        <f>IF(SUMIFS(Data_filtered!$G$2:$G$461,Data_filtered!$A$2:$A$461,AF$1,Data_filtered!$F$2:$F$461,$A10, Data_filtered!$D$2:$D$461,"mata",Data_filtered!$J$2:$J$461,"&lt;&gt;Incompleto")=0, "-", SUMIFS(Data_filtered!$G$2:$G$461,Data_filtered!$A$2:$A$461,AF$1,Data_filtered!$F$2:$F$461,$A10, Data_filtered!$D$2:$D$461,"mata",Data_filtered!$J$2:$J$461,"&lt;&gt;Incompleto"))
</f>
        <v>-</v>
      </c>
      <c r="AH10" s="106" t="str">
        <f>IF(SUMIFS(Data_filtered!$G$2:$G$461,Data_filtered!$A$2:$A$461,AH$1,Data_filtered!$F$2:$F$461,$A10, Data_filtered!$D$2:$D$461,"eucalipto",Data_filtered!$J$2:$J$461,"&lt;&gt;Incompleto")=0, "-", SUMIFS(Data_filtered!$G$2:$G$461,Data_filtered!$A$2:$A$461,AH$1,Data_filtered!$F$2:$F$461,$A10, Data_filtered!$D$2:$D$461,"eucalipto",Data_filtered!$J$2:$J$461,"&lt;&gt;Incompleto"))</f>
        <v>-</v>
      </c>
      <c r="AI10" s="108" t="str">
        <f>IF(SUMIFS(Data_filtered!$G$2:$G$461,Data_filtered!$A$2:$A$461,AH$1,Data_filtered!$F$2:$F$461,$A10, Data_filtered!$D$2:$D$461,"mata",Data_filtered!$J$2:$J$461,"&lt;&gt;Incompleto")=0, "-", SUMIFS(Data_filtered!$G$2:$G$461,Data_filtered!$A$2:$A$461,AH$1,Data_filtered!$F$2:$F$461,$A10, Data_filtered!$D$2:$D$461,"mata",Data_filtered!$J$2:$J$461,"&lt;&gt;Incompleto"))
</f>
        <v>-</v>
      </c>
      <c r="AJ10" s="106" t="str">
        <f>IF(SUMIFS(Data_filtered!$G$2:$G$461,Data_filtered!$A$2:$A$461,AJ$1,Data_filtered!$F$2:$F$461,$A10, Data_filtered!$D$2:$D$461,"eucalipto",Data_filtered!$J$2:$J$461,"&lt;&gt;Incompleto")=0, "-", SUMIFS(Data_filtered!$G$2:$G$461,Data_filtered!$A$2:$A$461,AJ$1,Data_filtered!$F$2:$F$461,$A10, Data_filtered!$D$2:$D$461,"eucalipto",Data_filtered!$J$2:$J$461,"&lt;&gt;Incompleto"))</f>
        <v>-</v>
      </c>
      <c r="AK10" s="108" t="str">
        <f>IF(SUMIFS(Data_filtered!$G$2:$G$461,Data_filtered!$A$2:$A$461,AJ$1,Data_filtered!$F$2:$F$461,$A10, Data_filtered!$D$2:$D$461,"mata",Data_filtered!$J$2:$J$461,"&lt;&gt;Incompleto")=0, "-", SUMIFS(Data_filtered!$G$2:$G$461,Data_filtered!$A$2:$A$461,AJ$1,Data_filtered!$F$2:$F$461,$A10, Data_filtered!$D$2:$D$461,"mata",Data_filtered!$J$2:$J$461,"&lt;&gt;Incompleto"))
</f>
        <v>-</v>
      </c>
      <c r="AL10" s="106" t="str">
        <f>IF(SUMIFS(Data_filtered!$G$2:$G$461,Data_filtered!$A$2:$A$461,AL$1,Data_filtered!$F$2:$F$461,$A10, Data_filtered!$D$2:$D$461,"eucalipto",Data_filtered!$J$2:$J$461,"&lt;&gt;Incompleto")=0, "-", SUMIFS(Data_filtered!$G$2:$G$461,Data_filtered!$A$2:$A$461,AL$1,Data_filtered!$F$2:$F$461,$A10, Data_filtered!$D$2:$D$461,"eucalipto",Data_filtered!$J$2:$J$461,"&lt;&gt;Incompleto"))</f>
        <v>-</v>
      </c>
      <c r="AM10" s="108">
        <f>IF(SUMIFS(Data_filtered!$G$2:$G$461,Data_filtered!$A$2:$A$461,AL$1,Data_filtered!$F$2:$F$461,$A10, Data_filtered!$D$2:$D$461,"mata",Data_filtered!$J$2:$J$461,"&lt;&gt;Incompleto")=0, "-", SUMIFS(Data_filtered!$G$2:$G$461,Data_filtered!$A$2:$A$461,AL$1,Data_filtered!$F$2:$F$461,$A10, Data_filtered!$D$2:$D$461,"mata",Data_filtered!$J$2:$J$461,"&lt;&gt;Incompleto"))
</f>
        <v>5</v>
      </c>
      <c r="AN10" s="106" t="str">
        <f>IF(SUMIFS(Data_filtered!$G$2:$G$461,Data_filtered!$A$2:$A$461,AN$1,Data_filtered!$F$2:$F$461,$A10, Data_filtered!$D$2:$D$461,"eucalipto",Data_filtered!$J$2:$J$461,"&lt;&gt;Incompleto")=0, "-", SUMIFS(Data_filtered!$G$2:$G$461,Data_filtered!$A$2:$A$461,AN$1,Data_filtered!$F$2:$F$461,$A10, Data_filtered!$D$2:$D$461,"eucalipto",Data_filtered!$J$2:$J$461,"&lt;&gt;Incompleto"))</f>
        <v>-</v>
      </c>
      <c r="AO10" s="108" t="str">
        <f>IF(SUMIFS(Data_filtered!$G$2:$G$461,Data_filtered!$A$2:$A$461,AN$1,Data_filtered!$F$2:$F$461,$A10, Data_filtered!$D$2:$D$461,"mata",Data_filtered!$J$2:$J$461,"&lt;&gt;Incompleto")=0, "-", SUMIFS(Data_filtered!$G$2:$G$461,Data_filtered!$A$2:$A$461,AN$1,Data_filtered!$F$2:$F$461,$A10, Data_filtered!$D$2:$D$461,"mata",Data_filtered!$J$2:$J$461,"&lt;&gt;Incompleto"))
</f>
        <v>-</v>
      </c>
      <c r="AP10" s="106" t="str">
        <f>IF(SUMIFS(Data_filtered!$G$2:$G$461,Data_filtered!$A$2:$A$461,AP$1,Data_filtered!$F$2:$F$461,$A10, Data_filtered!$D$2:$D$461,"eucalipto",Data_filtered!$J$2:$J$461,"&lt;&gt;Incompleto")=0, "-", SUMIFS(Data_filtered!$G$2:$G$461,Data_filtered!$A$2:$A$461,AP$1,Data_filtered!$F$2:$F$461,$A10, Data_filtered!$D$2:$D$461,"eucalipto",Data_filtered!$J$2:$J$461,"&lt;&gt;Incompleto"))</f>
        <v>-</v>
      </c>
      <c r="AQ10" s="108" t="str">
        <f>IF(SUMIFS(Data_filtered!$G$2:$G$461,Data_filtered!$A$2:$A$461,AP$1,Data_filtered!$F$2:$F$461,$A10, Data_filtered!$D$2:$D$461,"mata",Data_filtered!$J$2:$J$461,"&lt;&gt;Incompleto")=0, "-", SUMIFS(Data_filtered!$G$2:$G$461,Data_filtered!$A$2:$A$461,AP$1,Data_filtered!$F$2:$F$461,$A10, Data_filtered!$D$2:$D$461,"mata",Data_filtered!$J$2:$J$461,"&lt;&gt;Incompleto"))
</f>
        <v>-</v>
      </c>
      <c r="AR10" s="106" t="str">
        <f>IF(SUMIFS(Data_filtered!$G$2:$G$461,Data_filtered!$A$2:$A$461,AR$1,Data_filtered!$F$2:$F$461,$A10, Data_filtered!$D$2:$D$461,"eucalipto",Data_filtered!$J$2:$J$461,"&lt;&gt;Incompleto")=0, "-", SUMIFS(Data_filtered!$G$2:$G$461,Data_filtered!$A$2:$A$461,AR$1,Data_filtered!$F$2:$F$461,$A10, Data_filtered!$D$2:$D$461,"eucalipto",Data_filtered!$J$2:$J$461,"&lt;&gt;Incompleto"))</f>
        <v>-</v>
      </c>
      <c r="AS10" s="108" t="str">
        <f>IF(SUMIFS(Data_filtered!$G$2:$G$461,Data_filtered!$A$2:$A$461,AR$1,Data_filtered!$F$2:$F$461,$A10, Data_filtered!$D$2:$D$461,"mata",Data_filtered!$J$2:$J$461,"&lt;&gt;Incompleto")=0, "-", SUMIFS(Data_filtered!$G$2:$G$461,Data_filtered!$A$2:$A$461,AR$1,Data_filtered!$F$2:$F$461,$A10, Data_filtered!$D$2:$D$461,"mata",Data_filtered!$J$2:$J$461,"&lt;&gt;Incompleto"))
</f>
        <v>-</v>
      </c>
    </row>
    <row r="11">
      <c r="A11" s="68" t="str">
        <f>IFERROR(__xludf.DUMMYFUNCTION("""COMPUTED_VALUE"""),"Diplopoda")</f>
        <v>Diplopoda</v>
      </c>
      <c r="B11" s="106" t="str">
        <f>IF(SUMIFS(Data_filtered!$G$2:$G$461,Data_filtered!$A$2:$A$461,B$1,Data_filtered!$F$2:$F$461,$A11, Data_filtered!$D$2:$D$461,"eucalipto",Data_filtered!$J$2:$J$461,"&lt;&gt;Incompleto")=0, "-", SUMIFS(Data_filtered!$G$2:$G$461,Data_filtered!$A$2:$A$461,B$1,Data_filtered!$F$2:$F$461,$A11, Data_filtered!$D$2:$D$461,"eucalipto",Data_filtered!$J$2:$J$461,"&lt;&gt;Incompleto"))</f>
        <v>-</v>
      </c>
      <c r="C11" s="108" t="str">
        <f>IF(SUMIFS(Data_filtered!$G$2:$G$461,Data_filtered!$A$2:$A$461,B$1,Data_filtered!$F$2:$F$461,$A11, Data_filtered!$D$2:$D$461,"mata",Data_filtered!$J$2:$J$461,"&lt;&gt;Incompleto")=0, "-", SUMIFS(Data_filtered!$G$2:$G$461,Data_filtered!$A$2:$A$461,B$1,Data_filtered!$F$2:$F$461,$A11, Data_filtered!$D$2:$D$461,"mata",Data_filtered!$J$2:$J$461,"&lt;&gt;Incompleto"))
</f>
        <v>-</v>
      </c>
      <c r="D11" s="106" t="str">
        <f>IF(SUMIFS(Data_filtered!$G$2:$G$461,Data_filtered!$A$2:$A$461,D$1,Data_filtered!$F$2:$F$461,$A11, Data_filtered!$D$2:$D$461,"eucalipto",Data_filtered!$J$2:$J$461,"&lt;&gt;Incompleto")=0, "-", SUMIFS(Data_filtered!$G$2:$G$461,Data_filtered!$A$2:$A$461,D$1,Data_filtered!$F$2:$F$461,$A11, Data_filtered!$D$2:$D$461,"eucalipto",Data_filtered!$J$2:$J$461,"&lt;&gt;Incompleto"))</f>
        <v>-</v>
      </c>
      <c r="E11" s="108">
        <f>IF(SUMIFS(Data_filtered!$G$2:$G$461,Data_filtered!$A$2:$A$461,D$1,Data_filtered!$F$2:$F$461,$A11, Data_filtered!$D$2:$D$461,"mata",Data_filtered!$J$2:$J$461,"&lt;&gt;Incompleto")=0, "-", SUMIFS(Data_filtered!$G$2:$G$461,Data_filtered!$A$2:$A$461,D$1,Data_filtered!$F$2:$F$461,$A11, Data_filtered!$D$2:$D$461,"mata",Data_filtered!$J$2:$J$461,"&lt;&gt;Incompleto"))
</f>
        <v>1</v>
      </c>
      <c r="F11" s="106" t="str">
        <f>IF(SUMIFS(Data_filtered!$G$2:$G$461,Data_filtered!$A$2:$A$461,F$1,Data_filtered!$F$2:$F$461,$A11, Data_filtered!$D$2:$D$461,"eucalipto",Data_filtered!$J$2:$J$461,"&lt;&gt;Incompleto")=0, "-", SUMIFS(Data_filtered!$G$2:$G$461,Data_filtered!$A$2:$A$461,F$1,Data_filtered!$F$2:$F$461,$A11, Data_filtered!$D$2:$D$461,"eucalipto",Data_filtered!$J$2:$J$461,"&lt;&gt;Incompleto"))</f>
        <v>-</v>
      </c>
      <c r="G11" s="108" t="str">
        <f>IF(SUMIFS(Data_filtered!$G$2:$G$461,Data_filtered!$A$2:$A$461,F$1,Data_filtered!$F$2:$F$461,$A11, Data_filtered!$D$2:$D$461,"mata",Data_filtered!$J$2:$J$461,"&lt;&gt;Incompleto")=0, "-", SUMIFS(Data_filtered!$G$2:$G$461,Data_filtered!$A$2:$A$461,F$1,Data_filtered!$F$2:$F$461,$A11, Data_filtered!$D$2:$D$461,"mata",Data_filtered!$J$2:$J$461,"&lt;&gt;Incompleto"))
</f>
        <v>-</v>
      </c>
      <c r="H11" s="106" t="str">
        <f>IF(SUMIFS(Data_filtered!$G$2:$G$461,Data_filtered!$A$2:$A$461,H$1,Data_filtered!$F$2:$F$461,$A11, Data_filtered!$D$2:$D$461,"eucalipto",Data_filtered!$J$2:$J$461,"&lt;&gt;Incompleto")=0, "-", SUMIFS(Data_filtered!$G$2:$G$461,Data_filtered!$A$2:$A$461,H$1,Data_filtered!$F$2:$F$461,$A11, Data_filtered!$D$2:$D$461,"eucalipto",Data_filtered!$J$2:$J$461,"&lt;&gt;Incompleto"))</f>
        <v>-</v>
      </c>
      <c r="I11" s="108" t="str">
        <f>IF(SUMIFS(Data_filtered!$G$2:$G$461,Data_filtered!$A$2:$A$461,H$1,Data_filtered!$F$2:$F$461,$A11, Data_filtered!$D$2:$D$461,"mata",Data_filtered!$J$2:$J$461,"&lt;&gt;Incompleto")=0, "-", SUMIFS(Data_filtered!$G$2:$G$461,Data_filtered!$A$2:$A$461,H$1,Data_filtered!$F$2:$F$461,$A11, Data_filtered!$D$2:$D$461,"mata",Data_filtered!$J$2:$J$461,"&lt;&gt;Incompleto"))
</f>
        <v>-</v>
      </c>
      <c r="J11" s="106" t="str">
        <f>IF(SUMIFS(Data_filtered!$G$2:$G$461,Data_filtered!$A$2:$A$461,J$1,Data_filtered!$F$2:$F$461,$A11, Data_filtered!$D$2:$D$461,"eucalipto",Data_filtered!$J$2:$J$461,"&lt;&gt;Incompleto")=0, "-", SUMIFS(Data_filtered!$G$2:$G$461,Data_filtered!$A$2:$A$461,J$1,Data_filtered!$F$2:$F$461,$A11, Data_filtered!$D$2:$D$461,"eucalipto",Data_filtered!$J$2:$J$461,"&lt;&gt;Incompleto"))</f>
        <v>-</v>
      </c>
      <c r="K11" s="108" t="str">
        <f>IF(SUMIFS(Data_filtered!$G$2:$G$461,Data_filtered!$A$2:$A$461,J$1,Data_filtered!$F$2:$F$461,$A11, Data_filtered!$D$2:$D$461,"mata",Data_filtered!$J$2:$J$461,"&lt;&gt;Incompleto")=0, "-", SUMIFS(Data_filtered!$G$2:$G$461,Data_filtered!$A$2:$A$461,J$1,Data_filtered!$F$2:$F$461,$A11, Data_filtered!$D$2:$D$461,"mata",Data_filtered!$J$2:$J$461,"&lt;&gt;Incompleto"))
</f>
        <v>-</v>
      </c>
      <c r="L11" s="106" t="str">
        <f>IF(SUMIFS(Data_filtered!$G$2:$G$461,Data_filtered!$A$2:$A$461,L$1,Data_filtered!$F$2:$F$461,$A11, Data_filtered!$D$2:$D$461,"eucalipto",Data_filtered!$J$2:$J$461,"&lt;&gt;Incompleto")=0, "-", SUMIFS(Data_filtered!$G$2:$G$461,Data_filtered!$A$2:$A$461,L$1,Data_filtered!$F$2:$F$461,$A11, Data_filtered!$D$2:$D$461,"eucalipto",Data_filtered!$J$2:$J$461,"&lt;&gt;Incompleto"))</f>
        <v>-</v>
      </c>
      <c r="M11" s="108" t="str">
        <f>IF(SUMIFS(Data_filtered!$G$2:$G$461,Data_filtered!$A$2:$A$461,L$1,Data_filtered!$F$2:$F$461,$A11, Data_filtered!$D$2:$D$461,"mata",Data_filtered!$J$2:$J$461,"&lt;&gt;Incompleto")=0, "-", SUMIFS(Data_filtered!$G$2:$G$461,Data_filtered!$A$2:$A$461,L$1,Data_filtered!$F$2:$F$461,$A11, Data_filtered!$D$2:$D$461,"mata",Data_filtered!$J$2:$J$461,"&lt;&gt;Incompleto"))
</f>
        <v>-</v>
      </c>
      <c r="N11" s="106" t="str">
        <f>IF(SUMIFS(Data_filtered!$G$2:$G$461,Data_filtered!$A$2:$A$461,N$1,Data_filtered!$F$2:$F$461,$A11, Data_filtered!$D$2:$D$461,"eucalipto",Data_filtered!$J$2:$J$461,"&lt;&gt;Incompleto")=0, "-", SUMIFS(Data_filtered!$G$2:$G$461,Data_filtered!$A$2:$A$461,N$1,Data_filtered!$F$2:$F$461,$A11, Data_filtered!$D$2:$D$461,"eucalipto",Data_filtered!$J$2:$J$461,"&lt;&gt;Incompleto"))</f>
        <v>-</v>
      </c>
      <c r="O11" s="108" t="str">
        <f>IF(SUMIFS(Data_filtered!$G$2:$G$461,Data_filtered!$A$2:$A$461,N$1,Data_filtered!$F$2:$F$461,$A11, Data_filtered!$D$2:$D$461,"mata",Data_filtered!$J$2:$J$461,"&lt;&gt;Incompleto")=0, "-", SUMIFS(Data_filtered!$G$2:$G$461,Data_filtered!$A$2:$A$461,N$1,Data_filtered!$F$2:$F$461,$A11, Data_filtered!$D$2:$D$461,"mata",Data_filtered!$J$2:$J$461,"&lt;&gt;Incompleto"))
</f>
        <v>-</v>
      </c>
      <c r="P11" s="106" t="str">
        <f>IF(SUMIFS(Data_filtered!$G$2:$G$461,Data_filtered!$A$2:$A$461,P$1,Data_filtered!$F$2:$F$461,$A11, Data_filtered!$D$2:$D$461,"eucalipto",Data_filtered!$J$2:$J$461,"&lt;&gt;Incompleto")=0, "-", SUMIFS(Data_filtered!$G$2:$G$461,Data_filtered!$A$2:$A$461,P$1,Data_filtered!$F$2:$F$461,$A11, Data_filtered!$D$2:$D$461,"eucalipto",Data_filtered!$J$2:$J$461,"&lt;&gt;Incompleto"))</f>
        <v>-</v>
      </c>
      <c r="Q11" s="108" t="str">
        <f>IF(SUMIFS(Data_filtered!$G$2:$G$461,Data_filtered!$A$2:$A$461,P$1,Data_filtered!$F$2:$F$461,$A11, Data_filtered!$D$2:$D$461,"mata",Data_filtered!$J$2:$J$461,"&lt;&gt;Incompleto")=0, "-", SUMIFS(Data_filtered!$G$2:$G$461,Data_filtered!$A$2:$A$461,P$1,Data_filtered!$F$2:$F$461,$A11, Data_filtered!$D$2:$D$461,"mata",Data_filtered!$J$2:$J$461,"&lt;&gt;Incompleto"))
</f>
        <v>-</v>
      </c>
      <c r="R11" s="106" t="str">
        <f>IF(SUMIFS(Data_filtered!$G$2:$G$461,Data_filtered!$A$2:$A$461,R$1,Data_filtered!$F$2:$F$461,$A11, Data_filtered!$D$2:$D$461,"eucalipto",Data_filtered!$J$2:$J$461,"&lt;&gt;Incompleto")=0, "-", SUMIFS(Data_filtered!$G$2:$G$461,Data_filtered!$A$2:$A$461,R$1,Data_filtered!$F$2:$F$461,$A11, Data_filtered!$D$2:$D$461,"eucalipto",Data_filtered!$J$2:$J$461,"&lt;&gt;Incompleto"))</f>
        <v>-</v>
      </c>
      <c r="S11" s="108" t="str">
        <f>IF(SUMIFS(Data_filtered!$G$2:$G$461,Data_filtered!$A$2:$A$461,R$1,Data_filtered!$F$2:$F$461,$A11, Data_filtered!$D$2:$D$461,"mata",Data_filtered!$J$2:$J$461,"&lt;&gt;Incompleto")=0, "-", SUMIFS(Data_filtered!$G$2:$G$461,Data_filtered!$A$2:$A$461,R$1,Data_filtered!$F$2:$F$461,$A11, Data_filtered!$D$2:$D$461,"mata",Data_filtered!$J$2:$J$461,"&lt;&gt;Incompleto"))
</f>
        <v>-</v>
      </c>
      <c r="T11" s="106" t="str">
        <f>IF(SUMIFS(Data_filtered!$G$2:$G$461,Data_filtered!$A$2:$A$461,T$1,Data_filtered!$F$2:$F$461,$A11, Data_filtered!$D$2:$D$461,"eucalipto",Data_filtered!$J$2:$J$461,"&lt;&gt;Incompleto")=0, "-", SUMIFS(Data_filtered!$G$2:$G$461,Data_filtered!$A$2:$A$461,T$1,Data_filtered!$F$2:$F$461,$A11, Data_filtered!$D$2:$D$461,"eucalipto",Data_filtered!$J$2:$J$461,"&lt;&gt;Incompleto"))</f>
        <v>-</v>
      </c>
      <c r="U11" s="108" t="str">
        <f>IF(SUMIFS(Data_filtered!$G$2:$G$461,Data_filtered!$A$2:$A$461,T$1,Data_filtered!$F$2:$F$461,$A11, Data_filtered!$D$2:$D$461,"mata",Data_filtered!$J$2:$J$461,"&lt;&gt;Incompleto")=0, "-", SUMIFS(Data_filtered!$G$2:$G$461,Data_filtered!$A$2:$A$461,T$1,Data_filtered!$F$2:$F$461,$A11, Data_filtered!$D$2:$D$461,"mata",Data_filtered!$J$2:$J$461,"&lt;&gt;Incompleto"))
</f>
        <v>-</v>
      </c>
      <c r="V11" s="106" t="str">
        <f>IF(SUMIFS(Data_filtered!$G$2:$G$461,Data_filtered!$A$2:$A$461,V$1,Data_filtered!$F$2:$F$461,$A11, Data_filtered!$D$2:$D$461,"eucalipto",Data_filtered!$J$2:$J$461,"&lt;&gt;Incompleto")=0, "-", SUMIFS(Data_filtered!$G$2:$G$461,Data_filtered!$A$2:$A$461,V$1,Data_filtered!$F$2:$F$461,$A11, Data_filtered!$D$2:$D$461,"eucalipto",Data_filtered!$J$2:$J$461,"&lt;&gt;Incompleto"))</f>
        <v>-</v>
      </c>
      <c r="W11" s="108" t="str">
        <f>IF(SUMIFS(Data_filtered!$G$2:$G$461,Data_filtered!$A$2:$A$461,V$1,Data_filtered!$F$2:$F$461,$A11, Data_filtered!$D$2:$D$461,"mata",Data_filtered!$J$2:$J$461,"&lt;&gt;Incompleto")=0, "-", SUMIFS(Data_filtered!$G$2:$G$461,Data_filtered!$A$2:$A$461,V$1,Data_filtered!$F$2:$F$461,$A11, Data_filtered!$D$2:$D$461,"mata",Data_filtered!$J$2:$J$461,"&lt;&gt;Incompleto"))
</f>
        <v>-</v>
      </c>
      <c r="X11" s="106" t="str">
        <f>IF(SUMIFS(Data_filtered!$G$2:$G$461,Data_filtered!$A$2:$A$461,X$1,Data_filtered!$F$2:$F$461,$A11, Data_filtered!$D$2:$D$461,"eucalipto",Data_filtered!$J$2:$J$461,"&lt;&gt;Incompleto")=0, "-", SUMIFS(Data_filtered!$G$2:$G$461,Data_filtered!$A$2:$A$461,X$1,Data_filtered!$F$2:$F$461,$A11, Data_filtered!$D$2:$D$461,"eucalipto",Data_filtered!$J$2:$J$461,"&lt;&gt;Incompleto"))</f>
        <v>-</v>
      </c>
      <c r="Y11" s="108" t="str">
        <f>IF(SUMIFS(Data_filtered!$G$2:$G$461,Data_filtered!$A$2:$A$461,X$1,Data_filtered!$F$2:$F$461,$A11, Data_filtered!$D$2:$D$461,"mata",Data_filtered!$J$2:$J$461,"&lt;&gt;Incompleto")=0, "-", SUMIFS(Data_filtered!$G$2:$G$461,Data_filtered!$A$2:$A$461,X$1,Data_filtered!$F$2:$F$461,$A11, Data_filtered!$D$2:$D$461,"mata",Data_filtered!$J$2:$J$461,"&lt;&gt;Incompleto"))
</f>
        <v>-</v>
      </c>
      <c r="Z11" s="106" t="str">
        <f>IF(SUMIFS(Data_filtered!$G$2:$G$461,Data_filtered!$A$2:$A$461,Z$1,Data_filtered!$F$2:$F$461,$A11, Data_filtered!$D$2:$D$461,"eucalipto",Data_filtered!$J$2:$J$461,"&lt;&gt;Incompleto")=0, "-", SUMIFS(Data_filtered!$G$2:$G$461,Data_filtered!$A$2:$A$461,Z$1,Data_filtered!$F$2:$F$461,$A11, Data_filtered!$D$2:$D$461,"eucalipto",Data_filtered!$J$2:$J$461,"&lt;&gt;Incompleto"))</f>
        <v>-</v>
      </c>
      <c r="AA11" s="108" t="str">
        <f>IF(SUMIFS(Data_filtered!$G$2:$G$461,Data_filtered!$A$2:$A$461,Z$1,Data_filtered!$F$2:$F$461,$A11, Data_filtered!$D$2:$D$461,"mata",Data_filtered!$J$2:$J$461,"&lt;&gt;Incompleto")=0, "-", SUMIFS(Data_filtered!$G$2:$G$461,Data_filtered!$A$2:$A$461,Z$1,Data_filtered!$F$2:$F$461,$A11, Data_filtered!$D$2:$D$461,"mata",Data_filtered!$J$2:$J$461,"&lt;&gt;Incompleto"))
</f>
        <v>-</v>
      </c>
      <c r="AB11" s="106" t="str">
        <f>IF(SUMIFS(Data_filtered!$G$2:$G$461,Data_filtered!$A$2:$A$461,AB$1,Data_filtered!$F$2:$F$461,$A11, Data_filtered!$D$2:$D$461,"eucalipto",Data_filtered!$J$2:$J$461,"&lt;&gt;Incompleto")=0, "-", SUMIFS(Data_filtered!$G$2:$G$461,Data_filtered!$A$2:$A$461,AB$1,Data_filtered!$F$2:$F$461,$A11, Data_filtered!$D$2:$D$461,"eucalipto",Data_filtered!$J$2:$J$461,"&lt;&gt;Incompleto"))</f>
        <v>-</v>
      </c>
      <c r="AC11" s="108" t="str">
        <f>IF(SUMIFS(Data_filtered!$G$2:$G$461,Data_filtered!$A$2:$A$461,AB$1,Data_filtered!$F$2:$F$461,$A11, Data_filtered!$D$2:$D$461,"mata",Data_filtered!$J$2:$J$461,"&lt;&gt;Incompleto")=0, "-", SUMIFS(Data_filtered!$G$2:$G$461,Data_filtered!$A$2:$A$461,AB$1,Data_filtered!$F$2:$F$461,$A11, Data_filtered!$D$2:$D$461,"mata",Data_filtered!$J$2:$J$461,"&lt;&gt;Incompleto"))
</f>
        <v>-</v>
      </c>
      <c r="AD11" s="106" t="str">
        <f>IF(SUMIFS(Data_filtered!$G$2:$G$461,Data_filtered!$A$2:$A$461,AD$1,Data_filtered!$F$2:$F$461,$A11, Data_filtered!$D$2:$D$461,"eucalipto",Data_filtered!$J$2:$J$461,"&lt;&gt;Incompleto")=0, "-", SUMIFS(Data_filtered!$G$2:$G$461,Data_filtered!$A$2:$A$461,AD$1,Data_filtered!$F$2:$F$461,$A11, Data_filtered!$D$2:$D$461,"eucalipto",Data_filtered!$J$2:$J$461,"&lt;&gt;Incompleto"))</f>
        <v>-</v>
      </c>
      <c r="AE11" s="108" t="str">
        <f>IF(SUMIFS(Data_filtered!$G$2:$G$461,Data_filtered!$A$2:$A$461,AD$1,Data_filtered!$F$2:$F$461,$A11, Data_filtered!$D$2:$D$461,"mata",Data_filtered!$J$2:$J$461,"&lt;&gt;Incompleto")=0, "-", SUMIFS(Data_filtered!$G$2:$G$461,Data_filtered!$A$2:$A$461,AD$1,Data_filtered!$F$2:$F$461,$A11, Data_filtered!$D$2:$D$461,"mata",Data_filtered!$J$2:$J$461,"&lt;&gt;Incompleto"))
</f>
        <v>-</v>
      </c>
      <c r="AF11" s="106" t="str">
        <f>IF(SUMIFS(Data_filtered!$G$2:$G$461,Data_filtered!$A$2:$A$461,AF$1,Data_filtered!$F$2:$F$461,$A11, Data_filtered!$D$2:$D$461,"eucalipto",Data_filtered!$J$2:$J$461,"&lt;&gt;Incompleto")=0, "-", SUMIFS(Data_filtered!$G$2:$G$461,Data_filtered!$A$2:$A$461,AF$1,Data_filtered!$F$2:$F$461,$A11, Data_filtered!$D$2:$D$461,"eucalipto",Data_filtered!$J$2:$J$461,"&lt;&gt;Incompleto"))</f>
        <v>-</v>
      </c>
      <c r="AG11" s="108" t="str">
        <f>IF(SUMIFS(Data_filtered!$G$2:$G$461,Data_filtered!$A$2:$A$461,AF$1,Data_filtered!$F$2:$F$461,$A11, Data_filtered!$D$2:$D$461,"mata",Data_filtered!$J$2:$J$461,"&lt;&gt;Incompleto")=0, "-", SUMIFS(Data_filtered!$G$2:$G$461,Data_filtered!$A$2:$A$461,AF$1,Data_filtered!$F$2:$F$461,$A11, Data_filtered!$D$2:$D$461,"mata",Data_filtered!$J$2:$J$461,"&lt;&gt;Incompleto"))
</f>
        <v>-</v>
      </c>
      <c r="AH11" s="106" t="str">
        <f>IF(SUMIFS(Data_filtered!$G$2:$G$461,Data_filtered!$A$2:$A$461,AH$1,Data_filtered!$F$2:$F$461,$A11, Data_filtered!$D$2:$D$461,"eucalipto",Data_filtered!$J$2:$J$461,"&lt;&gt;Incompleto")=0, "-", SUMIFS(Data_filtered!$G$2:$G$461,Data_filtered!$A$2:$A$461,AH$1,Data_filtered!$F$2:$F$461,$A11, Data_filtered!$D$2:$D$461,"eucalipto",Data_filtered!$J$2:$J$461,"&lt;&gt;Incompleto"))</f>
        <v>-</v>
      </c>
      <c r="AI11" s="108">
        <f>IF(SUMIFS(Data_filtered!$G$2:$G$461,Data_filtered!$A$2:$A$461,AH$1,Data_filtered!$F$2:$F$461,$A11, Data_filtered!$D$2:$D$461,"mata",Data_filtered!$J$2:$J$461,"&lt;&gt;Incompleto")=0, "-", SUMIFS(Data_filtered!$G$2:$G$461,Data_filtered!$A$2:$A$461,AH$1,Data_filtered!$F$2:$F$461,$A11, Data_filtered!$D$2:$D$461,"mata",Data_filtered!$J$2:$J$461,"&lt;&gt;Incompleto"))
</f>
        <v>1</v>
      </c>
      <c r="AJ11" s="106" t="str">
        <f>IF(SUMIFS(Data_filtered!$G$2:$G$461,Data_filtered!$A$2:$A$461,AJ$1,Data_filtered!$F$2:$F$461,$A11, Data_filtered!$D$2:$D$461,"eucalipto",Data_filtered!$J$2:$J$461,"&lt;&gt;Incompleto")=0, "-", SUMIFS(Data_filtered!$G$2:$G$461,Data_filtered!$A$2:$A$461,AJ$1,Data_filtered!$F$2:$F$461,$A11, Data_filtered!$D$2:$D$461,"eucalipto",Data_filtered!$J$2:$J$461,"&lt;&gt;Incompleto"))</f>
        <v>-</v>
      </c>
      <c r="AK11" s="108" t="str">
        <f>IF(SUMIFS(Data_filtered!$G$2:$G$461,Data_filtered!$A$2:$A$461,AJ$1,Data_filtered!$F$2:$F$461,$A11, Data_filtered!$D$2:$D$461,"mata",Data_filtered!$J$2:$J$461,"&lt;&gt;Incompleto")=0, "-", SUMIFS(Data_filtered!$G$2:$G$461,Data_filtered!$A$2:$A$461,AJ$1,Data_filtered!$F$2:$F$461,$A11, Data_filtered!$D$2:$D$461,"mata",Data_filtered!$J$2:$J$461,"&lt;&gt;Incompleto"))
</f>
        <v>-</v>
      </c>
      <c r="AL11" s="106" t="str">
        <f>IF(SUMIFS(Data_filtered!$G$2:$G$461,Data_filtered!$A$2:$A$461,AL$1,Data_filtered!$F$2:$F$461,$A11, Data_filtered!$D$2:$D$461,"eucalipto",Data_filtered!$J$2:$J$461,"&lt;&gt;Incompleto")=0, "-", SUMIFS(Data_filtered!$G$2:$G$461,Data_filtered!$A$2:$A$461,AL$1,Data_filtered!$F$2:$F$461,$A11, Data_filtered!$D$2:$D$461,"eucalipto",Data_filtered!$J$2:$J$461,"&lt;&gt;Incompleto"))</f>
        <v>-</v>
      </c>
      <c r="AM11" s="108">
        <f>IF(SUMIFS(Data_filtered!$G$2:$G$461,Data_filtered!$A$2:$A$461,AL$1,Data_filtered!$F$2:$F$461,$A11, Data_filtered!$D$2:$D$461,"mata",Data_filtered!$J$2:$J$461,"&lt;&gt;Incompleto")=0, "-", SUMIFS(Data_filtered!$G$2:$G$461,Data_filtered!$A$2:$A$461,AL$1,Data_filtered!$F$2:$F$461,$A11, Data_filtered!$D$2:$D$461,"mata",Data_filtered!$J$2:$J$461,"&lt;&gt;Incompleto"))
</f>
        <v>3</v>
      </c>
      <c r="AN11" s="106" t="str">
        <f>IF(SUMIFS(Data_filtered!$G$2:$G$461,Data_filtered!$A$2:$A$461,AN$1,Data_filtered!$F$2:$F$461,$A11, Data_filtered!$D$2:$D$461,"eucalipto",Data_filtered!$J$2:$J$461,"&lt;&gt;Incompleto")=0, "-", SUMIFS(Data_filtered!$G$2:$G$461,Data_filtered!$A$2:$A$461,AN$1,Data_filtered!$F$2:$F$461,$A11, Data_filtered!$D$2:$D$461,"eucalipto",Data_filtered!$J$2:$J$461,"&lt;&gt;Incompleto"))</f>
        <v>-</v>
      </c>
      <c r="AO11" s="108">
        <f>IF(SUMIFS(Data_filtered!$G$2:$G$461,Data_filtered!$A$2:$A$461,AN$1,Data_filtered!$F$2:$F$461,$A11, Data_filtered!$D$2:$D$461,"mata",Data_filtered!$J$2:$J$461,"&lt;&gt;Incompleto")=0, "-", SUMIFS(Data_filtered!$G$2:$G$461,Data_filtered!$A$2:$A$461,AN$1,Data_filtered!$F$2:$F$461,$A11, Data_filtered!$D$2:$D$461,"mata",Data_filtered!$J$2:$J$461,"&lt;&gt;Incompleto"))
</f>
        <v>1</v>
      </c>
      <c r="AP11" s="106" t="str">
        <f>IF(SUMIFS(Data_filtered!$G$2:$G$461,Data_filtered!$A$2:$A$461,AP$1,Data_filtered!$F$2:$F$461,$A11, Data_filtered!$D$2:$D$461,"eucalipto",Data_filtered!$J$2:$J$461,"&lt;&gt;Incompleto")=0, "-", SUMIFS(Data_filtered!$G$2:$G$461,Data_filtered!$A$2:$A$461,AP$1,Data_filtered!$F$2:$F$461,$A11, Data_filtered!$D$2:$D$461,"eucalipto",Data_filtered!$J$2:$J$461,"&lt;&gt;Incompleto"))</f>
        <v>-</v>
      </c>
      <c r="AQ11" s="108" t="str">
        <f>IF(SUMIFS(Data_filtered!$G$2:$G$461,Data_filtered!$A$2:$A$461,AP$1,Data_filtered!$F$2:$F$461,$A11, Data_filtered!$D$2:$D$461,"mata",Data_filtered!$J$2:$J$461,"&lt;&gt;Incompleto")=0, "-", SUMIFS(Data_filtered!$G$2:$G$461,Data_filtered!$A$2:$A$461,AP$1,Data_filtered!$F$2:$F$461,$A11, Data_filtered!$D$2:$D$461,"mata",Data_filtered!$J$2:$J$461,"&lt;&gt;Incompleto"))
</f>
        <v>-</v>
      </c>
      <c r="AR11" s="106" t="str">
        <f>IF(SUMIFS(Data_filtered!$G$2:$G$461,Data_filtered!$A$2:$A$461,AR$1,Data_filtered!$F$2:$F$461,$A11, Data_filtered!$D$2:$D$461,"eucalipto",Data_filtered!$J$2:$J$461,"&lt;&gt;Incompleto")=0, "-", SUMIFS(Data_filtered!$G$2:$G$461,Data_filtered!$A$2:$A$461,AR$1,Data_filtered!$F$2:$F$461,$A11, Data_filtered!$D$2:$D$461,"eucalipto",Data_filtered!$J$2:$J$461,"&lt;&gt;Incompleto"))</f>
        <v>-</v>
      </c>
      <c r="AS11" s="108" t="str">
        <f>IF(SUMIFS(Data_filtered!$G$2:$G$461,Data_filtered!$A$2:$A$461,AR$1,Data_filtered!$F$2:$F$461,$A11, Data_filtered!$D$2:$D$461,"mata",Data_filtered!$J$2:$J$461,"&lt;&gt;Incompleto")=0, "-", SUMIFS(Data_filtered!$G$2:$G$461,Data_filtered!$A$2:$A$461,AR$1,Data_filtered!$F$2:$F$461,$A11, Data_filtered!$D$2:$D$461,"mata",Data_filtered!$J$2:$J$461,"&lt;&gt;Incompleto"))
</f>
        <v>-</v>
      </c>
    </row>
    <row r="12">
      <c r="A12" s="68" t="str">
        <f>IFERROR(__xludf.DUMMYFUNCTION("""COMPUTED_VALUE"""),"Ensifera")</f>
        <v>Ensifera</v>
      </c>
      <c r="B12" s="106" t="str">
        <f>IF(SUMIFS(Data_filtered!$G$2:$G$461,Data_filtered!$A$2:$A$461,B$1,Data_filtered!$F$2:$F$461,$A12, Data_filtered!$D$2:$D$461,"eucalipto",Data_filtered!$J$2:$J$461,"&lt;&gt;Incompleto")=0, "-", SUMIFS(Data_filtered!$G$2:$G$461,Data_filtered!$A$2:$A$461,B$1,Data_filtered!$F$2:$F$461,$A12, Data_filtered!$D$2:$D$461,"eucalipto",Data_filtered!$J$2:$J$461,"&lt;&gt;Incompleto"))</f>
        <v>-</v>
      </c>
      <c r="C12" s="108" t="str">
        <f>IF(SUMIFS(Data_filtered!$G$2:$G$461,Data_filtered!$A$2:$A$461,B$1,Data_filtered!$F$2:$F$461,$A12, Data_filtered!$D$2:$D$461,"mata",Data_filtered!$J$2:$J$461,"&lt;&gt;Incompleto")=0, "-", SUMIFS(Data_filtered!$G$2:$G$461,Data_filtered!$A$2:$A$461,B$1,Data_filtered!$F$2:$F$461,$A12, Data_filtered!$D$2:$D$461,"mata",Data_filtered!$J$2:$J$461,"&lt;&gt;Incompleto"))
</f>
        <v>-</v>
      </c>
      <c r="D12" s="106" t="str">
        <f>IF(SUMIFS(Data_filtered!$G$2:$G$461,Data_filtered!$A$2:$A$461,D$1,Data_filtered!$F$2:$F$461,$A12, Data_filtered!$D$2:$D$461,"eucalipto",Data_filtered!$J$2:$J$461,"&lt;&gt;Incompleto")=0, "-", SUMIFS(Data_filtered!$G$2:$G$461,Data_filtered!$A$2:$A$461,D$1,Data_filtered!$F$2:$F$461,$A12, Data_filtered!$D$2:$D$461,"eucalipto",Data_filtered!$J$2:$J$461,"&lt;&gt;Incompleto"))</f>
        <v>-</v>
      </c>
      <c r="E12" s="108">
        <f>IF(SUMIFS(Data_filtered!$G$2:$G$461,Data_filtered!$A$2:$A$461,D$1,Data_filtered!$F$2:$F$461,$A12, Data_filtered!$D$2:$D$461,"mata",Data_filtered!$J$2:$J$461,"&lt;&gt;Incompleto")=0, "-", SUMIFS(Data_filtered!$G$2:$G$461,Data_filtered!$A$2:$A$461,D$1,Data_filtered!$F$2:$F$461,$A12, Data_filtered!$D$2:$D$461,"mata",Data_filtered!$J$2:$J$461,"&lt;&gt;Incompleto"))
</f>
        <v>1</v>
      </c>
      <c r="F12" s="106" t="str">
        <f>IF(SUMIFS(Data_filtered!$G$2:$G$461,Data_filtered!$A$2:$A$461,F$1,Data_filtered!$F$2:$F$461,$A12, Data_filtered!$D$2:$D$461,"eucalipto",Data_filtered!$J$2:$J$461,"&lt;&gt;Incompleto")=0, "-", SUMIFS(Data_filtered!$G$2:$G$461,Data_filtered!$A$2:$A$461,F$1,Data_filtered!$F$2:$F$461,$A12, Data_filtered!$D$2:$D$461,"eucalipto",Data_filtered!$J$2:$J$461,"&lt;&gt;Incompleto"))</f>
        <v>-</v>
      </c>
      <c r="G12" s="108" t="str">
        <f>IF(SUMIFS(Data_filtered!$G$2:$G$461,Data_filtered!$A$2:$A$461,F$1,Data_filtered!$F$2:$F$461,$A12, Data_filtered!$D$2:$D$461,"mata",Data_filtered!$J$2:$J$461,"&lt;&gt;Incompleto")=0, "-", SUMIFS(Data_filtered!$G$2:$G$461,Data_filtered!$A$2:$A$461,F$1,Data_filtered!$F$2:$F$461,$A12, Data_filtered!$D$2:$D$461,"mata",Data_filtered!$J$2:$J$461,"&lt;&gt;Incompleto"))
</f>
        <v>-</v>
      </c>
      <c r="H12" s="106" t="str">
        <f>IF(SUMIFS(Data_filtered!$G$2:$G$461,Data_filtered!$A$2:$A$461,H$1,Data_filtered!$F$2:$F$461,$A12, Data_filtered!$D$2:$D$461,"eucalipto",Data_filtered!$J$2:$J$461,"&lt;&gt;Incompleto")=0, "-", SUMIFS(Data_filtered!$G$2:$G$461,Data_filtered!$A$2:$A$461,H$1,Data_filtered!$F$2:$F$461,$A12, Data_filtered!$D$2:$D$461,"eucalipto",Data_filtered!$J$2:$J$461,"&lt;&gt;Incompleto"))</f>
        <v>-</v>
      </c>
      <c r="I12" s="108">
        <f>IF(SUMIFS(Data_filtered!$G$2:$G$461,Data_filtered!$A$2:$A$461,H$1,Data_filtered!$F$2:$F$461,$A12, Data_filtered!$D$2:$D$461,"mata",Data_filtered!$J$2:$J$461,"&lt;&gt;Incompleto")=0, "-", SUMIFS(Data_filtered!$G$2:$G$461,Data_filtered!$A$2:$A$461,H$1,Data_filtered!$F$2:$F$461,$A12, Data_filtered!$D$2:$D$461,"mata",Data_filtered!$J$2:$J$461,"&lt;&gt;Incompleto"))
</f>
        <v>1</v>
      </c>
      <c r="J12" s="106" t="str">
        <f>IF(SUMIFS(Data_filtered!$G$2:$G$461,Data_filtered!$A$2:$A$461,J$1,Data_filtered!$F$2:$F$461,$A12, Data_filtered!$D$2:$D$461,"eucalipto",Data_filtered!$J$2:$J$461,"&lt;&gt;Incompleto")=0, "-", SUMIFS(Data_filtered!$G$2:$G$461,Data_filtered!$A$2:$A$461,J$1,Data_filtered!$F$2:$F$461,$A12, Data_filtered!$D$2:$D$461,"eucalipto",Data_filtered!$J$2:$J$461,"&lt;&gt;Incompleto"))</f>
        <v>-</v>
      </c>
      <c r="K12" s="108" t="str">
        <f>IF(SUMIFS(Data_filtered!$G$2:$G$461,Data_filtered!$A$2:$A$461,J$1,Data_filtered!$F$2:$F$461,$A12, Data_filtered!$D$2:$D$461,"mata",Data_filtered!$J$2:$J$461,"&lt;&gt;Incompleto")=0, "-", SUMIFS(Data_filtered!$G$2:$G$461,Data_filtered!$A$2:$A$461,J$1,Data_filtered!$F$2:$F$461,$A12, Data_filtered!$D$2:$D$461,"mata",Data_filtered!$J$2:$J$461,"&lt;&gt;Incompleto"))
</f>
        <v>-</v>
      </c>
      <c r="L12" s="106" t="str">
        <f>IF(SUMIFS(Data_filtered!$G$2:$G$461,Data_filtered!$A$2:$A$461,L$1,Data_filtered!$F$2:$F$461,$A12, Data_filtered!$D$2:$D$461,"eucalipto",Data_filtered!$J$2:$J$461,"&lt;&gt;Incompleto")=0, "-", SUMIFS(Data_filtered!$G$2:$G$461,Data_filtered!$A$2:$A$461,L$1,Data_filtered!$F$2:$F$461,$A12, Data_filtered!$D$2:$D$461,"eucalipto",Data_filtered!$J$2:$J$461,"&lt;&gt;Incompleto"))</f>
        <v>-</v>
      </c>
      <c r="M12" s="108" t="str">
        <f>IF(SUMIFS(Data_filtered!$G$2:$G$461,Data_filtered!$A$2:$A$461,L$1,Data_filtered!$F$2:$F$461,$A12, Data_filtered!$D$2:$D$461,"mata",Data_filtered!$J$2:$J$461,"&lt;&gt;Incompleto")=0, "-", SUMIFS(Data_filtered!$G$2:$G$461,Data_filtered!$A$2:$A$461,L$1,Data_filtered!$F$2:$F$461,$A12, Data_filtered!$D$2:$D$461,"mata",Data_filtered!$J$2:$J$461,"&lt;&gt;Incompleto"))
</f>
        <v>-</v>
      </c>
      <c r="N12" s="106" t="str">
        <f>IF(SUMIFS(Data_filtered!$G$2:$G$461,Data_filtered!$A$2:$A$461,N$1,Data_filtered!$F$2:$F$461,$A12, Data_filtered!$D$2:$D$461,"eucalipto",Data_filtered!$J$2:$J$461,"&lt;&gt;Incompleto")=0, "-", SUMIFS(Data_filtered!$G$2:$G$461,Data_filtered!$A$2:$A$461,N$1,Data_filtered!$F$2:$F$461,$A12, Data_filtered!$D$2:$D$461,"eucalipto",Data_filtered!$J$2:$J$461,"&lt;&gt;Incompleto"))</f>
        <v>-</v>
      </c>
      <c r="O12" s="108" t="str">
        <f>IF(SUMIFS(Data_filtered!$G$2:$G$461,Data_filtered!$A$2:$A$461,N$1,Data_filtered!$F$2:$F$461,$A12, Data_filtered!$D$2:$D$461,"mata",Data_filtered!$J$2:$J$461,"&lt;&gt;Incompleto")=0, "-", SUMIFS(Data_filtered!$G$2:$G$461,Data_filtered!$A$2:$A$461,N$1,Data_filtered!$F$2:$F$461,$A12, Data_filtered!$D$2:$D$461,"mata",Data_filtered!$J$2:$J$461,"&lt;&gt;Incompleto"))
</f>
        <v>-</v>
      </c>
      <c r="P12" s="106" t="str">
        <f>IF(SUMIFS(Data_filtered!$G$2:$G$461,Data_filtered!$A$2:$A$461,P$1,Data_filtered!$F$2:$F$461,$A12, Data_filtered!$D$2:$D$461,"eucalipto",Data_filtered!$J$2:$J$461,"&lt;&gt;Incompleto")=0, "-", SUMIFS(Data_filtered!$G$2:$G$461,Data_filtered!$A$2:$A$461,P$1,Data_filtered!$F$2:$F$461,$A12, Data_filtered!$D$2:$D$461,"eucalipto",Data_filtered!$J$2:$J$461,"&lt;&gt;Incompleto"))</f>
        <v>-</v>
      </c>
      <c r="Q12" s="108" t="str">
        <f>IF(SUMIFS(Data_filtered!$G$2:$G$461,Data_filtered!$A$2:$A$461,P$1,Data_filtered!$F$2:$F$461,$A12, Data_filtered!$D$2:$D$461,"mata",Data_filtered!$J$2:$J$461,"&lt;&gt;Incompleto")=0, "-", SUMIFS(Data_filtered!$G$2:$G$461,Data_filtered!$A$2:$A$461,P$1,Data_filtered!$F$2:$F$461,$A12, Data_filtered!$D$2:$D$461,"mata",Data_filtered!$J$2:$J$461,"&lt;&gt;Incompleto"))
</f>
        <v>-</v>
      </c>
      <c r="R12" s="106" t="str">
        <f>IF(SUMIFS(Data_filtered!$G$2:$G$461,Data_filtered!$A$2:$A$461,R$1,Data_filtered!$F$2:$F$461,$A12, Data_filtered!$D$2:$D$461,"eucalipto",Data_filtered!$J$2:$J$461,"&lt;&gt;Incompleto")=0, "-", SUMIFS(Data_filtered!$G$2:$G$461,Data_filtered!$A$2:$A$461,R$1,Data_filtered!$F$2:$F$461,$A12, Data_filtered!$D$2:$D$461,"eucalipto",Data_filtered!$J$2:$J$461,"&lt;&gt;Incompleto"))</f>
        <v>-</v>
      </c>
      <c r="S12" s="108" t="str">
        <f>IF(SUMIFS(Data_filtered!$G$2:$G$461,Data_filtered!$A$2:$A$461,R$1,Data_filtered!$F$2:$F$461,$A12, Data_filtered!$D$2:$D$461,"mata",Data_filtered!$J$2:$J$461,"&lt;&gt;Incompleto")=0, "-", SUMIFS(Data_filtered!$G$2:$G$461,Data_filtered!$A$2:$A$461,R$1,Data_filtered!$F$2:$F$461,$A12, Data_filtered!$D$2:$D$461,"mata",Data_filtered!$J$2:$J$461,"&lt;&gt;Incompleto"))
</f>
        <v>-</v>
      </c>
      <c r="T12" s="106" t="str">
        <f>IF(SUMIFS(Data_filtered!$G$2:$G$461,Data_filtered!$A$2:$A$461,T$1,Data_filtered!$F$2:$F$461,$A12, Data_filtered!$D$2:$D$461,"eucalipto",Data_filtered!$J$2:$J$461,"&lt;&gt;Incompleto")=0, "-", SUMIFS(Data_filtered!$G$2:$G$461,Data_filtered!$A$2:$A$461,T$1,Data_filtered!$F$2:$F$461,$A12, Data_filtered!$D$2:$D$461,"eucalipto",Data_filtered!$J$2:$J$461,"&lt;&gt;Incompleto"))</f>
        <v>-</v>
      </c>
      <c r="U12" s="108" t="str">
        <f>IF(SUMIFS(Data_filtered!$G$2:$G$461,Data_filtered!$A$2:$A$461,T$1,Data_filtered!$F$2:$F$461,$A12, Data_filtered!$D$2:$D$461,"mata",Data_filtered!$J$2:$J$461,"&lt;&gt;Incompleto")=0, "-", SUMIFS(Data_filtered!$G$2:$G$461,Data_filtered!$A$2:$A$461,T$1,Data_filtered!$F$2:$F$461,$A12, Data_filtered!$D$2:$D$461,"mata",Data_filtered!$J$2:$J$461,"&lt;&gt;Incompleto"))
</f>
        <v>-</v>
      </c>
      <c r="V12" s="106" t="str">
        <f>IF(SUMIFS(Data_filtered!$G$2:$G$461,Data_filtered!$A$2:$A$461,V$1,Data_filtered!$F$2:$F$461,$A12, Data_filtered!$D$2:$D$461,"eucalipto",Data_filtered!$J$2:$J$461,"&lt;&gt;Incompleto")=0, "-", SUMIFS(Data_filtered!$G$2:$G$461,Data_filtered!$A$2:$A$461,V$1,Data_filtered!$F$2:$F$461,$A12, Data_filtered!$D$2:$D$461,"eucalipto",Data_filtered!$J$2:$J$461,"&lt;&gt;Incompleto"))</f>
        <v>-</v>
      </c>
      <c r="W12" s="108" t="str">
        <f>IF(SUMIFS(Data_filtered!$G$2:$G$461,Data_filtered!$A$2:$A$461,V$1,Data_filtered!$F$2:$F$461,$A12, Data_filtered!$D$2:$D$461,"mata",Data_filtered!$J$2:$J$461,"&lt;&gt;Incompleto")=0, "-", SUMIFS(Data_filtered!$G$2:$G$461,Data_filtered!$A$2:$A$461,V$1,Data_filtered!$F$2:$F$461,$A12, Data_filtered!$D$2:$D$461,"mata",Data_filtered!$J$2:$J$461,"&lt;&gt;Incompleto"))
</f>
        <v>-</v>
      </c>
      <c r="X12" s="106" t="str">
        <f>IF(SUMIFS(Data_filtered!$G$2:$G$461,Data_filtered!$A$2:$A$461,X$1,Data_filtered!$F$2:$F$461,$A12, Data_filtered!$D$2:$D$461,"eucalipto",Data_filtered!$J$2:$J$461,"&lt;&gt;Incompleto")=0, "-", SUMIFS(Data_filtered!$G$2:$G$461,Data_filtered!$A$2:$A$461,X$1,Data_filtered!$F$2:$F$461,$A12, Data_filtered!$D$2:$D$461,"eucalipto",Data_filtered!$J$2:$J$461,"&lt;&gt;Incompleto"))</f>
        <v>-</v>
      </c>
      <c r="Y12" s="108" t="str">
        <f>IF(SUMIFS(Data_filtered!$G$2:$G$461,Data_filtered!$A$2:$A$461,X$1,Data_filtered!$F$2:$F$461,$A12, Data_filtered!$D$2:$D$461,"mata",Data_filtered!$J$2:$J$461,"&lt;&gt;Incompleto")=0, "-", SUMIFS(Data_filtered!$G$2:$G$461,Data_filtered!$A$2:$A$461,X$1,Data_filtered!$F$2:$F$461,$A12, Data_filtered!$D$2:$D$461,"mata",Data_filtered!$J$2:$J$461,"&lt;&gt;Incompleto"))
</f>
        <v>-</v>
      </c>
      <c r="Z12" s="106" t="str">
        <f>IF(SUMIFS(Data_filtered!$G$2:$G$461,Data_filtered!$A$2:$A$461,Z$1,Data_filtered!$F$2:$F$461,$A12, Data_filtered!$D$2:$D$461,"eucalipto",Data_filtered!$J$2:$J$461,"&lt;&gt;Incompleto")=0, "-", SUMIFS(Data_filtered!$G$2:$G$461,Data_filtered!$A$2:$A$461,Z$1,Data_filtered!$F$2:$F$461,$A12, Data_filtered!$D$2:$D$461,"eucalipto",Data_filtered!$J$2:$J$461,"&lt;&gt;Incompleto"))</f>
        <v>-</v>
      </c>
      <c r="AA12" s="108" t="str">
        <f>IF(SUMIFS(Data_filtered!$G$2:$G$461,Data_filtered!$A$2:$A$461,Z$1,Data_filtered!$F$2:$F$461,$A12, Data_filtered!$D$2:$D$461,"mata",Data_filtered!$J$2:$J$461,"&lt;&gt;Incompleto")=0, "-", SUMIFS(Data_filtered!$G$2:$G$461,Data_filtered!$A$2:$A$461,Z$1,Data_filtered!$F$2:$F$461,$A12, Data_filtered!$D$2:$D$461,"mata",Data_filtered!$J$2:$J$461,"&lt;&gt;Incompleto"))
</f>
        <v>-</v>
      </c>
      <c r="AB12" s="106" t="str">
        <f>IF(SUMIFS(Data_filtered!$G$2:$G$461,Data_filtered!$A$2:$A$461,AB$1,Data_filtered!$F$2:$F$461,$A12, Data_filtered!$D$2:$D$461,"eucalipto",Data_filtered!$J$2:$J$461,"&lt;&gt;Incompleto")=0, "-", SUMIFS(Data_filtered!$G$2:$G$461,Data_filtered!$A$2:$A$461,AB$1,Data_filtered!$F$2:$F$461,$A12, Data_filtered!$D$2:$D$461,"eucalipto",Data_filtered!$J$2:$J$461,"&lt;&gt;Incompleto"))</f>
        <v>-</v>
      </c>
      <c r="AC12" s="108" t="str">
        <f>IF(SUMIFS(Data_filtered!$G$2:$G$461,Data_filtered!$A$2:$A$461,AB$1,Data_filtered!$F$2:$F$461,$A12, Data_filtered!$D$2:$D$461,"mata",Data_filtered!$J$2:$J$461,"&lt;&gt;Incompleto")=0, "-", SUMIFS(Data_filtered!$G$2:$G$461,Data_filtered!$A$2:$A$461,AB$1,Data_filtered!$F$2:$F$461,$A12, Data_filtered!$D$2:$D$461,"mata",Data_filtered!$J$2:$J$461,"&lt;&gt;Incompleto"))
</f>
        <v>-</v>
      </c>
      <c r="AD12" s="106" t="str">
        <f>IF(SUMIFS(Data_filtered!$G$2:$G$461,Data_filtered!$A$2:$A$461,AD$1,Data_filtered!$F$2:$F$461,$A12, Data_filtered!$D$2:$D$461,"eucalipto",Data_filtered!$J$2:$J$461,"&lt;&gt;Incompleto")=0, "-", SUMIFS(Data_filtered!$G$2:$G$461,Data_filtered!$A$2:$A$461,AD$1,Data_filtered!$F$2:$F$461,$A12, Data_filtered!$D$2:$D$461,"eucalipto",Data_filtered!$J$2:$J$461,"&lt;&gt;Incompleto"))</f>
        <v>-</v>
      </c>
      <c r="AE12" s="108" t="str">
        <f>IF(SUMIFS(Data_filtered!$G$2:$G$461,Data_filtered!$A$2:$A$461,AD$1,Data_filtered!$F$2:$F$461,$A12, Data_filtered!$D$2:$D$461,"mata",Data_filtered!$J$2:$J$461,"&lt;&gt;Incompleto")=0, "-", SUMIFS(Data_filtered!$G$2:$G$461,Data_filtered!$A$2:$A$461,AD$1,Data_filtered!$F$2:$F$461,$A12, Data_filtered!$D$2:$D$461,"mata",Data_filtered!$J$2:$J$461,"&lt;&gt;Incompleto"))
</f>
        <v>-</v>
      </c>
      <c r="AF12" s="106" t="str">
        <f>IF(SUMIFS(Data_filtered!$G$2:$G$461,Data_filtered!$A$2:$A$461,AF$1,Data_filtered!$F$2:$F$461,$A12, Data_filtered!$D$2:$D$461,"eucalipto",Data_filtered!$J$2:$J$461,"&lt;&gt;Incompleto")=0, "-", SUMIFS(Data_filtered!$G$2:$G$461,Data_filtered!$A$2:$A$461,AF$1,Data_filtered!$F$2:$F$461,$A12, Data_filtered!$D$2:$D$461,"eucalipto",Data_filtered!$J$2:$J$461,"&lt;&gt;Incompleto"))</f>
        <v>-</v>
      </c>
      <c r="AG12" s="108" t="str">
        <f>IF(SUMIFS(Data_filtered!$G$2:$G$461,Data_filtered!$A$2:$A$461,AF$1,Data_filtered!$F$2:$F$461,$A12, Data_filtered!$D$2:$D$461,"mata",Data_filtered!$J$2:$J$461,"&lt;&gt;Incompleto")=0, "-", SUMIFS(Data_filtered!$G$2:$G$461,Data_filtered!$A$2:$A$461,AF$1,Data_filtered!$F$2:$F$461,$A12, Data_filtered!$D$2:$D$461,"mata",Data_filtered!$J$2:$J$461,"&lt;&gt;Incompleto"))
</f>
        <v>-</v>
      </c>
      <c r="AH12" s="106" t="str">
        <f>IF(SUMIFS(Data_filtered!$G$2:$G$461,Data_filtered!$A$2:$A$461,AH$1,Data_filtered!$F$2:$F$461,$A12, Data_filtered!$D$2:$D$461,"eucalipto",Data_filtered!$J$2:$J$461,"&lt;&gt;Incompleto")=0, "-", SUMIFS(Data_filtered!$G$2:$G$461,Data_filtered!$A$2:$A$461,AH$1,Data_filtered!$F$2:$F$461,$A12, Data_filtered!$D$2:$D$461,"eucalipto",Data_filtered!$J$2:$J$461,"&lt;&gt;Incompleto"))</f>
        <v>-</v>
      </c>
      <c r="AI12" s="108">
        <f>IF(SUMIFS(Data_filtered!$G$2:$G$461,Data_filtered!$A$2:$A$461,AH$1,Data_filtered!$F$2:$F$461,$A12, Data_filtered!$D$2:$D$461,"mata",Data_filtered!$J$2:$J$461,"&lt;&gt;Incompleto")=0, "-", SUMIFS(Data_filtered!$G$2:$G$461,Data_filtered!$A$2:$A$461,AH$1,Data_filtered!$F$2:$F$461,$A12, Data_filtered!$D$2:$D$461,"mata",Data_filtered!$J$2:$J$461,"&lt;&gt;Incompleto"))
</f>
        <v>1</v>
      </c>
      <c r="AJ12" s="106" t="str">
        <f>IF(SUMIFS(Data_filtered!$G$2:$G$461,Data_filtered!$A$2:$A$461,AJ$1,Data_filtered!$F$2:$F$461,$A12, Data_filtered!$D$2:$D$461,"eucalipto",Data_filtered!$J$2:$J$461,"&lt;&gt;Incompleto")=0, "-", SUMIFS(Data_filtered!$G$2:$G$461,Data_filtered!$A$2:$A$461,AJ$1,Data_filtered!$F$2:$F$461,$A12, Data_filtered!$D$2:$D$461,"eucalipto",Data_filtered!$J$2:$J$461,"&lt;&gt;Incompleto"))</f>
        <v>-</v>
      </c>
      <c r="AK12" s="108" t="str">
        <f>IF(SUMIFS(Data_filtered!$G$2:$G$461,Data_filtered!$A$2:$A$461,AJ$1,Data_filtered!$F$2:$F$461,$A12, Data_filtered!$D$2:$D$461,"mata",Data_filtered!$J$2:$J$461,"&lt;&gt;Incompleto")=0, "-", SUMIFS(Data_filtered!$G$2:$G$461,Data_filtered!$A$2:$A$461,AJ$1,Data_filtered!$F$2:$F$461,$A12, Data_filtered!$D$2:$D$461,"mata",Data_filtered!$J$2:$J$461,"&lt;&gt;Incompleto"))
</f>
        <v>-</v>
      </c>
      <c r="AL12" s="106" t="str">
        <f>IF(SUMIFS(Data_filtered!$G$2:$G$461,Data_filtered!$A$2:$A$461,AL$1,Data_filtered!$F$2:$F$461,$A12, Data_filtered!$D$2:$D$461,"eucalipto",Data_filtered!$J$2:$J$461,"&lt;&gt;Incompleto")=0, "-", SUMIFS(Data_filtered!$G$2:$G$461,Data_filtered!$A$2:$A$461,AL$1,Data_filtered!$F$2:$F$461,$A12, Data_filtered!$D$2:$D$461,"eucalipto",Data_filtered!$J$2:$J$461,"&lt;&gt;Incompleto"))</f>
        <v>-</v>
      </c>
      <c r="AM12" s="108" t="str">
        <f>IF(SUMIFS(Data_filtered!$G$2:$G$461,Data_filtered!$A$2:$A$461,AL$1,Data_filtered!$F$2:$F$461,$A12, Data_filtered!$D$2:$D$461,"mata",Data_filtered!$J$2:$J$461,"&lt;&gt;Incompleto")=0, "-", SUMIFS(Data_filtered!$G$2:$G$461,Data_filtered!$A$2:$A$461,AL$1,Data_filtered!$F$2:$F$461,$A12, Data_filtered!$D$2:$D$461,"mata",Data_filtered!$J$2:$J$461,"&lt;&gt;Incompleto"))
</f>
        <v>-</v>
      </c>
      <c r="AN12" s="106" t="str">
        <f>IF(SUMIFS(Data_filtered!$G$2:$G$461,Data_filtered!$A$2:$A$461,AN$1,Data_filtered!$F$2:$F$461,$A12, Data_filtered!$D$2:$D$461,"eucalipto",Data_filtered!$J$2:$J$461,"&lt;&gt;Incompleto")=0, "-", SUMIFS(Data_filtered!$G$2:$G$461,Data_filtered!$A$2:$A$461,AN$1,Data_filtered!$F$2:$F$461,$A12, Data_filtered!$D$2:$D$461,"eucalipto",Data_filtered!$J$2:$J$461,"&lt;&gt;Incompleto"))</f>
        <v>-</v>
      </c>
      <c r="AO12" s="108" t="str">
        <f>IF(SUMIFS(Data_filtered!$G$2:$G$461,Data_filtered!$A$2:$A$461,AN$1,Data_filtered!$F$2:$F$461,$A12, Data_filtered!$D$2:$D$461,"mata",Data_filtered!$J$2:$J$461,"&lt;&gt;Incompleto")=0, "-", SUMIFS(Data_filtered!$G$2:$G$461,Data_filtered!$A$2:$A$461,AN$1,Data_filtered!$F$2:$F$461,$A12, Data_filtered!$D$2:$D$461,"mata",Data_filtered!$J$2:$J$461,"&lt;&gt;Incompleto"))
</f>
        <v>-</v>
      </c>
      <c r="AP12" s="106" t="str">
        <f>IF(SUMIFS(Data_filtered!$G$2:$G$461,Data_filtered!$A$2:$A$461,AP$1,Data_filtered!$F$2:$F$461,$A12, Data_filtered!$D$2:$D$461,"eucalipto",Data_filtered!$J$2:$J$461,"&lt;&gt;Incompleto")=0, "-", SUMIFS(Data_filtered!$G$2:$G$461,Data_filtered!$A$2:$A$461,AP$1,Data_filtered!$F$2:$F$461,$A12, Data_filtered!$D$2:$D$461,"eucalipto",Data_filtered!$J$2:$J$461,"&lt;&gt;Incompleto"))</f>
        <v>-</v>
      </c>
      <c r="AQ12" s="108" t="str">
        <f>IF(SUMIFS(Data_filtered!$G$2:$G$461,Data_filtered!$A$2:$A$461,AP$1,Data_filtered!$F$2:$F$461,$A12, Data_filtered!$D$2:$D$461,"mata",Data_filtered!$J$2:$J$461,"&lt;&gt;Incompleto")=0, "-", SUMIFS(Data_filtered!$G$2:$G$461,Data_filtered!$A$2:$A$461,AP$1,Data_filtered!$F$2:$F$461,$A12, Data_filtered!$D$2:$D$461,"mata",Data_filtered!$J$2:$J$461,"&lt;&gt;Incompleto"))
</f>
        <v>-</v>
      </c>
      <c r="AR12" s="106" t="str">
        <f>IF(SUMIFS(Data_filtered!$G$2:$G$461,Data_filtered!$A$2:$A$461,AR$1,Data_filtered!$F$2:$F$461,$A12, Data_filtered!$D$2:$D$461,"eucalipto",Data_filtered!$J$2:$J$461,"&lt;&gt;Incompleto")=0, "-", SUMIFS(Data_filtered!$G$2:$G$461,Data_filtered!$A$2:$A$461,AR$1,Data_filtered!$F$2:$F$461,$A12, Data_filtered!$D$2:$D$461,"eucalipto",Data_filtered!$J$2:$J$461,"&lt;&gt;Incompleto"))</f>
        <v>-</v>
      </c>
      <c r="AS12" s="108" t="str">
        <f>IF(SUMIFS(Data_filtered!$G$2:$G$461,Data_filtered!$A$2:$A$461,AR$1,Data_filtered!$F$2:$F$461,$A12, Data_filtered!$D$2:$D$461,"mata",Data_filtered!$J$2:$J$461,"&lt;&gt;Incompleto")=0, "-", SUMIFS(Data_filtered!$G$2:$G$461,Data_filtered!$A$2:$A$461,AR$1,Data_filtered!$F$2:$F$461,$A12, Data_filtered!$D$2:$D$461,"mata",Data_filtered!$J$2:$J$461,"&lt;&gt;Incompleto"))
</f>
        <v>-</v>
      </c>
    </row>
    <row r="13">
      <c r="A13" s="68" t="str">
        <f>IFERROR(__xludf.DUMMYFUNCTION("""COMPUTED_VALUE"""),"Formicidae")</f>
        <v>Formicidae</v>
      </c>
      <c r="B13" s="106" t="str">
        <f>IF(SUMIFS(Data_filtered!$G$2:$G$461,Data_filtered!$A$2:$A$461,B$1,Data_filtered!$F$2:$F$461,$A13, Data_filtered!$D$2:$D$461,"eucalipto",Data_filtered!$J$2:$J$461,"&lt;&gt;Incompleto")=0, "-", SUMIFS(Data_filtered!$G$2:$G$461,Data_filtered!$A$2:$A$461,B$1,Data_filtered!$F$2:$F$461,$A13, Data_filtered!$D$2:$D$461,"eucalipto",Data_filtered!$J$2:$J$461,"&lt;&gt;Incompleto"))</f>
        <v>-</v>
      </c>
      <c r="C13" s="108" t="str">
        <f>IF(SUMIFS(Data_filtered!$G$2:$G$461,Data_filtered!$A$2:$A$461,B$1,Data_filtered!$F$2:$F$461,$A13, Data_filtered!$D$2:$D$461,"mata",Data_filtered!$J$2:$J$461,"&lt;&gt;Incompleto")=0, "-", SUMIFS(Data_filtered!$G$2:$G$461,Data_filtered!$A$2:$A$461,B$1,Data_filtered!$F$2:$F$461,$A13, Data_filtered!$D$2:$D$461,"mata",Data_filtered!$J$2:$J$461,"&lt;&gt;Incompleto"))
</f>
        <v>-</v>
      </c>
      <c r="D13" s="106" t="str">
        <f>IF(SUMIFS(Data_filtered!$G$2:$G$461,Data_filtered!$A$2:$A$461,D$1,Data_filtered!$F$2:$F$461,$A13, Data_filtered!$D$2:$D$461,"eucalipto",Data_filtered!$J$2:$J$461,"&lt;&gt;Incompleto")=0, "-", SUMIFS(Data_filtered!$G$2:$G$461,Data_filtered!$A$2:$A$461,D$1,Data_filtered!$F$2:$F$461,$A13, Data_filtered!$D$2:$D$461,"eucalipto",Data_filtered!$J$2:$J$461,"&lt;&gt;Incompleto"))</f>
        <v>-</v>
      </c>
      <c r="E13" s="108" t="str">
        <f>IF(SUMIFS(Data_filtered!$G$2:$G$461,Data_filtered!$A$2:$A$461,D$1,Data_filtered!$F$2:$F$461,$A13, Data_filtered!$D$2:$D$461,"mata",Data_filtered!$J$2:$J$461,"&lt;&gt;Incompleto")=0, "-", SUMIFS(Data_filtered!$G$2:$G$461,Data_filtered!$A$2:$A$461,D$1,Data_filtered!$F$2:$F$461,$A13, Data_filtered!$D$2:$D$461,"mata",Data_filtered!$J$2:$J$461,"&lt;&gt;Incompleto"))
</f>
        <v>-</v>
      </c>
      <c r="F13" s="106" t="str">
        <f>IF(SUMIFS(Data_filtered!$G$2:$G$461,Data_filtered!$A$2:$A$461,F$1,Data_filtered!$F$2:$F$461,$A13, Data_filtered!$D$2:$D$461,"eucalipto",Data_filtered!$J$2:$J$461,"&lt;&gt;Incompleto")=0, "-", SUMIFS(Data_filtered!$G$2:$G$461,Data_filtered!$A$2:$A$461,F$1,Data_filtered!$F$2:$F$461,$A13, Data_filtered!$D$2:$D$461,"eucalipto",Data_filtered!$J$2:$J$461,"&lt;&gt;Incompleto"))</f>
        <v>-</v>
      </c>
      <c r="G13" s="108" t="str">
        <f>IF(SUMIFS(Data_filtered!$G$2:$G$461,Data_filtered!$A$2:$A$461,F$1,Data_filtered!$F$2:$F$461,$A13, Data_filtered!$D$2:$D$461,"mata",Data_filtered!$J$2:$J$461,"&lt;&gt;Incompleto")=0, "-", SUMIFS(Data_filtered!$G$2:$G$461,Data_filtered!$A$2:$A$461,F$1,Data_filtered!$F$2:$F$461,$A13, Data_filtered!$D$2:$D$461,"mata",Data_filtered!$J$2:$J$461,"&lt;&gt;Incompleto"))
</f>
        <v>-</v>
      </c>
      <c r="H13" s="106" t="str">
        <f>IF(SUMIFS(Data_filtered!$G$2:$G$461,Data_filtered!$A$2:$A$461,H$1,Data_filtered!$F$2:$F$461,$A13, Data_filtered!$D$2:$D$461,"eucalipto",Data_filtered!$J$2:$J$461,"&lt;&gt;Incompleto")=0, "-", SUMIFS(Data_filtered!$G$2:$G$461,Data_filtered!$A$2:$A$461,H$1,Data_filtered!$F$2:$F$461,$A13, Data_filtered!$D$2:$D$461,"eucalipto",Data_filtered!$J$2:$J$461,"&lt;&gt;Incompleto"))</f>
        <v>-</v>
      </c>
      <c r="I13" s="108" t="str">
        <f>IF(SUMIFS(Data_filtered!$G$2:$G$461,Data_filtered!$A$2:$A$461,H$1,Data_filtered!$F$2:$F$461,$A13, Data_filtered!$D$2:$D$461,"mata",Data_filtered!$J$2:$J$461,"&lt;&gt;Incompleto")=0, "-", SUMIFS(Data_filtered!$G$2:$G$461,Data_filtered!$A$2:$A$461,H$1,Data_filtered!$F$2:$F$461,$A13, Data_filtered!$D$2:$D$461,"mata",Data_filtered!$J$2:$J$461,"&lt;&gt;Incompleto"))
</f>
        <v>-</v>
      </c>
      <c r="J13" s="106">
        <f>IF(SUMIFS(Data_filtered!$G$2:$G$461,Data_filtered!$A$2:$A$461,J$1,Data_filtered!$F$2:$F$461,$A13, Data_filtered!$D$2:$D$461,"eucalipto",Data_filtered!$J$2:$J$461,"&lt;&gt;Incompleto")=0, "-", SUMIFS(Data_filtered!$G$2:$G$461,Data_filtered!$A$2:$A$461,J$1,Data_filtered!$F$2:$F$461,$A13, Data_filtered!$D$2:$D$461,"eucalipto",Data_filtered!$J$2:$J$461,"&lt;&gt;Incompleto"))</f>
        <v>78</v>
      </c>
      <c r="K13" s="108">
        <f>IF(SUMIFS(Data_filtered!$G$2:$G$461,Data_filtered!$A$2:$A$461,J$1,Data_filtered!$F$2:$F$461,$A13, Data_filtered!$D$2:$D$461,"mata",Data_filtered!$J$2:$J$461,"&lt;&gt;Incompleto")=0, "-", SUMIFS(Data_filtered!$G$2:$G$461,Data_filtered!$A$2:$A$461,J$1,Data_filtered!$F$2:$F$461,$A13, Data_filtered!$D$2:$D$461,"mata",Data_filtered!$J$2:$J$461,"&lt;&gt;Incompleto"))
</f>
        <v>3</v>
      </c>
      <c r="L13" s="106" t="str">
        <f>IF(SUMIFS(Data_filtered!$G$2:$G$461,Data_filtered!$A$2:$A$461,L$1,Data_filtered!$F$2:$F$461,$A13, Data_filtered!$D$2:$D$461,"eucalipto",Data_filtered!$J$2:$J$461,"&lt;&gt;Incompleto")=0, "-", SUMIFS(Data_filtered!$G$2:$G$461,Data_filtered!$A$2:$A$461,L$1,Data_filtered!$F$2:$F$461,$A13, Data_filtered!$D$2:$D$461,"eucalipto",Data_filtered!$J$2:$J$461,"&lt;&gt;Incompleto"))</f>
        <v>-</v>
      </c>
      <c r="M13" s="108" t="str">
        <f>IF(SUMIFS(Data_filtered!$G$2:$G$461,Data_filtered!$A$2:$A$461,L$1,Data_filtered!$F$2:$F$461,$A13, Data_filtered!$D$2:$D$461,"mata",Data_filtered!$J$2:$J$461,"&lt;&gt;Incompleto")=0, "-", SUMIFS(Data_filtered!$G$2:$G$461,Data_filtered!$A$2:$A$461,L$1,Data_filtered!$F$2:$F$461,$A13, Data_filtered!$D$2:$D$461,"mata",Data_filtered!$J$2:$J$461,"&lt;&gt;Incompleto"))
</f>
        <v>-</v>
      </c>
      <c r="N13" s="106" t="str">
        <f>IF(SUMIFS(Data_filtered!$G$2:$G$461,Data_filtered!$A$2:$A$461,N$1,Data_filtered!$F$2:$F$461,$A13, Data_filtered!$D$2:$D$461,"eucalipto",Data_filtered!$J$2:$J$461,"&lt;&gt;Incompleto")=0, "-", SUMIFS(Data_filtered!$G$2:$G$461,Data_filtered!$A$2:$A$461,N$1,Data_filtered!$F$2:$F$461,$A13, Data_filtered!$D$2:$D$461,"eucalipto",Data_filtered!$J$2:$J$461,"&lt;&gt;Incompleto"))</f>
        <v>-</v>
      </c>
      <c r="O13" s="108" t="str">
        <f>IF(SUMIFS(Data_filtered!$G$2:$G$461,Data_filtered!$A$2:$A$461,N$1,Data_filtered!$F$2:$F$461,$A13, Data_filtered!$D$2:$D$461,"mata",Data_filtered!$J$2:$J$461,"&lt;&gt;Incompleto")=0, "-", SUMIFS(Data_filtered!$G$2:$G$461,Data_filtered!$A$2:$A$461,N$1,Data_filtered!$F$2:$F$461,$A13, Data_filtered!$D$2:$D$461,"mata",Data_filtered!$J$2:$J$461,"&lt;&gt;Incompleto"))
</f>
        <v>-</v>
      </c>
      <c r="P13" s="106" t="str">
        <f>IF(SUMIFS(Data_filtered!$G$2:$G$461,Data_filtered!$A$2:$A$461,P$1,Data_filtered!$F$2:$F$461,$A13, Data_filtered!$D$2:$D$461,"eucalipto",Data_filtered!$J$2:$J$461,"&lt;&gt;Incompleto")=0, "-", SUMIFS(Data_filtered!$G$2:$G$461,Data_filtered!$A$2:$A$461,P$1,Data_filtered!$F$2:$F$461,$A13, Data_filtered!$D$2:$D$461,"eucalipto",Data_filtered!$J$2:$J$461,"&lt;&gt;Incompleto"))</f>
        <v>-</v>
      </c>
      <c r="Q13" s="108" t="str">
        <f>IF(SUMIFS(Data_filtered!$G$2:$G$461,Data_filtered!$A$2:$A$461,P$1,Data_filtered!$F$2:$F$461,$A13, Data_filtered!$D$2:$D$461,"mata",Data_filtered!$J$2:$J$461,"&lt;&gt;Incompleto")=0, "-", SUMIFS(Data_filtered!$G$2:$G$461,Data_filtered!$A$2:$A$461,P$1,Data_filtered!$F$2:$F$461,$A13, Data_filtered!$D$2:$D$461,"mata",Data_filtered!$J$2:$J$461,"&lt;&gt;Incompleto"))
</f>
        <v>-</v>
      </c>
      <c r="R13" s="106" t="str">
        <f>IF(SUMIFS(Data_filtered!$G$2:$G$461,Data_filtered!$A$2:$A$461,R$1,Data_filtered!$F$2:$F$461,$A13, Data_filtered!$D$2:$D$461,"eucalipto",Data_filtered!$J$2:$J$461,"&lt;&gt;Incompleto")=0, "-", SUMIFS(Data_filtered!$G$2:$G$461,Data_filtered!$A$2:$A$461,R$1,Data_filtered!$F$2:$F$461,$A13, Data_filtered!$D$2:$D$461,"eucalipto",Data_filtered!$J$2:$J$461,"&lt;&gt;Incompleto"))</f>
        <v>-</v>
      </c>
      <c r="S13" s="108">
        <f>IF(SUMIFS(Data_filtered!$G$2:$G$461,Data_filtered!$A$2:$A$461,R$1,Data_filtered!$F$2:$F$461,$A13, Data_filtered!$D$2:$D$461,"mata",Data_filtered!$J$2:$J$461,"&lt;&gt;Incompleto")=0, "-", SUMIFS(Data_filtered!$G$2:$G$461,Data_filtered!$A$2:$A$461,R$1,Data_filtered!$F$2:$F$461,$A13, Data_filtered!$D$2:$D$461,"mata",Data_filtered!$J$2:$J$461,"&lt;&gt;Incompleto"))
</f>
        <v>1</v>
      </c>
      <c r="T13" s="106" t="str">
        <f>IF(SUMIFS(Data_filtered!$G$2:$G$461,Data_filtered!$A$2:$A$461,T$1,Data_filtered!$F$2:$F$461,$A13, Data_filtered!$D$2:$D$461,"eucalipto",Data_filtered!$J$2:$J$461,"&lt;&gt;Incompleto")=0, "-", SUMIFS(Data_filtered!$G$2:$G$461,Data_filtered!$A$2:$A$461,T$1,Data_filtered!$F$2:$F$461,$A13, Data_filtered!$D$2:$D$461,"eucalipto",Data_filtered!$J$2:$J$461,"&lt;&gt;Incompleto"))</f>
        <v>-</v>
      </c>
      <c r="U13" s="108" t="str">
        <f>IF(SUMIFS(Data_filtered!$G$2:$G$461,Data_filtered!$A$2:$A$461,T$1,Data_filtered!$F$2:$F$461,$A13, Data_filtered!$D$2:$D$461,"mata",Data_filtered!$J$2:$J$461,"&lt;&gt;Incompleto")=0, "-", SUMIFS(Data_filtered!$G$2:$G$461,Data_filtered!$A$2:$A$461,T$1,Data_filtered!$F$2:$F$461,$A13, Data_filtered!$D$2:$D$461,"mata",Data_filtered!$J$2:$J$461,"&lt;&gt;Incompleto"))
</f>
        <v>-</v>
      </c>
      <c r="V13" s="106">
        <f>IF(SUMIFS(Data_filtered!$G$2:$G$461,Data_filtered!$A$2:$A$461,V$1,Data_filtered!$F$2:$F$461,$A13, Data_filtered!$D$2:$D$461,"eucalipto",Data_filtered!$J$2:$J$461,"&lt;&gt;Incompleto")=0, "-", SUMIFS(Data_filtered!$G$2:$G$461,Data_filtered!$A$2:$A$461,V$1,Data_filtered!$F$2:$F$461,$A13, Data_filtered!$D$2:$D$461,"eucalipto",Data_filtered!$J$2:$J$461,"&lt;&gt;Incompleto"))</f>
        <v>2</v>
      </c>
      <c r="W13" s="108" t="str">
        <f>IF(SUMIFS(Data_filtered!$G$2:$G$461,Data_filtered!$A$2:$A$461,V$1,Data_filtered!$F$2:$F$461,$A13, Data_filtered!$D$2:$D$461,"mata",Data_filtered!$J$2:$J$461,"&lt;&gt;Incompleto")=0, "-", SUMIFS(Data_filtered!$G$2:$G$461,Data_filtered!$A$2:$A$461,V$1,Data_filtered!$F$2:$F$461,$A13, Data_filtered!$D$2:$D$461,"mata",Data_filtered!$J$2:$J$461,"&lt;&gt;Incompleto"))
</f>
        <v>-</v>
      </c>
      <c r="X13" s="106" t="str">
        <f>IF(SUMIFS(Data_filtered!$G$2:$G$461,Data_filtered!$A$2:$A$461,X$1,Data_filtered!$F$2:$F$461,$A13, Data_filtered!$D$2:$D$461,"eucalipto",Data_filtered!$J$2:$J$461,"&lt;&gt;Incompleto")=0, "-", SUMIFS(Data_filtered!$G$2:$G$461,Data_filtered!$A$2:$A$461,X$1,Data_filtered!$F$2:$F$461,$A13, Data_filtered!$D$2:$D$461,"eucalipto",Data_filtered!$J$2:$J$461,"&lt;&gt;Incompleto"))</f>
        <v>-</v>
      </c>
      <c r="Y13" s="108">
        <f>IF(SUMIFS(Data_filtered!$G$2:$G$461,Data_filtered!$A$2:$A$461,X$1,Data_filtered!$F$2:$F$461,$A13, Data_filtered!$D$2:$D$461,"mata",Data_filtered!$J$2:$J$461,"&lt;&gt;Incompleto")=0, "-", SUMIFS(Data_filtered!$G$2:$G$461,Data_filtered!$A$2:$A$461,X$1,Data_filtered!$F$2:$F$461,$A13, Data_filtered!$D$2:$D$461,"mata",Data_filtered!$J$2:$J$461,"&lt;&gt;Incompleto"))
</f>
        <v>1</v>
      </c>
      <c r="Z13" s="106" t="str">
        <f>IF(SUMIFS(Data_filtered!$G$2:$G$461,Data_filtered!$A$2:$A$461,Z$1,Data_filtered!$F$2:$F$461,$A13, Data_filtered!$D$2:$D$461,"eucalipto",Data_filtered!$J$2:$J$461,"&lt;&gt;Incompleto")=0, "-", SUMIFS(Data_filtered!$G$2:$G$461,Data_filtered!$A$2:$A$461,Z$1,Data_filtered!$F$2:$F$461,$A13, Data_filtered!$D$2:$D$461,"eucalipto",Data_filtered!$J$2:$J$461,"&lt;&gt;Incompleto"))</f>
        <v>-</v>
      </c>
      <c r="AA13" s="108" t="str">
        <f>IF(SUMIFS(Data_filtered!$G$2:$G$461,Data_filtered!$A$2:$A$461,Z$1,Data_filtered!$F$2:$F$461,$A13, Data_filtered!$D$2:$D$461,"mata",Data_filtered!$J$2:$J$461,"&lt;&gt;Incompleto")=0, "-", SUMIFS(Data_filtered!$G$2:$G$461,Data_filtered!$A$2:$A$461,Z$1,Data_filtered!$F$2:$F$461,$A13, Data_filtered!$D$2:$D$461,"mata",Data_filtered!$J$2:$J$461,"&lt;&gt;Incompleto"))
</f>
        <v>-</v>
      </c>
      <c r="AB13" s="106" t="str">
        <f>IF(SUMIFS(Data_filtered!$G$2:$G$461,Data_filtered!$A$2:$A$461,AB$1,Data_filtered!$F$2:$F$461,$A13, Data_filtered!$D$2:$D$461,"eucalipto",Data_filtered!$J$2:$J$461,"&lt;&gt;Incompleto")=0, "-", SUMIFS(Data_filtered!$G$2:$G$461,Data_filtered!$A$2:$A$461,AB$1,Data_filtered!$F$2:$F$461,$A13, Data_filtered!$D$2:$D$461,"eucalipto",Data_filtered!$J$2:$J$461,"&lt;&gt;Incompleto"))</f>
        <v>-</v>
      </c>
      <c r="AC13" s="108" t="str">
        <f>IF(SUMIFS(Data_filtered!$G$2:$G$461,Data_filtered!$A$2:$A$461,AB$1,Data_filtered!$F$2:$F$461,$A13, Data_filtered!$D$2:$D$461,"mata",Data_filtered!$J$2:$J$461,"&lt;&gt;Incompleto")=0, "-", SUMIFS(Data_filtered!$G$2:$G$461,Data_filtered!$A$2:$A$461,AB$1,Data_filtered!$F$2:$F$461,$A13, Data_filtered!$D$2:$D$461,"mata",Data_filtered!$J$2:$J$461,"&lt;&gt;Incompleto"))
</f>
        <v>-</v>
      </c>
      <c r="AD13" s="106" t="str">
        <f>IF(SUMIFS(Data_filtered!$G$2:$G$461,Data_filtered!$A$2:$A$461,AD$1,Data_filtered!$F$2:$F$461,$A13, Data_filtered!$D$2:$D$461,"eucalipto",Data_filtered!$J$2:$J$461,"&lt;&gt;Incompleto")=0, "-", SUMIFS(Data_filtered!$G$2:$G$461,Data_filtered!$A$2:$A$461,AD$1,Data_filtered!$F$2:$F$461,$A13, Data_filtered!$D$2:$D$461,"eucalipto",Data_filtered!$J$2:$J$461,"&lt;&gt;Incompleto"))</f>
        <v>-</v>
      </c>
      <c r="AE13" s="108">
        <f>IF(SUMIFS(Data_filtered!$G$2:$G$461,Data_filtered!$A$2:$A$461,AD$1,Data_filtered!$F$2:$F$461,$A13, Data_filtered!$D$2:$D$461,"mata",Data_filtered!$J$2:$J$461,"&lt;&gt;Incompleto")=0, "-", SUMIFS(Data_filtered!$G$2:$G$461,Data_filtered!$A$2:$A$461,AD$1,Data_filtered!$F$2:$F$461,$A13, Data_filtered!$D$2:$D$461,"mata",Data_filtered!$J$2:$J$461,"&lt;&gt;Incompleto"))
</f>
        <v>2</v>
      </c>
      <c r="AF13" s="106">
        <f>IF(SUMIFS(Data_filtered!$G$2:$G$461,Data_filtered!$A$2:$A$461,AF$1,Data_filtered!$F$2:$F$461,$A13, Data_filtered!$D$2:$D$461,"eucalipto",Data_filtered!$J$2:$J$461,"&lt;&gt;Incompleto")=0, "-", SUMIFS(Data_filtered!$G$2:$G$461,Data_filtered!$A$2:$A$461,AF$1,Data_filtered!$F$2:$F$461,$A13, Data_filtered!$D$2:$D$461,"eucalipto",Data_filtered!$J$2:$J$461,"&lt;&gt;Incompleto"))</f>
        <v>15</v>
      </c>
      <c r="AG13" s="108">
        <f>IF(SUMIFS(Data_filtered!$G$2:$G$461,Data_filtered!$A$2:$A$461,AF$1,Data_filtered!$F$2:$F$461,$A13, Data_filtered!$D$2:$D$461,"mata",Data_filtered!$J$2:$J$461,"&lt;&gt;Incompleto")=0, "-", SUMIFS(Data_filtered!$G$2:$G$461,Data_filtered!$A$2:$A$461,AF$1,Data_filtered!$F$2:$F$461,$A13, Data_filtered!$D$2:$D$461,"mata",Data_filtered!$J$2:$J$461,"&lt;&gt;Incompleto"))
</f>
        <v>20</v>
      </c>
      <c r="AH13" s="106" t="str">
        <f>IF(SUMIFS(Data_filtered!$G$2:$G$461,Data_filtered!$A$2:$A$461,AH$1,Data_filtered!$F$2:$F$461,$A13, Data_filtered!$D$2:$D$461,"eucalipto",Data_filtered!$J$2:$J$461,"&lt;&gt;Incompleto")=0, "-", SUMIFS(Data_filtered!$G$2:$G$461,Data_filtered!$A$2:$A$461,AH$1,Data_filtered!$F$2:$F$461,$A13, Data_filtered!$D$2:$D$461,"eucalipto",Data_filtered!$J$2:$J$461,"&lt;&gt;Incompleto"))</f>
        <v>-</v>
      </c>
      <c r="AI13" s="108" t="str">
        <f>IF(SUMIFS(Data_filtered!$G$2:$G$461,Data_filtered!$A$2:$A$461,AH$1,Data_filtered!$F$2:$F$461,$A13, Data_filtered!$D$2:$D$461,"mata",Data_filtered!$J$2:$J$461,"&lt;&gt;Incompleto")=0, "-", SUMIFS(Data_filtered!$G$2:$G$461,Data_filtered!$A$2:$A$461,AH$1,Data_filtered!$F$2:$F$461,$A13, Data_filtered!$D$2:$D$461,"mata",Data_filtered!$J$2:$J$461,"&lt;&gt;Incompleto"))
</f>
        <v>-</v>
      </c>
      <c r="AJ13" s="106" t="str">
        <f>IF(SUMIFS(Data_filtered!$G$2:$G$461,Data_filtered!$A$2:$A$461,AJ$1,Data_filtered!$F$2:$F$461,$A13, Data_filtered!$D$2:$D$461,"eucalipto",Data_filtered!$J$2:$J$461,"&lt;&gt;Incompleto")=0, "-", SUMIFS(Data_filtered!$G$2:$G$461,Data_filtered!$A$2:$A$461,AJ$1,Data_filtered!$F$2:$F$461,$A13, Data_filtered!$D$2:$D$461,"eucalipto",Data_filtered!$J$2:$J$461,"&lt;&gt;Incompleto"))</f>
        <v>-</v>
      </c>
      <c r="AK13" s="108" t="str">
        <f>IF(SUMIFS(Data_filtered!$G$2:$G$461,Data_filtered!$A$2:$A$461,AJ$1,Data_filtered!$F$2:$F$461,$A13, Data_filtered!$D$2:$D$461,"mata",Data_filtered!$J$2:$J$461,"&lt;&gt;Incompleto")=0, "-", SUMIFS(Data_filtered!$G$2:$G$461,Data_filtered!$A$2:$A$461,AJ$1,Data_filtered!$F$2:$F$461,$A13, Data_filtered!$D$2:$D$461,"mata",Data_filtered!$J$2:$J$461,"&lt;&gt;Incompleto"))
</f>
        <v>-</v>
      </c>
      <c r="AL13" s="106" t="str">
        <f>IF(SUMIFS(Data_filtered!$G$2:$G$461,Data_filtered!$A$2:$A$461,AL$1,Data_filtered!$F$2:$F$461,$A13, Data_filtered!$D$2:$D$461,"eucalipto",Data_filtered!$J$2:$J$461,"&lt;&gt;Incompleto")=0, "-", SUMIFS(Data_filtered!$G$2:$G$461,Data_filtered!$A$2:$A$461,AL$1,Data_filtered!$F$2:$F$461,$A13, Data_filtered!$D$2:$D$461,"eucalipto",Data_filtered!$J$2:$J$461,"&lt;&gt;Incompleto"))</f>
        <v>-</v>
      </c>
      <c r="AM13" s="108">
        <f>IF(SUMIFS(Data_filtered!$G$2:$G$461,Data_filtered!$A$2:$A$461,AL$1,Data_filtered!$F$2:$F$461,$A13, Data_filtered!$D$2:$D$461,"mata",Data_filtered!$J$2:$J$461,"&lt;&gt;Incompleto")=0, "-", SUMIFS(Data_filtered!$G$2:$G$461,Data_filtered!$A$2:$A$461,AL$1,Data_filtered!$F$2:$F$461,$A13, Data_filtered!$D$2:$D$461,"mata",Data_filtered!$J$2:$J$461,"&lt;&gt;Incompleto"))
</f>
        <v>48</v>
      </c>
      <c r="AN13" s="106" t="str">
        <f>IF(SUMIFS(Data_filtered!$G$2:$G$461,Data_filtered!$A$2:$A$461,AN$1,Data_filtered!$F$2:$F$461,$A13, Data_filtered!$D$2:$D$461,"eucalipto",Data_filtered!$J$2:$J$461,"&lt;&gt;Incompleto")=0, "-", SUMIFS(Data_filtered!$G$2:$G$461,Data_filtered!$A$2:$A$461,AN$1,Data_filtered!$F$2:$F$461,$A13, Data_filtered!$D$2:$D$461,"eucalipto",Data_filtered!$J$2:$J$461,"&lt;&gt;Incompleto"))</f>
        <v>-</v>
      </c>
      <c r="AO13" s="108">
        <f>IF(SUMIFS(Data_filtered!$G$2:$G$461,Data_filtered!$A$2:$A$461,AN$1,Data_filtered!$F$2:$F$461,$A13, Data_filtered!$D$2:$D$461,"mata",Data_filtered!$J$2:$J$461,"&lt;&gt;Incompleto")=0, "-", SUMIFS(Data_filtered!$G$2:$G$461,Data_filtered!$A$2:$A$461,AN$1,Data_filtered!$F$2:$F$461,$A13, Data_filtered!$D$2:$D$461,"mata",Data_filtered!$J$2:$J$461,"&lt;&gt;Incompleto"))
</f>
        <v>59</v>
      </c>
      <c r="AP13" s="106" t="str">
        <f>IF(SUMIFS(Data_filtered!$G$2:$G$461,Data_filtered!$A$2:$A$461,AP$1,Data_filtered!$F$2:$F$461,$A13, Data_filtered!$D$2:$D$461,"eucalipto",Data_filtered!$J$2:$J$461,"&lt;&gt;Incompleto")=0, "-", SUMIFS(Data_filtered!$G$2:$G$461,Data_filtered!$A$2:$A$461,AP$1,Data_filtered!$F$2:$F$461,$A13, Data_filtered!$D$2:$D$461,"eucalipto",Data_filtered!$J$2:$J$461,"&lt;&gt;Incompleto"))</f>
        <v>-</v>
      </c>
      <c r="AQ13" s="108" t="str">
        <f>IF(SUMIFS(Data_filtered!$G$2:$G$461,Data_filtered!$A$2:$A$461,AP$1,Data_filtered!$F$2:$F$461,$A13, Data_filtered!$D$2:$D$461,"mata",Data_filtered!$J$2:$J$461,"&lt;&gt;Incompleto")=0, "-", SUMIFS(Data_filtered!$G$2:$G$461,Data_filtered!$A$2:$A$461,AP$1,Data_filtered!$F$2:$F$461,$A13, Data_filtered!$D$2:$D$461,"mata",Data_filtered!$J$2:$J$461,"&lt;&gt;Incompleto"))
</f>
        <v>-</v>
      </c>
      <c r="AR13" s="106" t="str">
        <f>IF(SUMIFS(Data_filtered!$G$2:$G$461,Data_filtered!$A$2:$A$461,AR$1,Data_filtered!$F$2:$F$461,$A13, Data_filtered!$D$2:$D$461,"eucalipto",Data_filtered!$J$2:$J$461,"&lt;&gt;Incompleto")=0, "-", SUMIFS(Data_filtered!$G$2:$G$461,Data_filtered!$A$2:$A$461,AR$1,Data_filtered!$F$2:$F$461,$A13, Data_filtered!$D$2:$D$461,"eucalipto",Data_filtered!$J$2:$J$461,"&lt;&gt;Incompleto"))</f>
        <v>-</v>
      </c>
      <c r="AS13" s="108" t="str">
        <f>IF(SUMIFS(Data_filtered!$G$2:$G$461,Data_filtered!$A$2:$A$461,AR$1,Data_filtered!$F$2:$F$461,$A13, Data_filtered!$D$2:$D$461,"mata",Data_filtered!$J$2:$J$461,"&lt;&gt;Incompleto")=0, "-", SUMIFS(Data_filtered!$G$2:$G$461,Data_filtered!$A$2:$A$461,AR$1,Data_filtered!$F$2:$F$461,$A13, Data_filtered!$D$2:$D$461,"mata",Data_filtered!$J$2:$J$461,"&lt;&gt;Incompleto"))
</f>
        <v>-</v>
      </c>
    </row>
    <row r="14">
      <c r="A14" s="68" t="str">
        <f>IFERROR(__xludf.DUMMYFUNCTION("""COMPUTED_VALUE"""),"Hemiptera")</f>
        <v>Hemiptera</v>
      </c>
      <c r="B14" s="106" t="str">
        <f>IF(SUMIFS(Data_filtered!$G$2:$G$461,Data_filtered!$A$2:$A$461,B$1,Data_filtered!$F$2:$F$461,$A14, Data_filtered!$D$2:$D$461,"eucalipto",Data_filtered!$J$2:$J$461,"&lt;&gt;Incompleto")=0, "-", SUMIFS(Data_filtered!$G$2:$G$461,Data_filtered!$A$2:$A$461,B$1,Data_filtered!$F$2:$F$461,$A14, Data_filtered!$D$2:$D$461,"eucalipto",Data_filtered!$J$2:$J$461,"&lt;&gt;Incompleto"))</f>
        <v>-</v>
      </c>
      <c r="C14" s="108" t="str">
        <f>IF(SUMIFS(Data_filtered!$G$2:$G$461,Data_filtered!$A$2:$A$461,B$1,Data_filtered!$F$2:$F$461,$A14, Data_filtered!$D$2:$D$461,"mata",Data_filtered!$J$2:$J$461,"&lt;&gt;Incompleto")=0, "-", SUMIFS(Data_filtered!$G$2:$G$461,Data_filtered!$A$2:$A$461,B$1,Data_filtered!$F$2:$F$461,$A14, Data_filtered!$D$2:$D$461,"mata",Data_filtered!$J$2:$J$461,"&lt;&gt;Incompleto"))
</f>
        <v>-</v>
      </c>
      <c r="D14" s="106" t="str">
        <f>IF(SUMIFS(Data_filtered!$G$2:$G$461,Data_filtered!$A$2:$A$461,D$1,Data_filtered!$F$2:$F$461,$A14, Data_filtered!$D$2:$D$461,"eucalipto",Data_filtered!$J$2:$J$461,"&lt;&gt;Incompleto")=0, "-", SUMIFS(Data_filtered!$G$2:$G$461,Data_filtered!$A$2:$A$461,D$1,Data_filtered!$F$2:$F$461,$A14, Data_filtered!$D$2:$D$461,"eucalipto",Data_filtered!$J$2:$J$461,"&lt;&gt;Incompleto"))</f>
        <v>-</v>
      </c>
      <c r="E14" s="108" t="str">
        <f>IF(SUMIFS(Data_filtered!$G$2:$G$461,Data_filtered!$A$2:$A$461,D$1,Data_filtered!$F$2:$F$461,$A14, Data_filtered!$D$2:$D$461,"mata",Data_filtered!$J$2:$J$461,"&lt;&gt;Incompleto")=0, "-", SUMIFS(Data_filtered!$G$2:$G$461,Data_filtered!$A$2:$A$461,D$1,Data_filtered!$F$2:$F$461,$A14, Data_filtered!$D$2:$D$461,"mata",Data_filtered!$J$2:$J$461,"&lt;&gt;Incompleto"))
</f>
        <v>-</v>
      </c>
      <c r="F14" s="106" t="str">
        <f>IF(SUMIFS(Data_filtered!$G$2:$G$461,Data_filtered!$A$2:$A$461,F$1,Data_filtered!$F$2:$F$461,$A14, Data_filtered!$D$2:$D$461,"eucalipto",Data_filtered!$J$2:$J$461,"&lt;&gt;Incompleto")=0, "-", SUMIFS(Data_filtered!$G$2:$G$461,Data_filtered!$A$2:$A$461,F$1,Data_filtered!$F$2:$F$461,$A14, Data_filtered!$D$2:$D$461,"eucalipto",Data_filtered!$J$2:$J$461,"&lt;&gt;Incompleto"))</f>
        <v>-</v>
      </c>
      <c r="G14" s="108" t="str">
        <f>IF(SUMIFS(Data_filtered!$G$2:$G$461,Data_filtered!$A$2:$A$461,F$1,Data_filtered!$F$2:$F$461,$A14, Data_filtered!$D$2:$D$461,"mata",Data_filtered!$J$2:$J$461,"&lt;&gt;Incompleto")=0, "-", SUMIFS(Data_filtered!$G$2:$G$461,Data_filtered!$A$2:$A$461,F$1,Data_filtered!$F$2:$F$461,$A14, Data_filtered!$D$2:$D$461,"mata",Data_filtered!$J$2:$J$461,"&lt;&gt;Incompleto"))
</f>
        <v>-</v>
      </c>
      <c r="H14" s="106" t="str">
        <f>IF(SUMIFS(Data_filtered!$G$2:$G$461,Data_filtered!$A$2:$A$461,H$1,Data_filtered!$F$2:$F$461,$A14, Data_filtered!$D$2:$D$461,"eucalipto",Data_filtered!$J$2:$J$461,"&lt;&gt;Incompleto")=0, "-", SUMIFS(Data_filtered!$G$2:$G$461,Data_filtered!$A$2:$A$461,H$1,Data_filtered!$F$2:$F$461,$A14, Data_filtered!$D$2:$D$461,"eucalipto",Data_filtered!$J$2:$J$461,"&lt;&gt;Incompleto"))</f>
        <v>-</v>
      </c>
      <c r="I14" s="108" t="str">
        <f>IF(SUMIFS(Data_filtered!$G$2:$G$461,Data_filtered!$A$2:$A$461,H$1,Data_filtered!$F$2:$F$461,$A14, Data_filtered!$D$2:$D$461,"mata",Data_filtered!$J$2:$J$461,"&lt;&gt;Incompleto")=0, "-", SUMIFS(Data_filtered!$G$2:$G$461,Data_filtered!$A$2:$A$461,H$1,Data_filtered!$F$2:$F$461,$A14, Data_filtered!$D$2:$D$461,"mata",Data_filtered!$J$2:$J$461,"&lt;&gt;Incompleto"))
</f>
        <v>-</v>
      </c>
      <c r="J14" s="106" t="str">
        <f>IF(SUMIFS(Data_filtered!$G$2:$G$461,Data_filtered!$A$2:$A$461,J$1,Data_filtered!$F$2:$F$461,$A14, Data_filtered!$D$2:$D$461,"eucalipto",Data_filtered!$J$2:$J$461,"&lt;&gt;Incompleto")=0, "-", SUMIFS(Data_filtered!$G$2:$G$461,Data_filtered!$A$2:$A$461,J$1,Data_filtered!$F$2:$F$461,$A14, Data_filtered!$D$2:$D$461,"eucalipto",Data_filtered!$J$2:$J$461,"&lt;&gt;Incompleto"))</f>
        <v>-</v>
      </c>
      <c r="K14" s="108" t="str">
        <f>IF(SUMIFS(Data_filtered!$G$2:$G$461,Data_filtered!$A$2:$A$461,J$1,Data_filtered!$F$2:$F$461,$A14, Data_filtered!$D$2:$D$461,"mata",Data_filtered!$J$2:$J$461,"&lt;&gt;Incompleto")=0, "-", SUMIFS(Data_filtered!$G$2:$G$461,Data_filtered!$A$2:$A$461,J$1,Data_filtered!$F$2:$F$461,$A14, Data_filtered!$D$2:$D$461,"mata",Data_filtered!$J$2:$J$461,"&lt;&gt;Incompleto"))
</f>
        <v>-</v>
      </c>
      <c r="L14" s="106" t="str">
        <f>IF(SUMIFS(Data_filtered!$G$2:$G$461,Data_filtered!$A$2:$A$461,L$1,Data_filtered!$F$2:$F$461,$A14, Data_filtered!$D$2:$D$461,"eucalipto",Data_filtered!$J$2:$J$461,"&lt;&gt;Incompleto")=0, "-", SUMIFS(Data_filtered!$G$2:$G$461,Data_filtered!$A$2:$A$461,L$1,Data_filtered!$F$2:$F$461,$A14, Data_filtered!$D$2:$D$461,"eucalipto",Data_filtered!$J$2:$J$461,"&lt;&gt;Incompleto"))</f>
        <v>-</v>
      </c>
      <c r="M14" s="108" t="str">
        <f>IF(SUMIFS(Data_filtered!$G$2:$G$461,Data_filtered!$A$2:$A$461,L$1,Data_filtered!$F$2:$F$461,$A14, Data_filtered!$D$2:$D$461,"mata",Data_filtered!$J$2:$J$461,"&lt;&gt;Incompleto")=0, "-", SUMIFS(Data_filtered!$G$2:$G$461,Data_filtered!$A$2:$A$461,L$1,Data_filtered!$F$2:$F$461,$A14, Data_filtered!$D$2:$D$461,"mata",Data_filtered!$J$2:$J$461,"&lt;&gt;Incompleto"))
</f>
        <v>-</v>
      </c>
      <c r="N14" s="106" t="str">
        <f>IF(SUMIFS(Data_filtered!$G$2:$G$461,Data_filtered!$A$2:$A$461,N$1,Data_filtered!$F$2:$F$461,$A14, Data_filtered!$D$2:$D$461,"eucalipto",Data_filtered!$J$2:$J$461,"&lt;&gt;Incompleto")=0, "-", SUMIFS(Data_filtered!$G$2:$G$461,Data_filtered!$A$2:$A$461,N$1,Data_filtered!$F$2:$F$461,$A14, Data_filtered!$D$2:$D$461,"eucalipto",Data_filtered!$J$2:$J$461,"&lt;&gt;Incompleto"))</f>
        <v>-</v>
      </c>
      <c r="O14" s="108" t="str">
        <f>IF(SUMIFS(Data_filtered!$G$2:$G$461,Data_filtered!$A$2:$A$461,N$1,Data_filtered!$F$2:$F$461,$A14, Data_filtered!$D$2:$D$461,"mata",Data_filtered!$J$2:$J$461,"&lt;&gt;Incompleto")=0, "-", SUMIFS(Data_filtered!$G$2:$G$461,Data_filtered!$A$2:$A$461,N$1,Data_filtered!$F$2:$F$461,$A14, Data_filtered!$D$2:$D$461,"mata",Data_filtered!$J$2:$J$461,"&lt;&gt;Incompleto"))
</f>
        <v>-</v>
      </c>
      <c r="P14" s="106" t="str">
        <f>IF(SUMIFS(Data_filtered!$G$2:$G$461,Data_filtered!$A$2:$A$461,P$1,Data_filtered!$F$2:$F$461,$A14, Data_filtered!$D$2:$D$461,"eucalipto",Data_filtered!$J$2:$J$461,"&lt;&gt;Incompleto")=0, "-", SUMIFS(Data_filtered!$G$2:$G$461,Data_filtered!$A$2:$A$461,P$1,Data_filtered!$F$2:$F$461,$A14, Data_filtered!$D$2:$D$461,"eucalipto",Data_filtered!$J$2:$J$461,"&lt;&gt;Incompleto"))</f>
        <v>-</v>
      </c>
      <c r="Q14" s="108" t="str">
        <f>IF(SUMIFS(Data_filtered!$G$2:$G$461,Data_filtered!$A$2:$A$461,P$1,Data_filtered!$F$2:$F$461,$A14, Data_filtered!$D$2:$D$461,"mata",Data_filtered!$J$2:$J$461,"&lt;&gt;Incompleto")=0, "-", SUMIFS(Data_filtered!$G$2:$G$461,Data_filtered!$A$2:$A$461,P$1,Data_filtered!$F$2:$F$461,$A14, Data_filtered!$D$2:$D$461,"mata",Data_filtered!$J$2:$J$461,"&lt;&gt;Incompleto"))
</f>
        <v>-</v>
      </c>
      <c r="R14" s="106" t="str">
        <f>IF(SUMIFS(Data_filtered!$G$2:$G$461,Data_filtered!$A$2:$A$461,R$1,Data_filtered!$F$2:$F$461,$A14, Data_filtered!$D$2:$D$461,"eucalipto",Data_filtered!$J$2:$J$461,"&lt;&gt;Incompleto")=0, "-", SUMIFS(Data_filtered!$G$2:$G$461,Data_filtered!$A$2:$A$461,R$1,Data_filtered!$F$2:$F$461,$A14, Data_filtered!$D$2:$D$461,"eucalipto",Data_filtered!$J$2:$J$461,"&lt;&gt;Incompleto"))</f>
        <v>-</v>
      </c>
      <c r="S14" s="108" t="str">
        <f>IF(SUMIFS(Data_filtered!$G$2:$G$461,Data_filtered!$A$2:$A$461,R$1,Data_filtered!$F$2:$F$461,$A14, Data_filtered!$D$2:$D$461,"mata",Data_filtered!$J$2:$J$461,"&lt;&gt;Incompleto")=0, "-", SUMIFS(Data_filtered!$G$2:$G$461,Data_filtered!$A$2:$A$461,R$1,Data_filtered!$F$2:$F$461,$A14, Data_filtered!$D$2:$D$461,"mata",Data_filtered!$J$2:$J$461,"&lt;&gt;Incompleto"))
</f>
        <v>-</v>
      </c>
      <c r="T14" s="106" t="str">
        <f>IF(SUMIFS(Data_filtered!$G$2:$G$461,Data_filtered!$A$2:$A$461,T$1,Data_filtered!$F$2:$F$461,$A14, Data_filtered!$D$2:$D$461,"eucalipto",Data_filtered!$J$2:$J$461,"&lt;&gt;Incompleto")=0, "-", SUMIFS(Data_filtered!$G$2:$G$461,Data_filtered!$A$2:$A$461,T$1,Data_filtered!$F$2:$F$461,$A14, Data_filtered!$D$2:$D$461,"eucalipto",Data_filtered!$J$2:$J$461,"&lt;&gt;Incompleto"))</f>
        <v>-</v>
      </c>
      <c r="U14" s="108" t="str">
        <f>IF(SUMIFS(Data_filtered!$G$2:$G$461,Data_filtered!$A$2:$A$461,T$1,Data_filtered!$F$2:$F$461,$A14, Data_filtered!$D$2:$D$461,"mata",Data_filtered!$J$2:$J$461,"&lt;&gt;Incompleto")=0, "-", SUMIFS(Data_filtered!$G$2:$G$461,Data_filtered!$A$2:$A$461,T$1,Data_filtered!$F$2:$F$461,$A14, Data_filtered!$D$2:$D$461,"mata",Data_filtered!$J$2:$J$461,"&lt;&gt;Incompleto"))
</f>
        <v>-</v>
      </c>
      <c r="V14" s="106" t="str">
        <f>IF(SUMIFS(Data_filtered!$G$2:$G$461,Data_filtered!$A$2:$A$461,V$1,Data_filtered!$F$2:$F$461,$A14, Data_filtered!$D$2:$D$461,"eucalipto",Data_filtered!$J$2:$J$461,"&lt;&gt;Incompleto")=0, "-", SUMIFS(Data_filtered!$G$2:$G$461,Data_filtered!$A$2:$A$461,V$1,Data_filtered!$F$2:$F$461,$A14, Data_filtered!$D$2:$D$461,"eucalipto",Data_filtered!$J$2:$J$461,"&lt;&gt;Incompleto"))</f>
        <v>-</v>
      </c>
      <c r="W14" s="108" t="str">
        <f>IF(SUMIFS(Data_filtered!$G$2:$G$461,Data_filtered!$A$2:$A$461,V$1,Data_filtered!$F$2:$F$461,$A14, Data_filtered!$D$2:$D$461,"mata",Data_filtered!$J$2:$J$461,"&lt;&gt;Incompleto")=0, "-", SUMIFS(Data_filtered!$G$2:$G$461,Data_filtered!$A$2:$A$461,V$1,Data_filtered!$F$2:$F$461,$A14, Data_filtered!$D$2:$D$461,"mata",Data_filtered!$J$2:$J$461,"&lt;&gt;Incompleto"))
</f>
        <v>-</v>
      </c>
      <c r="X14" s="106" t="str">
        <f>IF(SUMIFS(Data_filtered!$G$2:$G$461,Data_filtered!$A$2:$A$461,X$1,Data_filtered!$F$2:$F$461,$A14, Data_filtered!$D$2:$D$461,"eucalipto",Data_filtered!$J$2:$J$461,"&lt;&gt;Incompleto")=0, "-", SUMIFS(Data_filtered!$G$2:$G$461,Data_filtered!$A$2:$A$461,X$1,Data_filtered!$F$2:$F$461,$A14, Data_filtered!$D$2:$D$461,"eucalipto",Data_filtered!$J$2:$J$461,"&lt;&gt;Incompleto"))</f>
        <v>-</v>
      </c>
      <c r="Y14" s="108" t="str">
        <f>IF(SUMIFS(Data_filtered!$G$2:$G$461,Data_filtered!$A$2:$A$461,X$1,Data_filtered!$F$2:$F$461,$A14, Data_filtered!$D$2:$D$461,"mata",Data_filtered!$J$2:$J$461,"&lt;&gt;Incompleto")=0, "-", SUMIFS(Data_filtered!$G$2:$G$461,Data_filtered!$A$2:$A$461,X$1,Data_filtered!$F$2:$F$461,$A14, Data_filtered!$D$2:$D$461,"mata",Data_filtered!$J$2:$J$461,"&lt;&gt;Incompleto"))
</f>
        <v>-</v>
      </c>
      <c r="Z14" s="106" t="str">
        <f>IF(SUMIFS(Data_filtered!$G$2:$G$461,Data_filtered!$A$2:$A$461,Z$1,Data_filtered!$F$2:$F$461,$A14, Data_filtered!$D$2:$D$461,"eucalipto",Data_filtered!$J$2:$J$461,"&lt;&gt;Incompleto")=0, "-", SUMIFS(Data_filtered!$G$2:$G$461,Data_filtered!$A$2:$A$461,Z$1,Data_filtered!$F$2:$F$461,$A14, Data_filtered!$D$2:$D$461,"eucalipto",Data_filtered!$J$2:$J$461,"&lt;&gt;Incompleto"))</f>
        <v>-</v>
      </c>
      <c r="AA14" s="108" t="str">
        <f>IF(SUMIFS(Data_filtered!$G$2:$G$461,Data_filtered!$A$2:$A$461,Z$1,Data_filtered!$F$2:$F$461,$A14, Data_filtered!$D$2:$D$461,"mata",Data_filtered!$J$2:$J$461,"&lt;&gt;Incompleto")=0, "-", SUMIFS(Data_filtered!$G$2:$G$461,Data_filtered!$A$2:$A$461,Z$1,Data_filtered!$F$2:$F$461,$A14, Data_filtered!$D$2:$D$461,"mata",Data_filtered!$J$2:$J$461,"&lt;&gt;Incompleto"))
</f>
        <v>-</v>
      </c>
      <c r="AB14" s="106" t="str">
        <f>IF(SUMIFS(Data_filtered!$G$2:$G$461,Data_filtered!$A$2:$A$461,AB$1,Data_filtered!$F$2:$F$461,$A14, Data_filtered!$D$2:$D$461,"eucalipto",Data_filtered!$J$2:$J$461,"&lt;&gt;Incompleto")=0, "-", SUMIFS(Data_filtered!$G$2:$G$461,Data_filtered!$A$2:$A$461,AB$1,Data_filtered!$F$2:$F$461,$A14, Data_filtered!$D$2:$D$461,"eucalipto",Data_filtered!$J$2:$J$461,"&lt;&gt;Incompleto"))</f>
        <v>-</v>
      </c>
      <c r="AC14" s="108" t="str">
        <f>IF(SUMIFS(Data_filtered!$G$2:$G$461,Data_filtered!$A$2:$A$461,AB$1,Data_filtered!$F$2:$F$461,$A14, Data_filtered!$D$2:$D$461,"mata",Data_filtered!$J$2:$J$461,"&lt;&gt;Incompleto")=0, "-", SUMIFS(Data_filtered!$G$2:$G$461,Data_filtered!$A$2:$A$461,AB$1,Data_filtered!$F$2:$F$461,$A14, Data_filtered!$D$2:$D$461,"mata",Data_filtered!$J$2:$J$461,"&lt;&gt;Incompleto"))
</f>
        <v>-</v>
      </c>
      <c r="AD14" s="106" t="str">
        <f>IF(SUMIFS(Data_filtered!$G$2:$G$461,Data_filtered!$A$2:$A$461,AD$1,Data_filtered!$F$2:$F$461,$A14, Data_filtered!$D$2:$D$461,"eucalipto",Data_filtered!$J$2:$J$461,"&lt;&gt;Incompleto")=0, "-", SUMIFS(Data_filtered!$G$2:$G$461,Data_filtered!$A$2:$A$461,AD$1,Data_filtered!$F$2:$F$461,$A14, Data_filtered!$D$2:$D$461,"eucalipto",Data_filtered!$J$2:$J$461,"&lt;&gt;Incompleto"))</f>
        <v>-</v>
      </c>
      <c r="AE14" s="108" t="str">
        <f>IF(SUMIFS(Data_filtered!$G$2:$G$461,Data_filtered!$A$2:$A$461,AD$1,Data_filtered!$F$2:$F$461,$A14, Data_filtered!$D$2:$D$461,"mata",Data_filtered!$J$2:$J$461,"&lt;&gt;Incompleto")=0, "-", SUMIFS(Data_filtered!$G$2:$G$461,Data_filtered!$A$2:$A$461,AD$1,Data_filtered!$F$2:$F$461,$A14, Data_filtered!$D$2:$D$461,"mata",Data_filtered!$J$2:$J$461,"&lt;&gt;Incompleto"))
</f>
        <v>-</v>
      </c>
      <c r="AF14" s="106" t="str">
        <f>IF(SUMIFS(Data_filtered!$G$2:$G$461,Data_filtered!$A$2:$A$461,AF$1,Data_filtered!$F$2:$F$461,$A14, Data_filtered!$D$2:$D$461,"eucalipto",Data_filtered!$J$2:$J$461,"&lt;&gt;Incompleto")=0, "-", SUMIFS(Data_filtered!$G$2:$G$461,Data_filtered!$A$2:$A$461,AF$1,Data_filtered!$F$2:$F$461,$A14, Data_filtered!$D$2:$D$461,"eucalipto",Data_filtered!$J$2:$J$461,"&lt;&gt;Incompleto"))</f>
        <v>-</v>
      </c>
      <c r="AG14" s="108" t="str">
        <f>IF(SUMIFS(Data_filtered!$G$2:$G$461,Data_filtered!$A$2:$A$461,AF$1,Data_filtered!$F$2:$F$461,$A14, Data_filtered!$D$2:$D$461,"mata",Data_filtered!$J$2:$J$461,"&lt;&gt;Incompleto")=0, "-", SUMIFS(Data_filtered!$G$2:$G$461,Data_filtered!$A$2:$A$461,AF$1,Data_filtered!$F$2:$F$461,$A14, Data_filtered!$D$2:$D$461,"mata",Data_filtered!$J$2:$J$461,"&lt;&gt;Incompleto"))
</f>
        <v>-</v>
      </c>
      <c r="AH14" s="106" t="str">
        <f>IF(SUMIFS(Data_filtered!$G$2:$G$461,Data_filtered!$A$2:$A$461,AH$1,Data_filtered!$F$2:$F$461,$A14, Data_filtered!$D$2:$D$461,"eucalipto",Data_filtered!$J$2:$J$461,"&lt;&gt;Incompleto")=0, "-", SUMIFS(Data_filtered!$G$2:$G$461,Data_filtered!$A$2:$A$461,AH$1,Data_filtered!$F$2:$F$461,$A14, Data_filtered!$D$2:$D$461,"eucalipto",Data_filtered!$J$2:$J$461,"&lt;&gt;Incompleto"))</f>
        <v>-</v>
      </c>
      <c r="AI14" s="108" t="str">
        <f>IF(SUMIFS(Data_filtered!$G$2:$G$461,Data_filtered!$A$2:$A$461,AH$1,Data_filtered!$F$2:$F$461,$A14, Data_filtered!$D$2:$D$461,"mata",Data_filtered!$J$2:$J$461,"&lt;&gt;Incompleto")=0, "-", SUMIFS(Data_filtered!$G$2:$G$461,Data_filtered!$A$2:$A$461,AH$1,Data_filtered!$F$2:$F$461,$A14, Data_filtered!$D$2:$D$461,"mata",Data_filtered!$J$2:$J$461,"&lt;&gt;Incompleto"))
</f>
        <v>-</v>
      </c>
      <c r="AJ14" s="106" t="str">
        <f>IF(SUMIFS(Data_filtered!$G$2:$G$461,Data_filtered!$A$2:$A$461,AJ$1,Data_filtered!$F$2:$F$461,$A14, Data_filtered!$D$2:$D$461,"eucalipto",Data_filtered!$J$2:$J$461,"&lt;&gt;Incompleto")=0, "-", SUMIFS(Data_filtered!$G$2:$G$461,Data_filtered!$A$2:$A$461,AJ$1,Data_filtered!$F$2:$F$461,$A14, Data_filtered!$D$2:$D$461,"eucalipto",Data_filtered!$J$2:$J$461,"&lt;&gt;Incompleto"))</f>
        <v>-</v>
      </c>
      <c r="AK14" s="108" t="str">
        <f>IF(SUMIFS(Data_filtered!$G$2:$G$461,Data_filtered!$A$2:$A$461,AJ$1,Data_filtered!$F$2:$F$461,$A14, Data_filtered!$D$2:$D$461,"mata",Data_filtered!$J$2:$J$461,"&lt;&gt;Incompleto")=0, "-", SUMIFS(Data_filtered!$G$2:$G$461,Data_filtered!$A$2:$A$461,AJ$1,Data_filtered!$F$2:$F$461,$A14, Data_filtered!$D$2:$D$461,"mata",Data_filtered!$J$2:$J$461,"&lt;&gt;Incompleto"))
</f>
        <v>-</v>
      </c>
      <c r="AL14" s="106" t="str">
        <f>IF(SUMIFS(Data_filtered!$G$2:$G$461,Data_filtered!$A$2:$A$461,AL$1,Data_filtered!$F$2:$F$461,$A14, Data_filtered!$D$2:$D$461,"eucalipto",Data_filtered!$J$2:$J$461,"&lt;&gt;Incompleto")=0, "-", SUMIFS(Data_filtered!$G$2:$G$461,Data_filtered!$A$2:$A$461,AL$1,Data_filtered!$F$2:$F$461,$A14, Data_filtered!$D$2:$D$461,"eucalipto",Data_filtered!$J$2:$J$461,"&lt;&gt;Incompleto"))</f>
        <v>-</v>
      </c>
      <c r="AM14" s="108" t="str">
        <f>IF(SUMIFS(Data_filtered!$G$2:$G$461,Data_filtered!$A$2:$A$461,AL$1,Data_filtered!$F$2:$F$461,$A14, Data_filtered!$D$2:$D$461,"mata",Data_filtered!$J$2:$J$461,"&lt;&gt;Incompleto")=0, "-", SUMIFS(Data_filtered!$G$2:$G$461,Data_filtered!$A$2:$A$461,AL$1,Data_filtered!$F$2:$F$461,$A14, Data_filtered!$D$2:$D$461,"mata",Data_filtered!$J$2:$J$461,"&lt;&gt;Incompleto"))
</f>
        <v>-</v>
      </c>
      <c r="AN14" s="106" t="str">
        <f>IF(SUMIFS(Data_filtered!$G$2:$G$461,Data_filtered!$A$2:$A$461,AN$1,Data_filtered!$F$2:$F$461,$A14, Data_filtered!$D$2:$D$461,"eucalipto",Data_filtered!$J$2:$J$461,"&lt;&gt;Incompleto")=0, "-", SUMIFS(Data_filtered!$G$2:$G$461,Data_filtered!$A$2:$A$461,AN$1,Data_filtered!$F$2:$F$461,$A14, Data_filtered!$D$2:$D$461,"eucalipto",Data_filtered!$J$2:$J$461,"&lt;&gt;Incompleto"))</f>
        <v>-</v>
      </c>
      <c r="AO14" s="108">
        <f>IF(SUMIFS(Data_filtered!$G$2:$G$461,Data_filtered!$A$2:$A$461,AN$1,Data_filtered!$F$2:$F$461,$A14, Data_filtered!$D$2:$D$461,"mata",Data_filtered!$J$2:$J$461,"&lt;&gt;Incompleto")=0, "-", SUMIFS(Data_filtered!$G$2:$G$461,Data_filtered!$A$2:$A$461,AN$1,Data_filtered!$F$2:$F$461,$A14, Data_filtered!$D$2:$D$461,"mata",Data_filtered!$J$2:$J$461,"&lt;&gt;Incompleto"))
</f>
        <v>1</v>
      </c>
      <c r="AP14" s="106" t="str">
        <f>IF(SUMIFS(Data_filtered!$G$2:$G$461,Data_filtered!$A$2:$A$461,AP$1,Data_filtered!$F$2:$F$461,$A14, Data_filtered!$D$2:$D$461,"eucalipto",Data_filtered!$J$2:$J$461,"&lt;&gt;Incompleto")=0, "-", SUMIFS(Data_filtered!$G$2:$G$461,Data_filtered!$A$2:$A$461,AP$1,Data_filtered!$F$2:$F$461,$A14, Data_filtered!$D$2:$D$461,"eucalipto",Data_filtered!$J$2:$J$461,"&lt;&gt;Incompleto"))</f>
        <v>-</v>
      </c>
      <c r="AQ14" s="108" t="str">
        <f>IF(SUMIFS(Data_filtered!$G$2:$G$461,Data_filtered!$A$2:$A$461,AP$1,Data_filtered!$F$2:$F$461,$A14, Data_filtered!$D$2:$D$461,"mata",Data_filtered!$J$2:$J$461,"&lt;&gt;Incompleto")=0, "-", SUMIFS(Data_filtered!$G$2:$G$461,Data_filtered!$A$2:$A$461,AP$1,Data_filtered!$F$2:$F$461,$A14, Data_filtered!$D$2:$D$461,"mata",Data_filtered!$J$2:$J$461,"&lt;&gt;Incompleto"))
</f>
        <v>-</v>
      </c>
      <c r="AR14" s="106" t="str">
        <f>IF(SUMIFS(Data_filtered!$G$2:$G$461,Data_filtered!$A$2:$A$461,AR$1,Data_filtered!$F$2:$F$461,$A14, Data_filtered!$D$2:$D$461,"eucalipto",Data_filtered!$J$2:$J$461,"&lt;&gt;Incompleto")=0, "-", SUMIFS(Data_filtered!$G$2:$G$461,Data_filtered!$A$2:$A$461,AR$1,Data_filtered!$F$2:$F$461,$A14, Data_filtered!$D$2:$D$461,"eucalipto",Data_filtered!$J$2:$J$461,"&lt;&gt;Incompleto"))</f>
        <v>-</v>
      </c>
      <c r="AS14" s="108" t="str">
        <f>IF(SUMIFS(Data_filtered!$G$2:$G$461,Data_filtered!$A$2:$A$461,AR$1,Data_filtered!$F$2:$F$461,$A14, Data_filtered!$D$2:$D$461,"mata",Data_filtered!$J$2:$J$461,"&lt;&gt;Incompleto")=0, "-", SUMIFS(Data_filtered!$G$2:$G$461,Data_filtered!$A$2:$A$461,AR$1,Data_filtered!$F$2:$F$461,$A14, Data_filtered!$D$2:$D$461,"mata",Data_filtered!$J$2:$J$461,"&lt;&gt;Incompleto"))
</f>
        <v>-</v>
      </c>
    </row>
    <row r="15">
      <c r="A15" s="68" t="str">
        <f>IFERROR(__xludf.DUMMYFUNCTION("""COMPUTED_VALUE"""),"Heteroptera")</f>
        <v>Heteroptera</v>
      </c>
      <c r="B15" s="106" t="str">
        <f>IF(SUMIFS(Data_filtered!$G$2:$G$461,Data_filtered!$A$2:$A$461,B$1,Data_filtered!$F$2:$F$461,$A15, Data_filtered!$D$2:$D$461,"eucalipto",Data_filtered!$J$2:$J$461,"&lt;&gt;Incompleto")=0, "-", SUMIFS(Data_filtered!$G$2:$G$461,Data_filtered!$A$2:$A$461,B$1,Data_filtered!$F$2:$F$461,$A15, Data_filtered!$D$2:$D$461,"eucalipto",Data_filtered!$J$2:$J$461,"&lt;&gt;Incompleto"))</f>
        <v>-</v>
      </c>
      <c r="C15" s="108" t="str">
        <f>IF(SUMIFS(Data_filtered!$G$2:$G$461,Data_filtered!$A$2:$A$461,B$1,Data_filtered!$F$2:$F$461,$A15, Data_filtered!$D$2:$D$461,"mata",Data_filtered!$J$2:$J$461,"&lt;&gt;Incompleto")=0, "-", SUMIFS(Data_filtered!$G$2:$G$461,Data_filtered!$A$2:$A$461,B$1,Data_filtered!$F$2:$F$461,$A15, Data_filtered!$D$2:$D$461,"mata",Data_filtered!$J$2:$J$461,"&lt;&gt;Incompleto"))
</f>
        <v>-</v>
      </c>
      <c r="D15" s="106" t="str">
        <f>IF(SUMIFS(Data_filtered!$G$2:$G$461,Data_filtered!$A$2:$A$461,D$1,Data_filtered!$F$2:$F$461,$A15, Data_filtered!$D$2:$D$461,"eucalipto",Data_filtered!$J$2:$J$461,"&lt;&gt;Incompleto")=0, "-", SUMIFS(Data_filtered!$G$2:$G$461,Data_filtered!$A$2:$A$461,D$1,Data_filtered!$F$2:$F$461,$A15, Data_filtered!$D$2:$D$461,"eucalipto",Data_filtered!$J$2:$J$461,"&lt;&gt;Incompleto"))</f>
        <v>-</v>
      </c>
      <c r="E15" s="108" t="str">
        <f>IF(SUMIFS(Data_filtered!$G$2:$G$461,Data_filtered!$A$2:$A$461,D$1,Data_filtered!$F$2:$F$461,$A15, Data_filtered!$D$2:$D$461,"mata",Data_filtered!$J$2:$J$461,"&lt;&gt;Incompleto")=0, "-", SUMIFS(Data_filtered!$G$2:$G$461,Data_filtered!$A$2:$A$461,D$1,Data_filtered!$F$2:$F$461,$A15, Data_filtered!$D$2:$D$461,"mata",Data_filtered!$J$2:$J$461,"&lt;&gt;Incompleto"))
</f>
        <v>-</v>
      </c>
      <c r="F15" s="106" t="str">
        <f>IF(SUMIFS(Data_filtered!$G$2:$G$461,Data_filtered!$A$2:$A$461,F$1,Data_filtered!$F$2:$F$461,$A15, Data_filtered!$D$2:$D$461,"eucalipto",Data_filtered!$J$2:$J$461,"&lt;&gt;Incompleto")=0, "-", SUMIFS(Data_filtered!$G$2:$G$461,Data_filtered!$A$2:$A$461,F$1,Data_filtered!$F$2:$F$461,$A15, Data_filtered!$D$2:$D$461,"eucalipto",Data_filtered!$J$2:$J$461,"&lt;&gt;Incompleto"))</f>
        <v>-</v>
      </c>
      <c r="G15" s="108" t="str">
        <f>IF(SUMIFS(Data_filtered!$G$2:$G$461,Data_filtered!$A$2:$A$461,F$1,Data_filtered!$F$2:$F$461,$A15, Data_filtered!$D$2:$D$461,"mata",Data_filtered!$J$2:$J$461,"&lt;&gt;Incompleto")=0, "-", SUMIFS(Data_filtered!$G$2:$G$461,Data_filtered!$A$2:$A$461,F$1,Data_filtered!$F$2:$F$461,$A15, Data_filtered!$D$2:$D$461,"mata",Data_filtered!$J$2:$J$461,"&lt;&gt;Incompleto"))
</f>
        <v>-</v>
      </c>
      <c r="H15" s="106" t="str">
        <f>IF(SUMIFS(Data_filtered!$G$2:$G$461,Data_filtered!$A$2:$A$461,H$1,Data_filtered!$F$2:$F$461,$A15, Data_filtered!$D$2:$D$461,"eucalipto",Data_filtered!$J$2:$J$461,"&lt;&gt;Incompleto")=0, "-", SUMIFS(Data_filtered!$G$2:$G$461,Data_filtered!$A$2:$A$461,H$1,Data_filtered!$F$2:$F$461,$A15, Data_filtered!$D$2:$D$461,"eucalipto",Data_filtered!$J$2:$J$461,"&lt;&gt;Incompleto"))</f>
        <v>-</v>
      </c>
      <c r="I15" s="108">
        <f>IF(SUMIFS(Data_filtered!$G$2:$G$461,Data_filtered!$A$2:$A$461,H$1,Data_filtered!$F$2:$F$461,$A15, Data_filtered!$D$2:$D$461,"mata",Data_filtered!$J$2:$J$461,"&lt;&gt;Incompleto")=0, "-", SUMIFS(Data_filtered!$G$2:$G$461,Data_filtered!$A$2:$A$461,H$1,Data_filtered!$F$2:$F$461,$A15, Data_filtered!$D$2:$D$461,"mata",Data_filtered!$J$2:$J$461,"&lt;&gt;Incompleto"))
</f>
        <v>3</v>
      </c>
      <c r="J15" s="106" t="str">
        <f>IF(SUMIFS(Data_filtered!$G$2:$G$461,Data_filtered!$A$2:$A$461,J$1,Data_filtered!$F$2:$F$461,$A15, Data_filtered!$D$2:$D$461,"eucalipto",Data_filtered!$J$2:$J$461,"&lt;&gt;Incompleto")=0, "-", SUMIFS(Data_filtered!$G$2:$G$461,Data_filtered!$A$2:$A$461,J$1,Data_filtered!$F$2:$F$461,$A15, Data_filtered!$D$2:$D$461,"eucalipto",Data_filtered!$J$2:$J$461,"&lt;&gt;Incompleto"))</f>
        <v>-</v>
      </c>
      <c r="K15" s="108" t="str">
        <f>IF(SUMIFS(Data_filtered!$G$2:$G$461,Data_filtered!$A$2:$A$461,J$1,Data_filtered!$F$2:$F$461,$A15, Data_filtered!$D$2:$D$461,"mata",Data_filtered!$J$2:$J$461,"&lt;&gt;Incompleto")=0, "-", SUMIFS(Data_filtered!$G$2:$G$461,Data_filtered!$A$2:$A$461,J$1,Data_filtered!$F$2:$F$461,$A15, Data_filtered!$D$2:$D$461,"mata",Data_filtered!$J$2:$J$461,"&lt;&gt;Incompleto"))
</f>
        <v>-</v>
      </c>
      <c r="L15" s="106" t="str">
        <f>IF(SUMIFS(Data_filtered!$G$2:$G$461,Data_filtered!$A$2:$A$461,L$1,Data_filtered!$F$2:$F$461,$A15, Data_filtered!$D$2:$D$461,"eucalipto",Data_filtered!$J$2:$J$461,"&lt;&gt;Incompleto")=0, "-", SUMIFS(Data_filtered!$G$2:$G$461,Data_filtered!$A$2:$A$461,L$1,Data_filtered!$F$2:$F$461,$A15, Data_filtered!$D$2:$D$461,"eucalipto",Data_filtered!$J$2:$J$461,"&lt;&gt;Incompleto"))</f>
        <v>-</v>
      </c>
      <c r="M15" s="108" t="str">
        <f>IF(SUMIFS(Data_filtered!$G$2:$G$461,Data_filtered!$A$2:$A$461,L$1,Data_filtered!$F$2:$F$461,$A15, Data_filtered!$D$2:$D$461,"mata",Data_filtered!$J$2:$J$461,"&lt;&gt;Incompleto")=0, "-", SUMIFS(Data_filtered!$G$2:$G$461,Data_filtered!$A$2:$A$461,L$1,Data_filtered!$F$2:$F$461,$A15, Data_filtered!$D$2:$D$461,"mata",Data_filtered!$J$2:$J$461,"&lt;&gt;Incompleto"))
</f>
        <v>-</v>
      </c>
      <c r="N15" s="106" t="str">
        <f>IF(SUMIFS(Data_filtered!$G$2:$G$461,Data_filtered!$A$2:$A$461,N$1,Data_filtered!$F$2:$F$461,$A15, Data_filtered!$D$2:$D$461,"eucalipto",Data_filtered!$J$2:$J$461,"&lt;&gt;Incompleto")=0, "-", SUMIFS(Data_filtered!$G$2:$G$461,Data_filtered!$A$2:$A$461,N$1,Data_filtered!$F$2:$F$461,$A15, Data_filtered!$D$2:$D$461,"eucalipto",Data_filtered!$J$2:$J$461,"&lt;&gt;Incompleto"))</f>
        <v>-</v>
      </c>
      <c r="O15" s="108" t="str">
        <f>IF(SUMIFS(Data_filtered!$G$2:$G$461,Data_filtered!$A$2:$A$461,N$1,Data_filtered!$F$2:$F$461,$A15, Data_filtered!$D$2:$D$461,"mata",Data_filtered!$J$2:$J$461,"&lt;&gt;Incompleto")=0, "-", SUMIFS(Data_filtered!$G$2:$G$461,Data_filtered!$A$2:$A$461,N$1,Data_filtered!$F$2:$F$461,$A15, Data_filtered!$D$2:$D$461,"mata",Data_filtered!$J$2:$J$461,"&lt;&gt;Incompleto"))
</f>
        <v>-</v>
      </c>
      <c r="P15" s="106" t="str">
        <f>IF(SUMIFS(Data_filtered!$G$2:$G$461,Data_filtered!$A$2:$A$461,P$1,Data_filtered!$F$2:$F$461,$A15, Data_filtered!$D$2:$D$461,"eucalipto",Data_filtered!$J$2:$J$461,"&lt;&gt;Incompleto")=0, "-", SUMIFS(Data_filtered!$G$2:$G$461,Data_filtered!$A$2:$A$461,P$1,Data_filtered!$F$2:$F$461,$A15, Data_filtered!$D$2:$D$461,"eucalipto",Data_filtered!$J$2:$J$461,"&lt;&gt;Incompleto"))</f>
        <v>-</v>
      </c>
      <c r="Q15" s="108" t="str">
        <f>IF(SUMIFS(Data_filtered!$G$2:$G$461,Data_filtered!$A$2:$A$461,P$1,Data_filtered!$F$2:$F$461,$A15, Data_filtered!$D$2:$D$461,"mata",Data_filtered!$J$2:$J$461,"&lt;&gt;Incompleto")=0, "-", SUMIFS(Data_filtered!$G$2:$G$461,Data_filtered!$A$2:$A$461,P$1,Data_filtered!$F$2:$F$461,$A15, Data_filtered!$D$2:$D$461,"mata",Data_filtered!$J$2:$J$461,"&lt;&gt;Incompleto"))
</f>
        <v>-</v>
      </c>
      <c r="R15" s="106" t="str">
        <f>IF(SUMIFS(Data_filtered!$G$2:$G$461,Data_filtered!$A$2:$A$461,R$1,Data_filtered!$F$2:$F$461,$A15, Data_filtered!$D$2:$D$461,"eucalipto",Data_filtered!$J$2:$J$461,"&lt;&gt;Incompleto")=0, "-", SUMIFS(Data_filtered!$G$2:$G$461,Data_filtered!$A$2:$A$461,R$1,Data_filtered!$F$2:$F$461,$A15, Data_filtered!$D$2:$D$461,"eucalipto",Data_filtered!$J$2:$J$461,"&lt;&gt;Incompleto"))</f>
        <v>-</v>
      </c>
      <c r="S15" s="108" t="str">
        <f>IF(SUMIFS(Data_filtered!$G$2:$G$461,Data_filtered!$A$2:$A$461,R$1,Data_filtered!$F$2:$F$461,$A15, Data_filtered!$D$2:$D$461,"mata",Data_filtered!$J$2:$J$461,"&lt;&gt;Incompleto")=0, "-", SUMIFS(Data_filtered!$G$2:$G$461,Data_filtered!$A$2:$A$461,R$1,Data_filtered!$F$2:$F$461,$A15, Data_filtered!$D$2:$D$461,"mata",Data_filtered!$J$2:$J$461,"&lt;&gt;Incompleto"))
</f>
        <v>-</v>
      </c>
      <c r="T15" s="106" t="str">
        <f>IF(SUMIFS(Data_filtered!$G$2:$G$461,Data_filtered!$A$2:$A$461,T$1,Data_filtered!$F$2:$F$461,$A15, Data_filtered!$D$2:$D$461,"eucalipto",Data_filtered!$J$2:$J$461,"&lt;&gt;Incompleto")=0, "-", SUMIFS(Data_filtered!$G$2:$G$461,Data_filtered!$A$2:$A$461,T$1,Data_filtered!$F$2:$F$461,$A15, Data_filtered!$D$2:$D$461,"eucalipto",Data_filtered!$J$2:$J$461,"&lt;&gt;Incompleto"))</f>
        <v>-</v>
      </c>
      <c r="U15" s="108">
        <f>IF(SUMIFS(Data_filtered!$G$2:$G$461,Data_filtered!$A$2:$A$461,T$1,Data_filtered!$F$2:$F$461,$A15, Data_filtered!$D$2:$D$461,"mata",Data_filtered!$J$2:$J$461,"&lt;&gt;Incompleto")=0, "-", SUMIFS(Data_filtered!$G$2:$G$461,Data_filtered!$A$2:$A$461,T$1,Data_filtered!$F$2:$F$461,$A15, Data_filtered!$D$2:$D$461,"mata",Data_filtered!$J$2:$J$461,"&lt;&gt;Incompleto"))
</f>
        <v>1</v>
      </c>
      <c r="V15" s="106" t="str">
        <f>IF(SUMIFS(Data_filtered!$G$2:$G$461,Data_filtered!$A$2:$A$461,V$1,Data_filtered!$F$2:$F$461,$A15, Data_filtered!$D$2:$D$461,"eucalipto",Data_filtered!$J$2:$J$461,"&lt;&gt;Incompleto")=0, "-", SUMIFS(Data_filtered!$G$2:$G$461,Data_filtered!$A$2:$A$461,V$1,Data_filtered!$F$2:$F$461,$A15, Data_filtered!$D$2:$D$461,"eucalipto",Data_filtered!$J$2:$J$461,"&lt;&gt;Incompleto"))</f>
        <v>-</v>
      </c>
      <c r="W15" s="108" t="str">
        <f>IF(SUMIFS(Data_filtered!$G$2:$G$461,Data_filtered!$A$2:$A$461,V$1,Data_filtered!$F$2:$F$461,$A15, Data_filtered!$D$2:$D$461,"mata",Data_filtered!$J$2:$J$461,"&lt;&gt;Incompleto")=0, "-", SUMIFS(Data_filtered!$G$2:$G$461,Data_filtered!$A$2:$A$461,V$1,Data_filtered!$F$2:$F$461,$A15, Data_filtered!$D$2:$D$461,"mata",Data_filtered!$J$2:$J$461,"&lt;&gt;Incompleto"))
</f>
        <v>-</v>
      </c>
      <c r="X15" s="106" t="str">
        <f>IF(SUMIFS(Data_filtered!$G$2:$G$461,Data_filtered!$A$2:$A$461,X$1,Data_filtered!$F$2:$F$461,$A15, Data_filtered!$D$2:$D$461,"eucalipto",Data_filtered!$J$2:$J$461,"&lt;&gt;Incompleto")=0, "-", SUMIFS(Data_filtered!$G$2:$G$461,Data_filtered!$A$2:$A$461,X$1,Data_filtered!$F$2:$F$461,$A15, Data_filtered!$D$2:$D$461,"eucalipto",Data_filtered!$J$2:$J$461,"&lt;&gt;Incompleto"))</f>
        <v>-</v>
      </c>
      <c r="Y15" s="108">
        <f>IF(SUMIFS(Data_filtered!$G$2:$G$461,Data_filtered!$A$2:$A$461,X$1,Data_filtered!$F$2:$F$461,$A15, Data_filtered!$D$2:$D$461,"mata",Data_filtered!$J$2:$J$461,"&lt;&gt;Incompleto")=0, "-", SUMIFS(Data_filtered!$G$2:$G$461,Data_filtered!$A$2:$A$461,X$1,Data_filtered!$F$2:$F$461,$A15, Data_filtered!$D$2:$D$461,"mata",Data_filtered!$J$2:$J$461,"&lt;&gt;Incompleto"))
</f>
        <v>1</v>
      </c>
      <c r="Z15" s="106" t="str">
        <f>IF(SUMIFS(Data_filtered!$G$2:$G$461,Data_filtered!$A$2:$A$461,Z$1,Data_filtered!$F$2:$F$461,$A15, Data_filtered!$D$2:$D$461,"eucalipto",Data_filtered!$J$2:$J$461,"&lt;&gt;Incompleto")=0, "-", SUMIFS(Data_filtered!$G$2:$G$461,Data_filtered!$A$2:$A$461,Z$1,Data_filtered!$F$2:$F$461,$A15, Data_filtered!$D$2:$D$461,"eucalipto",Data_filtered!$J$2:$J$461,"&lt;&gt;Incompleto"))</f>
        <v>-</v>
      </c>
      <c r="AA15" s="108" t="str">
        <f>IF(SUMIFS(Data_filtered!$G$2:$G$461,Data_filtered!$A$2:$A$461,Z$1,Data_filtered!$F$2:$F$461,$A15, Data_filtered!$D$2:$D$461,"mata",Data_filtered!$J$2:$J$461,"&lt;&gt;Incompleto")=0, "-", SUMIFS(Data_filtered!$G$2:$G$461,Data_filtered!$A$2:$A$461,Z$1,Data_filtered!$F$2:$F$461,$A15, Data_filtered!$D$2:$D$461,"mata",Data_filtered!$J$2:$J$461,"&lt;&gt;Incompleto"))
</f>
        <v>-</v>
      </c>
      <c r="AB15" s="106" t="str">
        <f>IF(SUMIFS(Data_filtered!$G$2:$G$461,Data_filtered!$A$2:$A$461,AB$1,Data_filtered!$F$2:$F$461,$A15, Data_filtered!$D$2:$D$461,"eucalipto",Data_filtered!$J$2:$J$461,"&lt;&gt;Incompleto")=0, "-", SUMIFS(Data_filtered!$G$2:$G$461,Data_filtered!$A$2:$A$461,AB$1,Data_filtered!$F$2:$F$461,$A15, Data_filtered!$D$2:$D$461,"eucalipto",Data_filtered!$J$2:$J$461,"&lt;&gt;Incompleto"))</f>
        <v>-</v>
      </c>
      <c r="AC15" s="108" t="str">
        <f>IF(SUMIFS(Data_filtered!$G$2:$G$461,Data_filtered!$A$2:$A$461,AB$1,Data_filtered!$F$2:$F$461,$A15, Data_filtered!$D$2:$D$461,"mata",Data_filtered!$J$2:$J$461,"&lt;&gt;Incompleto")=0, "-", SUMIFS(Data_filtered!$G$2:$G$461,Data_filtered!$A$2:$A$461,AB$1,Data_filtered!$F$2:$F$461,$A15, Data_filtered!$D$2:$D$461,"mata",Data_filtered!$J$2:$J$461,"&lt;&gt;Incompleto"))
</f>
        <v>-</v>
      </c>
      <c r="AD15" s="106" t="str">
        <f>IF(SUMIFS(Data_filtered!$G$2:$G$461,Data_filtered!$A$2:$A$461,AD$1,Data_filtered!$F$2:$F$461,$A15, Data_filtered!$D$2:$D$461,"eucalipto",Data_filtered!$J$2:$J$461,"&lt;&gt;Incompleto")=0, "-", SUMIFS(Data_filtered!$G$2:$G$461,Data_filtered!$A$2:$A$461,AD$1,Data_filtered!$F$2:$F$461,$A15, Data_filtered!$D$2:$D$461,"eucalipto",Data_filtered!$J$2:$J$461,"&lt;&gt;Incompleto"))</f>
        <v>-</v>
      </c>
      <c r="AE15" s="108" t="str">
        <f>IF(SUMIFS(Data_filtered!$G$2:$G$461,Data_filtered!$A$2:$A$461,AD$1,Data_filtered!$F$2:$F$461,$A15, Data_filtered!$D$2:$D$461,"mata",Data_filtered!$J$2:$J$461,"&lt;&gt;Incompleto")=0, "-", SUMIFS(Data_filtered!$G$2:$G$461,Data_filtered!$A$2:$A$461,AD$1,Data_filtered!$F$2:$F$461,$A15, Data_filtered!$D$2:$D$461,"mata",Data_filtered!$J$2:$J$461,"&lt;&gt;Incompleto"))
</f>
        <v>-</v>
      </c>
      <c r="AF15" s="106" t="str">
        <f>IF(SUMIFS(Data_filtered!$G$2:$G$461,Data_filtered!$A$2:$A$461,AF$1,Data_filtered!$F$2:$F$461,$A15, Data_filtered!$D$2:$D$461,"eucalipto",Data_filtered!$J$2:$J$461,"&lt;&gt;Incompleto")=0, "-", SUMIFS(Data_filtered!$G$2:$G$461,Data_filtered!$A$2:$A$461,AF$1,Data_filtered!$F$2:$F$461,$A15, Data_filtered!$D$2:$D$461,"eucalipto",Data_filtered!$J$2:$J$461,"&lt;&gt;Incompleto"))</f>
        <v>-</v>
      </c>
      <c r="AG15" s="108" t="str">
        <f>IF(SUMIFS(Data_filtered!$G$2:$G$461,Data_filtered!$A$2:$A$461,AF$1,Data_filtered!$F$2:$F$461,$A15, Data_filtered!$D$2:$D$461,"mata",Data_filtered!$J$2:$J$461,"&lt;&gt;Incompleto")=0, "-", SUMIFS(Data_filtered!$G$2:$G$461,Data_filtered!$A$2:$A$461,AF$1,Data_filtered!$F$2:$F$461,$A15, Data_filtered!$D$2:$D$461,"mata",Data_filtered!$J$2:$J$461,"&lt;&gt;Incompleto"))
</f>
        <v>-</v>
      </c>
      <c r="AH15" s="106" t="str">
        <f>IF(SUMIFS(Data_filtered!$G$2:$G$461,Data_filtered!$A$2:$A$461,AH$1,Data_filtered!$F$2:$F$461,$A15, Data_filtered!$D$2:$D$461,"eucalipto",Data_filtered!$J$2:$J$461,"&lt;&gt;Incompleto")=0, "-", SUMIFS(Data_filtered!$G$2:$G$461,Data_filtered!$A$2:$A$461,AH$1,Data_filtered!$F$2:$F$461,$A15, Data_filtered!$D$2:$D$461,"eucalipto",Data_filtered!$J$2:$J$461,"&lt;&gt;Incompleto"))</f>
        <v>-</v>
      </c>
      <c r="AI15" s="108" t="str">
        <f>IF(SUMIFS(Data_filtered!$G$2:$G$461,Data_filtered!$A$2:$A$461,AH$1,Data_filtered!$F$2:$F$461,$A15, Data_filtered!$D$2:$D$461,"mata",Data_filtered!$J$2:$J$461,"&lt;&gt;Incompleto")=0, "-", SUMIFS(Data_filtered!$G$2:$G$461,Data_filtered!$A$2:$A$461,AH$1,Data_filtered!$F$2:$F$461,$A15, Data_filtered!$D$2:$D$461,"mata",Data_filtered!$J$2:$J$461,"&lt;&gt;Incompleto"))
</f>
        <v>-</v>
      </c>
      <c r="AJ15" s="106" t="str">
        <f>IF(SUMIFS(Data_filtered!$G$2:$G$461,Data_filtered!$A$2:$A$461,AJ$1,Data_filtered!$F$2:$F$461,$A15, Data_filtered!$D$2:$D$461,"eucalipto",Data_filtered!$J$2:$J$461,"&lt;&gt;Incompleto")=0, "-", SUMIFS(Data_filtered!$G$2:$G$461,Data_filtered!$A$2:$A$461,AJ$1,Data_filtered!$F$2:$F$461,$A15, Data_filtered!$D$2:$D$461,"eucalipto",Data_filtered!$J$2:$J$461,"&lt;&gt;Incompleto"))</f>
        <v>-</v>
      </c>
      <c r="AK15" s="108">
        <f>IF(SUMIFS(Data_filtered!$G$2:$G$461,Data_filtered!$A$2:$A$461,AJ$1,Data_filtered!$F$2:$F$461,$A15, Data_filtered!$D$2:$D$461,"mata",Data_filtered!$J$2:$J$461,"&lt;&gt;Incompleto")=0, "-", SUMIFS(Data_filtered!$G$2:$G$461,Data_filtered!$A$2:$A$461,AJ$1,Data_filtered!$F$2:$F$461,$A15, Data_filtered!$D$2:$D$461,"mata",Data_filtered!$J$2:$J$461,"&lt;&gt;Incompleto"))
</f>
        <v>1</v>
      </c>
      <c r="AL15" s="106" t="str">
        <f>IF(SUMIFS(Data_filtered!$G$2:$G$461,Data_filtered!$A$2:$A$461,AL$1,Data_filtered!$F$2:$F$461,$A15, Data_filtered!$D$2:$D$461,"eucalipto",Data_filtered!$J$2:$J$461,"&lt;&gt;Incompleto")=0, "-", SUMIFS(Data_filtered!$G$2:$G$461,Data_filtered!$A$2:$A$461,AL$1,Data_filtered!$F$2:$F$461,$A15, Data_filtered!$D$2:$D$461,"eucalipto",Data_filtered!$J$2:$J$461,"&lt;&gt;Incompleto"))</f>
        <v>-</v>
      </c>
      <c r="AM15" s="108">
        <f>IF(SUMIFS(Data_filtered!$G$2:$G$461,Data_filtered!$A$2:$A$461,AL$1,Data_filtered!$F$2:$F$461,$A15, Data_filtered!$D$2:$D$461,"mata",Data_filtered!$J$2:$J$461,"&lt;&gt;Incompleto")=0, "-", SUMIFS(Data_filtered!$G$2:$G$461,Data_filtered!$A$2:$A$461,AL$1,Data_filtered!$F$2:$F$461,$A15, Data_filtered!$D$2:$D$461,"mata",Data_filtered!$J$2:$J$461,"&lt;&gt;Incompleto"))
</f>
        <v>2</v>
      </c>
      <c r="AN15" s="106" t="str">
        <f>IF(SUMIFS(Data_filtered!$G$2:$G$461,Data_filtered!$A$2:$A$461,AN$1,Data_filtered!$F$2:$F$461,$A15, Data_filtered!$D$2:$D$461,"eucalipto",Data_filtered!$J$2:$J$461,"&lt;&gt;Incompleto")=0, "-", SUMIFS(Data_filtered!$G$2:$G$461,Data_filtered!$A$2:$A$461,AN$1,Data_filtered!$F$2:$F$461,$A15, Data_filtered!$D$2:$D$461,"eucalipto",Data_filtered!$J$2:$J$461,"&lt;&gt;Incompleto"))</f>
        <v>-</v>
      </c>
      <c r="AO15" s="108" t="str">
        <f>IF(SUMIFS(Data_filtered!$G$2:$G$461,Data_filtered!$A$2:$A$461,AN$1,Data_filtered!$F$2:$F$461,$A15, Data_filtered!$D$2:$D$461,"mata",Data_filtered!$J$2:$J$461,"&lt;&gt;Incompleto")=0, "-", SUMIFS(Data_filtered!$G$2:$G$461,Data_filtered!$A$2:$A$461,AN$1,Data_filtered!$F$2:$F$461,$A15, Data_filtered!$D$2:$D$461,"mata",Data_filtered!$J$2:$J$461,"&lt;&gt;Incompleto"))
</f>
        <v>-</v>
      </c>
      <c r="AP15" s="106" t="str">
        <f>IF(SUMIFS(Data_filtered!$G$2:$G$461,Data_filtered!$A$2:$A$461,AP$1,Data_filtered!$F$2:$F$461,$A15, Data_filtered!$D$2:$D$461,"eucalipto",Data_filtered!$J$2:$J$461,"&lt;&gt;Incompleto")=0, "-", SUMIFS(Data_filtered!$G$2:$G$461,Data_filtered!$A$2:$A$461,AP$1,Data_filtered!$F$2:$F$461,$A15, Data_filtered!$D$2:$D$461,"eucalipto",Data_filtered!$J$2:$J$461,"&lt;&gt;Incompleto"))</f>
        <v>-</v>
      </c>
      <c r="AQ15" s="108" t="str">
        <f>IF(SUMIFS(Data_filtered!$G$2:$G$461,Data_filtered!$A$2:$A$461,AP$1,Data_filtered!$F$2:$F$461,$A15, Data_filtered!$D$2:$D$461,"mata",Data_filtered!$J$2:$J$461,"&lt;&gt;Incompleto")=0, "-", SUMIFS(Data_filtered!$G$2:$G$461,Data_filtered!$A$2:$A$461,AP$1,Data_filtered!$F$2:$F$461,$A15, Data_filtered!$D$2:$D$461,"mata",Data_filtered!$J$2:$J$461,"&lt;&gt;Incompleto"))
</f>
        <v>-</v>
      </c>
      <c r="AR15" s="106" t="str">
        <f>IF(SUMIFS(Data_filtered!$G$2:$G$461,Data_filtered!$A$2:$A$461,AR$1,Data_filtered!$F$2:$F$461,$A15, Data_filtered!$D$2:$D$461,"eucalipto",Data_filtered!$J$2:$J$461,"&lt;&gt;Incompleto")=0, "-", SUMIFS(Data_filtered!$G$2:$G$461,Data_filtered!$A$2:$A$461,AR$1,Data_filtered!$F$2:$F$461,$A15, Data_filtered!$D$2:$D$461,"eucalipto",Data_filtered!$J$2:$J$461,"&lt;&gt;Incompleto"))</f>
        <v>-</v>
      </c>
      <c r="AS15" s="108" t="str">
        <f>IF(SUMIFS(Data_filtered!$G$2:$G$461,Data_filtered!$A$2:$A$461,AR$1,Data_filtered!$F$2:$F$461,$A15, Data_filtered!$D$2:$D$461,"mata",Data_filtered!$J$2:$J$461,"&lt;&gt;Incompleto")=0, "-", SUMIFS(Data_filtered!$G$2:$G$461,Data_filtered!$A$2:$A$461,AR$1,Data_filtered!$F$2:$F$461,$A15, Data_filtered!$D$2:$D$461,"mata",Data_filtered!$J$2:$J$461,"&lt;&gt;Incompleto"))
</f>
        <v>-</v>
      </c>
    </row>
    <row r="16">
      <c r="A16" s="68" t="str">
        <f>IFERROR(__xludf.DUMMYFUNCTION("""COMPUTED_VALUE"""),"Isópode")</f>
        <v>Isópode</v>
      </c>
      <c r="B16" s="106" t="str">
        <f>IF(SUMIFS(Data_filtered!$G$2:$G$461,Data_filtered!$A$2:$A$461,B$1,Data_filtered!$F$2:$F$461,$A16, Data_filtered!$D$2:$D$461,"eucalipto",Data_filtered!$J$2:$J$461,"&lt;&gt;Incompleto")=0, "-", SUMIFS(Data_filtered!$G$2:$G$461,Data_filtered!$A$2:$A$461,B$1,Data_filtered!$F$2:$F$461,$A16, Data_filtered!$D$2:$D$461,"eucalipto",Data_filtered!$J$2:$J$461,"&lt;&gt;Incompleto"))</f>
        <v>-</v>
      </c>
      <c r="C16" s="108" t="str">
        <f>IF(SUMIFS(Data_filtered!$G$2:$G$461,Data_filtered!$A$2:$A$461,B$1,Data_filtered!$F$2:$F$461,$A16, Data_filtered!$D$2:$D$461,"mata",Data_filtered!$J$2:$J$461,"&lt;&gt;Incompleto")=0, "-", SUMIFS(Data_filtered!$G$2:$G$461,Data_filtered!$A$2:$A$461,B$1,Data_filtered!$F$2:$F$461,$A16, Data_filtered!$D$2:$D$461,"mata",Data_filtered!$J$2:$J$461,"&lt;&gt;Incompleto"))
</f>
        <v>-</v>
      </c>
      <c r="D16" s="106" t="str">
        <f>IF(SUMIFS(Data_filtered!$G$2:$G$461,Data_filtered!$A$2:$A$461,D$1,Data_filtered!$F$2:$F$461,$A16, Data_filtered!$D$2:$D$461,"eucalipto",Data_filtered!$J$2:$J$461,"&lt;&gt;Incompleto")=0, "-", SUMIFS(Data_filtered!$G$2:$G$461,Data_filtered!$A$2:$A$461,D$1,Data_filtered!$F$2:$F$461,$A16, Data_filtered!$D$2:$D$461,"eucalipto",Data_filtered!$J$2:$J$461,"&lt;&gt;Incompleto"))</f>
        <v>-</v>
      </c>
      <c r="E16" s="108" t="str">
        <f>IF(SUMIFS(Data_filtered!$G$2:$G$461,Data_filtered!$A$2:$A$461,D$1,Data_filtered!$F$2:$F$461,$A16, Data_filtered!$D$2:$D$461,"mata",Data_filtered!$J$2:$J$461,"&lt;&gt;Incompleto")=0, "-", SUMIFS(Data_filtered!$G$2:$G$461,Data_filtered!$A$2:$A$461,D$1,Data_filtered!$F$2:$F$461,$A16, Data_filtered!$D$2:$D$461,"mata",Data_filtered!$J$2:$J$461,"&lt;&gt;Incompleto"))
</f>
        <v>-</v>
      </c>
      <c r="F16" s="106" t="str">
        <f>IF(SUMIFS(Data_filtered!$G$2:$G$461,Data_filtered!$A$2:$A$461,F$1,Data_filtered!$F$2:$F$461,$A16, Data_filtered!$D$2:$D$461,"eucalipto",Data_filtered!$J$2:$J$461,"&lt;&gt;Incompleto")=0, "-", SUMIFS(Data_filtered!$G$2:$G$461,Data_filtered!$A$2:$A$461,F$1,Data_filtered!$F$2:$F$461,$A16, Data_filtered!$D$2:$D$461,"eucalipto",Data_filtered!$J$2:$J$461,"&lt;&gt;Incompleto"))</f>
        <v>-</v>
      </c>
      <c r="G16" s="108" t="str">
        <f>IF(SUMIFS(Data_filtered!$G$2:$G$461,Data_filtered!$A$2:$A$461,F$1,Data_filtered!$F$2:$F$461,$A16, Data_filtered!$D$2:$D$461,"mata",Data_filtered!$J$2:$J$461,"&lt;&gt;Incompleto")=0, "-", SUMIFS(Data_filtered!$G$2:$G$461,Data_filtered!$A$2:$A$461,F$1,Data_filtered!$F$2:$F$461,$A16, Data_filtered!$D$2:$D$461,"mata",Data_filtered!$J$2:$J$461,"&lt;&gt;Incompleto"))
</f>
        <v>-</v>
      </c>
      <c r="H16" s="106" t="str">
        <f>IF(SUMIFS(Data_filtered!$G$2:$G$461,Data_filtered!$A$2:$A$461,H$1,Data_filtered!$F$2:$F$461,$A16, Data_filtered!$D$2:$D$461,"eucalipto",Data_filtered!$J$2:$J$461,"&lt;&gt;Incompleto")=0, "-", SUMIFS(Data_filtered!$G$2:$G$461,Data_filtered!$A$2:$A$461,H$1,Data_filtered!$F$2:$F$461,$A16, Data_filtered!$D$2:$D$461,"eucalipto",Data_filtered!$J$2:$J$461,"&lt;&gt;Incompleto"))</f>
        <v>-</v>
      </c>
      <c r="I16" s="108" t="str">
        <f>IF(SUMIFS(Data_filtered!$G$2:$G$461,Data_filtered!$A$2:$A$461,H$1,Data_filtered!$F$2:$F$461,$A16, Data_filtered!$D$2:$D$461,"mata",Data_filtered!$J$2:$J$461,"&lt;&gt;Incompleto")=0, "-", SUMIFS(Data_filtered!$G$2:$G$461,Data_filtered!$A$2:$A$461,H$1,Data_filtered!$F$2:$F$461,$A16, Data_filtered!$D$2:$D$461,"mata",Data_filtered!$J$2:$J$461,"&lt;&gt;Incompleto"))
</f>
        <v>-</v>
      </c>
      <c r="J16" s="106" t="str">
        <f>IF(SUMIFS(Data_filtered!$G$2:$G$461,Data_filtered!$A$2:$A$461,J$1,Data_filtered!$F$2:$F$461,$A16, Data_filtered!$D$2:$D$461,"eucalipto",Data_filtered!$J$2:$J$461,"&lt;&gt;Incompleto")=0, "-", SUMIFS(Data_filtered!$G$2:$G$461,Data_filtered!$A$2:$A$461,J$1,Data_filtered!$F$2:$F$461,$A16, Data_filtered!$D$2:$D$461,"eucalipto",Data_filtered!$J$2:$J$461,"&lt;&gt;Incompleto"))</f>
        <v>-</v>
      </c>
      <c r="K16" s="108" t="str">
        <f>IF(SUMIFS(Data_filtered!$G$2:$G$461,Data_filtered!$A$2:$A$461,J$1,Data_filtered!$F$2:$F$461,$A16, Data_filtered!$D$2:$D$461,"mata",Data_filtered!$J$2:$J$461,"&lt;&gt;Incompleto")=0, "-", SUMIFS(Data_filtered!$G$2:$G$461,Data_filtered!$A$2:$A$461,J$1,Data_filtered!$F$2:$F$461,$A16, Data_filtered!$D$2:$D$461,"mata",Data_filtered!$J$2:$J$461,"&lt;&gt;Incompleto"))
</f>
        <v>-</v>
      </c>
      <c r="L16" s="106" t="str">
        <f>IF(SUMIFS(Data_filtered!$G$2:$G$461,Data_filtered!$A$2:$A$461,L$1,Data_filtered!$F$2:$F$461,$A16, Data_filtered!$D$2:$D$461,"eucalipto",Data_filtered!$J$2:$J$461,"&lt;&gt;Incompleto")=0, "-", SUMIFS(Data_filtered!$G$2:$G$461,Data_filtered!$A$2:$A$461,L$1,Data_filtered!$F$2:$F$461,$A16, Data_filtered!$D$2:$D$461,"eucalipto",Data_filtered!$J$2:$J$461,"&lt;&gt;Incompleto"))</f>
        <v>-</v>
      </c>
      <c r="M16" s="108" t="str">
        <f>IF(SUMIFS(Data_filtered!$G$2:$G$461,Data_filtered!$A$2:$A$461,L$1,Data_filtered!$F$2:$F$461,$A16, Data_filtered!$D$2:$D$461,"mata",Data_filtered!$J$2:$J$461,"&lt;&gt;Incompleto")=0, "-", SUMIFS(Data_filtered!$G$2:$G$461,Data_filtered!$A$2:$A$461,L$1,Data_filtered!$F$2:$F$461,$A16, Data_filtered!$D$2:$D$461,"mata",Data_filtered!$J$2:$J$461,"&lt;&gt;Incompleto"))
</f>
        <v>-</v>
      </c>
      <c r="N16" s="106" t="str">
        <f>IF(SUMIFS(Data_filtered!$G$2:$G$461,Data_filtered!$A$2:$A$461,N$1,Data_filtered!$F$2:$F$461,$A16, Data_filtered!$D$2:$D$461,"eucalipto",Data_filtered!$J$2:$J$461,"&lt;&gt;Incompleto")=0, "-", SUMIFS(Data_filtered!$G$2:$G$461,Data_filtered!$A$2:$A$461,N$1,Data_filtered!$F$2:$F$461,$A16, Data_filtered!$D$2:$D$461,"eucalipto",Data_filtered!$J$2:$J$461,"&lt;&gt;Incompleto"))</f>
        <v>-</v>
      </c>
      <c r="O16" s="108" t="str">
        <f>IF(SUMIFS(Data_filtered!$G$2:$G$461,Data_filtered!$A$2:$A$461,N$1,Data_filtered!$F$2:$F$461,$A16, Data_filtered!$D$2:$D$461,"mata",Data_filtered!$J$2:$J$461,"&lt;&gt;Incompleto")=0, "-", SUMIFS(Data_filtered!$G$2:$G$461,Data_filtered!$A$2:$A$461,N$1,Data_filtered!$F$2:$F$461,$A16, Data_filtered!$D$2:$D$461,"mata",Data_filtered!$J$2:$J$461,"&lt;&gt;Incompleto"))
</f>
        <v>-</v>
      </c>
      <c r="P16" s="106" t="str">
        <f>IF(SUMIFS(Data_filtered!$G$2:$G$461,Data_filtered!$A$2:$A$461,P$1,Data_filtered!$F$2:$F$461,$A16, Data_filtered!$D$2:$D$461,"eucalipto",Data_filtered!$J$2:$J$461,"&lt;&gt;Incompleto")=0, "-", SUMIFS(Data_filtered!$G$2:$G$461,Data_filtered!$A$2:$A$461,P$1,Data_filtered!$F$2:$F$461,$A16, Data_filtered!$D$2:$D$461,"eucalipto",Data_filtered!$J$2:$J$461,"&lt;&gt;Incompleto"))</f>
        <v>-</v>
      </c>
      <c r="Q16" s="108" t="str">
        <f>IF(SUMIFS(Data_filtered!$G$2:$G$461,Data_filtered!$A$2:$A$461,P$1,Data_filtered!$F$2:$F$461,$A16, Data_filtered!$D$2:$D$461,"mata",Data_filtered!$J$2:$J$461,"&lt;&gt;Incompleto")=0, "-", SUMIFS(Data_filtered!$G$2:$G$461,Data_filtered!$A$2:$A$461,P$1,Data_filtered!$F$2:$F$461,$A16, Data_filtered!$D$2:$D$461,"mata",Data_filtered!$J$2:$J$461,"&lt;&gt;Incompleto"))
</f>
        <v>-</v>
      </c>
      <c r="R16" s="106" t="str">
        <f>IF(SUMIFS(Data_filtered!$G$2:$G$461,Data_filtered!$A$2:$A$461,R$1,Data_filtered!$F$2:$F$461,$A16, Data_filtered!$D$2:$D$461,"eucalipto",Data_filtered!$J$2:$J$461,"&lt;&gt;Incompleto")=0, "-", SUMIFS(Data_filtered!$G$2:$G$461,Data_filtered!$A$2:$A$461,R$1,Data_filtered!$F$2:$F$461,$A16, Data_filtered!$D$2:$D$461,"eucalipto",Data_filtered!$J$2:$J$461,"&lt;&gt;Incompleto"))</f>
        <v>-</v>
      </c>
      <c r="S16" s="108" t="str">
        <f>IF(SUMIFS(Data_filtered!$G$2:$G$461,Data_filtered!$A$2:$A$461,R$1,Data_filtered!$F$2:$F$461,$A16, Data_filtered!$D$2:$D$461,"mata",Data_filtered!$J$2:$J$461,"&lt;&gt;Incompleto")=0, "-", SUMIFS(Data_filtered!$G$2:$G$461,Data_filtered!$A$2:$A$461,R$1,Data_filtered!$F$2:$F$461,$A16, Data_filtered!$D$2:$D$461,"mata",Data_filtered!$J$2:$J$461,"&lt;&gt;Incompleto"))
</f>
        <v>-</v>
      </c>
      <c r="T16" s="106" t="str">
        <f>IF(SUMIFS(Data_filtered!$G$2:$G$461,Data_filtered!$A$2:$A$461,T$1,Data_filtered!$F$2:$F$461,$A16, Data_filtered!$D$2:$D$461,"eucalipto",Data_filtered!$J$2:$J$461,"&lt;&gt;Incompleto")=0, "-", SUMIFS(Data_filtered!$G$2:$G$461,Data_filtered!$A$2:$A$461,T$1,Data_filtered!$F$2:$F$461,$A16, Data_filtered!$D$2:$D$461,"eucalipto",Data_filtered!$J$2:$J$461,"&lt;&gt;Incompleto"))</f>
        <v>-</v>
      </c>
      <c r="U16" s="108" t="str">
        <f>IF(SUMIFS(Data_filtered!$G$2:$G$461,Data_filtered!$A$2:$A$461,T$1,Data_filtered!$F$2:$F$461,$A16, Data_filtered!$D$2:$D$461,"mata",Data_filtered!$J$2:$J$461,"&lt;&gt;Incompleto")=0, "-", SUMIFS(Data_filtered!$G$2:$G$461,Data_filtered!$A$2:$A$461,T$1,Data_filtered!$F$2:$F$461,$A16, Data_filtered!$D$2:$D$461,"mata",Data_filtered!$J$2:$J$461,"&lt;&gt;Incompleto"))
</f>
        <v>-</v>
      </c>
      <c r="V16" s="106" t="str">
        <f>IF(SUMIFS(Data_filtered!$G$2:$G$461,Data_filtered!$A$2:$A$461,V$1,Data_filtered!$F$2:$F$461,$A16, Data_filtered!$D$2:$D$461,"eucalipto",Data_filtered!$J$2:$J$461,"&lt;&gt;Incompleto")=0, "-", SUMIFS(Data_filtered!$G$2:$G$461,Data_filtered!$A$2:$A$461,V$1,Data_filtered!$F$2:$F$461,$A16, Data_filtered!$D$2:$D$461,"eucalipto",Data_filtered!$J$2:$J$461,"&lt;&gt;Incompleto"))</f>
        <v>-</v>
      </c>
      <c r="W16" s="108" t="str">
        <f>IF(SUMIFS(Data_filtered!$G$2:$G$461,Data_filtered!$A$2:$A$461,V$1,Data_filtered!$F$2:$F$461,$A16, Data_filtered!$D$2:$D$461,"mata",Data_filtered!$J$2:$J$461,"&lt;&gt;Incompleto")=0, "-", SUMIFS(Data_filtered!$G$2:$G$461,Data_filtered!$A$2:$A$461,V$1,Data_filtered!$F$2:$F$461,$A16, Data_filtered!$D$2:$D$461,"mata",Data_filtered!$J$2:$J$461,"&lt;&gt;Incompleto"))
</f>
        <v>-</v>
      </c>
      <c r="X16" s="106" t="str">
        <f>IF(SUMIFS(Data_filtered!$G$2:$G$461,Data_filtered!$A$2:$A$461,X$1,Data_filtered!$F$2:$F$461,$A16, Data_filtered!$D$2:$D$461,"eucalipto",Data_filtered!$J$2:$J$461,"&lt;&gt;Incompleto")=0, "-", SUMIFS(Data_filtered!$G$2:$G$461,Data_filtered!$A$2:$A$461,X$1,Data_filtered!$F$2:$F$461,$A16, Data_filtered!$D$2:$D$461,"eucalipto",Data_filtered!$J$2:$J$461,"&lt;&gt;Incompleto"))</f>
        <v>-</v>
      </c>
      <c r="Y16" s="108" t="str">
        <f>IF(SUMIFS(Data_filtered!$G$2:$G$461,Data_filtered!$A$2:$A$461,X$1,Data_filtered!$F$2:$F$461,$A16, Data_filtered!$D$2:$D$461,"mata",Data_filtered!$J$2:$J$461,"&lt;&gt;Incompleto")=0, "-", SUMIFS(Data_filtered!$G$2:$G$461,Data_filtered!$A$2:$A$461,X$1,Data_filtered!$F$2:$F$461,$A16, Data_filtered!$D$2:$D$461,"mata",Data_filtered!$J$2:$J$461,"&lt;&gt;Incompleto"))
</f>
        <v>-</v>
      </c>
      <c r="Z16" s="106" t="str">
        <f>IF(SUMIFS(Data_filtered!$G$2:$G$461,Data_filtered!$A$2:$A$461,Z$1,Data_filtered!$F$2:$F$461,$A16, Data_filtered!$D$2:$D$461,"eucalipto",Data_filtered!$J$2:$J$461,"&lt;&gt;Incompleto")=0, "-", SUMIFS(Data_filtered!$G$2:$G$461,Data_filtered!$A$2:$A$461,Z$1,Data_filtered!$F$2:$F$461,$A16, Data_filtered!$D$2:$D$461,"eucalipto",Data_filtered!$J$2:$J$461,"&lt;&gt;Incompleto"))</f>
        <v>-</v>
      </c>
      <c r="AA16" s="108" t="str">
        <f>IF(SUMIFS(Data_filtered!$G$2:$G$461,Data_filtered!$A$2:$A$461,Z$1,Data_filtered!$F$2:$F$461,$A16, Data_filtered!$D$2:$D$461,"mata",Data_filtered!$J$2:$J$461,"&lt;&gt;Incompleto")=0, "-", SUMIFS(Data_filtered!$G$2:$G$461,Data_filtered!$A$2:$A$461,Z$1,Data_filtered!$F$2:$F$461,$A16, Data_filtered!$D$2:$D$461,"mata",Data_filtered!$J$2:$J$461,"&lt;&gt;Incompleto"))
</f>
        <v>-</v>
      </c>
      <c r="AB16" s="106" t="str">
        <f>IF(SUMIFS(Data_filtered!$G$2:$G$461,Data_filtered!$A$2:$A$461,AB$1,Data_filtered!$F$2:$F$461,$A16, Data_filtered!$D$2:$D$461,"eucalipto",Data_filtered!$J$2:$J$461,"&lt;&gt;Incompleto")=0, "-", SUMIFS(Data_filtered!$G$2:$G$461,Data_filtered!$A$2:$A$461,AB$1,Data_filtered!$F$2:$F$461,$A16, Data_filtered!$D$2:$D$461,"eucalipto",Data_filtered!$J$2:$J$461,"&lt;&gt;Incompleto"))</f>
        <v>-</v>
      </c>
      <c r="AC16" s="108">
        <f>IF(SUMIFS(Data_filtered!$G$2:$G$461,Data_filtered!$A$2:$A$461,AB$1,Data_filtered!$F$2:$F$461,$A16, Data_filtered!$D$2:$D$461,"mata",Data_filtered!$J$2:$J$461,"&lt;&gt;Incompleto")=0, "-", SUMIFS(Data_filtered!$G$2:$G$461,Data_filtered!$A$2:$A$461,AB$1,Data_filtered!$F$2:$F$461,$A16, Data_filtered!$D$2:$D$461,"mata",Data_filtered!$J$2:$J$461,"&lt;&gt;Incompleto"))
</f>
        <v>2</v>
      </c>
      <c r="AD16" s="106" t="str">
        <f>IF(SUMIFS(Data_filtered!$G$2:$G$461,Data_filtered!$A$2:$A$461,AD$1,Data_filtered!$F$2:$F$461,$A16, Data_filtered!$D$2:$D$461,"eucalipto",Data_filtered!$J$2:$J$461,"&lt;&gt;Incompleto")=0, "-", SUMIFS(Data_filtered!$G$2:$G$461,Data_filtered!$A$2:$A$461,AD$1,Data_filtered!$F$2:$F$461,$A16, Data_filtered!$D$2:$D$461,"eucalipto",Data_filtered!$J$2:$J$461,"&lt;&gt;Incompleto"))</f>
        <v>-</v>
      </c>
      <c r="AE16" s="108" t="str">
        <f>IF(SUMIFS(Data_filtered!$G$2:$G$461,Data_filtered!$A$2:$A$461,AD$1,Data_filtered!$F$2:$F$461,$A16, Data_filtered!$D$2:$D$461,"mata",Data_filtered!$J$2:$J$461,"&lt;&gt;Incompleto")=0, "-", SUMIFS(Data_filtered!$G$2:$G$461,Data_filtered!$A$2:$A$461,AD$1,Data_filtered!$F$2:$F$461,$A16, Data_filtered!$D$2:$D$461,"mata",Data_filtered!$J$2:$J$461,"&lt;&gt;Incompleto"))
</f>
        <v>-</v>
      </c>
      <c r="AF16" s="106" t="str">
        <f>IF(SUMIFS(Data_filtered!$G$2:$G$461,Data_filtered!$A$2:$A$461,AF$1,Data_filtered!$F$2:$F$461,$A16, Data_filtered!$D$2:$D$461,"eucalipto",Data_filtered!$J$2:$J$461,"&lt;&gt;Incompleto")=0, "-", SUMIFS(Data_filtered!$G$2:$G$461,Data_filtered!$A$2:$A$461,AF$1,Data_filtered!$F$2:$F$461,$A16, Data_filtered!$D$2:$D$461,"eucalipto",Data_filtered!$J$2:$J$461,"&lt;&gt;Incompleto"))</f>
        <v>-</v>
      </c>
      <c r="AG16" s="108" t="str">
        <f>IF(SUMIFS(Data_filtered!$G$2:$G$461,Data_filtered!$A$2:$A$461,AF$1,Data_filtered!$F$2:$F$461,$A16, Data_filtered!$D$2:$D$461,"mata",Data_filtered!$J$2:$J$461,"&lt;&gt;Incompleto")=0, "-", SUMIFS(Data_filtered!$G$2:$G$461,Data_filtered!$A$2:$A$461,AF$1,Data_filtered!$F$2:$F$461,$A16, Data_filtered!$D$2:$D$461,"mata",Data_filtered!$J$2:$J$461,"&lt;&gt;Incompleto"))
</f>
        <v>-</v>
      </c>
      <c r="AH16" s="106" t="str">
        <f>IF(SUMIFS(Data_filtered!$G$2:$G$461,Data_filtered!$A$2:$A$461,AH$1,Data_filtered!$F$2:$F$461,$A16, Data_filtered!$D$2:$D$461,"eucalipto",Data_filtered!$J$2:$J$461,"&lt;&gt;Incompleto")=0, "-", SUMIFS(Data_filtered!$G$2:$G$461,Data_filtered!$A$2:$A$461,AH$1,Data_filtered!$F$2:$F$461,$A16, Data_filtered!$D$2:$D$461,"eucalipto",Data_filtered!$J$2:$J$461,"&lt;&gt;Incompleto"))</f>
        <v>-</v>
      </c>
      <c r="AI16" s="108">
        <f>IF(SUMIFS(Data_filtered!$G$2:$G$461,Data_filtered!$A$2:$A$461,AH$1,Data_filtered!$F$2:$F$461,$A16, Data_filtered!$D$2:$D$461,"mata",Data_filtered!$J$2:$J$461,"&lt;&gt;Incompleto")=0, "-", SUMIFS(Data_filtered!$G$2:$G$461,Data_filtered!$A$2:$A$461,AH$1,Data_filtered!$F$2:$F$461,$A16, Data_filtered!$D$2:$D$461,"mata",Data_filtered!$J$2:$J$461,"&lt;&gt;Incompleto"))
</f>
        <v>1</v>
      </c>
      <c r="AJ16" s="106" t="str">
        <f>IF(SUMIFS(Data_filtered!$G$2:$G$461,Data_filtered!$A$2:$A$461,AJ$1,Data_filtered!$F$2:$F$461,$A16, Data_filtered!$D$2:$D$461,"eucalipto",Data_filtered!$J$2:$J$461,"&lt;&gt;Incompleto")=0, "-", SUMIFS(Data_filtered!$G$2:$G$461,Data_filtered!$A$2:$A$461,AJ$1,Data_filtered!$F$2:$F$461,$A16, Data_filtered!$D$2:$D$461,"eucalipto",Data_filtered!$J$2:$J$461,"&lt;&gt;Incompleto"))</f>
        <v>-</v>
      </c>
      <c r="AK16" s="108">
        <f>IF(SUMIFS(Data_filtered!$G$2:$G$461,Data_filtered!$A$2:$A$461,AJ$1,Data_filtered!$F$2:$F$461,$A16, Data_filtered!$D$2:$D$461,"mata",Data_filtered!$J$2:$J$461,"&lt;&gt;Incompleto")=0, "-", SUMIFS(Data_filtered!$G$2:$G$461,Data_filtered!$A$2:$A$461,AJ$1,Data_filtered!$F$2:$F$461,$A16, Data_filtered!$D$2:$D$461,"mata",Data_filtered!$J$2:$J$461,"&lt;&gt;Incompleto"))
</f>
        <v>2</v>
      </c>
      <c r="AL16" s="106" t="str">
        <f>IF(SUMIFS(Data_filtered!$G$2:$G$461,Data_filtered!$A$2:$A$461,AL$1,Data_filtered!$F$2:$F$461,$A16, Data_filtered!$D$2:$D$461,"eucalipto",Data_filtered!$J$2:$J$461,"&lt;&gt;Incompleto")=0, "-", SUMIFS(Data_filtered!$G$2:$G$461,Data_filtered!$A$2:$A$461,AL$1,Data_filtered!$F$2:$F$461,$A16, Data_filtered!$D$2:$D$461,"eucalipto",Data_filtered!$J$2:$J$461,"&lt;&gt;Incompleto"))</f>
        <v>-</v>
      </c>
      <c r="AM16" s="108">
        <f>IF(SUMIFS(Data_filtered!$G$2:$G$461,Data_filtered!$A$2:$A$461,AL$1,Data_filtered!$F$2:$F$461,$A16, Data_filtered!$D$2:$D$461,"mata",Data_filtered!$J$2:$J$461,"&lt;&gt;Incompleto")=0, "-", SUMIFS(Data_filtered!$G$2:$G$461,Data_filtered!$A$2:$A$461,AL$1,Data_filtered!$F$2:$F$461,$A16, Data_filtered!$D$2:$D$461,"mata",Data_filtered!$J$2:$J$461,"&lt;&gt;Incompleto"))
</f>
        <v>1</v>
      </c>
      <c r="AN16" s="106" t="str">
        <f>IF(SUMIFS(Data_filtered!$G$2:$G$461,Data_filtered!$A$2:$A$461,AN$1,Data_filtered!$F$2:$F$461,$A16, Data_filtered!$D$2:$D$461,"eucalipto",Data_filtered!$J$2:$J$461,"&lt;&gt;Incompleto")=0, "-", SUMIFS(Data_filtered!$G$2:$G$461,Data_filtered!$A$2:$A$461,AN$1,Data_filtered!$F$2:$F$461,$A16, Data_filtered!$D$2:$D$461,"eucalipto",Data_filtered!$J$2:$J$461,"&lt;&gt;Incompleto"))</f>
        <v>-</v>
      </c>
      <c r="AO16" s="108" t="str">
        <f>IF(SUMIFS(Data_filtered!$G$2:$G$461,Data_filtered!$A$2:$A$461,AN$1,Data_filtered!$F$2:$F$461,$A16, Data_filtered!$D$2:$D$461,"mata",Data_filtered!$J$2:$J$461,"&lt;&gt;Incompleto")=0, "-", SUMIFS(Data_filtered!$G$2:$G$461,Data_filtered!$A$2:$A$461,AN$1,Data_filtered!$F$2:$F$461,$A16, Data_filtered!$D$2:$D$461,"mata",Data_filtered!$J$2:$J$461,"&lt;&gt;Incompleto"))
</f>
        <v>-</v>
      </c>
      <c r="AP16" s="106" t="str">
        <f>IF(SUMIFS(Data_filtered!$G$2:$G$461,Data_filtered!$A$2:$A$461,AP$1,Data_filtered!$F$2:$F$461,$A16, Data_filtered!$D$2:$D$461,"eucalipto",Data_filtered!$J$2:$J$461,"&lt;&gt;Incompleto")=0, "-", SUMIFS(Data_filtered!$G$2:$G$461,Data_filtered!$A$2:$A$461,AP$1,Data_filtered!$F$2:$F$461,$A16, Data_filtered!$D$2:$D$461,"eucalipto",Data_filtered!$J$2:$J$461,"&lt;&gt;Incompleto"))</f>
        <v>-</v>
      </c>
      <c r="AQ16" s="108" t="str">
        <f>IF(SUMIFS(Data_filtered!$G$2:$G$461,Data_filtered!$A$2:$A$461,AP$1,Data_filtered!$F$2:$F$461,$A16, Data_filtered!$D$2:$D$461,"mata",Data_filtered!$J$2:$J$461,"&lt;&gt;Incompleto")=0, "-", SUMIFS(Data_filtered!$G$2:$G$461,Data_filtered!$A$2:$A$461,AP$1,Data_filtered!$F$2:$F$461,$A16, Data_filtered!$D$2:$D$461,"mata",Data_filtered!$J$2:$J$461,"&lt;&gt;Incompleto"))
</f>
        <v>-</v>
      </c>
      <c r="AR16" s="106" t="str">
        <f>IF(SUMIFS(Data_filtered!$G$2:$G$461,Data_filtered!$A$2:$A$461,AR$1,Data_filtered!$F$2:$F$461,$A16, Data_filtered!$D$2:$D$461,"eucalipto",Data_filtered!$J$2:$J$461,"&lt;&gt;Incompleto")=0, "-", SUMIFS(Data_filtered!$G$2:$G$461,Data_filtered!$A$2:$A$461,AR$1,Data_filtered!$F$2:$F$461,$A16, Data_filtered!$D$2:$D$461,"eucalipto",Data_filtered!$J$2:$J$461,"&lt;&gt;Incompleto"))</f>
        <v>-</v>
      </c>
      <c r="AS16" s="108" t="str">
        <f>IF(SUMIFS(Data_filtered!$G$2:$G$461,Data_filtered!$A$2:$A$461,AR$1,Data_filtered!$F$2:$F$461,$A16, Data_filtered!$D$2:$D$461,"mata",Data_filtered!$J$2:$J$461,"&lt;&gt;Incompleto")=0, "-", SUMIFS(Data_filtered!$G$2:$G$461,Data_filtered!$A$2:$A$461,AR$1,Data_filtered!$F$2:$F$461,$A16, Data_filtered!$D$2:$D$461,"mata",Data_filtered!$J$2:$J$461,"&lt;&gt;Incompleto"))
</f>
        <v>-</v>
      </c>
    </row>
    <row r="17">
      <c r="A17" s="68" t="str">
        <f>IFERROR(__xludf.DUMMYFUNCTION("""COMPUTED_VALUE"""),"Isoptera")</f>
        <v>Isoptera</v>
      </c>
      <c r="B17" s="106" t="str">
        <f>IF(SUMIFS(Data_filtered!$G$2:$G$461,Data_filtered!$A$2:$A$461,B$1,Data_filtered!$F$2:$F$461,$A17, Data_filtered!$D$2:$D$461,"eucalipto",Data_filtered!$J$2:$J$461,"&lt;&gt;Incompleto")=0, "-", SUMIFS(Data_filtered!$G$2:$G$461,Data_filtered!$A$2:$A$461,B$1,Data_filtered!$F$2:$F$461,$A17, Data_filtered!$D$2:$D$461,"eucalipto",Data_filtered!$J$2:$J$461,"&lt;&gt;Incompleto"))</f>
        <v>-</v>
      </c>
      <c r="C17" s="108" t="str">
        <f>IF(SUMIFS(Data_filtered!$G$2:$G$461,Data_filtered!$A$2:$A$461,B$1,Data_filtered!$F$2:$F$461,$A17, Data_filtered!$D$2:$D$461,"mata",Data_filtered!$J$2:$J$461,"&lt;&gt;Incompleto")=0, "-", SUMIFS(Data_filtered!$G$2:$G$461,Data_filtered!$A$2:$A$461,B$1,Data_filtered!$F$2:$F$461,$A17, Data_filtered!$D$2:$D$461,"mata",Data_filtered!$J$2:$J$461,"&lt;&gt;Incompleto"))
</f>
        <v>-</v>
      </c>
      <c r="D17" s="106" t="str">
        <f>IF(SUMIFS(Data_filtered!$G$2:$G$461,Data_filtered!$A$2:$A$461,D$1,Data_filtered!$F$2:$F$461,$A17, Data_filtered!$D$2:$D$461,"eucalipto",Data_filtered!$J$2:$J$461,"&lt;&gt;Incompleto")=0, "-", SUMIFS(Data_filtered!$G$2:$G$461,Data_filtered!$A$2:$A$461,D$1,Data_filtered!$F$2:$F$461,$A17, Data_filtered!$D$2:$D$461,"eucalipto",Data_filtered!$J$2:$J$461,"&lt;&gt;Incompleto"))</f>
        <v>-</v>
      </c>
      <c r="E17" s="108" t="str">
        <f>IF(SUMIFS(Data_filtered!$G$2:$G$461,Data_filtered!$A$2:$A$461,D$1,Data_filtered!$F$2:$F$461,$A17, Data_filtered!$D$2:$D$461,"mata",Data_filtered!$J$2:$J$461,"&lt;&gt;Incompleto")=0, "-", SUMIFS(Data_filtered!$G$2:$G$461,Data_filtered!$A$2:$A$461,D$1,Data_filtered!$F$2:$F$461,$A17, Data_filtered!$D$2:$D$461,"mata",Data_filtered!$J$2:$J$461,"&lt;&gt;Incompleto"))
</f>
        <v>-</v>
      </c>
      <c r="F17" s="106" t="str">
        <f>IF(SUMIFS(Data_filtered!$G$2:$G$461,Data_filtered!$A$2:$A$461,F$1,Data_filtered!$F$2:$F$461,$A17, Data_filtered!$D$2:$D$461,"eucalipto",Data_filtered!$J$2:$J$461,"&lt;&gt;Incompleto")=0, "-", SUMIFS(Data_filtered!$G$2:$G$461,Data_filtered!$A$2:$A$461,F$1,Data_filtered!$F$2:$F$461,$A17, Data_filtered!$D$2:$D$461,"eucalipto",Data_filtered!$J$2:$J$461,"&lt;&gt;Incompleto"))</f>
        <v>-</v>
      </c>
      <c r="G17" s="108" t="str">
        <f>IF(SUMIFS(Data_filtered!$G$2:$G$461,Data_filtered!$A$2:$A$461,F$1,Data_filtered!$F$2:$F$461,$A17, Data_filtered!$D$2:$D$461,"mata",Data_filtered!$J$2:$J$461,"&lt;&gt;Incompleto")=0, "-", SUMIFS(Data_filtered!$G$2:$G$461,Data_filtered!$A$2:$A$461,F$1,Data_filtered!$F$2:$F$461,$A17, Data_filtered!$D$2:$D$461,"mata",Data_filtered!$J$2:$J$461,"&lt;&gt;Incompleto"))
</f>
        <v>-</v>
      </c>
      <c r="H17" s="106" t="str">
        <f>IF(SUMIFS(Data_filtered!$G$2:$G$461,Data_filtered!$A$2:$A$461,H$1,Data_filtered!$F$2:$F$461,$A17, Data_filtered!$D$2:$D$461,"eucalipto",Data_filtered!$J$2:$J$461,"&lt;&gt;Incompleto")=0, "-", SUMIFS(Data_filtered!$G$2:$G$461,Data_filtered!$A$2:$A$461,H$1,Data_filtered!$F$2:$F$461,$A17, Data_filtered!$D$2:$D$461,"eucalipto",Data_filtered!$J$2:$J$461,"&lt;&gt;Incompleto"))</f>
        <v>-</v>
      </c>
      <c r="I17" s="108" t="str">
        <f>IF(SUMIFS(Data_filtered!$G$2:$G$461,Data_filtered!$A$2:$A$461,H$1,Data_filtered!$F$2:$F$461,$A17, Data_filtered!$D$2:$D$461,"mata",Data_filtered!$J$2:$J$461,"&lt;&gt;Incompleto")=0, "-", SUMIFS(Data_filtered!$G$2:$G$461,Data_filtered!$A$2:$A$461,H$1,Data_filtered!$F$2:$F$461,$A17, Data_filtered!$D$2:$D$461,"mata",Data_filtered!$J$2:$J$461,"&lt;&gt;Incompleto"))
</f>
        <v>-</v>
      </c>
      <c r="J17" s="106" t="str">
        <f>IF(SUMIFS(Data_filtered!$G$2:$G$461,Data_filtered!$A$2:$A$461,J$1,Data_filtered!$F$2:$F$461,$A17, Data_filtered!$D$2:$D$461,"eucalipto",Data_filtered!$J$2:$J$461,"&lt;&gt;Incompleto")=0, "-", SUMIFS(Data_filtered!$G$2:$G$461,Data_filtered!$A$2:$A$461,J$1,Data_filtered!$F$2:$F$461,$A17, Data_filtered!$D$2:$D$461,"eucalipto",Data_filtered!$J$2:$J$461,"&lt;&gt;Incompleto"))</f>
        <v>-</v>
      </c>
      <c r="K17" s="108" t="str">
        <f>IF(SUMIFS(Data_filtered!$G$2:$G$461,Data_filtered!$A$2:$A$461,J$1,Data_filtered!$F$2:$F$461,$A17, Data_filtered!$D$2:$D$461,"mata",Data_filtered!$J$2:$J$461,"&lt;&gt;Incompleto")=0, "-", SUMIFS(Data_filtered!$G$2:$G$461,Data_filtered!$A$2:$A$461,J$1,Data_filtered!$F$2:$F$461,$A17, Data_filtered!$D$2:$D$461,"mata",Data_filtered!$J$2:$J$461,"&lt;&gt;Incompleto"))
</f>
        <v>-</v>
      </c>
      <c r="L17" s="106" t="str">
        <f>IF(SUMIFS(Data_filtered!$G$2:$G$461,Data_filtered!$A$2:$A$461,L$1,Data_filtered!$F$2:$F$461,$A17, Data_filtered!$D$2:$D$461,"eucalipto",Data_filtered!$J$2:$J$461,"&lt;&gt;Incompleto")=0, "-", SUMIFS(Data_filtered!$G$2:$G$461,Data_filtered!$A$2:$A$461,L$1,Data_filtered!$F$2:$F$461,$A17, Data_filtered!$D$2:$D$461,"eucalipto",Data_filtered!$J$2:$J$461,"&lt;&gt;Incompleto"))</f>
        <v>-</v>
      </c>
      <c r="M17" s="108">
        <f>IF(SUMIFS(Data_filtered!$G$2:$G$461,Data_filtered!$A$2:$A$461,L$1,Data_filtered!$F$2:$F$461,$A17, Data_filtered!$D$2:$D$461,"mata",Data_filtered!$J$2:$J$461,"&lt;&gt;Incompleto")=0, "-", SUMIFS(Data_filtered!$G$2:$G$461,Data_filtered!$A$2:$A$461,L$1,Data_filtered!$F$2:$F$461,$A17, Data_filtered!$D$2:$D$461,"mata",Data_filtered!$J$2:$J$461,"&lt;&gt;Incompleto"))
</f>
        <v>13</v>
      </c>
      <c r="N17" s="106" t="str">
        <f>IF(SUMIFS(Data_filtered!$G$2:$G$461,Data_filtered!$A$2:$A$461,N$1,Data_filtered!$F$2:$F$461,$A17, Data_filtered!$D$2:$D$461,"eucalipto",Data_filtered!$J$2:$J$461,"&lt;&gt;Incompleto")=0, "-", SUMIFS(Data_filtered!$G$2:$G$461,Data_filtered!$A$2:$A$461,N$1,Data_filtered!$F$2:$F$461,$A17, Data_filtered!$D$2:$D$461,"eucalipto",Data_filtered!$J$2:$J$461,"&lt;&gt;Incompleto"))</f>
        <v>-</v>
      </c>
      <c r="O17" s="108" t="str">
        <f>IF(SUMIFS(Data_filtered!$G$2:$G$461,Data_filtered!$A$2:$A$461,N$1,Data_filtered!$F$2:$F$461,$A17, Data_filtered!$D$2:$D$461,"mata",Data_filtered!$J$2:$J$461,"&lt;&gt;Incompleto")=0, "-", SUMIFS(Data_filtered!$G$2:$G$461,Data_filtered!$A$2:$A$461,N$1,Data_filtered!$F$2:$F$461,$A17, Data_filtered!$D$2:$D$461,"mata",Data_filtered!$J$2:$J$461,"&lt;&gt;Incompleto"))
</f>
        <v>-</v>
      </c>
      <c r="P17" s="106" t="str">
        <f>IF(SUMIFS(Data_filtered!$G$2:$G$461,Data_filtered!$A$2:$A$461,P$1,Data_filtered!$F$2:$F$461,$A17, Data_filtered!$D$2:$D$461,"eucalipto",Data_filtered!$J$2:$J$461,"&lt;&gt;Incompleto")=0, "-", SUMIFS(Data_filtered!$G$2:$G$461,Data_filtered!$A$2:$A$461,P$1,Data_filtered!$F$2:$F$461,$A17, Data_filtered!$D$2:$D$461,"eucalipto",Data_filtered!$J$2:$J$461,"&lt;&gt;Incompleto"))</f>
        <v>-</v>
      </c>
      <c r="Q17" s="108" t="str">
        <f>IF(SUMIFS(Data_filtered!$G$2:$G$461,Data_filtered!$A$2:$A$461,P$1,Data_filtered!$F$2:$F$461,$A17, Data_filtered!$D$2:$D$461,"mata",Data_filtered!$J$2:$J$461,"&lt;&gt;Incompleto")=0, "-", SUMIFS(Data_filtered!$G$2:$G$461,Data_filtered!$A$2:$A$461,P$1,Data_filtered!$F$2:$F$461,$A17, Data_filtered!$D$2:$D$461,"mata",Data_filtered!$J$2:$J$461,"&lt;&gt;Incompleto"))
</f>
        <v>-</v>
      </c>
      <c r="R17" s="106" t="str">
        <f>IF(SUMIFS(Data_filtered!$G$2:$G$461,Data_filtered!$A$2:$A$461,R$1,Data_filtered!$F$2:$F$461,$A17, Data_filtered!$D$2:$D$461,"eucalipto",Data_filtered!$J$2:$J$461,"&lt;&gt;Incompleto")=0, "-", SUMIFS(Data_filtered!$G$2:$G$461,Data_filtered!$A$2:$A$461,R$1,Data_filtered!$F$2:$F$461,$A17, Data_filtered!$D$2:$D$461,"eucalipto",Data_filtered!$J$2:$J$461,"&lt;&gt;Incompleto"))</f>
        <v>-</v>
      </c>
      <c r="S17" s="108" t="str">
        <f>IF(SUMIFS(Data_filtered!$G$2:$G$461,Data_filtered!$A$2:$A$461,R$1,Data_filtered!$F$2:$F$461,$A17, Data_filtered!$D$2:$D$461,"mata",Data_filtered!$J$2:$J$461,"&lt;&gt;Incompleto")=0, "-", SUMIFS(Data_filtered!$G$2:$G$461,Data_filtered!$A$2:$A$461,R$1,Data_filtered!$F$2:$F$461,$A17, Data_filtered!$D$2:$D$461,"mata",Data_filtered!$J$2:$J$461,"&lt;&gt;Incompleto"))
</f>
        <v>-</v>
      </c>
      <c r="T17" s="106" t="str">
        <f>IF(SUMIFS(Data_filtered!$G$2:$G$461,Data_filtered!$A$2:$A$461,T$1,Data_filtered!$F$2:$F$461,$A17, Data_filtered!$D$2:$D$461,"eucalipto",Data_filtered!$J$2:$J$461,"&lt;&gt;Incompleto")=0, "-", SUMIFS(Data_filtered!$G$2:$G$461,Data_filtered!$A$2:$A$461,T$1,Data_filtered!$F$2:$F$461,$A17, Data_filtered!$D$2:$D$461,"eucalipto",Data_filtered!$J$2:$J$461,"&lt;&gt;Incompleto"))</f>
        <v>-</v>
      </c>
      <c r="U17" s="108" t="str">
        <f>IF(SUMIFS(Data_filtered!$G$2:$G$461,Data_filtered!$A$2:$A$461,T$1,Data_filtered!$F$2:$F$461,$A17, Data_filtered!$D$2:$D$461,"mata",Data_filtered!$J$2:$J$461,"&lt;&gt;Incompleto")=0, "-", SUMIFS(Data_filtered!$G$2:$G$461,Data_filtered!$A$2:$A$461,T$1,Data_filtered!$F$2:$F$461,$A17, Data_filtered!$D$2:$D$461,"mata",Data_filtered!$J$2:$J$461,"&lt;&gt;Incompleto"))
</f>
        <v>-</v>
      </c>
      <c r="V17" s="106" t="str">
        <f>IF(SUMIFS(Data_filtered!$G$2:$G$461,Data_filtered!$A$2:$A$461,V$1,Data_filtered!$F$2:$F$461,$A17, Data_filtered!$D$2:$D$461,"eucalipto",Data_filtered!$J$2:$J$461,"&lt;&gt;Incompleto")=0, "-", SUMIFS(Data_filtered!$G$2:$G$461,Data_filtered!$A$2:$A$461,V$1,Data_filtered!$F$2:$F$461,$A17, Data_filtered!$D$2:$D$461,"eucalipto",Data_filtered!$J$2:$J$461,"&lt;&gt;Incompleto"))</f>
        <v>-</v>
      </c>
      <c r="W17" s="108" t="str">
        <f>IF(SUMIFS(Data_filtered!$G$2:$G$461,Data_filtered!$A$2:$A$461,V$1,Data_filtered!$F$2:$F$461,$A17, Data_filtered!$D$2:$D$461,"mata",Data_filtered!$J$2:$J$461,"&lt;&gt;Incompleto")=0, "-", SUMIFS(Data_filtered!$G$2:$G$461,Data_filtered!$A$2:$A$461,V$1,Data_filtered!$F$2:$F$461,$A17, Data_filtered!$D$2:$D$461,"mata",Data_filtered!$J$2:$J$461,"&lt;&gt;Incompleto"))
</f>
        <v>-</v>
      </c>
      <c r="X17" s="106" t="str">
        <f>IF(SUMIFS(Data_filtered!$G$2:$G$461,Data_filtered!$A$2:$A$461,X$1,Data_filtered!$F$2:$F$461,$A17, Data_filtered!$D$2:$D$461,"eucalipto",Data_filtered!$J$2:$J$461,"&lt;&gt;Incompleto")=0, "-", SUMIFS(Data_filtered!$G$2:$G$461,Data_filtered!$A$2:$A$461,X$1,Data_filtered!$F$2:$F$461,$A17, Data_filtered!$D$2:$D$461,"eucalipto",Data_filtered!$J$2:$J$461,"&lt;&gt;Incompleto"))</f>
        <v>-</v>
      </c>
      <c r="Y17" s="108" t="str">
        <f>IF(SUMIFS(Data_filtered!$G$2:$G$461,Data_filtered!$A$2:$A$461,X$1,Data_filtered!$F$2:$F$461,$A17, Data_filtered!$D$2:$D$461,"mata",Data_filtered!$J$2:$J$461,"&lt;&gt;Incompleto")=0, "-", SUMIFS(Data_filtered!$G$2:$G$461,Data_filtered!$A$2:$A$461,X$1,Data_filtered!$F$2:$F$461,$A17, Data_filtered!$D$2:$D$461,"mata",Data_filtered!$J$2:$J$461,"&lt;&gt;Incompleto"))
</f>
        <v>-</v>
      </c>
      <c r="Z17" s="106" t="str">
        <f>IF(SUMIFS(Data_filtered!$G$2:$G$461,Data_filtered!$A$2:$A$461,Z$1,Data_filtered!$F$2:$F$461,$A17, Data_filtered!$D$2:$D$461,"eucalipto",Data_filtered!$J$2:$J$461,"&lt;&gt;Incompleto")=0, "-", SUMIFS(Data_filtered!$G$2:$G$461,Data_filtered!$A$2:$A$461,Z$1,Data_filtered!$F$2:$F$461,$A17, Data_filtered!$D$2:$D$461,"eucalipto",Data_filtered!$J$2:$J$461,"&lt;&gt;Incompleto"))</f>
        <v>-</v>
      </c>
      <c r="AA17" s="108" t="str">
        <f>IF(SUMIFS(Data_filtered!$G$2:$G$461,Data_filtered!$A$2:$A$461,Z$1,Data_filtered!$F$2:$F$461,$A17, Data_filtered!$D$2:$D$461,"mata",Data_filtered!$J$2:$J$461,"&lt;&gt;Incompleto")=0, "-", SUMIFS(Data_filtered!$G$2:$G$461,Data_filtered!$A$2:$A$461,Z$1,Data_filtered!$F$2:$F$461,$A17, Data_filtered!$D$2:$D$461,"mata",Data_filtered!$J$2:$J$461,"&lt;&gt;Incompleto"))
</f>
        <v>-</v>
      </c>
      <c r="AB17" s="106" t="str">
        <f>IF(SUMIFS(Data_filtered!$G$2:$G$461,Data_filtered!$A$2:$A$461,AB$1,Data_filtered!$F$2:$F$461,$A17, Data_filtered!$D$2:$D$461,"eucalipto",Data_filtered!$J$2:$J$461,"&lt;&gt;Incompleto")=0, "-", SUMIFS(Data_filtered!$G$2:$G$461,Data_filtered!$A$2:$A$461,AB$1,Data_filtered!$F$2:$F$461,$A17, Data_filtered!$D$2:$D$461,"eucalipto",Data_filtered!$J$2:$J$461,"&lt;&gt;Incompleto"))</f>
        <v>-</v>
      </c>
      <c r="AC17" s="108" t="str">
        <f>IF(SUMIFS(Data_filtered!$G$2:$G$461,Data_filtered!$A$2:$A$461,AB$1,Data_filtered!$F$2:$F$461,$A17, Data_filtered!$D$2:$D$461,"mata",Data_filtered!$J$2:$J$461,"&lt;&gt;Incompleto")=0, "-", SUMIFS(Data_filtered!$G$2:$G$461,Data_filtered!$A$2:$A$461,AB$1,Data_filtered!$F$2:$F$461,$A17, Data_filtered!$D$2:$D$461,"mata",Data_filtered!$J$2:$J$461,"&lt;&gt;Incompleto"))
</f>
        <v>-</v>
      </c>
      <c r="AD17" s="106" t="str">
        <f>IF(SUMIFS(Data_filtered!$G$2:$G$461,Data_filtered!$A$2:$A$461,AD$1,Data_filtered!$F$2:$F$461,$A17, Data_filtered!$D$2:$D$461,"eucalipto",Data_filtered!$J$2:$J$461,"&lt;&gt;Incompleto")=0, "-", SUMIFS(Data_filtered!$G$2:$G$461,Data_filtered!$A$2:$A$461,AD$1,Data_filtered!$F$2:$F$461,$A17, Data_filtered!$D$2:$D$461,"eucalipto",Data_filtered!$J$2:$J$461,"&lt;&gt;Incompleto"))</f>
        <v>-</v>
      </c>
      <c r="AE17" s="108" t="str">
        <f>IF(SUMIFS(Data_filtered!$G$2:$G$461,Data_filtered!$A$2:$A$461,AD$1,Data_filtered!$F$2:$F$461,$A17, Data_filtered!$D$2:$D$461,"mata",Data_filtered!$J$2:$J$461,"&lt;&gt;Incompleto")=0, "-", SUMIFS(Data_filtered!$G$2:$G$461,Data_filtered!$A$2:$A$461,AD$1,Data_filtered!$F$2:$F$461,$A17, Data_filtered!$D$2:$D$461,"mata",Data_filtered!$J$2:$J$461,"&lt;&gt;Incompleto"))
</f>
        <v>-</v>
      </c>
      <c r="AF17" s="106" t="str">
        <f>IF(SUMIFS(Data_filtered!$G$2:$G$461,Data_filtered!$A$2:$A$461,AF$1,Data_filtered!$F$2:$F$461,$A17, Data_filtered!$D$2:$D$461,"eucalipto",Data_filtered!$J$2:$J$461,"&lt;&gt;Incompleto")=0, "-", SUMIFS(Data_filtered!$G$2:$G$461,Data_filtered!$A$2:$A$461,AF$1,Data_filtered!$F$2:$F$461,$A17, Data_filtered!$D$2:$D$461,"eucalipto",Data_filtered!$J$2:$J$461,"&lt;&gt;Incompleto"))</f>
        <v>-</v>
      </c>
      <c r="AG17" s="108" t="str">
        <f>IF(SUMIFS(Data_filtered!$G$2:$G$461,Data_filtered!$A$2:$A$461,AF$1,Data_filtered!$F$2:$F$461,$A17, Data_filtered!$D$2:$D$461,"mata",Data_filtered!$J$2:$J$461,"&lt;&gt;Incompleto")=0, "-", SUMIFS(Data_filtered!$G$2:$G$461,Data_filtered!$A$2:$A$461,AF$1,Data_filtered!$F$2:$F$461,$A17, Data_filtered!$D$2:$D$461,"mata",Data_filtered!$J$2:$J$461,"&lt;&gt;Incompleto"))
</f>
        <v>-</v>
      </c>
      <c r="AH17" s="106" t="str">
        <f>IF(SUMIFS(Data_filtered!$G$2:$G$461,Data_filtered!$A$2:$A$461,AH$1,Data_filtered!$F$2:$F$461,$A17, Data_filtered!$D$2:$D$461,"eucalipto",Data_filtered!$J$2:$J$461,"&lt;&gt;Incompleto")=0, "-", SUMIFS(Data_filtered!$G$2:$G$461,Data_filtered!$A$2:$A$461,AH$1,Data_filtered!$F$2:$F$461,$A17, Data_filtered!$D$2:$D$461,"eucalipto",Data_filtered!$J$2:$J$461,"&lt;&gt;Incompleto"))</f>
        <v>-</v>
      </c>
      <c r="AI17" s="108" t="str">
        <f>IF(SUMIFS(Data_filtered!$G$2:$G$461,Data_filtered!$A$2:$A$461,AH$1,Data_filtered!$F$2:$F$461,$A17, Data_filtered!$D$2:$D$461,"mata",Data_filtered!$J$2:$J$461,"&lt;&gt;Incompleto")=0, "-", SUMIFS(Data_filtered!$G$2:$G$461,Data_filtered!$A$2:$A$461,AH$1,Data_filtered!$F$2:$F$461,$A17, Data_filtered!$D$2:$D$461,"mata",Data_filtered!$J$2:$J$461,"&lt;&gt;Incompleto"))
</f>
        <v>-</v>
      </c>
      <c r="AJ17" s="106" t="str">
        <f>IF(SUMIFS(Data_filtered!$G$2:$G$461,Data_filtered!$A$2:$A$461,AJ$1,Data_filtered!$F$2:$F$461,$A17, Data_filtered!$D$2:$D$461,"eucalipto",Data_filtered!$J$2:$J$461,"&lt;&gt;Incompleto")=0, "-", SUMIFS(Data_filtered!$G$2:$G$461,Data_filtered!$A$2:$A$461,AJ$1,Data_filtered!$F$2:$F$461,$A17, Data_filtered!$D$2:$D$461,"eucalipto",Data_filtered!$J$2:$J$461,"&lt;&gt;Incompleto"))</f>
        <v>-</v>
      </c>
      <c r="AK17" s="108" t="str">
        <f>IF(SUMIFS(Data_filtered!$G$2:$G$461,Data_filtered!$A$2:$A$461,AJ$1,Data_filtered!$F$2:$F$461,$A17, Data_filtered!$D$2:$D$461,"mata",Data_filtered!$J$2:$J$461,"&lt;&gt;Incompleto")=0, "-", SUMIFS(Data_filtered!$G$2:$G$461,Data_filtered!$A$2:$A$461,AJ$1,Data_filtered!$F$2:$F$461,$A17, Data_filtered!$D$2:$D$461,"mata",Data_filtered!$J$2:$J$461,"&lt;&gt;Incompleto"))
</f>
        <v>-</v>
      </c>
      <c r="AL17" s="106" t="str">
        <f>IF(SUMIFS(Data_filtered!$G$2:$G$461,Data_filtered!$A$2:$A$461,AL$1,Data_filtered!$F$2:$F$461,$A17, Data_filtered!$D$2:$D$461,"eucalipto",Data_filtered!$J$2:$J$461,"&lt;&gt;Incompleto")=0, "-", SUMIFS(Data_filtered!$G$2:$G$461,Data_filtered!$A$2:$A$461,AL$1,Data_filtered!$F$2:$F$461,$A17, Data_filtered!$D$2:$D$461,"eucalipto",Data_filtered!$J$2:$J$461,"&lt;&gt;Incompleto"))</f>
        <v>-</v>
      </c>
      <c r="AM17" s="108" t="str">
        <f>IF(SUMIFS(Data_filtered!$G$2:$G$461,Data_filtered!$A$2:$A$461,AL$1,Data_filtered!$F$2:$F$461,$A17, Data_filtered!$D$2:$D$461,"mata",Data_filtered!$J$2:$J$461,"&lt;&gt;Incompleto")=0, "-", SUMIFS(Data_filtered!$G$2:$G$461,Data_filtered!$A$2:$A$461,AL$1,Data_filtered!$F$2:$F$461,$A17, Data_filtered!$D$2:$D$461,"mata",Data_filtered!$J$2:$J$461,"&lt;&gt;Incompleto"))
</f>
        <v>-</v>
      </c>
      <c r="AN17" s="106" t="str">
        <f>IF(SUMIFS(Data_filtered!$G$2:$G$461,Data_filtered!$A$2:$A$461,AN$1,Data_filtered!$F$2:$F$461,$A17, Data_filtered!$D$2:$D$461,"eucalipto",Data_filtered!$J$2:$J$461,"&lt;&gt;Incompleto")=0, "-", SUMIFS(Data_filtered!$G$2:$G$461,Data_filtered!$A$2:$A$461,AN$1,Data_filtered!$F$2:$F$461,$A17, Data_filtered!$D$2:$D$461,"eucalipto",Data_filtered!$J$2:$J$461,"&lt;&gt;Incompleto"))</f>
        <v>-</v>
      </c>
      <c r="AO17" s="108" t="str">
        <f>IF(SUMIFS(Data_filtered!$G$2:$G$461,Data_filtered!$A$2:$A$461,AN$1,Data_filtered!$F$2:$F$461,$A17, Data_filtered!$D$2:$D$461,"mata",Data_filtered!$J$2:$J$461,"&lt;&gt;Incompleto")=0, "-", SUMIFS(Data_filtered!$G$2:$G$461,Data_filtered!$A$2:$A$461,AN$1,Data_filtered!$F$2:$F$461,$A17, Data_filtered!$D$2:$D$461,"mata",Data_filtered!$J$2:$J$461,"&lt;&gt;Incompleto"))
</f>
        <v>-</v>
      </c>
      <c r="AP17" s="106" t="str">
        <f>IF(SUMIFS(Data_filtered!$G$2:$G$461,Data_filtered!$A$2:$A$461,AP$1,Data_filtered!$F$2:$F$461,$A17, Data_filtered!$D$2:$D$461,"eucalipto",Data_filtered!$J$2:$J$461,"&lt;&gt;Incompleto")=0, "-", SUMIFS(Data_filtered!$G$2:$G$461,Data_filtered!$A$2:$A$461,AP$1,Data_filtered!$F$2:$F$461,$A17, Data_filtered!$D$2:$D$461,"eucalipto",Data_filtered!$J$2:$J$461,"&lt;&gt;Incompleto"))</f>
        <v>-</v>
      </c>
      <c r="AQ17" s="108" t="str">
        <f>IF(SUMIFS(Data_filtered!$G$2:$G$461,Data_filtered!$A$2:$A$461,AP$1,Data_filtered!$F$2:$F$461,$A17, Data_filtered!$D$2:$D$461,"mata",Data_filtered!$J$2:$J$461,"&lt;&gt;Incompleto")=0, "-", SUMIFS(Data_filtered!$G$2:$G$461,Data_filtered!$A$2:$A$461,AP$1,Data_filtered!$F$2:$F$461,$A17, Data_filtered!$D$2:$D$461,"mata",Data_filtered!$J$2:$J$461,"&lt;&gt;Incompleto"))
</f>
        <v>-</v>
      </c>
      <c r="AR17" s="106" t="str">
        <f>IF(SUMIFS(Data_filtered!$G$2:$G$461,Data_filtered!$A$2:$A$461,AR$1,Data_filtered!$F$2:$F$461,$A17, Data_filtered!$D$2:$D$461,"eucalipto",Data_filtered!$J$2:$J$461,"&lt;&gt;Incompleto")=0, "-", SUMIFS(Data_filtered!$G$2:$G$461,Data_filtered!$A$2:$A$461,AR$1,Data_filtered!$F$2:$F$461,$A17, Data_filtered!$D$2:$D$461,"eucalipto",Data_filtered!$J$2:$J$461,"&lt;&gt;Incompleto"))</f>
        <v>-</v>
      </c>
      <c r="AS17" s="108" t="str">
        <f>IF(SUMIFS(Data_filtered!$G$2:$G$461,Data_filtered!$A$2:$A$461,AR$1,Data_filtered!$F$2:$F$461,$A17, Data_filtered!$D$2:$D$461,"mata",Data_filtered!$J$2:$J$461,"&lt;&gt;Incompleto")=0, "-", SUMIFS(Data_filtered!$G$2:$G$461,Data_filtered!$A$2:$A$461,AR$1,Data_filtered!$F$2:$F$461,$A17, Data_filtered!$D$2:$D$461,"mata",Data_filtered!$J$2:$J$461,"&lt;&gt;Incompleto"))
</f>
        <v>-</v>
      </c>
    </row>
    <row r="18">
      <c r="A18" s="68" t="str">
        <f>IFERROR(__xludf.DUMMYFUNCTION("""COMPUTED_VALUE"""),"Larva")</f>
        <v>Larva</v>
      </c>
      <c r="B18" s="106" t="str">
        <f>IF(SUMIFS(Data_filtered!$G$2:$G$461,Data_filtered!$A$2:$A$461,B$1,Data_filtered!$F$2:$F$461,$A18, Data_filtered!$D$2:$D$461,"eucalipto",Data_filtered!$J$2:$J$461,"&lt;&gt;Incompleto")=0, "-", SUMIFS(Data_filtered!$G$2:$G$461,Data_filtered!$A$2:$A$461,B$1,Data_filtered!$F$2:$F$461,$A18, Data_filtered!$D$2:$D$461,"eucalipto",Data_filtered!$J$2:$J$461,"&lt;&gt;Incompleto"))</f>
        <v>-</v>
      </c>
      <c r="C18" s="108" t="str">
        <f>IF(SUMIFS(Data_filtered!$G$2:$G$461,Data_filtered!$A$2:$A$461,B$1,Data_filtered!$F$2:$F$461,$A18, Data_filtered!$D$2:$D$461,"mata",Data_filtered!$J$2:$J$461,"&lt;&gt;Incompleto")=0, "-", SUMIFS(Data_filtered!$G$2:$G$461,Data_filtered!$A$2:$A$461,B$1,Data_filtered!$F$2:$F$461,$A18, Data_filtered!$D$2:$D$461,"mata",Data_filtered!$J$2:$J$461,"&lt;&gt;Incompleto"))
</f>
        <v>-</v>
      </c>
      <c r="D18" s="106" t="str">
        <f>IF(SUMIFS(Data_filtered!$G$2:$G$461,Data_filtered!$A$2:$A$461,D$1,Data_filtered!$F$2:$F$461,$A18, Data_filtered!$D$2:$D$461,"eucalipto",Data_filtered!$J$2:$J$461,"&lt;&gt;Incompleto")=0, "-", SUMIFS(Data_filtered!$G$2:$G$461,Data_filtered!$A$2:$A$461,D$1,Data_filtered!$F$2:$F$461,$A18, Data_filtered!$D$2:$D$461,"eucalipto",Data_filtered!$J$2:$J$461,"&lt;&gt;Incompleto"))</f>
        <v>-</v>
      </c>
      <c r="E18" s="108" t="str">
        <f>IF(SUMIFS(Data_filtered!$G$2:$G$461,Data_filtered!$A$2:$A$461,D$1,Data_filtered!$F$2:$F$461,$A18, Data_filtered!$D$2:$D$461,"mata",Data_filtered!$J$2:$J$461,"&lt;&gt;Incompleto")=0, "-", SUMIFS(Data_filtered!$G$2:$G$461,Data_filtered!$A$2:$A$461,D$1,Data_filtered!$F$2:$F$461,$A18, Data_filtered!$D$2:$D$461,"mata",Data_filtered!$J$2:$J$461,"&lt;&gt;Incompleto"))
</f>
        <v>-</v>
      </c>
      <c r="F18" s="106" t="str">
        <f>IF(SUMIFS(Data_filtered!$G$2:$G$461,Data_filtered!$A$2:$A$461,F$1,Data_filtered!$F$2:$F$461,$A18, Data_filtered!$D$2:$D$461,"eucalipto",Data_filtered!$J$2:$J$461,"&lt;&gt;Incompleto")=0, "-", SUMIFS(Data_filtered!$G$2:$G$461,Data_filtered!$A$2:$A$461,F$1,Data_filtered!$F$2:$F$461,$A18, Data_filtered!$D$2:$D$461,"eucalipto",Data_filtered!$J$2:$J$461,"&lt;&gt;Incompleto"))</f>
        <v>-</v>
      </c>
      <c r="G18" s="108" t="str">
        <f>IF(SUMIFS(Data_filtered!$G$2:$G$461,Data_filtered!$A$2:$A$461,F$1,Data_filtered!$F$2:$F$461,$A18, Data_filtered!$D$2:$D$461,"mata",Data_filtered!$J$2:$J$461,"&lt;&gt;Incompleto")=0, "-", SUMIFS(Data_filtered!$G$2:$G$461,Data_filtered!$A$2:$A$461,F$1,Data_filtered!$F$2:$F$461,$A18, Data_filtered!$D$2:$D$461,"mata",Data_filtered!$J$2:$J$461,"&lt;&gt;Incompleto"))
</f>
        <v>-</v>
      </c>
      <c r="H18" s="106" t="str">
        <f>IF(SUMIFS(Data_filtered!$G$2:$G$461,Data_filtered!$A$2:$A$461,H$1,Data_filtered!$F$2:$F$461,$A18, Data_filtered!$D$2:$D$461,"eucalipto",Data_filtered!$J$2:$J$461,"&lt;&gt;Incompleto")=0, "-", SUMIFS(Data_filtered!$G$2:$G$461,Data_filtered!$A$2:$A$461,H$1,Data_filtered!$F$2:$F$461,$A18, Data_filtered!$D$2:$D$461,"eucalipto",Data_filtered!$J$2:$J$461,"&lt;&gt;Incompleto"))</f>
        <v>-</v>
      </c>
      <c r="I18" s="108" t="str">
        <f>IF(SUMIFS(Data_filtered!$G$2:$G$461,Data_filtered!$A$2:$A$461,H$1,Data_filtered!$F$2:$F$461,$A18, Data_filtered!$D$2:$D$461,"mata",Data_filtered!$J$2:$J$461,"&lt;&gt;Incompleto")=0, "-", SUMIFS(Data_filtered!$G$2:$G$461,Data_filtered!$A$2:$A$461,H$1,Data_filtered!$F$2:$F$461,$A18, Data_filtered!$D$2:$D$461,"mata",Data_filtered!$J$2:$J$461,"&lt;&gt;Incompleto"))
</f>
        <v>-</v>
      </c>
      <c r="J18" s="106" t="str">
        <f>IF(SUMIFS(Data_filtered!$G$2:$G$461,Data_filtered!$A$2:$A$461,J$1,Data_filtered!$F$2:$F$461,$A18, Data_filtered!$D$2:$D$461,"eucalipto",Data_filtered!$J$2:$J$461,"&lt;&gt;Incompleto")=0, "-", SUMIFS(Data_filtered!$G$2:$G$461,Data_filtered!$A$2:$A$461,J$1,Data_filtered!$F$2:$F$461,$A18, Data_filtered!$D$2:$D$461,"eucalipto",Data_filtered!$J$2:$J$461,"&lt;&gt;Incompleto"))</f>
        <v>-</v>
      </c>
      <c r="K18" s="108" t="str">
        <f>IF(SUMIFS(Data_filtered!$G$2:$G$461,Data_filtered!$A$2:$A$461,J$1,Data_filtered!$F$2:$F$461,$A18, Data_filtered!$D$2:$D$461,"mata",Data_filtered!$J$2:$J$461,"&lt;&gt;Incompleto")=0, "-", SUMIFS(Data_filtered!$G$2:$G$461,Data_filtered!$A$2:$A$461,J$1,Data_filtered!$F$2:$F$461,$A18, Data_filtered!$D$2:$D$461,"mata",Data_filtered!$J$2:$J$461,"&lt;&gt;Incompleto"))
</f>
        <v>-</v>
      </c>
      <c r="L18" s="106" t="str">
        <f>IF(SUMIFS(Data_filtered!$G$2:$G$461,Data_filtered!$A$2:$A$461,L$1,Data_filtered!$F$2:$F$461,$A18, Data_filtered!$D$2:$D$461,"eucalipto",Data_filtered!$J$2:$J$461,"&lt;&gt;Incompleto")=0, "-", SUMIFS(Data_filtered!$G$2:$G$461,Data_filtered!$A$2:$A$461,L$1,Data_filtered!$F$2:$F$461,$A18, Data_filtered!$D$2:$D$461,"eucalipto",Data_filtered!$J$2:$J$461,"&lt;&gt;Incompleto"))</f>
        <v>-</v>
      </c>
      <c r="M18" s="108" t="str">
        <f>IF(SUMIFS(Data_filtered!$G$2:$G$461,Data_filtered!$A$2:$A$461,L$1,Data_filtered!$F$2:$F$461,$A18, Data_filtered!$D$2:$D$461,"mata",Data_filtered!$J$2:$J$461,"&lt;&gt;Incompleto")=0, "-", SUMIFS(Data_filtered!$G$2:$G$461,Data_filtered!$A$2:$A$461,L$1,Data_filtered!$F$2:$F$461,$A18, Data_filtered!$D$2:$D$461,"mata",Data_filtered!$J$2:$J$461,"&lt;&gt;Incompleto"))
</f>
        <v>-</v>
      </c>
      <c r="N18" s="106" t="str">
        <f>IF(SUMIFS(Data_filtered!$G$2:$G$461,Data_filtered!$A$2:$A$461,N$1,Data_filtered!$F$2:$F$461,$A18, Data_filtered!$D$2:$D$461,"eucalipto",Data_filtered!$J$2:$J$461,"&lt;&gt;Incompleto")=0, "-", SUMIFS(Data_filtered!$G$2:$G$461,Data_filtered!$A$2:$A$461,N$1,Data_filtered!$F$2:$F$461,$A18, Data_filtered!$D$2:$D$461,"eucalipto",Data_filtered!$J$2:$J$461,"&lt;&gt;Incompleto"))</f>
        <v>-</v>
      </c>
      <c r="O18" s="108" t="str">
        <f>IF(SUMIFS(Data_filtered!$G$2:$G$461,Data_filtered!$A$2:$A$461,N$1,Data_filtered!$F$2:$F$461,$A18, Data_filtered!$D$2:$D$461,"mata",Data_filtered!$J$2:$J$461,"&lt;&gt;Incompleto")=0, "-", SUMIFS(Data_filtered!$G$2:$G$461,Data_filtered!$A$2:$A$461,N$1,Data_filtered!$F$2:$F$461,$A18, Data_filtered!$D$2:$D$461,"mata",Data_filtered!$J$2:$J$461,"&lt;&gt;Incompleto"))
</f>
        <v>-</v>
      </c>
      <c r="P18" s="106" t="str">
        <f>IF(SUMIFS(Data_filtered!$G$2:$G$461,Data_filtered!$A$2:$A$461,P$1,Data_filtered!$F$2:$F$461,$A18, Data_filtered!$D$2:$D$461,"eucalipto",Data_filtered!$J$2:$J$461,"&lt;&gt;Incompleto")=0, "-", SUMIFS(Data_filtered!$G$2:$G$461,Data_filtered!$A$2:$A$461,P$1,Data_filtered!$F$2:$F$461,$A18, Data_filtered!$D$2:$D$461,"eucalipto",Data_filtered!$J$2:$J$461,"&lt;&gt;Incompleto"))</f>
        <v>-</v>
      </c>
      <c r="Q18" s="108" t="str">
        <f>IF(SUMIFS(Data_filtered!$G$2:$G$461,Data_filtered!$A$2:$A$461,P$1,Data_filtered!$F$2:$F$461,$A18, Data_filtered!$D$2:$D$461,"mata",Data_filtered!$J$2:$J$461,"&lt;&gt;Incompleto")=0, "-", SUMIFS(Data_filtered!$G$2:$G$461,Data_filtered!$A$2:$A$461,P$1,Data_filtered!$F$2:$F$461,$A18, Data_filtered!$D$2:$D$461,"mata",Data_filtered!$J$2:$J$461,"&lt;&gt;Incompleto"))
</f>
        <v>-</v>
      </c>
      <c r="R18" s="106" t="str">
        <f>IF(SUMIFS(Data_filtered!$G$2:$G$461,Data_filtered!$A$2:$A$461,R$1,Data_filtered!$F$2:$F$461,$A18, Data_filtered!$D$2:$D$461,"eucalipto",Data_filtered!$J$2:$J$461,"&lt;&gt;Incompleto")=0, "-", SUMIFS(Data_filtered!$G$2:$G$461,Data_filtered!$A$2:$A$461,R$1,Data_filtered!$F$2:$F$461,$A18, Data_filtered!$D$2:$D$461,"eucalipto",Data_filtered!$J$2:$J$461,"&lt;&gt;Incompleto"))</f>
        <v>-</v>
      </c>
      <c r="S18" s="108" t="str">
        <f>IF(SUMIFS(Data_filtered!$G$2:$G$461,Data_filtered!$A$2:$A$461,R$1,Data_filtered!$F$2:$F$461,$A18, Data_filtered!$D$2:$D$461,"mata",Data_filtered!$J$2:$J$461,"&lt;&gt;Incompleto")=0, "-", SUMIFS(Data_filtered!$G$2:$G$461,Data_filtered!$A$2:$A$461,R$1,Data_filtered!$F$2:$F$461,$A18, Data_filtered!$D$2:$D$461,"mata",Data_filtered!$J$2:$J$461,"&lt;&gt;Incompleto"))
</f>
        <v>-</v>
      </c>
      <c r="T18" s="106" t="str">
        <f>IF(SUMIFS(Data_filtered!$G$2:$G$461,Data_filtered!$A$2:$A$461,T$1,Data_filtered!$F$2:$F$461,$A18, Data_filtered!$D$2:$D$461,"eucalipto",Data_filtered!$J$2:$J$461,"&lt;&gt;Incompleto")=0, "-", SUMIFS(Data_filtered!$G$2:$G$461,Data_filtered!$A$2:$A$461,T$1,Data_filtered!$F$2:$F$461,$A18, Data_filtered!$D$2:$D$461,"eucalipto",Data_filtered!$J$2:$J$461,"&lt;&gt;Incompleto"))</f>
        <v>-</v>
      </c>
      <c r="U18" s="108" t="str">
        <f>IF(SUMIFS(Data_filtered!$G$2:$G$461,Data_filtered!$A$2:$A$461,T$1,Data_filtered!$F$2:$F$461,$A18, Data_filtered!$D$2:$D$461,"mata",Data_filtered!$J$2:$J$461,"&lt;&gt;Incompleto")=0, "-", SUMIFS(Data_filtered!$G$2:$G$461,Data_filtered!$A$2:$A$461,T$1,Data_filtered!$F$2:$F$461,$A18, Data_filtered!$D$2:$D$461,"mata",Data_filtered!$J$2:$J$461,"&lt;&gt;Incompleto"))
</f>
        <v>-</v>
      </c>
      <c r="V18" s="106" t="str">
        <f>IF(SUMIFS(Data_filtered!$G$2:$G$461,Data_filtered!$A$2:$A$461,V$1,Data_filtered!$F$2:$F$461,$A18, Data_filtered!$D$2:$D$461,"eucalipto",Data_filtered!$J$2:$J$461,"&lt;&gt;Incompleto")=0, "-", SUMIFS(Data_filtered!$G$2:$G$461,Data_filtered!$A$2:$A$461,V$1,Data_filtered!$F$2:$F$461,$A18, Data_filtered!$D$2:$D$461,"eucalipto",Data_filtered!$J$2:$J$461,"&lt;&gt;Incompleto"))</f>
        <v>-</v>
      </c>
      <c r="W18" s="108" t="str">
        <f>IF(SUMIFS(Data_filtered!$G$2:$G$461,Data_filtered!$A$2:$A$461,V$1,Data_filtered!$F$2:$F$461,$A18, Data_filtered!$D$2:$D$461,"mata",Data_filtered!$J$2:$J$461,"&lt;&gt;Incompleto")=0, "-", SUMIFS(Data_filtered!$G$2:$G$461,Data_filtered!$A$2:$A$461,V$1,Data_filtered!$F$2:$F$461,$A18, Data_filtered!$D$2:$D$461,"mata",Data_filtered!$J$2:$J$461,"&lt;&gt;Incompleto"))
</f>
        <v>-</v>
      </c>
      <c r="X18" s="106" t="str">
        <f>IF(SUMIFS(Data_filtered!$G$2:$G$461,Data_filtered!$A$2:$A$461,X$1,Data_filtered!$F$2:$F$461,$A18, Data_filtered!$D$2:$D$461,"eucalipto",Data_filtered!$J$2:$J$461,"&lt;&gt;Incompleto")=0, "-", SUMIFS(Data_filtered!$G$2:$G$461,Data_filtered!$A$2:$A$461,X$1,Data_filtered!$F$2:$F$461,$A18, Data_filtered!$D$2:$D$461,"eucalipto",Data_filtered!$J$2:$J$461,"&lt;&gt;Incompleto"))</f>
        <v>-</v>
      </c>
      <c r="Y18" s="108" t="str">
        <f>IF(SUMIFS(Data_filtered!$G$2:$G$461,Data_filtered!$A$2:$A$461,X$1,Data_filtered!$F$2:$F$461,$A18, Data_filtered!$D$2:$D$461,"mata",Data_filtered!$J$2:$J$461,"&lt;&gt;Incompleto")=0, "-", SUMIFS(Data_filtered!$G$2:$G$461,Data_filtered!$A$2:$A$461,X$1,Data_filtered!$F$2:$F$461,$A18, Data_filtered!$D$2:$D$461,"mata",Data_filtered!$J$2:$J$461,"&lt;&gt;Incompleto"))
</f>
        <v>-</v>
      </c>
      <c r="Z18" s="106" t="str">
        <f>IF(SUMIFS(Data_filtered!$G$2:$G$461,Data_filtered!$A$2:$A$461,Z$1,Data_filtered!$F$2:$F$461,$A18, Data_filtered!$D$2:$D$461,"eucalipto",Data_filtered!$J$2:$J$461,"&lt;&gt;Incompleto")=0, "-", SUMIFS(Data_filtered!$G$2:$G$461,Data_filtered!$A$2:$A$461,Z$1,Data_filtered!$F$2:$F$461,$A18, Data_filtered!$D$2:$D$461,"eucalipto",Data_filtered!$J$2:$J$461,"&lt;&gt;Incompleto"))</f>
        <v>-</v>
      </c>
      <c r="AA18" s="108" t="str">
        <f>IF(SUMIFS(Data_filtered!$G$2:$G$461,Data_filtered!$A$2:$A$461,Z$1,Data_filtered!$F$2:$F$461,$A18, Data_filtered!$D$2:$D$461,"mata",Data_filtered!$J$2:$J$461,"&lt;&gt;Incompleto")=0, "-", SUMIFS(Data_filtered!$G$2:$G$461,Data_filtered!$A$2:$A$461,Z$1,Data_filtered!$F$2:$F$461,$A18, Data_filtered!$D$2:$D$461,"mata",Data_filtered!$J$2:$J$461,"&lt;&gt;Incompleto"))
</f>
        <v>-</v>
      </c>
      <c r="AB18" s="106" t="str">
        <f>IF(SUMIFS(Data_filtered!$G$2:$G$461,Data_filtered!$A$2:$A$461,AB$1,Data_filtered!$F$2:$F$461,$A18, Data_filtered!$D$2:$D$461,"eucalipto",Data_filtered!$J$2:$J$461,"&lt;&gt;Incompleto")=0, "-", SUMIFS(Data_filtered!$G$2:$G$461,Data_filtered!$A$2:$A$461,AB$1,Data_filtered!$F$2:$F$461,$A18, Data_filtered!$D$2:$D$461,"eucalipto",Data_filtered!$J$2:$J$461,"&lt;&gt;Incompleto"))</f>
        <v>-</v>
      </c>
      <c r="AC18" s="108" t="str">
        <f>IF(SUMIFS(Data_filtered!$G$2:$G$461,Data_filtered!$A$2:$A$461,AB$1,Data_filtered!$F$2:$F$461,$A18, Data_filtered!$D$2:$D$461,"mata",Data_filtered!$J$2:$J$461,"&lt;&gt;Incompleto")=0, "-", SUMIFS(Data_filtered!$G$2:$G$461,Data_filtered!$A$2:$A$461,AB$1,Data_filtered!$F$2:$F$461,$A18, Data_filtered!$D$2:$D$461,"mata",Data_filtered!$J$2:$J$461,"&lt;&gt;Incompleto"))
</f>
        <v>-</v>
      </c>
      <c r="AD18" s="106" t="str">
        <f>IF(SUMIFS(Data_filtered!$G$2:$G$461,Data_filtered!$A$2:$A$461,AD$1,Data_filtered!$F$2:$F$461,$A18, Data_filtered!$D$2:$D$461,"eucalipto",Data_filtered!$J$2:$J$461,"&lt;&gt;Incompleto")=0, "-", SUMIFS(Data_filtered!$G$2:$G$461,Data_filtered!$A$2:$A$461,AD$1,Data_filtered!$F$2:$F$461,$A18, Data_filtered!$D$2:$D$461,"eucalipto",Data_filtered!$J$2:$J$461,"&lt;&gt;Incompleto"))</f>
        <v>-</v>
      </c>
      <c r="AE18" s="108" t="str">
        <f>IF(SUMIFS(Data_filtered!$G$2:$G$461,Data_filtered!$A$2:$A$461,AD$1,Data_filtered!$F$2:$F$461,$A18, Data_filtered!$D$2:$D$461,"mata",Data_filtered!$J$2:$J$461,"&lt;&gt;Incompleto")=0, "-", SUMIFS(Data_filtered!$G$2:$G$461,Data_filtered!$A$2:$A$461,AD$1,Data_filtered!$F$2:$F$461,$A18, Data_filtered!$D$2:$D$461,"mata",Data_filtered!$J$2:$J$461,"&lt;&gt;Incompleto"))
</f>
        <v>-</v>
      </c>
      <c r="AF18" s="106" t="str">
        <f>IF(SUMIFS(Data_filtered!$G$2:$G$461,Data_filtered!$A$2:$A$461,AF$1,Data_filtered!$F$2:$F$461,$A18, Data_filtered!$D$2:$D$461,"eucalipto",Data_filtered!$J$2:$J$461,"&lt;&gt;Incompleto")=0, "-", SUMIFS(Data_filtered!$G$2:$G$461,Data_filtered!$A$2:$A$461,AF$1,Data_filtered!$F$2:$F$461,$A18, Data_filtered!$D$2:$D$461,"eucalipto",Data_filtered!$J$2:$J$461,"&lt;&gt;Incompleto"))</f>
        <v>-</v>
      </c>
      <c r="AG18" s="108" t="str">
        <f>IF(SUMIFS(Data_filtered!$G$2:$G$461,Data_filtered!$A$2:$A$461,AF$1,Data_filtered!$F$2:$F$461,$A18, Data_filtered!$D$2:$D$461,"mata",Data_filtered!$J$2:$J$461,"&lt;&gt;Incompleto")=0, "-", SUMIFS(Data_filtered!$G$2:$G$461,Data_filtered!$A$2:$A$461,AF$1,Data_filtered!$F$2:$F$461,$A18, Data_filtered!$D$2:$D$461,"mata",Data_filtered!$J$2:$J$461,"&lt;&gt;Incompleto"))
</f>
        <v>-</v>
      </c>
      <c r="AH18" s="106" t="str">
        <f>IF(SUMIFS(Data_filtered!$G$2:$G$461,Data_filtered!$A$2:$A$461,AH$1,Data_filtered!$F$2:$F$461,$A18, Data_filtered!$D$2:$D$461,"eucalipto",Data_filtered!$J$2:$J$461,"&lt;&gt;Incompleto")=0, "-", SUMIFS(Data_filtered!$G$2:$G$461,Data_filtered!$A$2:$A$461,AH$1,Data_filtered!$F$2:$F$461,$A18, Data_filtered!$D$2:$D$461,"eucalipto",Data_filtered!$J$2:$J$461,"&lt;&gt;Incompleto"))</f>
        <v>-</v>
      </c>
      <c r="AI18" s="108" t="str">
        <f>IF(SUMIFS(Data_filtered!$G$2:$G$461,Data_filtered!$A$2:$A$461,AH$1,Data_filtered!$F$2:$F$461,$A18, Data_filtered!$D$2:$D$461,"mata",Data_filtered!$J$2:$J$461,"&lt;&gt;Incompleto")=0, "-", SUMIFS(Data_filtered!$G$2:$G$461,Data_filtered!$A$2:$A$461,AH$1,Data_filtered!$F$2:$F$461,$A18, Data_filtered!$D$2:$D$461,"mata",Data_filtered!$J$2:$J$461,"&lt;&gt;Incompleto"))
</f>
        <v>-</v>
      </c>
      <c r="AJ18" s="106" t="str">
        <f>IF(SUMIFS(Data_filtered!$G$2:$G$461,Data_filtered!$A$2:$A$461,AJ$1,Data_filtered!$F$2:$F$461,$A18, Data_filtered!$D$2:$D$461,"eucalipto",Data_filtered!$J$2:$J$461,"&lt;&gt;Incompleto")=0, "-", SUMIFS(Data_filtered!$G$2:$G$461,Data_filtered!$A$2:$A$461,AJ$1,Data_filtered!$F$2:$F$461,$A18, Data_filtered!$D$2:$D$461,"eucalipto",Data_filtered!$J$2:$J$461,"&lt;&gt;Incompleto"))</f>
        <v>-</v>
      </c>
      <c r="AK18" s="108" t="str">
        <f>IF(SUMIFS(Data_filtered!$G$2:$G$461,Data_filtered!$A$2:$A$461,AJ$1,Data_filtered!$F$2:$F$461,$A18, Data_filtered!$D$2:$D$461,"mata",Data_filtered!$J$2:$J$461,"&lt;&gt;Incompleto")=0, "-", SUMIFS(Data_filtered!$G$2:$G$461,Data_filtered!$A$2:$A$461,AJ$1,Data_filtered!$F$2:$F$461,$A18, Data_filtered!$D$2:$D$461,"mata",Data_filtered!$J$2:$J$461,"&lt;&gt;Incompleto"))
</f>
        <v>-</v>
      </c>
      <c r="AL18" s="106" t="str">
        <f>IF(SUMIFS(Data_filtered!$G$2:$G$461,Data_filtered!$A$2:$A$461,AL$1,Data_filtered!$F$2:$F$461,$A18, Data_filtered!$D$2:$D$461,"eucalipto",Data_filtered!$J$2:$J$461,"&lt;&gt;Incompleto")=0, "-", SUMIFS(Data_filtered!$G$2:$G$461,Data_filtered!$A$2:$A$461,AL$1,Data_filtered!$F$2:$F$461,$A18, Data_filtered!$D$2:$D$461,"eucalipto",Data_filtered!$J$2:$J$461,"&lt;&gt;Incompleto"))</f>
        <v>-</v>
      </c>
      <c r="AM18" s="108">
        <f>IF(SUMIFS(Data_filtered!$G$2:$G$461,Data_filtered!$A$2:$A$461,AL$1,Data_filtered!$F$2:$F$461,$A18, Data_filtered!$D$2:$D$461,"mata",Data_filtered!$J$2:$J$461,"&lt;&gt;Incompleto")=0, "-", SUMIFS(Data_filtered!$G$2:$G$461,Data_filtered!$A$2:$A$461,AL$1,Data_filtered!$F$2:$F$461,$A18, Data_filtered!$D$2:$D$461,"mata",Data_filtered!$J$2:$J$461,"&lt;&gt;Incompleto"))
</f>
        <v>1</v>
      </c>
      <c r="AN18" s="106" t="str">
        <f>IF(SUMIFS(Data_filtered!$G$2:$G$461,Data_filtered!$A$2:$A$461,AN$1,Data_filtered!$F$2:$F$461,$A18, Data_filtered!$D$2:$D$461,"eucalipto",Data_filtered!$J$2:$J$461,"&lt;&gt;Incompleto")=0, "-", SUMIFS(Data_filtered!$G$2:$G$461,Data_filtered!$A$2:$A$461,AN$1,Data_filtered!$F$2:$F$461,$A18, Data_filtered!$D$2:$D$461,"eucalipto",Data_filtered!$J$2:$J$461,"&lt;&gt;Incompleto"))</f>
        <v>-</v>
      </c>
      <c r="AO18" s="108" t="str">
        <f>IF(SUMIFS(Data_filtered!$G$2:$G$461,Data_filtered!$A$2:$A$461,AN$1,Data_filtered!$F$2:$F$461,$A18, Data_filtered!$D$2:$D$461,"mata",Data_filtered!$J$2:$J$461,"&lt;&gt;Incompleto")=0, "-", SUMIFS(Data_filtered!$G$2:$G$461,Data_filtered!$A$2:$A$461,AN$1,Data_filtered!$F$2:$F$461,$A18, Data_filtered!$D$2:$D$461,"mata",Data_filtered!$J$2:$J$461,"&lt;&gt;Incompleto"))
</f>
        <v>-</v>
      </c>
      <c r="AP18" s="106" t="str">
        <f>IF(SUMIFS(Data_filtered!$G$2:$G$461,Data_filtered!$A$2:$A$461,AP$1,Data_filtered!$F$2:$F$461,$A18, Data_filtered!$D$2:$D$461,"eucalipto",Data_filtered!$J$2:$J$461,"&lt;&gt;Incompleto")=0, "-", SUMIFS(Data_filtered!$G$2:$G$461,Data_filtered!$A$2:$A$461,AP$1,Data_filtered!$F$2:$F$461,$A18, Data_filtered!$D$2:$D$461,"eucalipto",Data_filtered!$J$2:$J$461,"&lt;&gt;Incompleto"))</f>
        <v>-</v>
      </c>
      <c r="AQ18" s="108" t="str">
        <f>IF(SUMIFS(Data_filtered!$G$2:$G$461,Data_filtered!$A$2:$A$461,AP$1,Data_filtered!$F$2:$F$461,$A18, Data_filtered!$D$2:$D$461,"mata",Data_filtered!$J$2:$J$461,"&lt;&gt;Incompleto")=0, "-", SUMIFS(Data_filtered!$G$2:$G$461,Data_filtered!$A$2:$A$461,AP$1,Data_filtered!$F$2:$F$461,$A18, Data_filtered!$D$2:$D$461,"mata",Data_filtered!$J$2:$J$461,"&lt;&gt;Incompleto"))
</f>
        <v>-</v>
      </c>
      <c r="AR18" s="106" t="str">
        <f>IF(SUMIFS(Data_filtered!$G$2:$G$461,Data_filtered!$A$2:$A$461,AR$1,Data_filtered!$F$2:$F$461,$A18, Data_filtered!$D$2:$D$461,"eucalipto",Data_filtered!$J$2:$J$461,"&lt;&gt;Incompleto")=0, "-", SUMIFS(Data_filtered!$G$2:$G$461,Data_filtered!$A$2:$A$461,AR$1,Data_filtered!$F$2:$F$461,$A18, Data_filtered!$D$2:$D$461,"eucalipto",Data_filtered!$J$2:$J$461,"&lt;&gt;Incompleto"))</f>
        <v>-</v>
      </c>
      <c r="AS18" s="108" t="str">
        <f>IF(SUMIFS(Data_filtered!$G$2:$G$461,Data_filtered!$A$2:$A$461,AR$1,Data_filtered!$F$2:$F$461,$A18, Data_filtered!$D$2:$D$461,"mata",Data_filtered!$J$2:$J$461,"&lt;&gt;Incompleto")=0, "-", SUMIFS(Data_filtered!$G$2:$G$461,Data_filtered!$A$2:$A$461,AR$1,Data_filtered!$F$2:$F$461,$A18, Data_filtered!$D$2:$D$461,"mata",Data_filtered!$J$2:$J$461,"&lt;&gt;Incompleto"))
</f>
        <v>-</v>
      </c>
    </row>
    <row r="19">
      <c r="A19" s="68" t="str">
        <f>IFERROR(__xludf.DUMMYFUNCTION("""COMPUTED_VALUE"""),"Lepidoptera Larva")</f>
        <v>Lepidoptera Larva</v>
      </c>
      <c r="B19" s="106" t="str">
        <f>IF(SUMIFS(Data_filtered!$G$2:$G$461,Data_filtered!$A$2:$A$461,B$1,Data_filtered!$F$2:$F$461,$A19, Data_filtered!$D$2:$D$461,"eucalipto",Data_filtered!$J$2:$J$461,"&lt;&gt;Incompleto")=0, "-", SUMIFS(Data_filtered!$G$2:$G$461,Data_filtered!$A$2:$A$461,B$1,Data_filtered!$F$2:$F$461,$A19, Data_filtered!$D$2:$D$461,"eucalipto",Data_filtered!$J$2:$J$461,"&lt;&gt;Incompleto"))</f>
        <v>-</v>
      </c>
      <c r="C19" s="108" t="str">
        <f>IF(SUMIFS(Data_filtered!$G$2:$G$461,Data_filtered!$A$2:$A$461,B$1,Data_filtered!$F$2:$F$461,$A19, Data_filtered!$D$2:$D$461,"mata",Data_filtered!$J$2:$J$461,"&lt;&gt;Incompleto")=0, "-", SUMIFS(Data_filtered!$G$2:$G$461,Data_filtered!$A$2:$A$461,B$1,Data_filtered!$F$2:$F$461,$A19, Data_filtered!$D$2:$D$461,"mata",Data_filtered!$J$2:$J$461,"&lt;&gt;Incompleto"))
</f>
        <v>-</v>
      </c>
      <c r="D19" s="106" t="str">
        <f>IF(SUMIFS(Data_filtered!$G$2:$G$461,Data_filtered!$A$2:$A$461,D$1,Data_filtered!$F$2:$F$461,$A19, Data_filtered!$D$2:$D$461,"eucalipto",Data_filtered!$J$2:$J$461,"&lt;&gt;Incompleto")=0, "-", SUMIFS(Data_filtered!$G$2:$G$461,Data_filtered!$A$2:$A$461,D$1,Data_filtered!$F$2:$F$461,$A19, Data_filtered!$D$2:$D$461,"eucalipto",Data_filtered!$J$2:$J$461,"&lt;&gt;Incompleto"))</f>
        <v>-</v>
      </c>
      <c r="E19" s="108" t="str">
        <f>IF(SUMIFS(Data_filtered!$G$2:$G$461,Data_filtered!$A$2:$A$461,D$1,Data_filtered!$F$2:$F$461,$A19, Data_filtered!$D$2:$D$461,"mata",Data_filtered!$J$2:$J$461,"&lt;&gt;Incompleto")=0, "-", SUMIFS(Data_filtered!$G$2:$G$461,Data_filtered!$A$2:$A$461,D$1,Data_filtered!$F$2:$F$461,$A19, Data_filtered!$D$2:$D$461,"mata",Data_filtered!$J$2:$J$461,"&lt;&gt;Incompleto"))
</f>
        <v>-</v>
      </c>
      <c r="F19" s="106" t="str">
        <f>IF(SUMIFS(Data_filtered!$G$2:$G$461,Data_filtered!$A$2:$A$461,F$1,Data_filtered!$F$2:$F$461,$A19, Data_filtered!$D$2:$D$461,"eucalipto",Data_filtered!$J$2:$J$461,"&lt;&gt;Incompleto")=0, "-", SUMIFS(Data_filtered!$G$2:$G$461,Data_filtered!$A$2:$A$461,F$1,Data_filtered!$F$2:$F$461,$A19, Data_filtered!$D$2:$D$461,"eucalipto",Data_filtered!$J$2:$J$461,"&lt;&gt;Incompleto"))</f>
        <v>-</v>
      </c>
      <c r="G19" s="108" t="str">
        <f>IF(SUMIFS(Data_filtered!$G$2:$G$461,Data_filtered!$A$2:$A$461,F$1,Data_filtered!$F$2:$F$461,$A19, Data_filtered!$D$2:$D$461,"mata",Data_filtered!$J$2:$J$461,"&lt;&gt;Incompleto")=0, "-", SUMIFS(Data_filtered!$G$2:$G$461,Data_filtered!$A$2:$A$461,F$1,Data_filtered!$F$2:$F$461,$A19, Data_filtered!$D$2:$D$461,"mata",Data_filtered!$J$2:$J$461,"&lt;&gt;Incompleto"))
</f>
        <v>-</v>
      </c>
      <c r="H19" s="106" t="str">
        <f>IF(SUMIFS(Data_filtered!$G$2:$G$461,Data_filtered!$A$2:$A$461,H$1,Data_filtered!$F$2:$F$461,$A19, Data_filtered!$D$2:$D$461,"eucalipto",Data_filtered!$J$2:$J$461,"&lt;&gt;Incompleto")=0, "-", SUMIFS(Data_filtered!$G$2:$G$461,Data_filtered!$A$2:$A$461,H$1,Data_filtered!$F$2:$F$461,$A19, Data_filtered!$D$2:$D$461,"eucalipto",Data_filtered!$J$2:$J$461,"&lt;&gt;Incompleto"))</f>
        <v>-</v>
      </c>
      <c r="I19" s="108" t="str">
        <f>IF(SUMIFS(Data_filtered!$G$2:$G$461,Data_filtered!$A$2:$A$461,H$1,Data_filtered!$F$2:$F$461,$A19, Data_filtered!$D$2:$D$461,"mata",Data_filtered!$J$2:$J$461,"&lt;&gt;Incompleto")=0, "-", SUMIFS(Data_filtered!$G$2:$G$461,Data_filtered!$A$2:$A$461,H$1,Data_filtered!$F$2:$F$461,$A19, Data_filtered!$D$2:$D$461,"mata",Data_filtered!$J$2:$J$461,"&lt;&gt;Incompleto"))
</f>
        <v>-</v>
      </c>
      <c r="J19" s="106" t="str">
        <f>IF(SUMIFS(Data_filtered!$G$2:$G$461,Data_filtered!$A$2:$A$461,J$1,Data_filtered!$F$2:$F$461,$A19, Data_filtered!$D$2:$D$461,"eucalipto",Data_filtered!$J$2:$J$461,"&lt;&gt;Incompleto")=0, "-", SUMIFS(Data_filtered!$G$2:$G$461,Data_filtered!$A$2:$A$461,J$1,Data_filtered!$F$2:$F$461,$A19, Data_filtered!$D$2:$D$461,"eucalipto",Data_filtered!$J$2:$J$461,"&lt;&gt;Incompleto"))</f>
        <v>-</v>
      </c>
      <c r="K19" s="108" t="str">
        <f>IF(SUMIFS(Data_filtered!$G$2:$G$461,Data_filtered!$A$2:$A$461,J$1,Data_filtered!$F$2:$F$461,$A19, Data_filtered!$D$2:$D$461,"mata",Data_filtered!$J$2:$J$461,"&lt;&gt;Incompleto")=0, "-", SUMIFS(Data_filtered!$G$2:$G$461,Data_filtered!$A$2:$A$461,J$1,Data_filtered!$F$2:$F$461,$A19, Data_filtered!$D$2:$D$461,"mata",Data_filtered!$J$2:$J$461,"&lt;&gt;Incompleto"))
</f>
        <v>-</v>
      </c>
      <c r="L19" s="106" t="str">
        <f>IF(SUMIFS(Data_filtered!$G$2:$G$461,Data_filtered!$A$2:$A$461,L$1,Data_filtered!$F$2:$F$461,$A19, Data_filtered!$D$2:$D$461,"eucalipto",Data_filtered!$J$2:$J$461,"&lt;&gt;Incompleto")=0, "-", SUMIFS(Data_filtered!$G$2:$G$461,Data_filtered!$A$2:$A$461,L$1,Data_filtered!$F$2:$F$461,$A19, Data_filtered!$D$2:$D$461,"eucalipto",Data_filtered!$J$2:$J$461,"&lt;&gt;Incompleto"))</f>
        <v>-</v>
      </c>
      <c r="M19" s="108" t="str">
        <f>IF(SUMIFS(Data_filtered!$G$2:$G$461,Data_filtered!$A$2:$A$461,L$1,Data_filtered!$F$2:$F$461,$A19, Data_filtered!$D$2:$D$461,"mata",Data_filtered!$J$2:$J$461,"&lt;&gt;Incompleto")=0, "-", SUMIFS(Data_filtered!$G$2:$G$461,Data_filtered!$A$2:$A$461,L$1,Data_filtered!$F$2:$F$461,$A19, Data_filtered!$D$2:$D$461,"mata",Data_filtered!$J$2:$J$461,"&lt;&gt;Incompleto"))
</f>
        <v>-</v>
      </c>
      <c r="N19" s="106" t="str">
        <f>IF(SUMIFS(Data_filtered!$G$2:$G$461,Data_filtered!$A$2:$A$461,N$1,Data_filtered!$F$2:$F$461,$A19, Data_filtered!$D$2:$D$461,"eucalipto",Data_filtered!$J$2:$J$461,"&lt;&gt;Incompleto")=0, "-", SUMIFS(Data_filtered!$G$2:$G$461,Data_filtered!$A$2:$A$461,N$1,Data_filtered!$F$2:$F$461,$A19, Data_filtered!$D$2:$D$461,"eucalipto",Data_filtered!$J$2:$J$461,"&lt;&gt;Incompleto"))</f>
        <v>-</v>
      </c>
      <c r="O19" s="108" t="str">
        <f>IF(SUMIFS(Data_filtered!$G$2:$G$461,Data_filtered!$A$2:$A$461,N$1,Data_filtered!$F$2:$F$461,$A19, Data_filtered!$D$2:$D$461,"mata",Data_filtered!$J$2:$J$461,"&lt;&gt;Incompleto")=0, "-", SUMIFS(Data_filtered!$G$2:$G$461,Data_filtered!$A$2:$A$461,N$1,Data_filtered!$F$2:$F$461,$A19, Data_filtered!$D$2:$D$461,"mata",Data_filtered!$J$2:$J$461,"&lt;&gt;Incompleto"))
</f>
        <v>-</v>
      </c>
      <c r="P19" s="106" t="str">
        <f>IF(SUMIFS(Data_filtered!$G$2:$G$461,Data_filtered!$A$2:$A$461,P$1,Data_filtered!$F$2:$F$461,$A19, Data_filtered!$D$2:$D$461,"eucalipto",Data_filtered!$J$2:$J$461,"&lt;&gt;Incompleto")=0, "-", SUMIFS(Data_filtered!$G$2:$G$461,Data_filtered!$A$2:$A$461,P$1,Data_filtered!$F$2:$F$461,$A19, Data_filtered!$D$2:$D$461,"eucalipto",Data_filtered!$J$2:$J$461,"&lt;&gt;Incompleto"))</f>
        <v>-</v>
      </c>
      <c r="Q19" s="108" t="str">
        <f>IF(SUMIFS(Data_filtered!$G$2:$G$461,Data_filtered!$A$2:$A$461,P$1,Data_filtered!$F$2:$F$461,$A19, Data_filtered!$D$2:$D$461,"mata",Data_filtered!$J$2:$J$461,"&lt;&gt;Incompleto")=0, "-", SUMIFS(Data_filtered!$G$2:$G$461,Data_filtered!$A$2:$A$461,P$1,Data_filtered!$F$2:$F$461,$A19, Data_filtered!$D$2:$D$461,"mata",Data_filtered!$J$2:$J$461,"&lt;&gt;Incompleto"))
</f>
        <v>-</v>
      </c>
      <c r="R19" s="106" t="str">
        <f>IF(SUMIFS(Data_filtered!$G$2:$G$461,Data_filtered!$A$2:$A$461,R$1,Data_filtered!$F$2:$F$461,$A19, Data_filtered!$D$2:$D$461,"eucalipto",Data_filtered!$J$2:$J$461,"&lt;&gt;Incompleto")=0, "-", SUMIFS(Data_filtered!$G$2:$G$461,Data_filtered!$A$2:$A$461,R$1,Data_filtered!$F$2:$F$461,$A19, Data_filtered!$D$2:$D$461,"eucalipto",Data_filtered!$J$2:$J$461,"&lt;&gt;Incompleto"))</f>
        <v>-</v>
      </c>
      <c r="S19" s="108" t="str">
        <f>IF(SUMIFS(Data_filtered!$G$2:$G$461,Data_filtered!$A$2:$A$461,R$1,Data_filtered!$F$2:$F$461,$A19, Data_filtered!$D$2:$D$461,"mata",Data_filtered!$J$2:$J$461,"&lt;&gt;Incompleto")=0, "-", SUMIFS(Data_filtered!$G$2:$G$461,Data_filtered!$A$2:$A$461,R$1,Data_filtered!$F$2:$F$461,$A19, Data_filtered!$D$2:$D$461,"mata",Data_filtered!$J$2:$J$461,"&lt;&gt;Incompleto"))
</f>
        <v>-</v>
      </c>
      <c r="T19" s="106" t="str">
        <f>IF(SUMIFS(Data_filtered!$G$2:$G$461,Data_filtered!$A$2:$A$461,T$1,Data_filtered!$F$2:$F$461,$A19, Data_filtered!$D$2:$D$461,"eucalipto",Data_filtered!$J$2:$J$461,"&lt;&gt;Incompleto")=0, "-", SUMIFS(Data_filtered!$G$2:$G$461,Data_filtered!$A$2:$A$461,T$1,Data_filtered!$F$2:$F$461,$A19, Data_filtered!$D$2:$D$461,"eucalipto",Data_filtered!$J$2:$J$461,"&lt;&gt;Incompleto"))</f>
        <v>-</v>
      </c>
      <c r="U19" s="108" t="str">
        <f>IF(SUMIFS(Data_filtered!$G$2:$G$461,Data_filtered!$A$2:$A$461,T$1,Data_filtered!$F$2:$F$461,$A19, Data_filtered!$D$2:$D$461,"mata",Data_filtered!$J$2:$J$461,"&lt;&gt;Incompleto")=0, "-", SUMIFS(Data_filtered!$G$2:$G$461,Data_filtered!$A$2:$A$461,T$1,Data_filtered!$F$2:$F$461,$A19, Data_filtered!$D$2:$D$461,"mata",Data_filtered!$J$2:$J$461,"&lt;&gt;Incompleto"))
</f>
        <v>-</v>
      </c>
      <c r="V19" s="106">
        <f>IF(SUMIFS(Data_filtered!$G$2:$G$461,Data_filtered!$A$2:$A$461,V$1,Data_filtered!$F$2:$F$461,$A19, Data_filtered!$D$2:$D$461,"eucalipto",Data_filtered!$J$2:$J$461,"&lt;&gt;Incompleto")=0, "-", SUMIFS(Data_filtered!$G$2:$G$461,Data_filtered!$A$2:$A$461,V$1,Data_filtered!$F$2:$F$461,$A19, Data_filtered!$D$2:$D$461,"eucalipto",Data_filtered!$J$2:$J$461,"&lt;&gt;Incompleto"))</f>
        <v>2</v>
      </c>
      <c r="W19" s="108" t="str">
        <f>IF(SUMIFS(Data_filtered!$G$2:$G$461,Data_filtered!$A$2:$A$461,V$1,Data_filtered!$F$2:$F$461,$A19, Data_filtered!$D$2:$D$461,"mata",Data_filtered!$J$2:$J$461,"&lt;&gt;Incompleto")=0, "-", SUMIFS(Data_filtered!$G$2:$G$461,Data_filtered!$A$2:$A$461,V$1,Data_filtered!$F$2:$F$461,$A19, Data_filtered!$D$2:$D$461,"mata",Data_filtered!$J$2:$J$461,"&lt;&gt;Incompleto"))
</f>
        <v>-</v>
      </c>
      <c r="X19" s="106" t="str">
        <f>IF(SUMIFS(Data_filtered!$G$2:$G$461,Data_filtered!$A$2:$A$461,X$1,Data_filtered!$F$2:$F$461,$A19, Data_filtered!$D$2:$D$461,"eucalipto",Data_filtered!$J$2:$J$461,"&lt;&gt;Incompleto")=0, "-", SUMIFS(Data_filtered!$G$2:$G$461,Data_filtered!$A$2:$A$461,X$1,Data_filtered!$F$2:$F$461,$A19, Data_filtered!$D$2:$D$461,"eucalipto",Data_filtered!$J$2:$J$461,"&lt;&gt;Incompleto"))</f>
        <v>-</v>
      </c>
      <c r="Y19" s="108" t="str">
        <f>IF(SUMIFS(Data_filtered!$G$2:$G$461,Data_filtered!$A$2:$A$461,X$1,Data_filtered!$F$2:$F$461,$A19, Data_filtered!$D$2:$D$461,"mata",Data_filtered!$J$2:$J$461,"&lt;&gt;Incompleto")=0, "-", SUMIFS(Data_filtered!$G$2:$G$461,Data_filtered!$A$2:$A$461,X$1,Data_filtered!$F$2:$F$461,$A19, Data_filtered!$D$2:$D$461,"mata",Data_filtered!$J$2:$J$461,"&lt;&gt;Incompleto"))
</f>
        <v>-</v>
      </c>
      <c r="Z19" s="106" t="str">
        <f>IF(SUMIFS(Data_filtered!$G$2:$G$461,Data_filtered!$A$2:$A$461,Z$1,Data_filtered!$F$2:$F$461,$A19, Data_filtered!$D$2:$D$461,"eucalipto",Data_filtered!$J$2:$J$461,"&lt;&gt;Incompleto")=0, "-", SUMIFS(Data_filtered!$G$2:$G$461,Data_filtered!$A$2:$A$461,Z$1,Data_filtered!$F$2:$F$461,$A19, Data_filtered!$D$2:$D$461,"eucalipto",Data_filtered!$J$2:$J$461,"&lt;&gt;Incompleto"))</f>
        <v>-</v>
      </c>
      <c r="AA19" s="108" t="str">
        <f>IF(SUMIFS(Data_filtered!$G$2:$G$461,Data_filtered!$A$2:$A$461,Z$1,Data_filtered!$F$2:$F$461,$A19, Data_filtered!$D$2:$D$461,"mata",Data_filtered!$J$2:$J$461,"&lt;&gt;Incompleto")=0, "-", SUMIFS(Data_filtered!$G$2:$G$461,Data_filtered!$A$2:$A$461,Z$1,Data_filtered!$F$2:$F$461,$A19, Data_filtered!$D$2:$D$461,"mata",Data_filtered!$J$2:$J$461,"&lt;&gt;Incompleto"))
</f>
        <v>-</v>
      </c>
      <c r="AB19" s="106" t="str">
        <f>IF(SUMIFS(Data_filtered!$G$2:$G$461,Data_filtered!$A$2:$A$461,AB$1,Data_filtered!$F$2:$F$461,$A19, Data_filtered!$D$2:$D$461,"eucalipto",Data_filtered!$J$2:$J$461,"&lt;&gt;Incompleto")=0, "-", SUMIFS(Data_filtered!$G$2:$G$461,Data_filtered!$A$2:$A$461,AB$1,Data_filtered!$F$2:$F$461,$A19, Data_filtered!$D$2:$D$461,"eucalipto",Data_filtered!$J$2:$J$461,"&lt;&gt;Incompleto"))</f>
        <v>-</v>
      </c>
      <c r="AC19" s="108" t="str">
        <f>IF(SUMIFS(Data_filtered!$G$2:$G$461,Data_filtered!$A$2:$A$461,AB$1,Data_filtered!$F$2:$F$461,$A19, Data_filtered!$D$2:$D$461,"mata",Data_filtered!$J$2:$J$461,"&lt;&gt;Incompleto")=0, "-", SUMIFS(Data_filtered!$G$2:$G$461,Data_filtered!$A$2:$A$461,AB$1,Data_filtered!$F$2:$F$461,$A19, Data_filtered!$D$2:$D$461,"mata",Data_filtered!$J$2:$J$461,"&lt;&gt;Incompleto"))
</f>
        <v>-</v>
      </c>
      <c r="AD19" s="106" t="str">
        <f>IF(SUMIFS(Data_filtered!$G$2:$G$461,Data_filtered!$A$2:$A$461,AD$1,Data_filtered!$F$2:$F$461,$A19, Data_filtered!$D$2:$D$461,"eucalipto",Data_filtered!$J$2:$J$461,"&lt;&gt;Incompleto")=0, "-", SUMIFS(Data_filtered!$G$2:$G$461,Data_filtered!$A$2:$A$461,AD$1,Data_filtered!$F$2:$F$461,$A19, Data_filtered!$D$2:$D$461,"eucalipto",Data_filtered!$J$2:$J$461,"&lt;&gt;Incompleto"))</f>
        <v>-</v>
      </c>
      <c r="AE19" s="108" t="str">
        <f>IF(SUMIFS(Data_filtered!$G$2:$G$461,Data_filtered!$A$2:$A$461,AD$1,Data_filtered!$F$2:$F$461,$A19, Data_filtered!$D$2:$D$461,"mata",Data_filtered!$J$2:$J$461,"&lt;&gt;Incompleto")=0, "-", SUMIFS(Data_filtered!$G$2:$G$461,Data_filtered!$A$2:$A$461,AD$1,Data_filtered!$F$2:$F$461,$A19, Data_filtered!$D$2:$D$461,"mata",Data_filtered!$J$2:$J$461,"&lt;&gt;Incompleto"))
</f>
        <v>-</v>
      </c>
      <c r="AF19" s="106" t="str">
        <f>IF(SUMIFS(Data_filtered!$G$2:$G$461,Data_filtered!$A$2:$A$461,AF$1,Data_filtered!$F$2:$F$461,$A19, Data_filtered!$D$2:$D$461,"eucalipto",Data_filtered!$J$2:$J$461,"&lt;&gt;Incompleto")=0, "-", SUMIFS(Data_filtered!$G$2:$G$461,Data_filtered!$A$2:$A$461,AF$1,Data_filtered!$F$2:$F$461,$A19, Data_filtered!$D$2:$D$461,"eucalipto",Data_filtered!$J$2:$J$461,"&lt;&gt;Incompleto"))</f>
        <v>-</v>
      </c>
      <c r="AG19" s="108" t="str">
        <f>IF(SUMIFS(Data_filtered!$G$2:$G$461,Data_filtered!$A$2:$A$461,AF$1,Data_filtered!$F$2:$F$461,$A19, Data_filtered!$D$2:$D$461,"mata",Data_filtered!$J$2:$J$461,"&lt;&gt;Incompleto")=0, "-", SUMIFS(Data_filtered!$G$2:$G$461,Data_filtered!$A$2:$A$461,AF$1,Data_filtered!$F$2:$F$461,$A19, Data_filtered!$D$2:$D$461,"mata",Data_filtered!$J$2:$J$461,"&lt;&gt;Incompleto"))
</f>
        <v>-</v>
      </c>
      <c r="AH19" s="106" t="str">
        <f>IF(SUMIFS(Data_filtered!$G$2:$G$461,Data_filtered!$A$2:$A$461,AH$1,Data_filtered!$F$2:$F$461,$A19, Data_filtered!$D$2:$D$461,"eucalipto",Data_filtered!$J$2:$J$461,"&lt;&gt;Incompleto")=0, "-", SUMIFS(Data_filtered!$G$2:$G$461,Data_filtered!$A$2:$A$461,AH$1,Data_filtered!$F$2:$F$461,$A19, Data_filtered!$D$2:$D$461,"eucalipto",Data_filtered!$J$2:$J$461,"&lt;&gt;Incompleto"))</f>
        <v>-</v>
      </c>
      <c r="AI19" s="108" t="str">
        <f>IF(SUMIFS(Data_filtered!$G$2:$G$461,Data_filtered!$A$2:$A$461,AH$1,Data_filtered!$F$2:$F$461,$A19, Data_filtered!$D$2:$D$461,"mata",Data_filtered!$J$2:$J$461,"&lt;&gt;Incompleto")=0, "-", SUMIFS(Data_filtered!$G$2:$G$461,Data_filtered!$A$2:$A$461,AH$1,Data_filtered!$F$2:$F$461,$A19, Data_filtered!$D$2:$D$461,"mata",Data_filtered!$J$2:$J$461,"&lt;&gt;Incompleto"))
</f>
        <v>-</v>
      </c>
      <c r="AJ19" s="106" t="str">
        <f>IF(SUMIFS(Data_filtered!$G$2:$G$461,Data_filtered!$A$2:$A$461,AJ$1,Data_filtered!$F$2:$F$461,$A19, Data_filtered!$D$2:$D$461,"eucalipto",Data_filtered!$J$2:$J$461,"&lt;&gt;Incompleto")=0, "-", SUMIFS(Data_filtered!$G$2:$G$461,Data_filtered!$A$2:$A$461,AJ$1,Data_filtered!$F$2:$F$461,$A19, Data_filtered!$D$2:$D$461,"eucalipto",Data_filtered!$J$2:$J$461,"&lt;&gt;Incompleto"))</f>
        <v>-</v>
      </c>
      <c r="AK19" s="108" t="str">
        <f>IF(SUMIFS(Data_filtered!$G$2:$G$461,Data_filtered!$A$2:$A$461,AJ$1,Data_filtered!$F$2:$F$461,$A19, Data_filtered!$D$2:$D$461,"mata",Data_filtered!$J$2:$J$461,"&lt;&gt;Incompleto")=0, "-", SUMIFS(Data_filtered!$G$2:$G$461,Data_filtered!$A$2:$A$461,AJ$1,Data_filtered!$F$2:$F$461,$A19, Data_filtered!$D$2:$D$461,"mata",Data_filtered!$J$2:$J$461,"&lt;&gt;Incompleto"))
</f>
        <v>-</v>
      </c>
      <c r="AL19" s="106" t="str">
        <f>IF(SUMIFS(Data_filtered!$G$2:$G$461,Data_filtered!$A$2:$A$461,AL$1,Data_filtered!$F$2:$F$461,$A19, Data_filtered!$D$2:$D$461,"eucalipto",Data_filtered!$J$2:$J$461,"&lt;&gt;Incompleto")=0, "-", SUMIFS(Data_filtered!$G$2:$G$461,Data_filtered!$A$2:$A$461,AL$1,Data_filtered!$F$2:$F$461,$A19, Data_filtered!$D$2:$D$461,"eucalipto",Data_filtered!$J$2:$J$461,"&lt;&gt;Incompleto"))</f>
        <v>-</v>
      </c>
      <c r="AM19" s="108">
        <f>IF(SUMIFS(Data_filtered!$G$2:$G$461,Data_filtered!$A$2:$A$461,AL$1,Data_filtered!$F$2:$F$461,$A19, Data_filtered!$D$2:$D$461,"mata",Data_filtered!$J$2:$J$461,"&lt;&gt;Incompleto")=0, "-", SUMIFS(Data_filtered!$G$2:$G$461,Data_filtered!$A$2:$A$461,AL$1,Data_filtered!$F$2:$F$461,$A19, Data_filtered!$D$2:$D$461,"mata",Data_filtered!$J$2:$J$461,"&lt;&gt;Incompleto"))
</f>
        <v>1</v>
      </c>
      <c r="AN19" s="106" t="str">
        <f>IF(SUMIFS(Data_filtered!$G$2:$G$461,Data_filtered!$A$2:$A$461,AN$1,Data_filtered!$F$2:$F$461,$A19, Data_filtered!$D$2:$D$461,"eucalipto",Data_filtered!$J$2:$J$461,"&lt;&gt;Incompleto")=0, "-", SUMIFS(Data_filtered!$G$2:$G$461,Data_filtered!$A$2:$A$461,AN$1,Data_filtered!$F$2:$F$461,$A19, Data_filtered!$D$2:$D$461,"eucalipto",Data_filtered!$J$2:$J$461,"&lt;&gt;Incompleto"))</f>
        <v>-</v>
      </c>
      <c r="AO19" s="108" t="str">
        <f>IF(SUMIFS(Data_filtered!$G$2:$G$461,Data_filtered!$A$2:$A$461,AN$1,Data_filtered!$F$2:$F$461,$A19, Data_filtered!$D$2:$D$461,"mata",Data_filtered!$J$2:$J$461,"&lt;&gt;Incompleto")=0, "-", SUMIFS(Data_filtered!$G$2:$G$461,Data_filtered!$A$2:$A$461,AN$1,Data_filtered!$F$2:$F$461,$A19, Data_filtered!$D$2:$D$461,"mata",Data_filtered!$J$2:$J$461,"&lt;&gt;Incompleto"))
</f>
        <v>-</v>
      </c>
      <c r="AP19" s="106" t="str">
        <f>IF(SUMIFS(Data_filtered!$G$2:$G$461,Data_filtered!$A$2:$A$461,AP$1,Data_filtered!$F$2:$F$461,$A19, Data_filtered!$D$2:$D$461,"eucalipto",Data_filtered!$J$2:$J$461,"&lt;&gt;Incompleto")=0, "-", SUMIFS(Data_filtered!$G$2:$G$461,Data_filtered!$A$2:$A$461,AP$1,Data_filtered!$F$2:$F$461,$A19, Data_filtered!$D$2:$D$461,"eucalipto",Data_filtered!$J$2:$J$461,"&lt;&gt;Incompleto"))</f>
        <v>-</v>
      </c>
      <c r="AQ19" s="108" t="str">
        <f>IF(SUMIFS(Data_filtered!$G$2:$G$461,Data_filtered!$A$2:$A$461,AP$1,Data_filtered!$F$2:$F$461,$A19, Data_filtered!$D$2:$D$461,"mata",Data_filtered!$J$2:$J$461,"&lt;&gt;Incompleto")=0, "-", SUMIFS(Data_filtered!$G$2:$G$461,Data_filtered!$A$2:$A$461,AP$1,Data_filtered!$F$2:$F$461,$A19, Data_filtered!$D$2:$D$461,"mata",Data_filtered!$J$2:$J$461,"&lt;&gt;Incompleto"))
</f>
        <v>-</v>
      </c>
      <c r="AR19" s="106" t="str">
        <f>IF(SUMIFS(Data_filtered!$G$2:$G$461,Data_filtered!$A$2:$A$461,AR$1,Data_filtered!$F$2:$F$461,$A19, Data_filtered!$D$2:$D$461,"eucalipto",Data_filtered!$J$2:$J$461,"&lt;&gt;Incompleto")=0, "-", SUMIFS(Data_filtered!$G$2:$G$461,Data_filtered!$A$2:$A$461,AR$1,Data_filtered!$F$2:$F$461,$A19, Data_filtered!$D$2:$D$461,"eucalipto",Data_filtered!$J$2:$J$461,"&lt;&gt;Incompleto"))</f>
        <v>-</v>
      </c>
      <c r="AS19" s="108" t="str">
        <f>IF(SUMIFS(Data_filtered!$G$2:$G$461,Data_filtered!$A$2:$A$461,AR$1,Data_filtered!$F$2:$F$461,$A19, Data_filtered!$D$2:$D$461,"mata",Data_filtered!$J$2:$J$461,"&lt;&gt;Incompleto")=0, "-", SUMIFS(Data_filtered!$G$2:$G$461,Data_filtered!$A$2:$A$461,AR$1,Data_filtered!$F$2:$F$461,$A19, Data_filtered!$D$2:$D$461,"mata",Data_filtered!$J$2:$J$461,"&lt;&gt;Incompleto"))
</f>
        <v>-</v>
      </c>
    </row>
    <row r="20">
      <c r="A20" s="68" t="str">
        <f>IFERROR(__xludf.DUMMYFUNCTION("""COMPUTED_VALUE"""),"Mosca")</f>
        <v>Mosca</v>
      </c>
      <c r="B20" s="106" t="str">
        <f>IF(SUMIFS(Data_filtered!$G$2:$G$461,Data_filtered!$A$2:$A$461,B$1,Data_filtered!$F$2:$F$461,$A20, Data_filtered!$D$2:$D$461,"eucalipto",Data_filtered!$J$2:$J$461,"&lt;&gt;Incompleto")=0, "-", SUMIFS(Data_filtered!$G$2:$G$461,Data_filtered!$A$2:$A$461,B$1,Data_filtered!$F$2:$F$461,$A20, Data_filtered!$D$2:$D$461,"eucalipto",Data_filtered!$J$2:$J$461,"&lt;&gt;Incompleto"))</f>
        <v>-</v>
      </c>
      <c r="C20" s="108" t="str">
        <f>IF(SUMIFS(Data_filtered!$G$2:$G$461,Data_filtered!$A$2:$A$461,B$1,Data_filtered!$F$2:$F$461,$A20, Data_filtered!$D$2:$D$461,"mata",Data_filtered!$J$2:$J$461,"&lt;&gt;Incompleto")=0, "-", SUMIFS(Data_filtered!$G$2:$G$461,Data_filtered!$A$2:$A$461,B$1,Data_filtered!$F$2:$F$461,$A20, Data_filtered!$D$2:$D$461,"mata",Data_filtered!$J$2:$J$461,"&lt;&gt;Incompleto"))
</f>
        <v>-</v>
      </c>
      <c r="D20" s="106" t="str">
        <f>IF(SUMIFS(Data_filtered!$G$2:$G$461,Data_filtered!$A$2:$A$461,D$1,Data_filtered!$F$2:$F$461,$A20, Data_filtered!$D$2:$D$461,"eucalipto",Data_filtered!$J$2:$J$461,"&lt;&gt;Incompleto")=0, "-", SUMIFS(Data_filtered!$G$2:$G$461,Data_filtered!$A$2:$A$461,D$1,Data_filtered!$F$2:$F$461,$A20, Data_filtered!$D$2:$D$461,"eucalipto",Data_filtered!$J$2:$J$461,"&lt;&gt;Incompleto"))</f>
        <v>-</v>
      </c>
      <c r="E20" s="108" t="str">
        <f>IF(SUMIFS(Data_filtered!$G$2:$G$461,Data_filtered!$A$2:$A$461,D$1,Data_filtered!$F$2:$F$461,$A20, Data_filtered!$D$2:$D$461,"mata",Data_filtered!$J$2:$J$461,"&lt;&gt;Incompleto")=0, "-", SUMIFS(Data_filtered!$G$2:$G$461,Data_filtered!$A$2:$A$461,D$1,Data_filtered!$F$2:$F$461,$A20, Data_filtered!$D$2:$D$461,"mata",Data_filtered!$J$2:$J$461,"&lt;&gt;Incompleto"))
</f>
        <v>-</v>
      </c>
      <c r="F20" s="106" t="str">
        <f>IF(SUMIFS(Data_filtered!$G$2:$G$461,Data_filtered!$A$2:$A$461,F$1,Data_filtered!$F$2:$F$461,$A20, Data_filtered!$D$2:$D$461,"eucalipto",Data_filtered!$J$2:$J$461,"&lt;&gt;Incompleto")=0, "-", SUMIFS(Data_filtered!$G$2:$G$461,Data_filtered!$A$2:$A$461,F$1,Data_filtered!$F$2:$F$461,$A20, Data_filtered!$D$2:$D$461,"eucalipto",Data_filtered!$J$2:$J$461,"&lt;&gt;Incompleto"))</f>
        <v>-</v>
      </c>
      <c r="G20" s="108" t="str">
        <f>IF(SUMIFS(Data_filtered!$G$2:$G$461,Data_filtered!$A$2:$A$461,F$1,Data_filtered!$F$2:$F$461,$A20, Data_filtered!$D$2:$D$461,"mata",Data_filtered!$J$2:$J$461,"&lt;&gt;Incompleto")=0, "-", SUMIFS(Data_filtered!$G$2:$G$461,Data_filtered!$A$2:$A$461,F$1,Data_filtered!$F$2:$F$461,$A20, Data_filtered!$D$2:$D$461,"mata",Data_filtered!$J$2:$J$461,"&lt;&gt;Incompleto"))
</f>
        <v>-</v>
      </c>
      <c r="H20" s="106" t="str">
        <f>IF(SUMIFS(Data_filtered!$G$2:$G$461,Data_filtered!$A$2:$A$461,H$1,Data_filtered!$F$2:$F$461,$A20, Data_filtered!$D$2:$D$461,"eucalipto",Data_filtered!$J$2:$J$461,"&lt;&gt;Incompleto")=0, "-", SUMIFS(Data_filtered!$G$2:$G$461,Data_filtered!$A$2:$A$461,H$1,Data_filtered!$F$2:$F$461,$A20, Data_filtered!$D$2:$D$461,"eucalipto",Data_filtered!$J$2:$J$461,"&lt;&gt;Incompleto"))</f>
        <v>-</v>
      </c>
      <c r="I20" s="108" t="str">
        <f>IF(SUMIFS(Data_filtered!$G$2:$G$461,Data_filtered!$A$2:$A$461,H$1,Data_filtered!$F$2:$F$461,$A20, Data_filtered!$D$2:$D$461,"mata",Data_filtered!$J$2:$J$461,"&lt;&gt;Incompleto")=0, "-", SUMIFS(Data_filtered!$G$2:$G$461,Data_filtered!$A$2:$A$461,H$1,Data_filtered!$F$2:$F$461,$A20, Data_filtered!$D$2:$D$461,"mata",Data_filtered!$J$2:$J$461,"&lt;&gt;Incompleto"))
</f>
        <v>-</v>
      </c>
      <c r="J20" s="106" t="str">
        <f>IF(SUMIFS(Data_filtered!$G$2:$G$461,Data_filtered!$A$2:$A$461,J$1,Data_filtered!$F$2:$F$461,$A20, Data_filtered!$D$2:$D$461,"eucalipto",Data_filtered!$J$2:$J$461,"&lt;&gt;Incompleto")=0, "-", SUMIFS(Data_filtered!$G$2:$G$461,Data_filtered!$A$2:$A$461,J$1,Data_filtered!$F$2:$F$461,$A20, Data_filtered!$D$2:$D$461,"eucalipto",Data_filtered!$J$2:$J$461,"&lt;&gt;Incompleto"))</f>
        <v>-</v>
      </c>
      <c r="K20" s="108" t="str">
        <f>IF(SUMIFS(Data_filtered!$G$2:$G$461,Data_filtered!$A$2:$A$461,J$1,Data_filtered!$F$2:$F$461,$A20, Data_filtered!$D$2:$D$461,"mata",Data_filtered!$J$2:$J$461,"&lt;&gt;Incompleto")=0, "-", SUMIFS(Data_filtered!$G$2:$G$461,Data_filtered!$A$2:$A$461,J$1,Data_filtered!$F$2:$F$461,$A20, Data_filtered!$D$2:$D$461,"mata",Data_filtered!$J$2:$J$461,"&lt;&gt;Incompleto"))
</f>
        <v>-</v>
      </c>
      <c r="L20" s="106" t="str">
        <f>IF(SUMIFS(Data_filtered!$G$2:$G$461,Data_filtered!$A$2:$A$461,L$1,Data_filtered!$F$2:$F$461,$A20, Data_filtered!$D$2:$D$461,"eucalipto",Data_filtered!$J$2:$J$461,"&lt;&gt;Incompleto")=0, "-", SUMIFS(Data_filtered!$G$2:$G$461,Data_filtered!$A$2:$A$461,L$1,Data_filtered!$F$2:$F$461,$A20, Data_filtered!$D$2:$D$461,"eucalipto",Data_filtered!$J$2:$J$461,"&lt;&gt;Incompleto"))</f>
        <v>-</v>
      </c>
      <c r="M20" s="108">
        <f>IF(SUMIFS(Data_filtered!$G$2:$G$461,Data_filtered!$A$2:$A$461,L$1,Data_filtered!$F$2:$F$461,$A20, Data_filtered!$D$2:$D$461,"mata",Data_filtered!$J$2:$J$461,"&lt;&gt;Incompleto")=0, "-", SUMIFS(Data_filtered!$G$2:$G$461,Data_filtered!$A$2:$A$461,L$1,Data_filtered!$F$2:$F$461,$A20, Data_filtered!$D$2:$D$461,"mata",Data_filtered!$J$2:$J$461,"&lt;&gt;Incompleto"))
</f>
        <v>1</v>
      </c>
      <c r="N20" s="106" t="str">
        <f>IF(SUMIFS(Data_filtered!$G$2:$G$461,Data_filtered!$A$2:$A$461,N$1,Data_filtered!$F$2:$F$461,$A20, Data_filtered!$D$2:$D$461,"eucalipto",Data_filtered!$J$2:$J$461,"&lt;&gt;Incompleto")=0, "-", SUMIFS(Data_filtered!$G$2:$G$461,Data_filtered!$A$2:$A$461,N$1,Data_filtered!$F$2:$F$461,$A20, Data_filtered!$D$2:$D$461,"eucalipto",Data_filtered!$J$2:$J$461,"&lt;&gt;Incompleto"))</f>
        <v>-</v>
      </c>
      <c r="O20" s="108" t="str">
        <f>IF(SUMIFS(Data_filtered!$G$2:$G$461,Data_filtered!$A$2:$A$461,N$1,Data_filtered!$F$2:$F$461,$A20, Data_filtered!$D$2:$D$461,"mata",Data_filtered!$J$2:$J$461,"&lt;&gt;Incompleto")=0, "-", SUMIFS(Data_filtered!$G$2:$G$461,Data_filtered!$A$2:$A$461,N$1,Data_filtered!$F$2:$F$461,$A20, Data_filtered!$D$2:$D$461,"mata",Data_filtered!$J$2:$J$461,"&lt;&gt;Incompleto"))
</f>
        <v>-</v>
      </c>
      <c r="P20" s="106" t="str">
        <f>IF(SUMIFS(Data_filtered!$G$2:$G$461,Data_filtered!$A$2:$A$461,P$1,Data_filtered!$F$2:$F$461,$A20, Data_filtered!$D$2:$D$461,"eucalipto",Data_filtered!$J$2:$J$461,"&lt;&gt;Incompleto")=0, "-", SUMIFS(Data_filtered!$G$2:$G$461,Data_filtered!$A$2:$A$461,P$1,Data_filtered!$F$2:$F$461,$A20, Data_filtered!$D$2:$D$461,"eucalipto",Data_filtered!$J$2:$J$461,"&lt;&gt;Incompleto"))</f>
        <v>-</v>
      </c>
      <c r="Q20" s="108" t="str">
        <f>IF(SUMIFS(Data_filtered!$G$2:$G$461,Data_filtered!$A$2:$A$461,P$1,Data_filtered!$F$2:$F$461,$A20, Data_filtered!$D$2:$D$461,"mata",Data_filtered!$J$2:$J$461,"&lt;&gt;Incompleto")=0, "-", SUMIFS(Data_filtered!$G$2:$G$461,Data_filtered!$A$2:$A$461,P$1,Data_filtered!$F$2:$F$461,$A20, Data_filtered!$D$2:$D$461,"mata",Data_filtered!$J$2:$J$461,"&lt;&gt;Incompleto"))
</f>
        <v>-</v>
      </c>
      <c r="R20" s="106" t="str">
        <f>IF(SUMIFS(Data_filtered!$G$2:$G$461,Data_filtered!$A$2:$A$461,R$1,Data_filtered!$F$2:$F$461,$A20, Data_filtered!$D$2:$D$461,"eucalipto",Data_filtered!$J$2:$J$461,"&lt;&gt;Incompleto")=0, "-", SUMIFS(Data_filtered!$G$2:$G$461,Data_filtered!$A$2:$A$461,R$1,Data_filtered!$F$2:$F$461,$A20, Data_filtered!$D$2:$D$461,"eucalipto",Data_filtered!$J$2:$J$461,"&lt;&gt;Incompleto"))</f>
        <v>-</v>
      </c>
      <c r="S20" s="108" t="str">
        <f>IF(SUMIFS(Data_filtered!$G$2:$G$461,Data_filtered!$A$2:$A$461,R$1,Data_filtered!$F$2:$F$461,$A20, Data_filtered!$D$2:$D$461,"mata",Data_filtered!$J$2:$J$461,"&lt;&gt;Incompleto")=0, "-", SUMIFS(Data_filtered!$G$2:$G$461,Data_filtered!$A$2:$A$461,R$1,Data_filtered!$F$2:$F$461,$A20, Data_filtered!$D$2:$D$461,"mata",Data_filtered!$J$2:$J$461,"&lt;&gt;Incompleto"))
</f>
        <v>-</v>
      </c>
      <c r="T20" s="106" t="str">
        <f>IF(SUMIFS(Data_filtered!$G$2:$G$461,Data_filtered!$A$2:$A$461,T$1,Data_filtered!$F$2:$F$461,$A20, Data_filtered!$D$2:$D$461,"eucalipto",Data_filtered!$J$2:$J$461,"&lt;&gt;Incompleto")=0, "-", SUMIFS(Data_filtered!$G$2:$G$461,Data_filtered!$A$2:$A$461,T$1,Data_filtered!$F$2:$F$461,$A20, Data_filtered!$D$2:$D$461,"eucalipto",Data_filtered!$J$2:$J$461,"&lt;&gt;Incompleto"))</f>
        <v>-</v>
      </c>
      <c r="U20" s="108" t="str">
        <f>IF(SUMIFS(Data_filtered!$G$2:$G$461,Data_filtered!$A$2:$A$461,T$1,Data_filtered!$F$2:$F$461,$A20, Data_filtered!$D$2:$D$461,"mata",Data_filtered!$J$2:$J$461,"&lt;&gt;Incompleto")=0, "-", SUMIFS(Data_filtered!$G$2:$G$461,Data_filtered!$A$2:$A$461,T$1,Data_filtered!$F$2:$F$461,$A20, Data_filtered!$D$2:$D$461,"mata",Data_filtered!$J$2:$J$461,"&lt;&gt;Incompleto"))
</f>
        <v>-</v>
      </c>
      <c r="V20" s="106" t="str">
        <f>IF(SUMIFS(Data_filtered!$G$2:$G$461,Data_filtered!$A$2:$A$461,V$1,Data_filtered!$F$2:$F$461,$A20, Data_filtered!$D$2:$D$461,"eucalipto",Data_filtered!$J$2:$J$461,"&lt;&gt;Incompleto")=0, "-", SUMIFS(Data_filtered!$G$2:$G$461,Data_filtered!$A$2:$A$461,V$1,Data_filtered!$F$2:$F$461,$A20, Data_filtered!$D$2:$D$461,"eucalipto",Data_filtered!$J$2:$J$461,"&lt;&gt;Incompleto"))</f>
        <v>-</v>
      </c>
      <c r="W20" s="108" t="str">
        <f>IF(SUMIFS(Data_filtered!$G$2:$G$461,Data_filtered!$A$2:$A$461,V$1,Data_filtered!$F$2:$F$461,$A20, Data_filtered!$D$2:$D$461,"mata",Data_filtered!$J$2:$J$461,"&lt;&gt;Incompleto")=0, "-", SUMIFS(Data_filtered!$G$2:$G$461,Data_filtered!$A$2:$A$461,V$1,Data_filtered!$F$2:$F$461,$A20, Data_filtered!$D$2:$D$461,"mata",Data_filtered!$J$2:$J$461,"&lt;&gt;Incompleto"))
</f>
        <v>-</v>
      </c>
      <c r="X20" s="106" t="str">
        <f>IF(SUMIFS(Data_filtered!$G$2:$G$461,Data_filtered!$A$2:$A$461,X$1,Data_filtered!$F$2:$F$461,$A20, Data_filtered!$D$2:$D$461,"eucalipto",Data_filtered!$J$2:$J$461,"&lt;&gt;Incompleto")=0, "-", SUMIFS(Data_filtered!$G$2:$G$461,Data_filtered!$A$2:$A$461,X$1,Data_filtered!$F$2:$F$461,$A20, Data_filtered!$D$2:$D$461,"eucalipto",Data_filtered!$J$2:$J$461,"&lt;&gt;Incompleto"))</f>
        <v>-</v>
      </c>
      <c r="Y20" s="108" t="str">
        <f>IF(SUMIFS(Data_filtered!$G$2:$G$461,Data_filtered!$A$2:$A$461,X$1,Data_filtered!$F$2:$F$461,$A20, Data_filtered!$D$2:$D$461,"mata",Data_filtered!$J$2:$J$461,"&lt;&gt;Incompleto")=0, "-", SUMIFS(Data_filtered!$G$2:$G$461,Data_filtered!$A$2:$A$461,X$1,Data_filtered!$F$2:$F$461,$A20, Data_filtered!$D$2:$D$461,"mata",Data_filtered!$J$2:$J$461,"&lt;&gt;Incompleto"))
</f>
        <v>-</v>
      </c>
      <c r="Z20" s="106" t="str">
        <f>IF(SUMIFS(Data_filtered!$G$2:$G$461,Data_filtered!$A$2:$A$461,Z$1,Data_filtered!$F$2:$F$461,$A20, Data_filtered!$D$2:$D$461,"eucalipto",Data_filtered!$J$2:$J$461,"&lt;&gt;Incompleto")=0, "-", SUMIFS(Data_filtered!$G$2:$G$461,Data_filtered!$A$2:$A$461,Z$1,Data_filtered!$F$2:$F$461,$A20, Data_filtered!$D$2:$D$461,"eucalipto",Data_filtered!$J$2:$J$461,"&lt;&gt;Incompleto"))</f>
        <v>-</v>
      </c>
      <c r="AA20" s="108" t="str">
        <f>IF(SUMIFS(Data_filtered!$G$2:$G$461,Data_filtered!$A$2:$A$461,Z$1,Data_filtered!$F$2:$F$461,$A20, Data_filtered!$D$2:$D$461,"mata",Data_filtered!$J$2:$J$461,"&lt;&gt;Incompleto")=0, "-", SUMIFS(Data_filtered!$G$2:$G$461,Data_filtered!$A$2:$A$461,Z$1,Data_filtered!$F$2:$F$461,$A20, Data_filtered!$D$2:$D$461,"mata",Data_filtered!$J$2:$J$461,"&lt;&gt;Incompleto"))
</f>
        <v>-</v>
      </c>
      <c r="AB20" s="106" t="str">
        <f>IF(SUMIFS(Data_filtered!$G$2:$G$461,Data_filtered!$A$2:$A$461,AB$1,Data_filtered!$F$2:$F$461,$A20, Data_filtered!$D$2:$D$461,"eucalipto",Data_filtered!$J$2:$J$461,"&lt;&gt;Incompleto")=0, "-", SUMIFS(Data_filtered!$G$2:$G$461,Data_filtered!$A$2:$A$461,AB$1,Data_filtered!$F$2:$F$461,$A20, Data_filtered!$D$2:$D$461,"eucalipto",Data_filtered!$J$2:$J$461,"&lt;&gt;Incompleto"))</f>
        <v>-</v>
      </c>
      <c r="AC20" s="108" t="str">
        <f>IF(SUMIFS(Data_filtered!$G$2:$G$461,Data_filtered!$A$2:$A$461,AB$1,Data_filtered!$F$2:$F$461,$A20, Data_filtered!$D$2:$D$461,"mata",Data_filtered!$J$2:$J$461,"&lt;&gt;Incompleto")=0, "-", SUMIFS(Data_filtered!$G$2:$G$461,Data_filtered!$A$2:$A$461,AB$1,Data_filtered!$F$2:$F$461,$A20, Data_filtered!$D$2:$D$461,"mata",Data_filtered!$J$2:$J$461,"&lt;&gt;Incompleto"))
</f>
        <v>-</v>
      </c>
      <c r="AD20" s="106" t="str">
        <f>IF(SUMIFS(Data_filtered!$G$2:$G$461,Data_filtered!$A$2:$A$461,AD$1,Data_filtered!$F$2:$F$461,$A20, Data_filtered!$D$2:$D$461,"eucalipto",Data_filtered!$J$2:$J$461,"&lt;&gt;Incompleto")=0, "-", SUMIFS(Data_filtered!$G$2:$G$461,Data_filtered!$A$2:$A$461,AD$1,Data_filtered!$F$2:$F$461,$A20, Data_filtered!$D$2:$D$461,"eucalipto",Data_filtered!$J$2:$J$461,"&lt;&gt;Incompleto"))</f>
        <v>-</v>
      </c>
      <c r="AE20" s="108" t="str">
        <f>IF(SUMIFS(Data_filtered!$G$2:$G$461,Data_filtered!$A$2:$A$461,AD$1,Data_filtered!$F$2:$F$461,$A20, Data_filtered!$D$2:$D$461,"mata",Data_filtered!$J$2:$J$461,"&lt;&gt;Incompleto")=0, "-", SUMIFS(Data_filtered!$G$2:$G$461,Data_filtered!$A$2:$A$461,AD$1,Data_filtered!$F$2:$F$461,$A20, Data_filtered!$D$2:$D$461,"mata",Data_filtered!$J$2:$J$461,"&lt;&gt;Incompleto"))
</f>
        <v>-</v>
      </c>
      <c r="AF20" s="106" t="str">
        <f>IF(SUMIFS(Data_filtered!$G$2:$G$461,Data_filtered!$A$2:$A$461,AF$1,Data_filtered!$F$2:$F$461,$A20, Data_filtered!$D$2:$D$461,"eucalipto",Data_filtered!$J$2:$J$461,"&lt;&gt;Incompleto")=0, "-", SUMIFS(Data_filtered!$G$2:$G$461,Data_filtered!$A$2:$A$461,AF$1,Data_filtered!$F$2:$F$461,$A20, Data_filtered!$D$2:$D$461,"eucalipto",Data_filtered!$J$2:$J$461,"&lt;&gt;Incompleto"))</f>
        <v>-</v>
      </c>
      <c r="AG20" s="108" t="str">
        <f>IF(SUMIFS(Data_filtered!$G$2:$G$461,Data_filtered!$A$2:$A$461,AF$1,Data_filtered!$F$2:$F$461,$A20, Data_filtered!$D$2:$D$461,"mata",Data_filtered!$J$2:$J$461,"&lt;&gt;Incompleto")=0, "-", SUMIFS(Data_filtered!$G$2:$G$461,Data_filtered!$A$2:$A$461,AF$1,Data_filtered!$F$2:$F$461,$A20, Data_filtered!$D$2:$D$461,"mata",Data_filtered!$J$2:$J$461,"&lt;&gt;Incompleto"))
</f>
        <v>-</v>
      </c>
      <c r="AH20" s="106" t="str">
        <f>IF(SUMIFS(Data_filtered!$G$2:$G$461,Data_filtered!$A$2:$A$461,AH$1,Data_filtered!$F$2:$F$461,$A20, Data_filtered!$D$2:$D$461,"eucalipto",Data_filtered!$J$2:$J$461,"&lt;&gt;Incompleto")=0, "-", SUMIFS(Data_filtered!$G$2:$G$461,Data_filtered!$A$2:$A$461,AH$1,Data_filtered!$F$2:$F$461,$A20, Data_filtered!$D$2:$D$461,"eucalipto",Data_filtered!$J$2:$J$461,"&lt;&gt;Incompleto"))</f>
        <v>-</v>
      </c>
      <c r="AI20" s="108" t="str">
        <f>IF(SUMIFS(Data_filtered!$G$2:$G$461,Data_filtered!$A$2:$A$461,AH$1,Data_filtered!$F$2:$F$461,$A20, Data_filtered!$D$2:$D$461,"mata",Data_filtered!$J$2:$J$461,"&lt;&gt;Incompleto")=0, "-", SUMIFS(Data_filtered!$G$2:$G$461,Data_filtered!$A$2:$A$461,AH$1,Data_filtered!$F$2:$F$461,$A20, Data_filtered!$D$2:$D$461,"mata",Data_filtered!$J$2:$J$461,"&lt;&gt;Incompleto"))
</f>
        <v>-</v>
      </c>
      <c r="AJ20" s="106" t="str">
        <f>IF(SUMIFS(Data_filtered!$G$2:$G$461,Data_filtered!$A$2:$A$461,AJ$1,Data_filtered!$F$2:$F$461,$A20, Data_filtered!$D$2:$D$461,"eucalipto",Data_filtered!$J$2:$J$461,"&lt;&gt;Incompleto")=0, "-", SUMIFS(Data_filtered!$G$2:$G$461,Data_filtered!$A$2:$A$461,AJ$1,Data_filtered!$F$2:$F$461,$A20, Data_filtered!$D$2:$D$461,"eucalipto",Data_filtered!$J$2:$J$461,"&lt;&gt;Incompleto"))</f>
        <v>-</v>
      </c>
      <c r="AK20" s="108" t="str">
        <f>IF(SUMIFS(Data_filtered!$G$2:$G$461,Data_filtered!$A$2:$A$461,AJ$1,Data_filtered!$F$2:$F$461,$A20, Data_filtered!$D$2:$D$461,"mata",Data_filtered!$J$2:$J$461,"&lt;&gt;Incompleto")=0, "-", SUMIFS(Data_filtered!$G$2:$G$461,Data_filtered!$A$2:$A$461,AJ$1,Data_filtered!$F$2:$F$461,$A20, Data_filtered!$D$2:$D$461,"mata",Data_filtered!$J$2:$J$461,"&lt;&gt;Incompleto"))
</f>
        <v>-</v>
      </c>
      <c r="AL20" s="106" t="str">
        <f>IF(SUMIFS(Data_filtered!$G$2:$G$461,Data_filtered!$A$2:$A$461,AL$1,Data_filtered!$F$2:$F$461,$A20, Data_filtered!$D$2:$D$461,"eucalipto",Data_filtered!$J$2:$J$461,"&lt;&gt;Incompleto")=0, "-", SUMIFS(Data_filtered!$G$2:$G$461,Data_filtered!$A$2:$A$461,AL$1,Data_filtered!$F$2:$F$461,$A20, Data_filtered!$D$2:$D$461,"eucalipto",Data_filtered!$J$2:$J$461,"&lt;&gt;Incompleto"))</f>
        <v>-</v>
      </c>
      <c r="AM20" s="108" t="str">
        <f>IF(SUMIFS(Data_filtered!$G$2:$G$461,Data_filtered!$A$2:$A$461,AL$1,Data_filtered!$F$2:$F$461,$A20, Data_filtered!$D$2:$D$461,"mata",Data_filtered!$J$2:$J$461,"&lt;&gt;Incompleto")=0, "-", SUMIFS(Data_filtered!$G$2:$G$461,Data_filtered!$A$2:$A$461,AL$1,Data_filtered!$F$2:$F$461,$A20, Data_filtered!$D$2:$D$461,"mata",Data_filtered!$J$2:$J$461,"&lt;&gt;Incompleto"))
</f>
        <v>-</v>
      </c>
      <c r="AN20" s="106" t="str">
        <f>IF(SUMIFS(Data_filtered!$G$2:$G$461,Data_filtered!$A$2:$A$461,AN$1,Data_filtered!$F$2:$F$461,$A20, Data_filtered!$D$2:$D$461,"eucalipto",Data_filtered!$J$2:$J$461,"&lt;&gt;Incompleto")=0, "-", SUMIFS(Data_filtered!$G$2:$G$461,Data_filtered!$A$2:$A$461,AN$1,Data_filtered!$F$2:$F$461,$A20, Data_filtered!$D$2:$D$461,"eucalipto",Data_filtered!$J$2:$J$461,"&lt;&gt;Incompleto"))</f>
        <v>-</v>
      </c>
      <c r="AO20" s="108" t="str">
        <f>IF(SUMIFS(Data_filtered!$G$2:$G$461,Data_filtered!$A$2:$A$461,AN$1,Data_filtered!$F$2:$F$461,$A20, Data_filtered!$D$2:$D$461,"mata",Data_filtered!$J$2:$J$461,"&lt;&gt;Incompleto")=0, "-", SUMIFS(Data_filtered!$G$2:$G$461,Data_filtered!$A$2:$A$461,AN$1,Data_filtered!$F$2:$F$461,$A20, Data_filtered!$D$2:$D$461,"mata",Data_filtered!$J$2:$J$461,"&lt;&gt;Incompleto"))
</f>
        <v>-</v>
      </c>
      <c r="AP20" s="106" t="str">
        <f>IF(SUMIFS(Data_filtered!$G$2:$G$461,Data_filtered!$A$2:$A$461,AP$1,Data_filtered!$F$2:$F$461,$A20, Data_filtered!$D$2:$D$461,"eucalipto",Data_filtered!$J$2:$J$461,"&lt;&gt;Incompleto")=0, "-", SUMIFS(Data_filtered!$G$2:$G$461,Data_filtered!$A$2:$A$461,AP$1,Data_filtered!$F$2:$F$461,$A20, Data_filtered!$D$2:$D$461,"eucalipto",Data_filtered!$J$2:$J$461,"&lt;&gt;Incompleto"))</f>
        <v>-</v>
      </c>
      <c r="AQ20" s="108" t="str">
        <f>IF(SUMIFS(Data_filtered!$G$2:$G$461,Data_filtered!$A$2:$A$461,AP$1,Data_filtered!$F$2:$F$461,$A20, Data_filtered!$D$2:$D$461,"mata",Data_filtered!$J$2:$J$461,"&lt;&gt;Incompleto")=0, "-", SUMIFS(Data_filtered!$G$2:$G$461,Data_filtered!$A$2:$A$461,AP$1,Data_filtered!$F$2:$F$461,$A20, Data_filtered!$D$2:$D$461,"mata",Data_filtered!$J$2:$J$461,"&lt;&gt;Incompleto"))
</f>
        <v>-</v>
      </c>
      <c r="AR20" s="106" t="str">
        <f>IF(SUMIFS(Data_filtered!$G$2:$G$461,Data_filtered!$A$2:$A$461,AR$1,Data_filtered!$F$2:$F$461,$A20, Data_filtered!$D$2:$D$461,"eucalipto",Data_filtered!$J$2:$J$461,"&lt;&gt;Incompleto")=0, "-", SUMIFS(Data_filtered!$G$2:$G$461,Data_filtered!$A$2:$A$461,AR$1,Data_filtered!$F$2:$F$461,$A20, Data_filtered!$D$2:$D$461,"eucalipto",Data_filtered!$J$2:$J$461,"&lt;&gt;Incompleto"))</f>
        <v>-</v>
      </c>
      <c r="AS20" s="108" t="str">
        <f>IF(SUMIFS(Data_filtered!$G$2:$G$461,Data_filtered!$A$2:$A$461,AR$1,Data_filtered!$F$2:$F$461,$A20, Data_filtered!$D$2:$D$461,"mata",Data_filtered!$J$2:$J$461,"&lt;&gt;Incompleto")=0, "-", SUMIFS(Data_filtered!$G$2:$G$461,Data_filtered!$A$2:$A$461,AR$1,Data_filtered!$F$2:$F$461,$A20, Data_filtered!$D$2:$D$461,"mata",Data_filtered!$J$2:$J$461,"&lt;&gt;Incompleto"))
</f>
        <v>-</v>
      </c>
    </row>
    <row r="21">
      <c r="A21" s="68" t="str">
        <f>IFERROR(__xludf.DUMMYFUNCTION("""COMPUTED_VALUE"""),"Opiliones")</f>
        <v>Opiliones</v>
      </c>
      <c r="B21" s="106" t="str">
        <f>IF(SUMIFS(Data_filtered!$G$2:$G$461,Data_filtered!$A$2:$A$461,B$1,Data_filtered!$F$2:$F$461,$A21, Data_filtered!$D$2:$D$461,"eucalipto",Data_filtered!$J$2:$J$461,"&lt;&gt;Incompleto")=0, "-", SUMIFS(Data_filtered!$G$2:$G$461,Data_filtered!$A$2:$A$461,B$1,Data_filtered!$F$2:$F$461,$A21, Data_filtered!$D$2:$D$461,"eucalipto",Data_filtered!$J$2:$J$461,"&lt;&gt;Incompleto"))</f>
        <v>-</v>
      </c>
      <c r="C21" s="108" t="str">
        <f>IF(SUMIFS(Data_filtered!$G$2:$G$461,Data_filtered!$A$2:$A$461,B$1,Data_filtered!$F$2:$F$461,$A21, Data_filtered!$D$2:$D$461,"mata",Data_filtered!$J$2:$J$461,"&lt;&gt;Incompleto")=0, "-", SUMIFS(Data_filtered!$G$2:$G$461,Data_filtered!$A$2:$A$461,B$1,Data_filtered!$F$2:$F$461,$A21, Data_filtered!$D$2:$D$461,"mata",Data_filtered!$J$2:$J$461,"&lt;&gt;Incompleto"))
</f>
        <v>-</v>
      </c>
      <c r="D21" s="106" t="str">
        <f>IF(SUMIFS(Data_filtered!$G$2:$G$461,Data_filtered!$A$2:$A$461,D$1,Data_filtered!$F$2:$F$461,$A21, Data_filtered!$D$2:$D$461,"eucalipto",Data_filtered!$J$2:$J$461,"&lt;&gt;Incompleto")=0, "-", SUMIFS(Data_filtered!$G$2:$G$461,Data_filtered!$A$2:$A$461,D$1,Data_filtered!$F$2:$F$461,$A21, Data_filtered!$D$2:$D$461,"eucalipto",Data_filtered!$J$2:$J$461,"&lt;&gt;Incompleto"))</f>
        <v>-</v>
      </c>
      <c r="E21" s="108" t="str">
        <f>IF(SUMIFS(Data_filtered!$G$2:$G$461,Data_filtered!$A$2:$A$461,D$1,Data_filtered!$F$2:$F$461,$A21, Data_filtered!$D$2:$D$461,"mata",Data_filtered!$J$2:$J$461,"&lt;&gt;Incompleto")=0, "-", SUMIFS(Data_filtered!$G$2:$G$461,Data_filtered!$A$2:$A$461,D$1,Data_filtered!$F$2:$F$461,$A21, Data_filtered!$D$2:$D$461,"mata",Data_filtered!$J$2:$J$461,"&lt;&gt;Incompleto"))
</f>
        <v>-</v>
      </c>
      <c r="F21" s="106" t="str">
        <f>IF(SUMIFS(Data_filtered!$G$2:$G$461,Data_filtered!$A$2:$A$461,F$1,Data_filtered!$F$2:$F$461,$A21, Data_filtered!$D$2:$D$461,"eucalipto",Data_filtered!$J$2:$J$461,"&lt;&gt;Incompleto")=0, "-", SUMIFS(Data_filtered!$G$2:$G$461,Data_filtered!$A$2:$A$461,F$1,Data_filtered!$F$2:$F$461,$A21, Data_filtered!$D$2:$D$461,"eucalipto",Data_filtered!$J$2:$J$461,"&lt;&gt;Incompleto"))</f>
        <v>-</v>
      </c>
      <c r="G21" s="108" t="str">
        <f>IF(SUMIFS(Data_filtered!$G$2:$G$461,Data_filtered!$A$2:$A$461,F$1,Data_filtered!$F$2:$F$461,$A21, Data_filtered!$D$2:$D$461,"mata",Data_filtered!$J$2:$J$461,"&lt;&gt;Incompleto")=0, "-", SUMIFS(Data_filtered!$G$2:$G$461,Data_filtered!$A$2:$A$461,F$1,Data_filtered!$F$2:$F$461,$A21, Data_filtered!$D$2:$D$461,"mata",Data_filtered!$J$2:$J$461,"&lt;&gt;Incompleto"))
</f>
        <v>-</v>
      </c>
      <c r="H21" s="106" t="str">
        <f>IF(SUMIFS(Data_filtered!$G$2:$G$461,Data_filtered!$A$2:$A$461,H$1,Data_filtered!$F$2:$F$461,$A21, Data_filtered!$D$2:$D$461,"eucalipto",Data_filtered!$J$2:$J$461,"&lt;&gt;Incompleto")=0, "-", SUMIFS(Data_filtered!$G$2:$G$461,Data_filtered!$A$2:$A$461,H$1,Data_filtered!$F$2:$F$461,$A21, Data_filtered!$D$2:$D$461,"eucalipto",Data_filtered!$J$2:$J$461,"&lt;&gt;Incompleto"))</f>
        <v>-</v>
      </c>
      <c r="I21" s="108">
        <f>IF(SUMIFS(Data_filtered!$G$2:$G$461,Data_filtered!$A$2:$A$461,H$1,Data_filtered!$F$2:$F$461,$A21, Data_filtered!$D$2:$D$461,"mata",Data_filtered!$J$2:$J$461,"&lt;&gt;Incompleto")=0, "-", SUMIFS(Data_filtered!$G$2:$G$461,Data_filtered!$A$2:$A$461,H$1,Data_filtered!$F$2:$F$461,$A21, Data_filtered!$D$2:$D$461,"mata",Data_filtered!$J$2:$J$461,"&lt;&gt;Incompleto"))
</f>
        <v>1</v>
      </c>
      <c r="J21" s="106" t="str">
        <f>IF(SUMIFS(Data_filtered!$G$2:$G$461,Data_filtered!$A$2:$A$461,J$1,Data_filtered!$F$2:$F$461,$A21, Data_filtered!$D$2:$D$461,"eucalipto",Data_filtered!$J$2:$J$461,"&lt;&gt;Incompleto")=0, "-", SUMIFS(Data_filtered!$G$2:$G$461,Data_filtered!$A$2:$A$461,J$1,Data_filtered!$F$2:$F$461,$A21, Data_filtered!$D$2:$D$461,"eucalipto",Data_filtered!$J$2:$J$461,"&lt;&gt;Incompleto"))</f>
        <v>-</v>
      </c>
      <c r="K21" s="108" t="str">
        <f>IF(SUMIFS(Data_filtered!$G$2:$G$461,Data_filtered!$A$2:$A$461,J$1,Data_filtered!$F$2:$F$461,$A21, Data_filtered!$D$2:$D$461,"mata",Data_filtered!$J$2:$J$461,"&lt;&gt;Incompleto")=0, "-", SUMIFS(Data_filtered!$G$2:$G$461,Data_filtered!$A$2:$A$461,J$1,Data_filtered!$F$2:$F$461,$A21, Data_filtered!$D$2:$D$461,"mata",Data_filtered!$J$2:$J$461,"&lt;&gt;Incompleto"))
</f>
        <v>-</v>
      </c>
      <c r="L21" s="106" t="str">
        <f>IF(SUMIFS(Data_filtered!$G$2:$G$461,Data_filtered!$A$2:$A$461,L$1,Data_filtered!$F$2:$F$461,$A21, Data_filtered!$D$2:$D$461,"eucalipto",Data_filtered!$J$2:$J$461,"&lt;&gt;Incompleto")=0, "-", SUMIFS(Data_filtered!$G$2:$G$461,Data_filtered!$A$2:$A$461,L$1,Data_filtered!$F$2:$F$461,$A21, Data_filtered!$D$2:$D$461,"eucalipto",Data_filtered!$J$2:$J$461,"&lt;&gt;Incompleto"))</f>
        <v>-</v>
      </c>
      <c r="M21" s="108" t="str">
        <f>IF(SUMIFS(Data_filtered!$G$2:$G$461,Data_filtered!$A$2:$A$461,L$1,Data_filtered!$F$2:$F$461,$A21, Data_filtered!$D$2:$D$461,"mata",Data_filtered!$J$2:$J$461,"&lt;&gt;Incompleto")=0, "-", SUMIFS(Data_filtered!$G$2:$G$461,Data_filtered!$A$2:$A$461,L$1,Data_filtered!$F$2:$F$461,$A21, Data_filtered!$D$2:$D$461,"mata",Data_filtered!$J$2:$J$461,"&lt;&gt;Incompleto"))
</f>
        <v>-</v>
      </c>
      <c r="N21" s="106" t="str">
        <f>IF(SUMIFS(Data_filtered!$G$2:$G$461,Data_filtered!$A$2:$A$461,N$1,Data_filtered!$F$2:$F$461,$A21, Data_filtered!$D$2:$D$461,"eucalipto",Data_filtered!$J$2:$J$461,"&lt;&gt;Incompleto")=0, "-", SUMIFS(Data_filtered!$G$2:$G$461,Data_filtered!$A$2:$A$461,N$1,Data_filtered!$F$2:$F$461,$A21, Data_filtered!$D$2:$D$461,"eucalipto",Data_filtered!$J$2:$J$461,"&lt;&gt;Incompleto"))</f>
        <v>-</v>
      </c>
      <c r="O21" s="108" t="str">
        <f>IF(SUMIFS(Data_filtered!$G$2:$G$461,Data_filtered!$A$2:$A$461,N$1,Data_filtered!$F$2:$F$461,$A21, Data_filtered!$D$2:$D$461,"mata",Data_filtered!$J$2:$J$461,"&lt;&gt;Incompleto")=0, "-", SUMIFS(Data_filtered!$G$2:$G$461,Data_filtered!$A$2:$A$461,N$1,Data_filtered!$F$2:$F$461,$A21, Data_filtered!$D$2:$D$461,"mata",Data_filtered!$J$2:$J$461,"&lt;&gt;Incompleto"))
</f>
        <v>-</v>
      </c>
      <c r="P21" s="106" t="str">
        <f>IF(SUMIFS(Data_filtered!$G$2:$G$461,Data_filtered!$A$2:$A$461,P$1,Data_filtered!$F$2:$F$461,$A21, Data_filtered!$D$2:$D$461,"eucalipto",Data_filtered!$J$2:$J$461,"&lt;&gt;Incompleto")=0, "-", SUMIFS(Data_filtered!$G$2:$G$461,Data_filtered!$A$2:$A$461,P$1,Data_filtered!$F$2:$F$461,$A21, Data_filtered!$D$2:$D$461,"eucalipto",Data_filtered!$J$2:$J$461,"&lt;&gt;Incompleto"))</f>
        <v>-</v>
      </c>
      <c r="Q21" s="108" t="str">
        <f>IF(SUMIFS(Data_filtered!$G$2:$G$461,Data_filtered!$A$2:$A$461,P$1,Data_filtered!$F$2:$F$461,$A21, Data_filtered!$D$2:$D$461,"mata",Data_filtered!$J$2:$J$461,"&lt;&gt;Incompleto")=0, "-", SUMIFS(Data_filtered!$G$2:$G$461,Data_filtered!$A$2:$A$461,P$1,Data_filtered!$F$2:$F$461,$A21, Data_filtered!$D$2:$D$461,"mata",Data_filtered!$J$2:$J$461,"&lt;&gt;Incompleto"))
</f>
        <v>-</v>
      </c>
      <c r="R21" s="106">
        <f>IF(SUMIFS(Data_filtered!$G$2:$G$461,Data_filtered!$A$2:$A$461,R$1,Data_filtered!$F$2:$F$461,$A21, Data_filtered!$D$2:$D$461,"eucalipto",Data_filtered!$J$2:$J$461,"&lt;&gt;Incompleto")=0, "-", SUMIFS(Data_filtered!$G$2:$G$461,Data_filtered!$A$2:$A$461,R$1,Data_filtered!$F$2:$F$461,$A21, Data_filtered!$D$2:$D$461,"eucalipto",Data_filtered!$J$2:$J$461,"&lt;&gt;Incompleto"))</f>
        <v>3</v>
      </c>
      <c r="S21" s="108" t="str">
        <f>IF(SUMIFS(Data_filtered!$G$2:$G$461,Data_filtered!$A$2:$A$461,R$1,Data_filtered!$F$2:$F$461,$A21, Data_filtered!$D$2:$D$461,"mata",Data_filtered!$J$2:$J$461,"&lt;&gt;Incompleto")=0, "-", SUMIFS(Data_filtered!$G$2:$G$461,Data_filtered!$A$2:$A$461,R$1,Data_filtered!$F$2:$F$461,$A21, Data_filtered!$D$2:$D$461,"mata",Data_filtered!$J$2:$J$461,"&lt;&gt;Incompleto"))
</f>
        <v>-</v>
      </c>
      <c r="T21" s="106" t="str">
        <f>IF(SUMIFS(Data_filtered!$G$2:$G$461,Data_filtered!$A$2:$A$461,T$1,Data_filtered!$F$2:$F$461,$A21, Data_filtered!$D$2:$D$461,"eucalipto",Data_filtered!$J$2:$J$461,"&lt;&gt;Incompleto")=0, "-", SUMIFS(Data_filtered!$G$2:$G$461,Data_filtered!$A$2:$A$461,T$1,Data_filtered!$F$2:$F$461,$A21, Data_filtered!$D$2:$D$461,"eucalipto",Data_filtered!$J$2:$J$461,"&lt;&gt;Incompleto"))</f>
        <v>-</v>
      </c>
      <c r="U21" s="108" t="str">
        <f>IF(SUMIFS(Data_filtered!$G$2:$G$461,Data_filtered!$A$2:$A$461,T$1,Data_filtered!$F$2:$F$461,$A21, Data_filtered!$D$2:$D$461,"mata",Data_filtered!$J$2:$J$461,"&lt;&gt;Incompleto")=0, "-", SUMIFS(Data_filtered!$G$2:$G$461,Data_filtered!$A$2:$A$461,T$1,Data_filtered!$F$2:$F$461,$A21, Data_filtered!$D$2:$D$461,"mata",Data_filtered!$J$2:$J$461,"&lt;&gt;Incompleto"))
</f>
        <v>-</v>
      </c>
      <c r="V21" s="106" t="str">
        <f>IF(SUMIFS(Data_filtered!$G$2:$G$461,Data_filtered!$A$2:$A$461,V$1,Data_filtered!$F$2:$F$461,$A21, Data_filtered!$D$2:$D$461,"eucalipto",Data_filtered!$J$2:$J$461,"&lt;&gt;Incompleto")=0, "-", SUMIFS(Data_filtered!$G$2:$G$461,Data_filtered!$A$2:$A$461,V$1,Data_filtered!$F$2:$F$461,$A21, Data_filtered!$D$2:$D$461,"eucalipto",Data_filtered!$J$2:$J$461,"&lt;&gt;Incompleto"))</f>
        <v>-</v>
      </c>
      <c r="W21" s="108" t="str">
        <f>IF(SUMIFS(Data_filtered!$G$2:$G$461,Data_filtered!$A$2:$A$461,V$1,Data_filtered!$F$2:$F$461,$A21, Data_filtered!$D$2:$D$461,"mata",Data_filtered!$J$2:$J$461,"&lt;&gt;Incompleto")=0, "-", SUMIFS(Data_filtered!$G$2:$G$461,Data_filtered!$A$2:$A$461,V$1,Data_filtered!$F$2:$F$461,$A21, Data_filtered!$D$2:$D$461,"mata",Data_filtered!$J$2:$J$461,"&lt;&gt;Incompleto"))
</f>
        <v>-</v>
      </c>
      <c r="X21" s="106" t="str">
        <f>IF(SUMIFS(Data_filtered!$G$2:$G$461,Data_filtered!$A$2:$A$461,X$1,Data_filtered!$F$2:$F$461,$A21, Data_filtered!$D$2:$D$461,"eucalipto",Data_filtered!$J$2:$J$461,"&lt;&gt;Incompleto")=0, "-", SUMIFS(Data_filtered!$G$2:$G$461,Data_filtered!$A$2:$A$461,X$1,Data_filtered!$F$2:$F$461,$A21, Data_filtered!$D$2:$D$461,"eucalipto",Data_filtered!$J$2:$J$461,"&lt;&gt;Incompleto"))</f>
        <v>-</v>
      </c>
      <c r="Y21" s="108" t="str">
        <f>IF(SUMIFS(Data_filtered!$G$2:$G$461,Data_filtered!$A$2:$A$461,X$1,Data_filtered!$F$2:$F$461,$A21, Data_filtered!$D$2:$D$461,"mata",Data_filtered!$J$2:$J$461,"&lt;&gt;Incompleto")=0, "-", SUMIFS(Data_filtered!$G$2:$G$461,Data_filtered!$A$2:$A$461,X$1,Data_filtered!$F$2:$F$461,$A21, Data_filtered!$D$2:$D$461,"mata",Data_filtered!$J$2:$J$461,"&lt;&gt;Incompleto"))
</f>
        <v>-</v>
      </c>
      <c r="Z21" s="106" t="str">
        <f>IF(SUMIFS(Data_filtered!$G$2:$G$461,Data_filtered!$A$2:$A$461,Z$1,Data_filtered!$F$2:$F$461,$A21, Data_filtered!$D$2:$D$461,"eucalipto",Data_filtered!$J$2:$J$461,"&lt;&gt;Incompleto")=0, "-", SUMIFS(Data_filtered!$G$2:$G$461,Data_filtered!$A$2:$A$461,Z$1,Data_filtered!$F$2:$F$461,$A21, Data_filtered!$D$2:$D$461,"eucalipto",Data_filtered!$J$2:$J$461,"&lt;&gt;Incompleto"))</f>
        <v>-</v>
      </c>
      <c r="AA21" s="108" t="str">
        <f>IF(SUMIFS(Data_filtered!$G$2:$G$461,Data_filtered!$A$2:$A$461,Z$1,Data_filtered!$F$2:$F$461,$A21, Data_filtered!$D$2:$D$461,"mata",Data_filtered!$J$2:$J$461,"&lt;&gt;Incompleto")=0, "-", SUMIFS(Data_filtered!$G$2:$G$461,Data_filtered!$A$2:$A$461,Z$1,Data_filtered!$F$2:$F$461,$A21, Data_filtered!$D$2:$D$461,"mata",Data_filtered!$J$2:$J$461,"&lt;&gt;Incompleto"))
</f>
        <v>-</v>
      </c>
      <c r="AB21" s="106" t="str">
        <f>IF(SUMIFS(Data_filtered!$G$2:$G$461,Data_filtered!$A$2:$A$461,AB$1,Data_filtered!$F$2:$F$461,$A21, Data_filtered!$D$2:$D$461,"eucalipto",Data_filtered!$J$2:$J$461,"&lt;&gt;Incompleto")=0, "-", SUMIFS(Data_filtered!$G$2:$G$461,Data_filtered!$A$2:$A$461,AB$1,Data_filtered!$F$2:$F$461,$A21, Data_filtered!$D$2:$D$461,"eucalipto",Data_filtered!$J$2:$J$461,"&lt;&gt;Incompleto"))</f>
        <v>-</v>
      </c>
      <c r="AC21" s="108" t="str">
        <f>IF(SUMIFS(Data_filtered!$G$2:$G$461,Data_filtered!$A$2:$A$461,AB$1,Data_filtered!$F$2:$F$461,$A21, Data_filtered!$D$2:$D$461,"mata",Data_filtered!$J$2:$J$461,"&lt;&gt;Incompleto")=0, "-", SUMIFS(Data_filtered!$G$2:$G$461,Data_filtered!$A$2:$A$461,AB$1,Data_filtered!$F$2:$F$461,$A21, Data_filtered!$D$2:$D$461,"mata",Data_filtered!$J$2:$J$461,"&lt;&gt;Incompleto"))
</f>
        <v>-</v>
      </c>
      <c r="AD21" s="106" t="str">
        <f>IF(SUMIFS(Data_filtered!$G$2:$G$461,Data_filtered!$A$2:$A$461,AD$1,Data_filtered!$F$2:$F$461,$A21, Data_filtered!$D$2:$D$461,"eucalipto",Data_filtered!$J$2:$J$461,"&lt;&gt;Incompleto")=0, "-", SUMIFS(Data_filtered!$G$2:$G$461,Data_filtered!$A$2:$A$461,AD$1,Data_filtered!$F$2:$F$461,$A21, Data_filtered!$D$2:$D$461,"eucalipto",Data_filtered!$J$2:$J$461,"&lt;&gt;Incompleto"))</f>
        <v>-</v>
      </c>
      <c r="AE21" s="108" t="str">
        <f>IF(SUMIFS(Data_filtered!$G$2:$G$461,Data_filtered!$A$2:$A$461,AD$1,Data_filtered!$F$2:$F$461,$A21, Data_filtered!$D$2:$D$461,"mata",Data_filtered!$J$2:$J$461,"&lt;&gt;Incompleto")=0, "-", SUMIFS(Data_filtered!$G$2:$G$461,Data_filtered!$A$2:$A$461,AD$1,Data_filtered!$F$2:$F$461,$A21, Data_filtered!$D$2:$D$461,"mata",Data_filtered!$J$2:$J$461,"&lt;&gt;Incompleto"))
</f>
        <v>-</v>
      </c>
      <c r="AF21" s="106" t="str">
        <f>IF(SUMIFS(Data_filtered!$G$2:$G$461,Data_filtered!$A$2:$A$461,AF$1,Data_filtered!$F$2:$F$461,$A21, Data_filtered!$D$2:$D$461,"eucalipto",Data_filtered!$J$2:$J$461,"&lt;&gt;Incompleto")=0, "-", SUMIFS(Data_filtered!$G$2:$G$461,Data_filtered!$A$2:$A$461,AF$1,Data_filtered!$F$2:$F$461,$A21, Data_filtered!$D$2:$D$461,"eucalipto",Data_filtered!$J$2:$J$461,"&lt;&gt;Incompleto"))</f>
        <v>-</v>
      </c>
      <c r="AG21" s="108" t="str">
        <f>IF(SUMIFS(Data_filtered!$G$2:$G$461,Data_filtered!$A$2:$A$461,AF$1,Data_filtered!$F$2:$F$461,$A21, Data_filtered!$D$2:$D$461,"mata",Data_filtered!$J$2:$J$461,"&lt;&gt;Incompleto")=0, "-", SUMIFS(Data_filtered!$G$2:$G$461,Data_filtered!$A$2:$A$461,AF$1,Data_filtered!$F$2:$F$461,$A21, Data_filtered!$D$2:$D$461,"mata",Data_filtered!$J$2:$J$461,"&lt;&gt;Incompleto"))
</f>
        <v>-</v>
      </c>
      <c r="AH21" s="106" t="str">
        <f>IF(SUMIFS(Data_filtered!$G$2:$G$461,Data_filtered!$A$2:$A$461,AH$1,Data_filtered!$F$2:$F$461,$A21, Data_filtered!$D$2:$D$461,"eucalipto",Data_filtered!$J$2:$J$461,"&lt;&gt;Incompleto")=0, "-", SUMIFS(Data_filtered!$G$2:$G$461,Data_filtered!$A$2:$A$461,AH$1,Data_filtered!$F$2:$F$461,$A21, Data_filtered!$D$2:$D$461,"eucalipto",Data_filtered!$J$2:$J$461,"&lt;&gt;Incompleto"))</f>
        <v>-</v>
      </c>
      <c r="AI21" s="108" t="str">
        <f>IF(SUMIFS(Data_filtered!$G$2:$G$461,Data_filtered!$A$2:$A$461,AH$1,Data_filtered!$F$2:$F$461,$A21, Data_filtered!$D$2:$D$461,"mata",Data_filtered!$J$2:$J$461,"&lt;&gt;Incompleto")=0, "-", SUMIFS(Data_filtered!$G$2:$G$461,Data_filtered!$A$2:$A$461,AH$1,Data_filtered!$F$2:$F$461,$A21, Data_filtered!$D$2:$D$461,"mata",Data_filtered!$J$2:$J$461,"&lt;&gt;Incompleto"))
</f>
        <v>-</v>
      </c>
      <c r="AJ21" s="106" t="str">
        <f>IF(SUMIFS(Data_filtered!$G$2:$G$461,Data_filtered!$A$2:$A$461,AJ$1,Data_filtered!$F$2:$F$461,$A21, Data_filtered!$D$2:$D$461,"eucalipto",Data_filtered!$J$2:$J$461,"&lt;&gt;Incompleto")=0, "-", SUMIFS(Data_filtered!$G$2:$G$461,Data_filtered!$A$2:$A$461,AJ$1,Data_filtered!$F$2:$F$461,$A21, Data_filtered!$D$2:$D$461,"eucalipto",Data_filtered!$J$2:$J$461,"&lt;&gt;Incompleto"))</f>
        <v>-</v>
      </c>
      <c r="AK21" s="108" t="str">
        <f>IF(SUMIFS(Data_filtered!$G$2:$G$461,Data_filtered!$A$2:$A$461,AJ$1,Data_filtered!$F$2:$F$461,$A21, Data_filtered!$D$2:$D$461,"mata",Data_filtered!$J$2:$J$461,"&lt;&gt;Incompleto")=0, "-", SUMIFS(Data_filtered!$G$2:$G$461,Data_filtered!$A$2:$A$461,AJ$1,Data_filtered!$F$2:$F$461,$A21, Data_filtered!$D$2:$D$461,"mata",Data_filtered!$J$2:$J$461,"&lt;&gt;Incompleto"))
</f>
        <v>-</v>
      </c>
      <c r="AL21" s="106" t="str">
        <f>IF(SUMIFS(Data_filtered!$G$2:$G$461,Data_filtered!$A$2:$A$461,AL$1,Data_filtered!$F$2:$F$461,$A21, Data_filtered!$D$2:$D$461,"eucalipto",Data_filtered!$J$2:$J$461,"&lt;&gt;Incompleto")=0, "-", SUMIFS(Data_filtered!$G$2:$G$461,Data_filtered!$A$2:$A$461,AL$1,Data_filtered!$F$2:$F$461,$A21, Data_filtered!$D$2:$D$461,"eucalipto",Data_filtered!$J$2:$J$461,"&lt;&gt;Incompleto"))</f>
        <v>-</v>
      </c>
      <c r="AM21" s="108">
        <f>IF(SUMIFS(Data_filtered!$G$2:$G$461,Data_filtered!$A$2:$A$461,AL$1,Data_filtered!$F$2:$F$461,$A21, Data_filtered!$D$2:$D$461,"mata",Data_filtered!$J$2:$J$461,"&lt;&gt;Incompleto")=0, "-", SUMIFS(Data_filtered!$G$2:$G$461,Data_filtered!$A$2:$A$461,AL$1,Data_filtered!$F$2:$F$461,$A21, Data_filtered!$D$2:$D$461,"mata",Data_filtered!$J$2:$J$461,"&lt;&gt;Incompleto"))
</f>
        <v>7</v>
      </c>
      <c r="AN21" s="106" t="str">
        <f>IF(SUMIFS(Data_filtered!$G$2:$G$461,Data_filtered!$A$2:$A$461,AN$1,Data_filtered!$F$2:$F$461,$A21, Data_filtered!$D$2:$D$461,"eucalipto",Data_filtered!$J$2:$J$461,"&lt;&gt;Incompleto")=0, "-", SUMIFS(Data_filtered!$G$2:$G$461,Data_filtered!$A$2:$A$461,AN$1,Data_filtered!$F$2:$F$461,$A21, Data_filtered!$D$2:$D$461,"eucalipto",Data_filtered!$J$2:$J$461,"&lt;&gt;Incompleto"))</f>
        <v>-</v>
      </c>
      <c r="AO21" s="108">
        <f>IF(SUMIFS(Data_filtered!$G$2:$G$461,Data_filtered!$A$2:$A$461,AN$1,Data_filtered!$F$2:$F$461,$A21, Data_filtered!$D$2:$D$461,"mata",Data_filtered!$J$2:$J$461,"&lt;&gt;Incompleto")=0, "-", SUMIFS(Data_filtered!$G$2:$G$461,Data_filtered!$A$2:$A$461,AN$1,Data_filtered!$F$2:$F$461,$A21, Data_filtered!$D$2:$D$461,"mata",Data_filtered!$J$2:$J$461,"&lt;&gt;Incompleto"))
</f>
        <v>1</v>
      </c>
      <c r="AP21" s="106" t="str">
        <f>IF(SUMIFS(Data_filtered!$G$2:$G$461,Data_filtered!$A$2:$A$461,AP$1,Data_filtered!$F$2:$F$461,$A21, Data_filtered!$D$2:$D$461,"eucalipto",Data_filtered!$J$2:$J$461,"&lt;&gt;Incompleto")=0, "-", SUMIFS(Data_filtered!$G$2:$G$461,Data_filtered!$A$2:$A$461,AP$1,Data_filtered!$F$2:$F$461,$A21, Data_filtered!$D$2:$D$461,"eucalipto",Data_filtered!$J$2:$J$461,"&lt;&gt;Incompleto"))</f>
        <v>-</v>
      </c>
      <c r="AQ21" s="108" t="str">
        <f>IF(SUMIFS(Data_filtered!$G$2:$G$461,Data_filtered!$A$2:$A$461,AP$1,Data_filtered!$F$2:$F$461,$A21, Data_filtered!$D$2:$D$461,"mata",Data_filtered!$J$2:$J$461,"&lt;&gt;Incompleto")=0, "-", SUMIFS(Data_filtered!$G$2:$G$461,Data_filtered!$A$2:$A$461,AP$1,Data_filtered!$F$2:$F$461,$A21, Data_filtered!$D$2:$D$461,"mata",Data_filtered!$J$2:$J$461,"&lt;&gt;Incompleto"))
</f>
        <v>-</v>
      </c>
      <c r="AR21" s="106" t="str">
        <f>IF(SUMIFS(Data_filtered!$G$2:$G$461,Data_filtered!$A$2:$A$461,AR$1,Data_filtered!$F$2:$F$461,$A21, Data_filtered!$D$2:$D$461,"eucalipto",Data_filtered!$J$2:$J$461,"&lt;&gt;Incompleto")=0, "-", SUMIFS(Data_filtered!$G$2:$G$461,Data_filtered!$A$2:$A$461,AR$1,Data_filtered!$F$2:$F$461,$A21, Data_filtered!$D$2:$D$461,"eucalipto",Data_filtered!$J$2:$J$461,"&lt;&gt;Incompleto"))</f>
        <v>-</v>
      </c>
      <c r="AS21" s="108" t="str">
        <f>IF(SUMIFS(Data_filtered!$G$2:$G$461,Data_filtered!$A$2:$A$461,AR$1,Data_filtered!$F$2:$F$461,$A21, Data_filtered!$D$2:$D$461,"mata",Data_filtered!$J$2:$J$461,"&lt;&gt;Incompleto")=0, "-", SUMIFS(Data_filtered!$G$2:$G$461,Data_filtered!$A$2:$A$461,AR$1,Data_filtered!$F$2:$F$461,$A21, Data_filtered!$D$2:$D$461,"mata",Data_filtered!$J$2:$J$461,"&lt;&gt;Incompleto"))
</f>
        <v>-</v>
      </c>
    </row>
    <row r="22">
      <c r="A22" s="68" t="str">
        <f>IFERROR(__xludf.DUMMYFUNCTION("""COMPUTED_VALUE"""),"Orthoptera")</f>
        <v>Orthoptera</v>
      </c>
      <c r="B22" s="106" t="str">
        <f>IF(SUMIFS(Data_filtered!$G$2:$G$461,Data_filtered!$A$2:$A$461,B$1,Data_filtered!$F$2:$F$461,$A22, Data_filtered!$D$2:$D$461,"eucalipto",Data_filtered!$J$2:$J$461,"&lt;&gt;Incompleto")=0, "-", SUMIFS(Data_filtered!$G$2:$G$461,Data_filtered!$A$2:$A$461,B$1,Data_filtered!$F$2:$F$461,$A22, Data_filtered!$D$2:$D$461,"eucalipto",Data_filtered!$J$2:$J$461,"&lt;&gt;Incompleto"))</f>
        <v>-</v>
      </c>
      <c r="C22" s="108" t="str">
        <f>IF(SUMIFS(Data_filtered!$G$2:$G$461,Data_filtered!$A$2:$A$461,B$1,Data_filtered!$F$2:$F$461,$A22, Data_filtered!$D$2:$D$461,"mata",Data_filtered!$J$2:$J$461,"&lt;&gt;Incompleto")=0, "-", SUMIFS(Data_filtered!$G$2:$G$461,Data_filtered!$A$2:$A$461,B$1,Data_filtered!$F$2:$F$461,$A22, Data_filtered!$D$2:$D$461,"mata",Data_filtered!$J$2:$J$461,"&lt;&gt;Incompleto"))
</f>
        <v>-</v>
      </c>
      <c r="D22" s="106" t="str">
        <f>IF(SUMIFS(Data_filtered!$G$2:$G$461,Data_filtered!$A$2:$A$461,D$1,Data_filtered!$F$2:$F$461,$A22, Data_filtered!$D$2:$D$461,"eucalipto",Data_filtered!$J$2:$J$461,"&lt;&gt;Incompleto")=0, "-", SUMIFS(Data_filtered!$G$2:$G$461,Data_filtered!$A$2:$A$461,D$1,Data_filtered!$F$2:$F$461,$A22, Data_filtered!$D$2:$D$461,"eucalipto",Data_filtered!$J$2:$J$461,"&lt;&gt;Incompleto"))</f>
        <v>-</v>
      </c>
      <c r="E22" s="108" t="str">
        <f>IF(SUMIFS(Data_filtered!$G$2:$G$461,Data_filtered!$A$2:$A$461,D$1,Data_filtered!$F$2:$F$461,$A22, Data_filtered!$D$2:$D$461,"mata",Data_filtered!$J$2:$J$461,"&lt;&gt;Incompleto")=0, "-", SUMIFS(Data_filtered!$G$2:$G$461,Data_filtered!$A$2:$A$461,D$1,Data_filtered!$F$2:$F$461,$A22, Data_filtered!$D$2:$D$461,"mata",Data_filtered!$J$2:$J$461,"&lt;&gt;Incompleto"))
</f>
        <v>-</v>
      </c>
      <c r="F22" s="106" t="str">
        <f>IF(SUMIFS(Data_filtered!$G$2:$G$461,Data_filtered!$A$2:$A$461,F$1,Data_filtered!$F$2:$F$461,$A22, Data_filtered!$D$2:$D$461,"eucalipto",Data_filtered!$J$2:$J$461,"&lt;&gt;Incompleto")=0, "-", SUMIFS(Data_filtered!$G$2:$G$461,Data_filtered!$A$2:$A$461,F$1,Data_filtered!$F$2:$F$461,$A22, Data_filtered!$D$2:$D$461,"eucalipto",Data_filtered!$J$2:$J$461,"&lt;&gt;Incompleto"))</f>
        <v>-</v>
      </c>
      <c r="G22" s="108" t="str">
        <f>IF(SUMIFS(Data_filtered!$G$2:$G$461,Data_filtered!$A$2:$A$461,F$1,Data_filtered!$F$2:$F$461,$A22, Data_filtered!$D$2:$D$461,"mata",Data_filtered!$J$2:$J$461,"&lt;&gt;Incompleto")=0, "-", SUMIFS(Data_filtered!$G$2:$G$461,Data_filtered!$A$2:$A$461,F$1,Data_filtered!$F$2:$F$461,$A22, Data_filtered!$D$2:$D$461,"mata",Data_filtered!$J$2:$J$461,"&lt;&gt;Incompleto"))
</f>
        <v>-</v>
      </c>
      <c r="H22" s="106" t="str">
        <f>IF(SUMIFS(Data_filtered!$G$2:$G$461,Data_filtered!$A$2:$A$461,H$1,Data_filtered!$F$2:$F$461,$A22, Data_filtered!$D$2:$D$461,"eucalipto",Data_filtered!$J$2:$J$461,"&lt;&gt;Incompleto")=0, "-", SUMIFS(Data_filtered!$G$2:$G$461,Data_filtered!$A$2:$A$461,H$1,Data_filtered!$F$2:$F$461,$A22, Data_filtered!$D$2:$D$461,"eucalipto",Data_filtered!$J$2:$J$461,"&lt;&gt;Incompleto"))</f>
        <v>-</v>
      </c>
      <c r="I22" s="108" t="str">
        <f>IF(SUMIFS(Data_filtered!$G$2:$G$461,Data_filtered!$A$2:$A$461,H$1,Data_filtered!$F$2:$F$461,$A22, Data_filtered!$D$2:$D$461,"mata",Data_filtered!$J$2:$J$461,"&lt;&gt;Incompleto")=0, "-", SUMIFS(Data_filtered!$G$2:$G$461,Data_filtered!$A$2:$A$461,H$1,Data_filtered!$F$2:$F$461,$A22, Data_filtered!$D$2:$D$461,"mata",Data_filtered!$J$2:$J$461,"&lt;&gt;Incompleto"))
</f>
        <v>-</v>
      </c>
      <c r="J22" s="106" t="str">
        <f>IF(SUMIFS(Data_filtered!$G$2:$G$461,Data_filtered!$A$2:$A$461,J$1,Data_filtered!$F$2:$F$461,$A22, Data_filtered!$D$2:$D$461,"eucalipto",Data_filtered!$J$2:$J$461,"&lt;&gt;Incompleto")=0, "-", SUMIFS(Data_filtered!$G$2:$G$461,Data_filtered!$A$2:$A$461,J$1,Data_filtered!$F$2:$F$461,$A22, Data_filtered!$D$2:$D$461,"eucalipto",Data_filtered!$J$2:$J$461,"&lt;&gt;Incompleto"))</f>
        <v>-</v>
      </c>
      <c r="K22" s="108" t="str">
        <f>IF(SUMIFS(Data_filtered!$G$2:$G$461,Data_filtered!$A$2:$A$461,J$1,Data_filtered!$F$2:$F$461,$A22, Data_filtered!$D$2:$D$461,"mata",Data_filtered!$J$2:$J$461,"&lt;&gt;Incompleto")=0, "-", SUMIFS(Data_filtered!$G$2:$G$461,Data_filtered!$A$2:$A$461,J$1,Data_filtered!$F$2:$F$461,$A22, Data_filtered!$D$2:$D$461,"mata",Data_filtered!$J$2:$J$461,"&lt;&gt;Incompleto"))
</f>
        <v>-</v>
      </c>
      <c r="L22" s="106" t="str">
        <f>IF(SUMIFS(Data_filtered!$G$2:$G$461,Data_filtered!$A$2:$A$461,L$1,Data_filtered!$F$2:$F$461,$A22, Data_filtered!$D$2:$D$461,"eucalipto",Data_filtered!$J$2:$J$461,"&lt;&gt;Incompleto")=0, "-", SUMIFS(Data_filtered!$G$2:$G$461,Data_filtered!$A$2:$A$461,L$1,Data_filtered!$F$2:$F$461,$A22, Data_filtered!$D$2:$D$461,"eucalipto",Data_filtered!$J$2:$J$461,"&lt;&gt;Incompleto"))</f>
        <v>-</v>
      </c>
      <c r="M22" s="108" t="str">
        <f>IF(SUMIFS(Data_filtered!$G$2:$G$461,Data_filtered!$A$2:$A$461,L$1,Data_filtered!$F$2:$F$461,$A22, Data_filtered!$D$2:$D$461,"mata",Data_filtered!$J$2:$J$461,"&lt;&gt;Incompleto")=0, "-", SUMIFS(Data_filtered!$G$2:$G$461,Data_filtered!$A$2:$A$461,L$1,Data_filtered!$F$2:$F$461,$A22, Data_filtered!$D$2:$D$461,"mata",Data_filtered!$J$2:$J$461,"&lt;&gt;Incompleto"))
</f>
        <v>-</v>
      </c>
      <c r="N22" s="106" t="str">
        <f>IF(SUMIFS(Data_filtered!$G$2:$G$461,Data_filtered!$A$2:$A$461,N$1,Data_filtered!$F$2:$F$461,$A22, Data_filtered!$D$2:$D$461,"eucalipto",Data_filtered!$J$2:$J$461,"&lt;&gt;Incompleto")=0, "-", SUMIFS(Data_filtered!$G$2:$G$461,Data_filtered!$A$2:$A$461,N$1,Data_filtered!$F$2:$F$461,$A22, Data_filtered!$D$2:$D$461,"eucalipto",Data_filtered!$J$2:$J$461,"&lt;&gt;Incompleto"))</f>
        <v>-</v>
      </c>
      <c r="O22" s="108" t="str">
        <f>IF(SUMIFS(Data_filtered!$G$2:$G$461,Data_filtered!$A$2:$A$461,N$1,Data_filtered!$F$2:$F$461,$A22, Data_filtered!$D$2:$D$461,"mata",Data_filtered!$J$2:$J$461,"&lt;&gt;Incompleto")=0, "-", SUMIFS(Data_filtered!$G$2:$G$461,Data_filtered!$A$2:$A$461,N$1,Data_filtered!$F$2:$F$461,$A22, Data_filtered!$D$2:$D$461,"mata",Data_filtered!$J$2:$J$461,"&lt;&gt;Incompleto"))
</f>
        <v>-</v>
      </c>
      <c r="P22" s="106" t="str">
        <f>IF(SUMIFS(Data_filtered!$G$2:$G$461,Data_filtered!$A$2:$A$461,P$1,Data_filtered!$F$2:$F$461,$A22, Data_filtered!$D$2:$D$461,"eucalipto",Data_filtered!$J$2:$J$461,"&lt;&gt;Incompleto")=0, "-", SUMIFS(Data_filtered!$G$2:$G$461,Data_filtered!$A$2:$A$461,P$1,Data_filtered!$F$2:$F$461,$A22, Data_filtered!$D$2:$D$461,"eucalipto",Data_filtered!$J$2:$J$461,"&lt;&gt;Incompleto"))</f>
        <v>-</v>
      </c>
      <c r="Q22" s="108" t="str">
        <f>IF(SUMIFS(Data_filtered!$G$2:$G$461,Data_filtered!$A$2:$A$461,P$1,Data_filtered!$F$2:$F$461,$A22, Data_filtered!$D$2:$D$461,"mata",Data_filtered!$J$2:$J$461,"&lt;&gt;Incompleto")=0, "-", SUMIFS(Data_filtered!$G$2:$G$461,Data_filtered!$A$2:$A$461,P$1,Data_filtered!$F$2:$F$461,$A22, Data_filtered!$D$2:$D$461,"mata",Data_filtered!$J$2:$J$461,"&lt;&gt;Incompleto"))
</f>
        <v>-</v>
      </c>
      <c r="R22" s="106" t="str">
        <f>IF(SUMIFS(Data_filtered!$G$2:$G$461,Data_filtered!$A$2:$A$461,R$1,Data_filtered!$F$2:$F$461,$A22, Data_filtered!$D$2:$D$461,"eucalipto",Data_filtered!$J$2:$J$461,"&lt;&gt;Incompleto")=0, "-", SUMIFS(Data_filtered!$G$2:$G$461,Data_filtered!$A$2:$A$461,R$1,Data_filtered!$F$2:$F$461,$A22, Data_filtered!$D$2:$D$461,"eucalipto",Data_filtered!$J$2:$J$461,"&lt;&gt;Incompleto"))</f>
        <v>-</v>
      </c>
      <c r="S22" s="108" t="str">
        <f>IF(SUMIFS(Data_filtered!$G$2:$G$461,Data_filtered!$A$2:$A$461,R$1,Data_filtered!$F$2:$F$461,$A22, Data_filtered!$D$2:$D$461,"mata",Data_filtered!$J$2:$J$461,"&lt;&gt;Incompleto")=0, "-", SUMIFS(Data_filtered!$G$2:$G$461,Data_filtered!$A$2:$A$461,R$1,Data_filtered!$F$2:$F$461,$A22, Data_filtered!$D$2:$D$461,"mata",Data_filtered!$J$2:$J$461,"&lt;&gt;Incompleto"))
</f>
        <v>-</v>
      </c>
      <c r="T22" s="106" t="str">
        <f>IF(SUMIFS(Data_filtered!$G$2:$G$461,Data_filtered!$A$2:$A$461,T$1,Data_filtered!$F$2:$F$461,$A22, Data_filtered!$D$2:$D$461,"eucalipto",Data_filtered!$J$2:$J$461,"&lt;&gt;Incompleto")=0, "-", SUMIFS(Data_filtered!$G$2:$G$461,Data_filtered!$A$2:$A$461,T$1,Data_filtered!$F$2:$F$461,$A22, Data_filtered!$D$2:$D$461,"eucalipto",Data_filtered!$J$2:$J$461,"&lt;&gt;Incompleto"))</f>
        <v>-</v>
      </c>
      <c r="U22" s="108" t="str">
        <f>IF(SUMIFS(Data_filtered!$G$2:$G$461,Data_filtered!$A$2:$A$461,T$1,Data_filtered!$F$2:$F$461,$A22, Data_filtered!$D$2:$D$461,"mata",Data_filtered!$J$2:$J$461,"&lt;&gt;Incompleto")=0, "-", SUMIFS(Data_filtered!$G$2:$G$461,Data_filtered!$A$2:$A$461,T$1,Data_filtered!$F$2:$F$461,$A22, Data_filtered!$D$2:$D$461,"mata",Data_filtered!$J$2:$J$461,"&lt;&gt;Incompleto"))
</f>
        <v>-</v>
      </c>
      <c r="V22" s="106" t="str">
        <f>IF(SUMIFS(Data_filtered!$G$2:$G$461,Data_filtered!$A$2:$A$461,V$1,Data_filtered!$F$2:$F$461,$A22, Data_filtered!$D$2:$D$461,"eucalipto",Data_filtered!$J$2:$J$461,"&lt;&gt;Incompleto")=0, "-", SUMIFS(Data_filtered!$G$2:$G$461,Data_filtered!$A$2:$A$461,V$1,Data_filtered!$F$2:$F$461,$A22, Data_filtered!$D$2:$D$461,"eucalipto",Data_filtered!$J$2:$J$461,"&lt;&gt;Incompleto"))</f>
        <v>-</v>
      </c>
      <c r="W22" s="108" t="str">
        <f>IF(SUMIFS(Data_filtered!$G$2:$G$461,Data_filtered!$A$2:$A$461,V$1,Data_filtered!$F$2:$F$461,$A22, Data_filtered!$D$2:$D$461,"mata",Data_filtered!$J$2:$J$461,"&lt;&gt;Incompleto")=0, "-", SUMIFS(Data_filtered!$G$2:$G$461,Data_filtered!$A$2:$A$461,V$1,Data_filtered!$F$2:$F$461,$A22, Data_filtered!$D$2:$D$461,"mata",Data_filtered!$J$2:$J$461,"&lt;&gt;Incompleto"))
</f>
        <v>-</v>
      </c>
      <c r="X22" s="106" t="str">
        <f>IF(SUMIFS(Data_filtered!$G$2:$G$461,Data_filtered!$A$2:$A$461,X$1,Data_filtered!$F$2:$F$461,$A22, Data_filtered!$D$2:$D$461,"eucalipto",Data_filtered!$J$2:$J$461,"&lt;&gt;Incompleto")=0, "-", SUMIFS(Data_filtered!$G$2:$G$461,Data_filtered!$A$2:$A$461,X$1,Data_filtered!$F$2:$F$461,$A22, Data_filtered!$D$2:$D$461,"eucalipto",Data_filtered!$J$2:$J$461,"&lt;&gt;Incompleto"))</f>
        <v>-</v>
      </c>
      <c r="Y22" s="108" t="str">
        <f>IF(SUMIFS(Data_filtered!$G$2:$G$461,Data_filtered!$A$2:$A$461,X$1,Data_filtered!$F$2:$F$461,$A22, Data_filtered!$D$2:$D$461,"mata",Data_filtered!$J$2:$J$461,"&lt;&gt;Incompleto")=0, "-", SUMIFS(Data_filtered!$G$2:$G$461,Data_filtered!$A$2:$A$461,X$1,Data_filtered!$F$2:$F$461,$A22, Data_filtered!$D$2:$D$461,"mata",Data_filtered!$J$2:$J$461,"&lt;&gt;Incompleto"))
</f>
        <v>-</v>
      </c>
      <c r="Z22" s="106" t="str">
        <f>IF(SUMIFS(Data_filtered!$G$2:$G$461,Data_filtered!$A$2:$A$461,Z$1,Data_filtered!$F$2:$F$461,$A22, Data_filtered!$D$2:$D$461,"eucalipto",Data_filtered!$J$2:$J$461,"&lt;&gt;Incompleto")=0, "-", SUMIFS(Data_filtered!$G$2:$G$461,Data_filtered!$A$2:$A$461,Z$1,Data_filtered!$F$2:$F$461,$A22, Data_filtered!$D$2:$D$461,"eucalipto",Data_filtered!$J$2:$J$461,"&lt;&gt;Incompleto"))</f>
        <v>-</v>
      </c>
      <c r="AA22" s="108" t="str">
        <f>IF(SUMIFS(Data_filtered!$G$2:$G$461,Data_filtered!$A$2:$A$461,Z$1,Data_filtered!$F$2:$F$461,$A22, Data_filtered!$D$2:$D$461,"mata",Data_filtered!$J$2:$J$461,"&lt;&gt;Incompleto")=0, "-", SUMIFS(Data_filtered!$G$2:$G$461,Data_filtered!$A$2:$A$461,Z$1,Data_filtered!$F$2:$F$461,$A22, Data_filtered!$D$2:$D$461,"mata",Data_filtered!$J$2:$J$461,"&lt;&gt;Incompleto"))
</f>
        <v>-</v>
      </c>
      <c r="AB22" s="106" t="str">
        <f>IF(SUMIFS(Data_filtered!$G$2:$G$461,Data_filtered!$A$2:$A$461,AB$1,Data_filtered!$F$2:$F$461,$A22, Data_filtered!$D$2:$D$461,"eucalipto",Data_filtered!$J$2:$J$461,"&lt;&gt;Incompleto")=0, "-", SUMIFS(Data_filtered!$G$2:$G$461,Data_filtered!$A$2:$A$461,AB$1,Data_filtered!$F$2:$F$461,$A22, Data_filtered!$D$2:$D$461,"eucalipto",Data_filtered!$J$2:$J$461,"&lt;&gt;Incompleto"))</f>
        <v>-</v>
      </c>
      <c r="AC22" s="108" t="str">
        <f>IF(SUMIFS(Data_filtered!$G$2:$G$461,Data_filtered!$A$2:$A$461,AB$1,Data_filtered!$F$2:$F$461,$A22, Data_filtered!$D$2:$D$461,"mata",Data_filtered!$J$2:$J$461,"&lt;&gt;Incompleto")=0, "-", SUMIFS(Data_filtered!$G$2:$G$461,Data_filtered!$A$2:$A$461,AB$1,Data_filtered!$F$2:$F$461,$A22, Data_filtered!$D$2:$D$461,"mata",Data_filtered!$J$2:$J$461,"&lt;&gt;Incompleto"))
</f>
        <v>-</v>
      </c>
      <c r="AD22" s="106" t="str">
        <f>IF(SUMIFS(Data_filtered!$G$2:$G$461,Data_filtered!$A$2:$A$461,AD$1,Data_filtered!$F$2:$F$461,$A22, Data_filtered!$D$2:$D$461,"eucalipto",Data_filtered!$J$2:$J$461,"&lt;&gt;Incompleto")=0, "-", SUMIFS(Data_filtered!$G$2:$G$461,Data_filtered!$A$2:$A$461,AD$1,Data_filtered!$F$2:$F$461,$A22, Data_filtered!$D$2:$D$461,"eucalipto",Data_filtered!$J$2:$J$461,"&lt;&gt;Incompleto"))</f>
        <v>-</v>
      </c>
      <c r="AE22" s="108" t="str">
        <f>IF(SUMIFS(Data_filtered!$G$2:$G$461,Data_filtered!$A$2:$A$461,AD$1,Data_filtered!$F$2:$F$461,$A22, Data_filtered!$D$2:$D$461,"mata",Data_filtered!$J$2:$J$461,"&lt;&gt;Incompleto")=0, "-", SUMIFS(Data_filtered!$G$2:$G$461,Data_filtered!$A$2:$A$461,AD$1,Data_filtered!$F$2:$F$461,$A22, Data_filtered!$D$2:$D$461,"mata",Data_filtered!$J$2:$J$461,"&lt;&gt;Incompleto"))
</f>
        <v>-</v>
      </c>
      <c r="AF22" s="106" t="str">
        <f>IF(SUMIFS(Data_filtered!$G$2:$G$461,Data_filtered!$A$2:$A$461,AF$1,Data_filtered!$F$2:$F$461,$A22, Data_filtered!$D$2:$D$461,"eucalipto",Data_filtered!$J$2:$J$461,"&lt;&gt;Incompleto")=0, "-", SUMIFS(Data_filtered!$G$2:$G$461,Data_filtered!$A$2:$A$461,AF$1,Data_filtered!$F$2:$F$461,$A22, Data_filtered!$D$2:$D$461,"eucalipto",Data_filtered!$J$2:$J$461,"&lt;&gt;Incompleto"))</f>
        <v>-</v>
      </c>
      <c r="AG22" s="108" t="str">
        <f>IF(SUMIFS(Data_filtered!$G$2:$G$461,Data_filtered!$A$2:$A$461,AF$1,Data_filtered!$F$2:$F$461,$A22, Data_filtered!$D$2:$D$461,"mata",Data_filtered!$J$2:$J$461,"&lt;&gt;Incompleto")=0, "-", SUMIFS(Data_filtered!$G$2:$G$461,Data_filtered!$A$2:$A$461,AF$1,Data_filtered!$F$2:$F$461,$A22, Data_filtered!$D$2:$D$461,"mata",Data_filtered!$J$2:$J$461,"&lt;&gt;Incompleto"))
</f>
        <v>-</v>
      </c>
      <c r="AH22" s="106" t="str">
        <f>IF(SUMIFS(Data_filtered!$G$2:$G$461,Data_filtered!$A$2:$A$461,AH$1,Data_filtered!$F$2:$F$461,$A22, Data_filtered!$D$2:$D$461,"eucalipto",Data_filtered!$J$2:$J$461,"&lt;&gt;Incompleto")=0, "-", SUMIFS(Data_filtered!$G$2:$G$461,Data_filtered!$A$2:$A$461,AH$1,Data_filtered!$F$2:$F$461,$A22, Data_filtered!$D$2:$D$461,"eucalipto",Data_filtered!$J$2:$J$461,"&lt;&gt;Incompleto"))</f>
        <v>-</v>
      </c>
      <c r="AI22" s="108" t="str">
        <f>IF(SUMIFS(Data_filtered!$G$2:$G$461,Data_filtered!$A$2:$A$461,AH$1,Data_filtered!$F$2:$F$461,$A22, Data_filtered!$D$2:$D$461,"mata",Data_filtered!$J$2:$J$461,"&lt;&gt;Incompleto")=0, "-", SUMIFS(Data_filtered!$G$2:$G$461,Data_filtered!$A$2:$A$461,AH$1,Data_filtered!$F$2:$F$461,$A22, Data_filtered!$D$2:$D$461,"mata",Data_filtered!$J$2:$J$461,"&lt;&gt;Incompleto"))
</f>
        <v>-</v>
      </c>
      <c r="AJ22" s="106" t="str">
        <f>IF(SUMIFS(Data_filtered!$G$2:$G$461,Data_filtered!$A$2:$A$461,AJ$1,Data_filtered!$F$2:$F$461,$A22, Data_filtered!$D$2:$D$461,"eucalipto",Data_filtered!$J$2:$J$461,"&lt;&gt;Incompleto")=0, "-", SUMIFS(Data_filtered!$G$2:$G$461,Data_filtered!$A$2:$A$461,AJ$1,Data_filtered!$F$2:$F$461,$A22, Data_filtered!$D$2:$D$461,"eucalipto",Data_filtered!$J$2:$J$461,"&lt;&gt;Incompleto"))</f>
        <v>-</v>
      </c>
      <c r="AK22" s="108" t="str">
        <f>IF(SUMIFS(Data_filtered!$G$2:$G$461,Data_filtered!$A$2:$A$461,AJ$1,Data_filtered!$F$2:$F$461,$A22, Data_filtered!$D$2:$D$461,"mata",Data_filtered!$J$2:$J$461,"&lt;&gt;Incompleto")=0, "-", SUMIFS(Data_filtered!$G$2:$G$461,Data_filtered!$A$2:$A$461,AJ$1,Data_filtered!$F$2:$F$461,$A22, Data_filtered!$D$2:$D$461,"mata",Data_filtered!$J$2:$J$461,"&lt;&gt;Incompleto"))
</f>
        <v>-</v>
      </c>
      <c r="AL22" s="106" t="str">
        <f>IF(SUMIFS(Data_filtered!$G$2:$G$461,Data_filtered!$A$2:$A$461,AL$1,Data_filtered!$F$2:$F$461,$A22, Data_filtered!$D$2:$D$461,"eucalipto",Data_filtered!$J$2:$J$461,"&lt;&gt;Incompleto")=0, "-", SUMIFS(Data_filtered!$G$2:$G$461,Data_filtered!$A$2:$A$461,AL$1,Data_filtered!$F$2:$F$461,$A22, Data_filtered!$D$2:$D$461,"eucalipto",Data_filtered!$J$2:$J$461,"&lt;&gt;Incompleto"))</f>
        <v>-</v>
      </c>
      <c r="AM22" s="108" t="str">
        <f>IF(SUMIFS(Data_filtered!$G$2:$G$461,Data_filtered!$A$2:$A$461,AL$1,Data_filtered!$F$2:$F$461,$A22, Data_filtered!$D$2:$D$461,"mata",Data_filtered!$J$2:$J$461,"&lt;&gt;Incompleto")=0, "-", SUMIFS(Data_filtered!$G$2:$G$461,Data_filtered!$A$2:$A$461,AL$1,Data_filtered!$F$2:$F$461,$A22, Data_filtered!$D$2:$D$461,"mata",Data_filtered!$J$2:$J$461,"&lt;&gt;Incompleto"))
</f>
        <v>-</v>
      </c>
      <c r="AN22" s="106" t="str">
        <f>IF(SUMIFS(Data_filtered!$G$2:$G$461,Data_filtered!$A$2:$A$461,AN$1,Data_filtered!$F$2:$F$461,$A22, Data_filtered!$D$2:$D$461,"eucalipto",Data_filtered!$J$2:$J$461,"&lt;&gt;Incompleto")=0, "-", SUMIFS(Data_filtered!$G$2:$G$461,Data_filtered!$A$2:$A$461,AN$1,Data_filtered!$F$2:$F$461,$A22, Data_filtered!$D$2:$D$461,"eucalipto",Data_filtered!$J$2:$J$461,"&lt;&gt;Incompleto"))</f>
        <v>-</v>
      </c>
      <c r="AO22" s="108" t="str">
        <f>IF(SUMIFS(Data_filtered!$G$2:$G$461,Data_filtered!$A$2:$A$461,AN$1,Data_filtered!$F$2:$F$461,$A22, Data_filtered!$D$2:$D$461,"mata",Data_filtered!$J$2:$J$461,"&lt;&gt;Incompleto")=0, "-", SUMIFS(Data_filtered!$G$2:$G$461,Data_filtered!$A$2:$A$461,AN$1,Data_filtered!$F$2:$F$461,$A22, Data_filtered!$D$2:$D$461,"mata",Data_filtered!$J$2:$J$461,"&lt;&gt;Incompleto"))
</f>
        <v>-</v>
      </c>
      <c r="AP22" s="106" t="str">
        <f>IF(SUMIFS(Data_filtered!$G$2:$G$461,Data_filtered!$A$2:$A$461,AP$1,Data_filtered!$F$2:$F$461,$A22, Data_filtered!$D$2:$D$461,"eucalipto",Data_filtered!$J$2:$J$461,"&lt;&gt;Incompleto")=0, "-", SUMIFS(Data_filtered!$G$2:$G$461,Data_filtered!$A$2:$A$461,AP$1,Data_filtered!$F$2:$F$461,$A22, Data_filtered!$D$2:$D$461,"eucalipto",Data_filtered!$J$2:$J$461,"&lt;&gt;Incompleto"))</f>
        <v>-</v>
      </c>
      <c r="AQ22" s="108" t="str">
        <f>IF(SUMIFS(Data_filtered!$G$2:$G$461,Data_filtered!$A$2:$A$461,AP$1,Data_filtered!$F$2:$F$461,$A22, Data_filtered!$D$2:$D$461,"mata",Data_filtered!$J$2:$J$461,"&lt;&gt;Incompleto")=0, "-", SUMIFS(Data_filtered!$G$2:$G$461,Data_filtered!$A$2:$A$461,AP$1,Data_filtered!$F$2:$F$461,$A22, Data_filtered!$D$2:$D$461,"mata",Data_filtered!$J$2:$J$461,"&lt;&gt;Incompleto"))
</f>
        <v>-</v>
      </c>
      <c r="AR22" s="106" t="str">
        <f>IF(SUMIFS(Data_filtered!$G$2:$G$461,Data_filtered!$A$2:$A$461,AR$1,Data_filtered!$F$2:$F$461,$A22, Data_filtered!$D$2:$D$461,"eucalipto",Data_filtered!$J$2:$J$461,"&lt;&gt;Incompleto")=0, "-", SUMIFS(Data_filtered!$G$2:$G$461,Data_filtered!$A$2:$A$461,AR$1,Data_filtered!$F$2:$F$461,$A22, Data_filtered!$D$2:$D$461,"eucalipto",Data_filtered!$J$2:$J$461,"&lt;&gt;Incompleto"))</f>
        <v>-</v>
      </c>
      <c r="AS22" s="108" t="str">
        <f>IF(SUMIFS(Data_filtered!$G$2:$G$461,Data_filtered!$A$2:$A$461,AR$1,Data_filtered!$F$2:$F$461,$A22, Data_filtered!$D$2:$D$461,"mata",Data_filtered!$J$2:$J$461,"&lt;&gt;Incompleto")=0, "-", SUMIFS(Data_filtered!$G$2:$G$461,Data_filtered!$A$2:$A$461,AR$1,Data_filtered!$F$2:$F$461,$A22, Data_filtered!$D$2:$D$461,"mata",Data_filtered!$J$2:$J$461,"&lt;&gt;Incompleto"))
</f>
        <v>-</v>
      </c>
    </row>
    <row r="23">
      <c r="A23" s="68" t="str">
        <f>IFERROR(__xludf.DUMMYFUNCTION("""COMPUTED_VALUE"""),"Pterygota")</f>
        <v>Pterygota</v>
      </c>
      <c r="B23" s="106" t="str">
        <f>IF(SUMIFS(Data_filtered!$G$2:$G$461,Data_filtered!$A$2:$A$461,B$1,Data_filtered!$F$2:$F$461,$A23, Data_filtered!$D$2:$D$461,"eucalipto",Data_filtered!$J$2:$J$461,"&lt;&gt;Incompleto")=0, "-", SUMIFS(Data_filtered!$G$2:$G$461,Data_filtered!$A$2:$A$461,B$1,Data_filtered!$F$2:$F$461,$A23, Data_filtered!$D$2:$D$461,"eucalipto",Data_filtered!$J$2:$J$461,"&lt;&gt;Incompleto"))</f>
        <v>-</v>
      </c>
      <c r="C23" s="108" t="str">
        <f>IF(SUMIFS(Data_filtered!$G$2:$G$461,Data_filtered!$A$2:$A$461,B$1,Data_filtered!$F$2:$F$461,$A23, Data_filtered!$D$2:$D$461,"mata",Data_filtered!$J$2:$J$461,"&lt;&gt;Incompleto")=0, "-", SUMIFS(Data_filtered!$G$2:$G$461,Data_filtered!$A$2:$A$461,B$1,Data_filtered!$F$2:$F$461,$A23, Data_filtered!$D$2:$D$461,"mata",Data_filtered!$J$2:$J$461,"&lt;&gt;Incompleto"))
</f>
        <v>-</v>
      </c>
      <c r="D23" s="106" t="str">
        <f>IF(SUMIFS(Data_filtered!$G$2:$G$461,Data_filtered!$A$2:$A$461,D$1,Data_filtered!$F$2:$F$461,$A23, Data_filtered!$D$2:$D$461,"eucalipto",Data_filtered!$J$2:$J$461,"&lt;&gt;Incompleto")=0, "-", SUMIFS(Data_filtered!$G$2:$G$461,Data_filtered!$A$2:$A$461,D$1,Data_filtered!$F$2:$F$461,$A23, Data_filtered!$D$2:$D$461,"eucalipto",Data_filtered!$J$2:$J$461,"&lt;&gt;Incompleto"))</f>
        <v>-</v>
      </c>
      <c r="E23" s="108" t="str">
        <f>IF(SUMIFS(Data_filtered!$G$2:$G$461,Data_filtered!$A$2:$A$461,D$1,Data_filtered!$F$2:$F$461,$A23, Data_filtered!$D$2:$D$461,"mata",Data_filtered!$J$2:$J$461,"&lt;&gt;Incompleto")=0, "-", SUMIFS(Data_filtered!$G$2:$G$461,Data_filtered!$A$2:$A$461,D$1,Data_filtered!$F$2:$F$461,$A23, Data_filtered!$D$2:$D$461,"mata",Data_filtered!$J$2:$J$461,"&lt;&gt;Incompleto"))
</f>
        <v>-</v>
      </c>
      <c r="F23" s="106" t="str">
        <f>IF(SUMIFS(Data_filtered!$G$2:$G$461,Data_filtered!$A$2:$A$461,F$1,Data_filtered!$F$2:$F$461,$A23, Data_filtered!$D$2:$D$461,"eucalipto",Data_filtered!$J$2:$J$461,"&lt;&gt;Incompleto")=0, "-", SUMIFS(Data_filtered!$G$2:$G$461,Data_filtered!$A$2:$A$461,F$1,Data_filtered!$F$2:$F$461,$A23, Data_filtered!$D$2:$D$461,"eucalipto",Data_filtered!$J$2:$J$461,"&lt;&gt;Incompleto"))</f>
        <v>-</v>
      </c>
      <c r="G23" s="108" t="str">
        <f>IF(SUMIFS(Data_filtered!$G$2:$G$461,Data_filtered!$A$2:$A$461,F$1,Data_filtered!$F$2:$F$461,$A23, Data_filtered!$D$2:$D$461,"mata",Data_filtered!$J$2:$J$461,"&lt;&gt;Incompleto")=0, "-", SUMIFS(Data_filtered!$G$2:$G$461,Data_filtered!$A$2:$A$461,F$1,Data_filtered!$F$2:$F$461,$A23, Data_filtered!$D$2:$D$461,"mata",Data_filtered!$J$2:$J$461,"&lt;&gt;Incompleto"))
</f>
        <v>-</v>
      </c>
      <c r="H23" s="106" t="str">
        <f>IF(SUMIFS(Data_filtered!$G$2:$G$461,Data_filtered!$A$2:$A$461,H$1,Data_filtered!$F$2:$F$461,$A23, Data_filtered!$D$2:$D$461,"eucalipto",Data_filtered!$J$2:$J$461,"&lt;&gt;Incompleto")=0, "-", SUMIFS(Data_filtered!$G$2:$G$461,Data_filtered!$A$2:$A$461,H$1,Data_filtered!$F$2:$F$461,$A23, Data_filtered!$D$2:$D$461,"eucalipto",Data_filtered!$J$2:$J$461,"&lt;&gt;Incompleto"))</f>
        <v>-</v>
      </c>
      <c r="I23" s="108" t="str">
        <f>IF(SUMIFS(Data_filtered!$G$2:$G$461,Data_filtered!$A$2:$A$461,H$1,Data_filtered!$F$2:$F$461,$A23, Data_filtered!$D$2:$D$461,"mata",Data_filtered!$J$2:$J$461,"&lt;&gt;Incompleto")=0, "-", SUMIFS(Data_filtered!$G$2:$G$461,Data_filtered!$A$2:$A$461,H$1,Data_filtered!$F$2:$F$461,$A23, Data_filtered!$D$2:$D$461,"mata",Data_filtered!$J$2:$J$461,"&lt;&gt;Incompleto"))
</f>
        <v>-</v>
      </c>
      <c r="J23" s="106" t="str">
        <f>IF(SUMIFS(Data_filtered!$G$2:$G$461,Data_filtered!$A$2:$A$461,J$1,Data_filtered!$F$2:$F$461,$A23, Data_filtered!$D$2:$D$461,"eucalipto",Data_filtered!$J$2:$J$461,"&lt;&gt;Incompleto")=0, "-", SUMIFS(Data_filtered!$G$2:$G$461,Data_filtered!$A$2:$A$461,J$1,Data_filtered!$F$2:$F$461,$A23, Data_filtered!$D$2:$D$461,"eucalipto",Data_filtered!$J$2:$J$461,"&lt;&gt;Incompleto"))</f>
        <v>-</v>
      </c>
      <c r="K23" s="108" t="str">
        <f>IF(SUMIFS(Data_filtered!$G$2:$G$461,Data_filtered!$A$2:$A$461,J$1,Data_filtered!$F$2:$F$461,$A23, Data_filtered!$D$2:$D$461,"mata",Data_filtered!$J$2:$J$461,"&lt;&gt;Incompleto")=0, "-", SUMIFS(Data_filtered!$G$2:$G$461,Data_filtered!$A$2:$A$461,J$1,Data_filtered!$F$2:$F$461,$A23, Data_filtered!$D$2:$D$461,"mata",Data_filtered!$J$2:$J$461,"&lt;&gt;Incompleto"))
</f>
        <v>-</v>
      </c>
      <c r="L23" s="106" t="str">
        <f>IF(SUMIFS(Data_filtered!$G$2:$G$461,Data_filtered!$A$2:$A$461,L$1,Data_filtered!$F$2:$F$461,$A23, Data_filtered!$D$2:$D$461,"eucalipto",Data_filtered!$J$2:$J$461,"&lt;&gt;Incompleto")=0, "-", SUMIFS(Data_filtered!$G$2:$G$461,Data_filtered!$A$2:$A$461,L$1,Data_filtered!$F$2:$F$461,$A23, Data_filtered!$D$2:$D$461,"eucalipto",Data_filtered!$J$2:$J$461,"&lt;&gt;Incompleto"))</f>
        <v>-</v>
      </c>
      <c r="M23" s="108" t="str">
        <f>IF(SUMIFS(Data_filtered!$G$2:$G$461,Data_filtered!$A$2:$A$461,L$1,Data_filtered!$F$2:$F$461,$A23, Data_filtered!$D$2:$D$461,"mata",Data_filtered!$J$2:$J$461,"&lt;&gt;Incompleto")=0, "-", SUMIFS(Data_filtered!$G$2:$G$461,Data_filtered!$A$2:$A$461,L$1,Data_filtered!$F$2:$F$461,$A23, Data_filtered!$D$2:$D$461,"mata",Data_filtered!$J$2:$J$461,"&lt;&gt;Incompleto"))
</f>
        <v>-</v>
      </c>
      <c r="N23" s="106" t="str">
        <f>IF(SUMIFS(Data_filtered!$G$2:$G$461,Data_filtered!$A$2:$A$461,N$1,Data_filtered!$F$2:$F$461,$A23, Data_filtered!$D$2:$D$461,"eucalipto",Data_filtered!$J$2:$J$461,"&lt;&gt;Incompleto")=0, "-", SUMIFS(Data_filtered!$G$2:$G$461,Data_filtered!$A$2:$A$461,N$1,Data_filtered!$F$2:$F$461,$A23, Data_filtered!$D$2:$D$461,"eucalipto",Data_filtered!$J$2:$J$461,"&lt;&gt;Incompleto"))</f>
        <v>-</v>
      </c>
      <c r="O23" s="108" t="str">
        <f>IF(SUMIFS(Data_filtered!$G$2:$G$461,Data_filtered!$A$2:$A$461,N$1,Data_filtered!$F$2:$F$461,$A23, Data_filtered!$D$2:$D$461,"mata",Data_filtered!$J$2:$J$461,"&lt;&gt;Incompleto")=0, "-", SUMIFS(Data_filtered!$G$2:$G$461,Data_filtered!$A$2:$A$461,N$1,Data_filtered!$F$2:$F$461,$A23, Data_filtered!$D$2:$D$461,"mata",Data_filtered!$J$2:$J$461,"&lt;&gt;Incompleto"))
</f>
        <v>-</v>
      </c>
      <c r="P23" s="106" t="str">
        <f>IF(SUMIFS(Data_filtered!$G$2:$G$461,Data_filtered!$A$2:$A$461,P$1,Data_filtered!$F$2:$F$461,$A23, Data_filtered!$D$2:$D$461,"eucalipto",Data_filtered!$J$2:$J$461,"&lt;&gt;Incompleto")=0, "-", SUMIFS(Data_filtered!$G$2:$G$461,Data_filtered!$A$2:$A$461,P$1,Data_filtered!$F$2:$F$461,$A23, Data_filtered!$D$2:$D$461,"eucalipto",Data_filtered!$J$2:$J$461,"&lt;&gt;Incompleto"))</f>
        <v>-</v>
      </c>
      <c r="Q23" s="108" t="str">
        <f>IF(SUMIFS(Data_filtered!$G$2:$G$461,Data_filtered!$A$2:$A$461,P$1,Data_filtered!$F$2:$F$461,$A23, Data_filtered!$D$2:$D$461,"mata",Data_filtered!$J$2:$J$461,"&lt;&gt;Incompleto")=0, "-", SUMIFS(Data_filtered!$G$2:$G$461,Data_filtered!$A$2:$A$461,P$1,Data_filtered!$F$2:$F$461,$A23, Data_filtered!$D$2:$D$461,"mata",Data_filtered!$J$2:$J$461,"&lt;&gt;Incompleto"))
</f>
        <v>-</v>
      </c>
      <c r="R23" s="106" t="str">
        <f>IF(SUMIFS(Data_filtered!$G$2:$G$461,Data_filtered!$A$2:$A$461,R$1,Data_filtered!$F$2:$F$461,$A23, Data_filtered!$D$2:$D$461,"eucalipto",Data_filtered!$J$2:$J$461,"&lt;&gt;Incompleto")=0, "-", SUMIFS(Data_filtered!$G$2:$G$461,Data_filtered!$A$2:$A$461,R$1,Data_filtered!$F$2:$F$461,$A23, Data_filtered!$D$2:$D$461,"eucalipto",Data_filtered!$J$2:$J$461,"&lt;&gt;Incompleto"))</f>
        <v>-</v>
      </c>
      <c r="S23" s="108" t="str">
        <f>IF(SUMIFS(Data_filtered!$G$2:$G$461,Data_filtered!$A$2:$A$461,R$1,Data_filtered!$F$2:$F$461,$A23, Data_filtered!$D$2:$D$461,"mata",Data_filtered!$J$2:$J$461,"&lt;&gt;Incompleto")=0, "-", SUMIFS(Data_filtered!$G$2:$G$461,Data_filtered!$A$2:$A$461,R$1,Data_filtered!$F$2:$F$461,$A23, Data_filtered!$D$2:$D$461,"mata",Data_filtered!$J$2:$J$461,"&lt;&gt;Incompleto"))
</f>
        <v>-</v>
      </c>
      <c r="T23" s="106" t="str">
        <f>IF(SUMIFS(Data_filtered!$G$2:$G$461,Data_filtered!$A$2:$A$461,T$1,Data_filtered!$F$2:$F$461,$A23, Data_filtered!$D$2:$D$461,"eucalipto",Data_filtered!$J$2:$J$461,"&lt;&gt;Incompleto")=0, "-", SUMIFS(Data_filtered!$G$2:$G$461,Data_filtered!$A$2:$A$461,T$1,Data_filtered!$F$2:$F$461,$A23, Data_filtered!$D$2:$D$461,"eucalipto",Data_filtered!$J$2:$J$461,"&lt;&gt;Incompleto"))</f>
        <v>-</v>
      </c>
      <c r="U23" s="108" t="str">
        <f>IF(SUMIFS(Data_filtered!$G$2:$G$461,Data_filtered!$A$2:$A$461,T$1,Data_filtered!$F$2:$F$461,$A23, Data_filtered!$D$2:$D$461,"mata",Data_filtered!$J$2:$J$461,"&lt;&gt;Incompleto")=0, "-", SUMIFS(Data_filtered!$G$2:$G$461,Data_filtered!$A$2:$A$461,T$1,Data_filtered!$F$2:$F$461,$A23, Data_filtered!$D$2:$D$461,"mata",Data_filtered!$J$2:$J$461,"&lt;&gt;Incompleto"))
</f>
        <v>-</v>
      </c>
      <c r="V23" s="106" t="str">
        <f>IF(SUMIFS(Data_filtered!$G$2:$G$461,Data_filtered!$A$2:$A$461,V$1,Data_filtered!$F$2:$F$461,$A23, Data_filtered!$D$2:$D$461,"eucalipto",Data_filtered!$J$2:$J$461,"&lt;&gt;Incompleto")=0, "-", SUMIFS(Data_filtered!$G$2:$G$461,Data_filtered!$A$2:$A$461,V$1,Data_filtered!$F$2:$F$461,$A23, Data_filtered!$D$2:$D$461,"eucalipto",Data_filtered!$J$2:$J$461,"&lt;&gt;Incompleto"))</f>
        <v>-</v>
      </c>
      <c r="W23" s="108" t="str">
        <f>IF(SUMIFS(Data_filtered!$G$2:$G$461,Data_filtered!$A$2:$A$461,V$1,Data_filtered!$F$2:$F$461,$A23, Data_filtered!$D$2:$D$461,"mata",Data_filtered!$J$2:$J$461,"&lt;&gt;Incompleto")=0, "-", SUMIFS(Data_filtered!$G$2:$G$461,Data_filtered!$A$2:$A$461,V$1,Data_filtered!$F$2:$F$461,$A23, Data_filtered!$D$2:$D$461,"mata",Data_filtered!$J$2:$J$461,"&lt;&gt;Incompleto"))
</f>
        <v>-</v>
      </c>
      <c r="X23" s="106" t="str">
        <f>IF(SUMIFS(Data_filtered!$G$2:$G$461,Data_filtered!$A$2:$A$461,X$1,Data_filtered!$F$2:$F$461,$A23, Data_filtered!$D$2:$D$461,"eucalipto",Data_filtered!$J$2:$J$461,"&lt;&gt;Incompleto")=0, "-", SUMIFS(Data_filtered!$G$2:$G$461,Data_filtered!$A$2:$A$461,X$1,Data_filtered!$F$2:$F$461,$A23, Data_filtered!$D$2:$D$461,"eucalipto",Data_filtered!$J$2:$J$461,"&lt;&gt;Incompleto"))</f>
        <v>-</v>
      </c>
      <c r="Y23" s="108" t="str">
        <f>IF(SUMIFS(Data_filtered!$G$2:$G$461,Data_filtered!$A$2:$A$461,X$1,Data_filtered!$F$2:$F$461,$A23, Data_filtered!$D$2:$D$461,"mata",Data_filtered!$J$2:$J$461,"&lt;&gt;Incompleto")=0, "-", SUMIFS(Data_filtered!$G$2:$G$461,Data_filtered!$A$2:$A$461,X$1,Data_filtered!$F$2:$F$461,$A23, Data_filtered!$D$2:$D$461,"mata",Data_filtered!$J$2:$J$461,"&lt;&gt;Incompleto"))
</f>
        <v>-</v>
      </c>
      <c r="Z23" s="106" t="str">
        <f>IF(SUMIFS(Data_filtered!$G$2:$G$461,Data_filtered!$A$2:$A$461,Z$1,Data_filtered!$F$2:$F$461,$A23, Data_filtered!$D$2:$D$461,"eucalipto",Data_filtered!$J$2:$J$461,"&lt;&gt;Incompleto")=0, "-", SUMIFS(Data_filtered!$G$2:$G$461,Data_filtered!$A$2:$A$461,Z$1,Data_filtered!$F$2:$F$461,$A23, Data_filtered!$D$2:$D$461,"eucalipto",Data_filtered!$J$2:$J$461,"&lt;&gt;Incompleto"))</f>
        <v>-</v>
      </c>
      <c r="AA23" s="108">
        <f>IF(SUMIFS(Data_filtered!$G$2:$G$461,Data_filtered!$A$2:$A$461,Z$1,Data_filtered!$F$2:$F$461,$A23, Data_filtered!$D$2:$D$461,"mata",Data_filtered!$J$2:$J$461,"&lt;&gt;Incompleto")=0, "-", SUMIFS(Data_filtered!$G$2:$G$461,Data_filtered!$A$2:$A$461,Z$1,Data_filtered!$F$2:$F$461,$A23, Data_filtered!$D$2:$D$461,"mata",Data_filtered!$J$2:$J$461,"&lt;&gt;Incompleto"))
</f>
        <v>1</v>
      </c>
      <c r="AB23" s="106" t="str">
        <f>IF(SUMIFS(Data_filtered!$G$2:$G$461,Data_filtered!$A$2:$A$461,AB$1,Data_filtered!$F$2:$F$461,$A23, Data_filtered!$D$2:$D$461,"eucalipto",Data_filtered!$J$2:$J$461,"&lt;&gt;Incompleto")=0, "-", SUMIFS(Data_filtered!$G$2:$G$461,Data_filtered!$A$2:$A$461,AB$1,Data_filtered!$F$2:$F$461,$A23, Data_filtered!$D$2:$D$461,"eucalipto",Data_filtered!$J$2:$J$461,"&lt;&gt;Incompleto"))</f>
        <v>-</v>
      </c>
      <c r="AC23" s="108" t="str">
        <f>IF(SUMIFS(Data_filtered!$G$2:$G$461,Data_filtered!$A$2:$A$461,AB$1,Data_filtered!$F$2:$F$461,$A23, Data_filtered!$D$2:$D$461,"mata",Data_filtered!$J$2:$J$461,"&lt;&gt;Incompleto")=0, "-", SUMIFS(Data_filtered!$G$2:$G$461,Data_filtered!$A$2:$A$461,AB$1,Data_filtered!$F$2:$F$461,$A23, Data_filtered!$D$2:$D$461,"mata",Data_filtered!$J$2:$J$461,"&lt;&gt;Incompleto"))
</f>
        <v>-</v>
      </c>
      <c r="AD23" s="106" t="str">
        <f>IF(SUMIFS(Data_filtered!$G$2:$G$461,Data_filtered!$A$2:$A$461,AD$1,Data_filtered!$F$2:$F$461,$A23, Data_filtered!$D$2:$D$461,"eucalipto",Data_filtered!$J$2:$J$461,"&lt;&gt;Incompleto")=0, "-", SUMIFS(Data_filtered!$G$2:$G$461,Data_filtered!$A$2:$A$461,AD$1,Data_filtered!$F$2:$F$461,$A23, Data_filtered!$D$2:$D$461,"eucalipto",Data_filtered!$J$2:$J$461,"&lt;&gt;Incompleto"))</f>
        <v>-</v>
      </c>
      <c r="AE23" s="108" t="str">
        <f>IF(SUMIFS(Data_filtered!$G$2:$G$461,Data_filtered!$A$2:$A$461,AD$1,Data_filtered!$F$2:$F$461,$A23, Data_filtered!$D$2:$D$461,"mata",Data_filtered!$J$2:$J$461,"&lt;&gt;Incompleto")=0, "-", SUMIFS(Data_filtered!$G$2:$G$461,Data_filtered!$A$2:$A$461,AD$1,Data_filtered!$F$2:$F$461,$A23, Data_filtered!$D$2:$D$461,"mata",Data_filtered!$J$2:$J$461,"&lt;&gt;Incompleto"))
</f>
        <v>-</v>
      </c>
      <c r="AF23" s="106" t="str">
        <f>IF(SUMIFS(Data_filtered!$G$2:$G$461,Data_filtered!$A$2:$A$461,AF$1,Data_filtered!$F$2:$F$461,$A23, Data_filtered!$D$2:$D$461,"eucalipto",Data_filtered!$J$2:$J$461,"&lt;&gt;Incompleto")=0, "-", SUMIFS(Data_filtered!$G$2:$G$461,Data_filtered!$A$2:$A$461,AF$1,Data_filtered!$F$2:$F$461,$A23, Data_filtered!$D$2:$D$461,"eucalipto",Data_filtered!$J$2:$J$461,"&lt;&gt;Incompleto"))</f>
        <v>-</v>
      </c>
      <c r="AG23" s="108" t="str">
        <f>IF(SUMIFS(Data_filtered!$G$2:$G$461,Data_filtered!$A$2:$A$461,AF$1,Data_filtered!$F$2:$F$461,$A23, Data_filtered!$D$2:$D$461,"mata",Data_filtered!$J$2:$J$461,"&lt;&gt;Incompleto")=0, "-", SUMIFS(Data_filtered!$G$2:$G$461,Data_filtered!$A$2:$A$461,AF$1,Data_filtered!$F$2:$F$461,$A23, Data_filtered!$D$2:$D$461,"mata",Data_filtered!$J$2:$J$461,"&lt;&gt;Incompleto"))
</f>
        <v>-</v>
      </c>
      <c r="AH23" s="106" t="str">
        <f>IF(SUMIFS(Data_filtered!$G$2:$G$461,Data_filtered!$A$2:$A$461,AH$1,Data_filtered!$F$2:$F$461,$A23, Data_filtered!$D$2:$D$461,"eucalipto",Data_filtered!$J$2:$J$461,"&lt;&gt;Incompleto")=0, "-", SUMIFS(Data_filtered!$G$2:$G$461,Data_filtered!$A$2:$A$461,AH$1,Data_filtered!$F$2:$F$461,$A23, Data_filtered!$D$2:$D$461,"eucalipto",Data_filtered!$J$2:$J$461,"&lt;&gt;Incompleto"))</f>
        <v>-</v>
      </c>
      <c r="AI23" s="108" t="str">
        <f>IF(SUMIFS(Data_filtered!$G$2:$G$461,Data_filtered!$A$2:$A$461,AH$1,Data_filtered!$F$2:$F$461,$A23, Data_filtered!$D$2:$D$461,"mata",Data_filtered!$J$2:$J$461,"&lt;&gt;Incompleto")=0, "-", SUMIFS(Data_filtered!$G$2:$G$461,Data_filtered!$A$2:$A$461,AH$1,Data_filtered!$F$2:$F$461,$A23, Data_filtered!$D$2:$D$461,"mata",Data_filtered!$J$2:$J$461,"&lt;&gt;Incompleto"))
</f>
        <v>-</v>
      </c>
      <c r="AJ23" s="106" t="str">
        <f>IF(SUMIFS(Data_filtered!$G$2:$G$461,Data_filtered!$A$2:$A$461,AJ$1,Data_filtered!$F$2:$F$461,$A23, Data_filtered!$D$2:$D$461,"eucalipto",Data_filtered!$J$2:$J$461,"&lt;&gt;Incompleto")=0, "-", SUMIFS(Data_filtered!$G$2:$G$461,Data_filtered!$A$2:$A$461,AJ$1,Data_filtered!$F$2:$F$461,$A23, Data_filtered!$D$2:$D$461,"eucalipto",Data_filtered!$J$2:$J$461,"&lt;&gt;Incompleto"))</f>
        <v>-</v>
      </c>
      <c r="AK23" s="108" t="str">
        <f>IF(SUMIFS(Data_filtered!$G$2:$G$461,Data_filtered!$A$2:$A$461,AJ$1,Data_filtered!$F$2:$F$461,$A23, Data_filtered!$D$2:$D$461,"mata",Data_filtered!$J$2:$J$461,"&lt;&gt;Incompleto")=0, "-", SUMIFS(Data_filtered!$G$2:$G$461,Data_filtered!$A$2:$A$461,AJ$1,Data_filtered!$F$2:$F$461,$A23, Data_filtered!$D$2:$D$461,"mata",Data_filtered!$J$2:$J$461,"&lt;&gt;Incompleto"))
</f>
        <v>-</v>
      </c>
      <c r="AL23" s="106" t="str">
        <f>IF(SUMIFS(Data_filtered!$G$2:$G$461,Data_filtered!$A$2:$A$461,AL$1,Data_filtered!$F$2:$F$461,$A23, Data_filtered!$D$2:$D$461,"eucalipto",Data_filtered!$J$2:$J$461,"&lt;&gt;Incompleto")=0, "-", SUMIFS(Data_filtered!$G$2:$G$461,Data_filtered!$A$2:$A$461,AL$1,Data_filtered!$F$2:$F$461,$A23, Data_filtered!$D$2:$D$461,"eucalipto",Data_filtered!$J$2:$J$461,"&lt;&gt;Incompleto"))</f>
        <v>-</v>
      </c>
      <c r="AM23" s="108" t="str">
        <f>IF(SUMIFS(Data_filtered!$G$2:$G$461,Data_filtered!$A$2:$A$461,AL$1,Data_filtered!$F$2:$F$461,$A23, Data_filtered!$D$2:$D$461,"mata",Data_filtered!$J$2:$J$461,"&lt;&gt;Incompleto")=0, "-", SUMIFS(Data_filtered!$G$2:$G$461,Data_filtered!$A$2:$A$461,AL$1,Data_filtered!$F$2:$F$461,$A23, Data_filtered!$D$2:$D$461,"mata",Data_filtered!$J$2:$J$461,"&lt;&gt;Incompleto"))
</f>
        <v>-</v>
      </c>
      <c r="AN23" s="106" t="str">
        <f>IF(SUMIFS(Data_filtered!$G$2:$G$461,Data_filtered!$A$2:$A$461,AN$1,Data_filtered!$F$2:$F$461,$A23, Data_filtered!$D$2:$D$461,"eucalipto",Data_filtered!$J$2:$J$461,"&lt;&gt;Incompleto")=0, "-", SUMIFS(Data_filtered!$G$2:$G$461,Data_filtered!$A$2:$A$461,AN$1,Data_filtered!$F$2:$F$461,$A23, Data_filtered!$D$2:$D$461,"eucalipto",Data_filtered!$J$2:$J$461,"&lt;&gt;Incompleto"))</f>
        <v>-</v>
      </c>
      <c r="AO23" s="108" t="str">
        <f>IF(SUMIFS(Data_filtered!$G$2:$G$461,Data_filtered!$A$2:$A$461,AN$1,Data_filtered!$F$2:$F$461,$A23, Data_filtered!$D$2:$D$461,"mata",Data_filtered!$J$2:$J$461,"&lt;&gt;Incompleto")=0, "-", SUMIFS(Data_filtered!$G$2:$G$461,Data_filtered!$A$2:$A$461,AN$1,Data_filtered!$F$2:$F$461,$A23, Data_filtered!$D$2:$D$461,"mata",Data_filtered!$J$2:$J$461,"&lt;&gt;Incompleto"))
</f>
        <v>-</v>
      </c>
      <c r="AP23" s="106" t="str">
        <f>IF(SUMIFS(Data_filtered!$G$2:$G$461,Data_filtered!$A$2:$A$461,AP$1,Data_filtered!$F$2:$F$461,$A23, Data_filtered!$D$2:$D$461,"eucalipto",Data_filtered!$J$2:$J$461,"&lt;&gt;Incompleto")=0, "-", SUMIFS(Data_filtered!$G$2:$G$461,Data_filtered!$A$2:$A$461,AP$1,Data_filtered!$F$2:$F$461,$A23, Data_filtered!$D$2:$D$461,"eucalipto",Data_filtered!$J$2:$J$461,"&lt;&gt;Incompleto"))</f>
        <v>-</v>
      </c>
      <c r="AQ23" s="108" t="str">
        <f>IF(SUMIFS(Data_filtered!$G$2:$G$461,Data_filtered!$A$2:$A$461,AP$1,Data_filtered!$F$2:$F$461,$A23, Data_filtered!$D$2:$D$461,"mata",Data_filtered!$J$2:$J$461,"&lt;&gt;Incompleto")=0, "-", SUMIFS(Data_filtered!$G$2:$G$461,Data_filtered!$A$2:$A$461,AP$1,Data_filtered!$F$2:$F$461,$A23, Data_filtered!$D$2:$D$461,"mata",Data_filtered!$J$2:$J$461,"&lt;&gt;Incompleto"))
</f>
        <v>-</v>
      </c>
      <c r="AR23" s="106" t="str">
        <f>IF(SUMIFS(Data_filtered!$G$2:$G$461,Data_filtered!$A$2:$A$461,AR$1,Data_filtered!$F$2:$F$461,$A23, Data_filtered!$D$2:$D$461,"eucalipto",Data_filtered!$J$2:$J$461,"&lt;&gt;Incompleto")=0, "-", SUMIFS(Data_filtered!$G$2:$G$461,Data_filtered!$A$2:$A$461,AR$1,Data_filtered!$F$2:$F$461,$A23, Data_filtered!$D$2:$D$461,"eucalipto",Data_filtered!$J$2:$J$461,"&lt;&gt;Incompleto"))</f>
        <v>-</v>
      </c>
      <c r="AS23" s="108" t="str">
        <f>IF(SUMIFS(Data_filtered!$G$2:$G$461,Data_filtered!$A$2:$A$461,AR$1,Data_filtered!$F$2:$F$461,$A23, Data_filtered!$D$2:$D$461,"mata",Data_filtered!$J$2:$J$461,"&lt;&gt;Incompleto")=0, "-", SUMIFS(Data_filtered!$G$2:$G$461,Data_filtered!$A$2:$A$461,AR$1,Data_filtered!$F$2:$F$461,$A23, Data_filtered!$D$2:$D$461,"mata",Data_filtered!$J$2:$J$461,"&lt;&gt;Incompleto"))
</f>
        <v>-</v>
      </c>
    </row>
    <row r="24">
      <c r="A24" s="68" t="str">
        <f>IFERROR(__xludf.DUMMYFUNCTION("""COMPUTED_VALUE"""),"Staphylinidae")</f>
        <v>Staphylinidae</v>
      </c>
      <c r="B24" s="106" t="str">
        <f>IF(SUMIFS(Data_filtered!$G$2:$G$461,Data_filtered!$A$2:$A$461,B$1,Data_filtered!$F$2:$F$461,$A24, Data_filtered!$D$2:$D$461,"eucalipto",Data_filtered!$J$2:$J$461,"&lt;&gt;Incompleto")=0, "-", SUMIFS(Data_filtered!$G$2:$G$461,Data_filtered!$A$2:$A$461,B$1,Data_filtered!$F$2:$F$461,$A24, Data_filtered!$D$2:$D$461,"eucalipto",Data_filtered!$J$2:$J$461,"&lt;&gt;Incompleto"))</f>
        <v>-</v>
      </c>
      <c r="C24" s="108" t="str">
        <f>IF(SUMIFS(Data_filtered!$G$2:$G$461,Data_filtered!$A$2:$A$461,B$1,Data_filtered!$F$2:$F$461,$A24, Data_filtered!$D$2:$D$461,"mata",Data_filtered!$J$2:$J$461,"&lt;&gt;Incompleto")=0, "-", SUMIFS(Data_filtered!$G$2:$G$461,Data_filtered!$A$2:$A$461,B$1,Data_filtered!$F$2:$F$461,$A24, Data_filtered!$D$2:$D$461,"mata",Data_filtered!$J$2:$J$461,"&lt;&gt;Incompleto"))
</f>
        <v>-</v>
      </c>
      <c r="D24" s="106" t="str">
        <f>IF(SUMIFS(Data_filtered!$G$2:$G$461,Data_filtered!$A$2:$A$461,D$1,Data_filtered!$F$2:$F$461,$A24, Data_filtered!$D$2:$D$461,"eucalipto",Data_filtered!$J$2:$J$461,"&lt;&gt;Incompleto")=0, "-", SUMIFS(Data_filtered!$G$2:$G$461,Data_filtered!$A$2:$A$461,D$1,Data_filtered!$F$2:$F$461,$A24, Data_filtered!$D$2:$D$461,"eucalipto",Data_filtered!$J$2:$J$461,"&lt;&gt;Incompleto"))</f>
        <v>-</v>
      </c>
      <c r="E24" s="108" t="str">
        <f>IF(SUMIFS(Data_filtered!$G$2:$G$461,Data_filtered!$A$2:$A$461,D$1,Data_filtered!$F$2:$F$461,$A24, Data_filtered!$D$2:$D$461,"mata",Data_filtered!$J$2:$J$461,"&lt;&gt;Incompleto")=0, "-", SUMIFS(Data_filtered!$G$2:$G$461,Data_filtered!$A$2:$A$461,D$1,Data_filtered!$F$2:$F$461,$A24, Data_filtered!$D$2:$D$461,"mata",Data_filtered!$J$2:$J$461,"&lt;&gt;Incompleto"))
</f>
        <v>-</v>
      </c>
      <c r="F24" s="106" t="str">
        <f>IF(SUMIFS(Data_filtered!$G$2:$G$461,Data_filtered!$A$2:$A$461,F$1,Data_filtered!$F$2:$F$461,$A24, Data_filtered!$D$2:$D$461,"eucalipto",Data_filtered!$J$2:$J$461,"&lt;&gt;Incompleto")=0, "-", SUMIFS(Data_filtered!$G$2:$G$461,Data_filtered!$A$2:$A$461,F$1,Data_filtered!$F$2:$F$461,$A24, Data_filtered!$D$2:$D$461,"eucalipto",Data_filtered!$J$2:$J$461,"&lt;&gt;Incompleto"))</f>
        <v>-</v>
      </c>
      <c r="G24" s="108" t="str">
        <f>IF(SUMIFS(Data_filtered!$G$2:$G$461,Data_filtered!$A$2:$A$461,F$1,Data_filtered!$F$2:$F$461,$A24, Data_filtered!$D$2:$D$461,"mata",Data_filtered!$J$2:$J$461,"&lt;&gt;Incompleto")=0, "-", SUMIFS(Data_filtered!$G$2:$G$461,Data_filtered!$A$2:$A$461,F$1,Data_filtered!$F$2:$F$461,$A24, Data_filtered!$D$2:$D$461,"mata",Data_filtered!$J$2:$J$461,"&lt;&gt;Incompleto"))
</f>
        <v>-</v>
      </c>
      <c r="H24" s="106" t="str">
        <f>IF(SUMIFS(Data_filtered!$G$2:$G$461,Data_filtered!$A$2:$A$461,H$1,Data_filtered!$F$2:$F$461,$A24, Data_filtered!$D$2:$D$461,"eucalipto",Data_filtered!$J$2:$J$461,"&lt;&gt;Incompleto")=0, "-", SUMIFS(Data_filtered!$G$2:$G$461,Data_filtered!$A$2:$A$461,H$1,Data_filtered!$F$2:$F$461,$A24, Data_filtered!$D$2:$D$461,"eucalipto",Data_filtered!$J$2:$J$461,"&lt;&gt;Incompleto"))</f>
        <v>-</v>
      </c>
      <c r="I24" s="108" t="str">
        <f>IF(SUMIFS(Data_filtered!$G$2:$G$461,Data_filtered!$A$2:$A$461,H$1,Data_filtered!$F$2:$F$461,$A24, Data_filtered!$D$2:$D$461,"mata",Data_filtered!$J$2:$J$461,"&lt;&gt;Incompleto")=0, "-", SUMIFS(Data_filtered!$G$2:$G$461,Data_filtered!$A$2:$A$461,H$1,Data_filtered!$F$2:$F$461,$A24, Data_filtered!$D$2:$D$461,"mata",Data_filtered!$J$2:$J$461,"&lt;&gt;Incompleto"))
</f>
        <v>-</v>
      </c>
      <c r="J24" s="106" t="str">
        <f>IF(SUMIFS(Data_filtered!$G$2:$G$461,Data_filtered!$A$2:$A$461,J$1,Data_filtered!$F$2:$F$461,$A24, Data_filtered!$D$2:$D$461,"eucalipto",Data_filtered!$J$2:$J$461,"&lt;&gt;Incompleto")=0, "-", SUMIFS(Data_filtered!$G$2:$G$461,Data_filtered!$A$2:$A$461,J$1,Data_filtered!$F$2:$F$461,$A24, Data_filtered!$D$2:$D$461,"eucalipto",Data_filtered!$J$2:$J$461,"&lt;&gt;Incompleto"))</f>
        <v>-</v>
      </c>
      <c r="K24" s="108" t="str">
        <f>IF(SUMIFS(Data_filtered!$G$2:$G$461,Data_filtered!$A$2:$A$461,J$1,Data_filtered!$F$2:$F$461,$A24, Data_filtered!$D$2:$D$461,"mata",Data_filtered!$J$2:$J$461,"&lt;&gt;Incompleto")=0, "-", SUMIFS(Data_filtered!$G$2:$G$461,Data_filtered!$A$2:$A$461,J$1,Data_filtered!$F$2:$F$461,$A24, Data_filtered!$D$2:$D$461,"mata",Data_filtered!$J$2:$J$461,"&lt;&gt;Incompleto"))
</f>
        <v>-</v>
      </c>
      <c r="L24" s="106" t="str">
        <f>IF(SUMIFS(Data_filtered!$G$2:$G$461,Data_filtered!$A$2:$A$461,L$1,Data_filtered!$F$2:$F$461,$A24, Data_filtered!$D$2:$D$461,"eucalipto",Data_filtered!$J$2:$J$461,"&lt;&gt;Incompleto")=0, "-", SUMIFS(Data_filtered!$G$2:$G$461,Data_filtered!$A$2:$A$461,L$1,Data_filtered!$F$2:$F$461,$A24, Data_filtered!$D$2:$D$461,"eucalipto",Data_filtered!$J$2:$J$461,"&lt;&gt;Incompleto"))</f>
        <v>-</v>
      </c>
      <c r="M24" s="108" t="str">
        <f>IF(SUMIFS(Data_filtered!$G$2:$G$461,Data_filtered!$A$2:$A$461,L$1,Data_filtered!$F$2:$F$461,$A24, Data_filtered!$D$2:$D$461,"mata",Data_filtered!$J$2:$J$461,"&lt;&gt;Incompleto")=0, "-", SUMIFS(Data_filtered!$G$2:$G$461,Data_filtered!$A$2:$A$461,L$1,Data_filtered!$F$2:$F$461,$A24, Data_filtered!$D$2:$D$461,"mata",Data_filtered!$J$2:$J$461,"&lt;&gt;Incompleto"))
</f>
        <v>-</v>
      </c>
      <c r="N24" s="106" t="str">
        <f>IF(SUMIFS(Data_filtered!$G$2:$G$461,Data_filtered!$A$2:$A$461,N$1,Data_filtered!$F$2:$F$461,$A24, Data_filtered!$D$2:$D$461,"eucalipto",Data_filtered!$J$2:$J$461,"&lt;&gt;Incompleto")=0, "-", SUMIFS(Data_filtered!$G$2:$G$461,Data_filtered!$A$2:$A$461,N$1,Data_filtered!$F$2:$F$461,$A24, Data_filtered!$D$2:$D$461,"eucalipto",Data_filtered!$J$2:$J$461,"&lt;&gt;Incompleto"))</f>
        <v>-</v>
      </c>
      <c r="O24" s="108" t="str">
        <f>IF(SUMIFS(Data_filtered!$G$2:$G$461,Data_filtered!$A$2:$A$461,N$1,Data_filtered!$F$2:$F$461,$A24, Data_filtered!$D$2:$D$461,"mata",Data_filtered!$J$2:$J$461,"&lt;&gt;Incompleto")=0, "-", SUMIFS(Data_filtered!$G$2:$G$461,Data_filtered!$A$2:$A$461,N$1,Data_filtered!$F$2:$F$461,$A24, Data_filtered!$D$2:$D$461,"mata",Data_filtered!$J$2:$J$461,"&lt;&gt;Incompleto"))
</f>
        <v>-</v>
      </c>
      <c r="P24" s="106" t="str">
        <f>IF(SUMIFS(Data_filtered!$G$2:$G$461,Data_filtered!$A$2:$A$461,P$1,Data_filtered!$F$2:$F$461,$A24, Data_filtered!$D$2:$D$461,"eucalipto",Data_filtered!$J$2:$J$461,"&lt;&gt;Incompleto")=0, "-", SUMIFS(Data_filtered!$G$2:$G$461,Data_filtered!$A$2:$A$461,P$1,Data_filtered!$F$2:$F$461,$A24, Data_filtered!$D$2:$D$461,"eucalipto",Data_filtered!$J$2:$J$461,"&lt;&gt;Incompleto"))</f>
        <v>-</v>
      </c>
      <c r="Q24" s="108" t="str">
        <f>IF(SUMIFS(Data_filtered!$G$2:$G$461,Data_filtered!$A$2:$A$461,P$1,Data_filtered!$F$2:$F$461,$A24, Data_filtered!$D$2:$D$461,"mata",Data_filtered!$J$2:$J$461,"&lt;&gt;Incompleto")=0, "-", SUMIFS(Data_filtered!$G$2:$G$461,Data_filtered!$A$2:$A$461,P$1,Data_filtered!$F$2:$F$461,$A24, Data_filtered!$D$2:$D$461,"mata",Data_filtered!$J$2:$J$461,"&lt;&gt;Incompleto"))
</f>
        <v>-</v>
      </c>
      <c r="R24" s="106">
        <f>IF(SUMIFS(Data_filtered!$G$2:$G$461,Data_filtered!$A$2:$A$461,R$1,Data_filtered!$F$2:$F$461,$A24, Data_filtered!$D$2:$D$461,"eucalipto",Data_filtered!$J$2:$J$461,"&lt;&gt;Incompleto")=0, "-", SUMIFS(Data_filtered!$G$2:$G$461,Data_filtered!$A$2:$A$461,R$1,Data_filtered!$F$2:$F$461,$A24, Data_filtered!$D$2:$D$461,"eucalipto",Data_filtered!$J$2:$J$461,"&lt;&gt;Incompleto"))</f>
        <v>1</v>
      </c>
      <c r="S24" s="108" t="str">
        <f>IF(SUMIFS(Data_filtered!$G$2:$G$461,Data_filtered!$A$2:$A$461,R$1,Data_filtered!$F$2:$F$461,$A24, Data_filtered!$D$2:$D$461,"mata",Data_filtered!$J$2:$J$461,"&lt;&gt;Incompleto")=0, "-", SUMIFS(Data_filtered!$G$2:$G$461,Data_filtered!$A$2:$A$461,R$1,Data_filtered!$F$2:$F$461,$A24, Data_filtered!$D$2:$D$461,"mata",Data_filtered!$J$2:$J$461,"&lt;&gt;Incompleto"))
</f>
        <v>-</v>
      </c>
      <c r="T24" s="106" t="str">
        <f>IF(SUMIFS(Data_filtered!$G$2:$G$461,Data_filtered!$A$2:$A$461,T$1,Data_filtered!$F$2:$F$461,$A24, Data_filtered!$D$2:$D$461,"eucalipto",Data_filtered!$J$2:$J$461,"&lt;&gt;Incompleto")=0, "-", SUMIFS(Data_filtered!$G$2:$G$461,Data_filtered!$A$2:$A$461,T$1,Data_filtered!$F$2:$F$461,$A24, Data_filtered!$D$2:$D$461,"eucalipto",Data_filtered!$J$2:$J$461,"&lt;&gt;Incompleto"))</f>
        <v>-</v>
      </c>
      <c r="U24" s="108" t="str">
        <f>IF(SUMIFS(Data_filtered!$G$2:$G$461,Data_filtered!$A$2:$A$461,T$1,Data_filtered!$F$2:$F$461,$A24, Data_filtered!$D$2:$D$461,"mata",Data_filtered!$J$2:$J$461,"&lt;&gt;Incompleto")=0, "-", SUMIFS(Data_filtered!$G$2:$G$461,Data_filtered!$A$2:$A$461,T$1,Data_filtered!$F$2:$F$461,$A24, Data_filtered!$D$2:$D$461,"mata",Data_filtered!$J$2:$J$461,"&lt;&gt;Incompleto"))
</f>
        <v>-</v>
      </c>
      <c r="V24" s="106">
        <f>IF(SUMIFS(Data_filtered!$G$2:$G$461,Data_filtered!$A$2:$A$461,V$1,Data_filtered!$F$2:$F$461,$A24, Data_filtered!$D$2:$D$461,"eucalipto",Data_filtered!$J$2:$J$461,"&lt;&gt;Incompleto")=0, "-", SUMIFS(Data_filtered!$G$2:$G$461,Data_filtered!$A$2:$A$461,V$1,Data_filtered!$F$2:$F$461,$A24, Data_filtered!$D$2:$D$461,"eucalipto",Data_filtered!$J$2:$J$461,"&lt;&gt;Incompleto"))</f>
        <v>1</v>
      </c>
      <c r="W24" s="108" t="str">
        <f>IF(SUMIFS(Data_filtered!$G$2:$G$461,Data_filtered!$A$2:$A$461,V$1,Data_filtered!$F$2:$F$461,$A24, Data_filtered!$D$2:$D$461,"mata",Data_filtered!$J$2:$J$461,"&lt;&gt;Incompleto")=0, "-", SUMIFS(Data_filtered!$G$2:$G$461,Data_filtered!$A$2:$A$461,V$1,Data_filtered!$F$2:$F$461,$A24, Data_filtered!$D$2:$D$461,"mata",Data_filtered!$J$2:$J$461,"&lt;&gt;Incompleto"))
</f>
        <v>-</v>
      </c>
      <c r="X24" s="106" t="str">
        <f>IF(SUMIFS(Data_filtered!$G$2:$G$461,Data_filtered!$A$2:$A$461,X$1,Data_filtered!$F$2:$F$461,$A24, Data_filtered!$D$2:$D$461,"eucalipto",Data_filtered!$J$2:$J$461,"&lt;&gt;Incompleto")=0, "-", SUMIFS(Data_filtered!$G$2:$G$461,Data_filtered!$A$2:$A$461,X$1,Data_filtered!$F$2:$F$461,$A24, Data_filtered!$D$2:$D$461,"eucalipto",Data_filtered!$J$2:$J$461,"&lt;&gt;Incompleto"))</f>
        <v>-</v>
      </c>
      <c r="Y24" s="108" t="str">
        <f>IF(SUMIFS(Data_filtered!$G$2:$G$461,Data_filtered!$A$2:$A$461,X$1,Data_filtered!$F$2:$F$461,$A24, Data_filtered!$D$2:$D$461,"mata",Data_filtered!$J$2:$J$461,"&lt;&gt;Incompleto")=0, "-", SUMIFS(Data_filtered!$G$2:$G$461,Data_filtered!$A$2:$A$461,X$1,Data_filtered!$F$2:$F$461,$A24, Data_filtered!$D$2:$D$461,"mata",Data_filtered!$J$2:$J$461,"&lt;&gt;Incompleto"))
</f>
        <v>-</v>
      </c>
      <c r="Z24" s="106" t="str">
        <f>IF(SUMIFS(Data_filtered!$G$2:$G$461,Data_filtered!$A$2:$A$461,Z$1,Data_filtered!$F$2:$F$461,$A24, Data_filtered!$D$2:$D$461,"eucalipto",Data_filtered!$J$2:$J$461,"&lt;&gt;Incompleto")=0, "-", SUMIFS(Data_filtered!$G$2:$G$461,Data_filtered!$A$2:$A$461,Z$1,Data_filtered!$F$2:$F$461,$A24, Data_filtered!$D$2:$D$461,"eucalipto",Data_filtered!$J$2:$J$461,"&lt;&gt;Incompleto"))</f>
        <v>-</v>
      </c>
      <c r="AA24" s="108" t="str">
        <f>IF(SUMIFS(Data_filtered!$G$2:$G$461,Data_filtered!$A$2:$A$461,Z$1,Data_filtered!$F$2:$F$461,$A24, Data_filtered!$D$2:$D$461,"mata",Data_filtered!$J$2:$J$461,"&lt;&gt;Incompleto")=0, "-", SUMIFS(Data_filtered!$G$2:$G$461,Data_filtered!$A$2:$A$461,Z$1,Data_filtered!$F$2:$F$461,$A24, Data_filtered!$D$2:$D$461,"mata",Data_filtered!$J$2:$J$461,"&lt;&gt;Incompleto"))
</f>
        <v>-</v>
      </c>
      <c r="AB24" s="106" t="str">
        <f>IF(SUMIFS(Data_filtered!$G$2:$G$461,Data_filtered!$A$2:$A$461,AB$1,Data_filtered!$F$2:$F$461,$A24, Data_filtered!$D$2:$D$461,"eucalipto",Data_filtered!$J$2:$J$461,"&lt;&gt;Incompleto")=0, "-", SUMIFS(Data_filtered!$G$2:$G$461,Data_filtered!$A$2:$A$461,AB$1,Data_filtered!$F$2:$F$461,$A24, Data_filtered!$D$2:$D$461,"eucalipto",Data_filtered!$J$2:$J$461,"&lt;&gt;Incompleto"))</f>
        <v>-</v>
      </c>
      <c r="AC24" s="108" t="str">
        <f>IF(SUMIFS(Data_filtered!$G$2:$G$461,Data_filtered!$A$2:$A$461,AB$1,Data_filtered!$F$2:$F$461,$A24, Data_filtered!$D$2:$D$461,"mata",Data_filtered!$J$2:$J$461,"&lt;&gt;Incompleto")=0, "-", SUMIFS(Data_filtered!$G$2:$G$461,Data_filtered!$A$2:$A$461,AB$1,Data_filtered!$F$2:$F$461,$A24, Data_filtered!$D$2:$D$461,"mata",Data_filtered!$J$2:$J$461,"&lt;&gt;Incompleto"))
</f>
        <v>-</v>
      </c>
      <c r="AD24" s="106" t="str">
        <f>IF(SUMIFS(Data_filtered!$G$2:$G$461,Data_filtered!$A$2:$A$461,AD$1,Data_filtered!$F$2:$F$461,$A24, Data_filtered!$D$2:$D$461,"eucalipto",Data_filtered!$J$2:$J$461,"&lt;&gt;Incompleto")=0, "-", SUMIFS(Data_filtered!$G$2:$G$461,Data_filtered!$A$2:$A$461,AD$1,Data_filtered!$F$2:$F$461,$A24, Data_filtered!$D$2:$D$461,"eucalipto",Data_filtered!$J$2:$J$461,"&lt;&gt;Incompleto"))</f>
        <v>-</v>
      </c>
      <c r="AE24" s="108" t="str">
        <f>IF(SUMIFS(Data_filtered!$G$2:$G$461,Data_filtered!$A$2:$A$461,AD$1,Data_filtered!$F$2:$F$461,$A24, Data_filtered!$D$2:$D$461,"mata",Data_filtered!$J$2:$J$461,"&lt;&gt;Incompleto")=0, "-", SUMIFS(Data_filtered!$G$2:$G$461,Data_filtered!$A$2:$A$461,AD$1,Data_filtered!$F$2:$F$461,$A24, Data_filtered!$D$2:$D$461,"mata",Data_filtered!$J$2:$J$461,"&lt;&gt;Incompleto"))
</f>
        <v>-</v>
      </c>
      <c r="AF24" s="106" t="str">
        <f>IF(SUMIFS(Data_filtered!$G$2:$G$461,Data_filtered!$A$2:$A$461,AF$1,Data_filtered!$F$2:$F$461,$A24, Data_filtered!$D$2:$D$461,"eucalipto",Data_filtered!$J$2:$J$461,"&lt;&gt;Incompleto")=0, "-", SUMIFS(Data_filtered!$G$2:$G$461,Data_filtered!$A$2:$A$461,AF$1,Data_filtered!$F$2:$F$461,$A24, Data_filtered!$D$2:$D$461,"eucalipto",Data_filtered!$J$2:$J$461,"&lt;&gt;Incompleto"))</f>
        <v>-</v>
      </c>
      <c r="AG24" s="108">
        <f>IF(SUMIFS(Data_filtered!$G$2:$G$461,Data_filtered!$A$2:$A$461,AF$1,Data_filtered!$F$2:$F$461,$A24, Data_filtered!$D$2:$D$461,"mata",Data_filtered!$J$2:$J$461,"&lt;&gt;Incompleto")=0, "-", SUMIFS(Data_filtered!$G$2:$G$461,Data_filtered!$A$2:$A$461,AF$1,Data_filtered!$F$2:$F$461,$A24, Data_filtered!$D$2:$D$461,"mata",Data_filtered!$J$2:$J$461,"&lt;&gt;Incompleto"))
</f>
        <v>2</v>
      </c>
      <c r="AH24" s="106" t="str">
        <f>IF(SUMIFS(Data_filtered!$G$2:$G$461,Data_filtered!$A$2:$A$461,AH$1,Data_filtered!$F$2:$F$461,$A24, Data_filtered!$D$2:$D$461,"eucalipto",Data_filtered!$J$2:$J$461,"&lt;&gt;Incompleto")=0, "-", SUMIFS(Data_filtered!$G$2:$G$461,Data_filtered!$A$2:$A$461,AH$1,Data_filtered!$F$2:$F$461,$A24, Data_filtered!$D$2:$D$461,"eucalipto",Data_filtered!$J$2:$J$461,"&lt;&gt;Incompleto"))</f>
        <v>-</v>
      </c>
      <c r="AI24" s="108">
        <f>IF(SUMIFS(Data_filtered!$G$2:$G$461,Data_filtered!$A$2:$A$461,AH$1,Data_filtered!$F$2:$F$461,$A24, Data_filtered!$D$2:$D$461,"mata",Data_filtered!$J$2:$J$461,"&lt;&gt;Incompleto")=0, "-", SUMIFS(Data_filtered!$G$2:$G$461,Data_filtered!$A$2:$A$461,AH$1,Data_filtered!$F$2:$F$461,$A24, Data_filtered!$D$2:$D$461,"mata",Data_filtered!$J$2:$J$461,"&lt;&gt;Incompleto"))
</f>
        <v>1</v>
      </c>
      <c r="AJ24" s="106" t="str">
        <f>IF(SUMIFS(Data_filtered!$G$2:$G$461,Data_filtered!$A$2:$A$461,AJ$1,Data_filtered!$F$2:$F$461,$A24, Data_filtered!$D$2:$D$461,"eucalipto",Data_filtered!$J$2:$J$461,"&lt;&gt;Incompleto")=0, "-", SUMIFS(Data_filtered!$G$2:$G$461,Data_filtered!$A$2:$A$461,AJ$1,Data_filtered!$F$2:$F$461,$A24, Data_filtered!$D$2:$D$461,"eucalipto",Data_filtered!$J$2:$J$461,"&lt;&gt;Incompleto"))</f>
        <v>-</v>
      </c>
      <c r="AK24" s="108" t="str">
        <f>IF(SUMIFS(Data_filtered!$G$2:$G$461,Data_filtered!$A$2:$A$461,AJ$1,Data_filtered!$F$2:$F$461,$A24, Data_filtered!$D$2:$D$461,"mata",Data_filtered!$J$2:$J$461,"&lt;&gt;Incompleto")=0, "-", SUMIFS(Data_filtered!$G$2:$G$461,Data_filtered!$A$2:$A$461,AJ$1,Data_filtered!$F$2:$F$461,$A24, Data_filtered!$D$2:$D$461,"mata",Data_filtered!$J$2:$J$461,"&lt;&gt;Incompleto"))
</f>
        <v>-</v>
      </c>
      <c r="AL24" s="106" t="str">
        <f>IF(SUMIFS(Data_filtered!$G$2:$G$461,Data_filtered!$A$2:$A$461,AL$1,Data_filtered!$F$2:$F$461,$A24, Data_filtered!$D$2:$D$461,"eucalipto",Data_filtered!$J$2:$J$461,"&lt;&gt;Incompleto")=0, "-", SUMIFS(Data_filtered!$G$2:$G$461,Data_filtered!$A$2:$A$461,AL$1,Data_filtered!$F$2:$F$461,$A24, Data_filtered!$D$2:$D$461,"eucalipto",Data_filtered!$J$2:$J$461,"&lt;&gt;Incompleto"))</f>
        <v>-</v>
      </c>
      <c r="AM24" s="108">
        <f>IF(SUMIFS(Data_filtered!$G$2:$G$461,Data_filtered!$A$2:$A$461,AL$1,Data_filtered!$F$2:$F$461,$A24, Data_filtered!$D$2:$D$461,"mata",Data_filtered!$J$2:$J$461,"&lt;&gt;Incompleto")=0, "-", SUMIFS(Data_filtered!$G$2:$G$461,Data_filtered!$A$2:$A$461,AL$1,Data_filtered!$F$2:$F$461,$A24, Data_filtered!$D$2:$D$461,"mata",Data_filtered!$J$2:$J$461,"&lt;&gt;Incompleto"))
</f>
        <v>4</v>
      </c>
      <c r="AN24" s="106" t="str">
        <f>IF(SUMIFS(Data_filtered!$G$2:$G$461,Data_filtered!$A$2:$A$461,AN$1,Data_filtered!$F$2:$F$461,$A24, Data_filtered!$D$2:$D$461,"eucalipto",Data_filtered!$J$2:$J$461,"&lt;&gt;Incompleto")=0, "-", SUMIFS(Data_filtered!$G$2:$G$461,Data_filtered!$A$2:$A$461,AN$1,Data_filtered!$F$2:$F$461,$A24, Data_filtered!$D$2:$D$461,"eucalipto",Data_filtered!$J$2:$J$461,"&lt;&gt;Incompleto"))</f>
        <v>-</v>
      </c>
      <c r="AO24" s="108" t="str">
        <f>IF(SUMIFS(Data_filtered!$G$2:$G$461,Data_filtered!$A$2:$A$461,AN$1,Data_filtered!$F$2:$F$461,$A24, Data_filtered!$D$2:$D$461,"mata",Data_filtered!$J$2:$J$461,"&lt;&gt;Incompleto")=0, "-", SUMIFS(Data_filtered!$G$2:$G$461,Data_filtered!$A$2:$A$461,AN$1,Data_filtered!$F$2:$F$461,$A24, Data_filtered!$D$2:$D$461,"mata",Data_filtered!$J$2:$J$461,"&lt;&gt;Incompleto"))
</f>
        <v>-</v>
      </c>
      <c r="AP24" s="106" t="str">
        <f>IF(SUMIFS(Data_filtered!$G$2:$G$461,Data_filtered!$A$2:$A$461,AP$1,Data_filtered!$F$2:$F$461,$A24, Data_filtered!$D$2:$D$461,"eucalipto",Data_filtered!$J$2:$J$461,"&lt;&gt;Incompleto")=0, "-", SUMIFS(Data_filtered!$G$2:$G$461,Data_filtered!$A$2:$A$461,AP$1,Data_filtered!$F$2:$F$461,$A24, Data_filtered!$D$2:$D$461,"eucalipto",Data_filtered!$J$2:$J$461,"&lt;&gt;Incompleto"))</f>
        <v>-</v>
      </c>
      <c r="AQ24" s="108" t="str">
        <f>IF(SUMIFS(Data_filtered!$G$2:$G$461,Data_filtered!$A$2:$A$461,AP$1,Data_filtered!$F$2:$F$461,$A24, Data_filtered!$D$2:$D$461,"mata",Data_filtered!$J$2:$J$461,"&lt;&gt;Incompleto")=0, "-", SUMIFS(Data_filtered!$G$2:$G$461,Data_filtered!$A$2:$A$461,AP$1,Data_filtered!$F$2:$F$461,$A24, Data_filtered!$D$2:$D$461,"mata",Data_filtered!$J$2:$J$461,"&lt;&gt;Incompleto"))
</f>
        <v>-</v>
      </c>
      <c r="AR24" s="106" t="str">
        <f>IF(SUMIFS(Data_filtered!$G$2:$G$461,Data_filtered!$A$2:$A$461,AR$1,Data_filtered!$F$2:$F$461,$A24, Data_filtered!$D$2:$D$461,"eucalipto",Data_filtered!$J$2:$J$461,"&lt;&gt;Incompleto")=0, "-", SUMIFS(Data_filtered!$G$2:$G$461,Data_filtered!$A$2:$A$461,AR$1,Data_filtered!$F$2:$F$461,$A24, Data_filtered!$D$2:$D$461,"eucalipto",Data_filtered!$J$2:$J$461,"&lt;&gt;Incompleto"))</f>
        <v>-</v>
      </c>
      <c r="AS24" s="108" t="str">
        <f>IF(SUMIFS(Data_filtered!$G$2:$G$461,Data_filtered!$A$2:$A$461,AR$1,Data_filtered!$F$2:$F$461,$A24, Data_filtered!$D$2:$D$461,"mata",Data_filtered!$J$2:$J$461,"&lt;&gt;Incompleto")=0, "-", SUMIFS(Data_filtered!$G$2:$G$461,Data_filtered!$A$2:$A$461,AR$1,Data_filtered!$F$2:$F$461,$A24, Data_filtered!$D$2:$D$461,"mata",Data_filtered!$J$2:$J$461,"&lt;&gt;Incompleto"))
</f>
        <v>-</v>
      </c>
    </row>
    <row r="25">
      <c r="A25" s="68" t="str">
        <f>IFERROR(__xludf.DUMMYFUNCTION("""COMPUTED_VALUE"""),"Thysanoptera")</f>
        <v>Thysanoptera</v>
      </c>
      <c r="B25" s="106" t="str">
        <f>IF(SUMIFS(Data_filtered!$G$2:$G$461,Data_filtered!$A$2:$A$461,B$1,Data_filtered!$F$2:$F$461,$A25, Data_filtered!$D$2:$D$461,"eucalipto",Data_filtered!$J$2:$J$461,"&lt;&gt;Incompleto")=0, "-", SUMIFS(Data_filtered!$G$2:$G$461,Data_filtered!$A$2:$A$461,B$1,Data_filtered!$F$2:$F$461,$A25, Data_filtered!$D$2:$D$461,"eucalipto",Data_filtered!$J$2:$J$461,"&lt;&gt;Incompleto"))</f>
        <v>-</v>
      </c>
      <c r="C25" s="108" t="str">
        <f>IF(SUMIFS(Data_filtered!$G$2:$G$461,Data_filtered!$A$2:$A$461,B$1,Data_filtered!$F$2:$F$461,$A25, Data_filtered!$D$2:$D$461,"mata",Data_filtered!$J$2:$J$461,"&lt;&gt;Incompleto")=0, "-", SUMIFS(Data_filtered!$G$2:$G$461,Data_filtered!$A$2:$A$461,B$1,Data_filtered!$F$2:$F$461,$A25, Data_filtered!$D$2:$D$461,"mata",Data_filtered!$J$2:$J$461,"&lt;&gt;Incompleto"))
</f>
        <v>-</v>
      </c>
      <c r="D25" s="106" t="str">
        <f>IF(SUMIFS(Data_filtered!$G$2:$G$461,Data_filtered!$A$2:$A$461,D$1,Data_filtered!$F$2:$F$461,$A25, Data_filtered!$D$2:$D$461,"eucalipto",Data_filtered!$J$2:$J$461,"&lt;&gt;Incompleto")=0, "-", SUMIFS(Data_filtered!$G$2:$G$461,Data_filtered!$A$2:$A$461,D$1,Data_filtered!$F$2:$F$461,$A25, Data_filtered!$D$2:$D$461,"eucalipto",Data_filtered!$J$2:$J$461,"&lt;&gt;Incompleto"))</f>
        <v>-</v>
      </c>
      <c r="E25" s="108" t="str">
        <f>IF(SUMIFS(Data_filtered!$G$2:$G$461,Data_filtered!$A$2:$A$461,D$1,Data_filtered!$F$2:$F$461,$A25, Data_filtered!$D$2:$D$461,"mata",Data_filtered!$J$2:$J$461,"&lt;&gt;Incompleto")=0, "-", SUMIFS(Data_filtered!$G$2:$G$461,Data_filtered!$A$2:$A$461,D$1,Data_filtered!$F$2:$F$461,$A25, Data_filtered!$D$2:$D$461,"mata",Data_filtered!$J$2:$J$461,"&lt;&gt;Incompleto"))
</f>
        <v>-</v>
      </c>
      <c r="F25" s="106" t="str">
        <f>IF(SUMIFS(Data_filtered!$G$2:$G$461,Data_filtered!$A$2:$A$461,F$1,Data_filtered!$F$2:$F$461,$A25, Data_filtered!$D$2:$D$461,"eucalipto",Data_filtered!$J$2:$J$461,"&lt;&gt;Incompleto")=0, "-", SUMIFS(Data_filtered!$G$2:$G$461,Data_filtered!$A$2:$A$461,F$1,Data_filtered!$F$2:$F$461,$A25, Data_filtered!$D$2:$D$461,"eucalipto",Data_filtered!$J$2:$J$461,"&lt;&gt;Incompleto"))</f>
        <v>-</v>
      </c>
      <c r="G25" s="108" t="str">
        <f>IF(SUMIFS(Data_filtered!$G$2:$G$461,Data_filtered!$A$2:$A$461,F$1,Data_filtered!$F$2:$F$461,$A25, Data_filtered!$D$2:$D$461,"mata",Data_filtered!$J$2:$J$461,"&lt;&gt;Incompleto")=0, "-", SUMIFS(Data_filtered!$G$2:$G$461,Data_filtered!$A$2:$A$461,F$1,Data_filtered!$F$2:$F$461,$A25, Data_filtered!$D$2:$D$461,"mata",Data_filtered!$J$2:$J$461,"&lt;&gt;Incompleto"))
</f>
        <v>-</v>
      </c>
      <c r="H25" s="106" t="str">
        <f>IF(SUMIFS(Data_filtered!$G$2:$G$461,Data_filtered!$A$2:$A$461,H$1,Data_filtered!$F$2:$F$461,$A25, Data_filtered!$D$2:$D$461,"eucalipto",Data_filtered!$J$2:$J$461,"&lt;&gt;Incompleto")=0, "-", SUMIFS(Data_filtered!$G$2:$G$461,Data_filtered!$A$2:$A$461,H$1,Data_filtered!$F$2:$F$461,$A25, Data_filtered!$D$2:$D$461,"eucalipto",Data_filtered!$J$2:$J$461,"&lt;&gt;Incompleto"))</f>
        <v>-</v>
      </c>
      <c r="I25" s="108" t="str">
        <f>IF(SUMIFS(Data_filtered!$G$2:$G$461,Data_filtered!$A$2:$A$461,H$1,Data_filtered!$F$2:$F$461,$A25, Data_filtered!$D$2:$D$461,"mata",Data_filtered!$J$2:$J$461,"&lt;&gt;Incompleto")=0, "-", SUMIFS(Data_filtered!$G$2:$G$461,Data_filtered!$A$2:$A$461,H$1,Data_filtered!$F$2:$F$461,$A25, Data_filtered!$D$2:$D$461,"mata",Data_filtered!$J$2:$J$461,"&lt;&gt;Incompleto"))
</f>
        <v>-</v>
      </c>
      <c r="J25" s="106" t="str">
        <f>IF(SUMIFS(Data_filtered!$G$2:$G$461,Data_filtered!$A$2:$A$461,J$1,Data_filtered!$F$2:$F$461,$A25, Data_filtered!$D$2:$D$461,"eucalipto",Data_filtered!$J$2:$J$461,"&lt;&gt;Incompleto")=0, "-", SUMIFS(Data_filtered!$G$2:$G$461,Data_filtered!$A$2:$A$461,J$1,Data_filtered!$F$2:$F$461,$A25, Data_filtered!$D$2:$D$461,"eucalipto",Data_filtered!$J$2:$J$461,"&lt;&gt;Incompleto"))</f>
        <v>-</v>
      </c>
      <c r="K25" s="108" t="str">
        <f>IF(SUMIFS(Data_filtered!$G$2:$G$461,Data_filtered!$A$2:$A$461,J$1,Data_filtered!$F$2:$F$461,$A25, Data_filtered!$D$2:$D$461,"mata",Data_filtered!$J$2:$J$461,"&lt;&gt;Incompleto")=0, "-", SUMIFS(Data_filtered!$G$2:$G$461,Data_filtered!$A$2:$A$461,J$1,Data_filtered!$F$2:$F$461,$A25, Data_filtered!$D$2:$D$461,"mata",Data_filtered!$J$2:$J$461,"&lt;&gt;Incompleto"))
</f>
        <v>-</v>
      </c>
      <c r="L25" s="106" t="str">
        <f>IF(SUMIFS(Data_filtered!$G$2:$G$461,Data_filtered!$A$2:$A$461,L$1,Data_filtered!$F$2:$F$461,$A25, Data_filtered!$D$2:$D$461,"eucalipto",Data_filtered!$J$2:$J$461,"&lt;&gt;Incompleto")=0, "-", SUMIFS(Data_filtered!$G$2:$G$461,Data_filtered!$A$2:$A$461,L$1,Data_filtered!$F$2:$F$461,$A25, Data_filtered!$D$2:$D$461,"eucalipto",Data_filtered!$J$2:$J$461,"&lt;&gt;Incompleto"))</f>
        <v>-</v>
      </c>
      <c r="M25" s="108" t="str">
        <f>IF(SUMIFS(Data_filtered!$G$2:$G$461,Data_filtered!$A$2:$A$461,L$1,Data_filtered!$F$2:$F$461,$A25, Data_filtered!$D$2:$D$461,"mata",Data_filtered!$J$2:$J$461,"&lt;&gt;Incompleto")=0, "-", SUMIFS(Data_filtered!$G$2:$G$461,Data_filtered!$A$2:$A$461,L$1,Data_filtered!$F$2:$F$461,$A25, Data_filtered!$D$2:$D$461,"mata",Data_filtered!$J$2:$J$461,"&lt;&gt;Incompleto"))
</f>
        <v>-</v>
      </c>
      <c r="N25" s="106" t="str">
        <f>IF(SUMIFS(Data_filtered!$G$2:$G$461,Data_filtered!$A$2:$A$461,N$1,Data_filtered!$F$2:$F$461,$A25, Data_filtered!$D$2:$D$461,"eucalipto",Data_filtered!$J$2:$J$461,"&lt;&gt;Incompleto")=0, "-", SUMIFS(Data_filtered!$G$2:$G$461,Data_filtered!$A$2:$A$461,N$1,Data_filtered!$F$2:$F$461,$A25, Data_filtered!$D$2:$D$461,"eucalipto",Data_filtered!$J$2:$J$461,"&lt;&gt;Incompleto"))</f>
        <v>-</v>
      </c>
      <c r="O25" s="108">
        <f>IF(SUMIFS(Data_filtered!$G$2:$G$461,Data_filtered!$A$2:$A$461,N$1,Data_filtered!$F$2:$F$461,$A25, Data_filtered!$D$2:$D$461,"mata",Data_filtered!$J$2:$J$461,"&lt;&gt;Incompleto")=0, "-", SUMIFS(Data_filtered!$G$2:$G$461,Data_filtered!$A$2:$A$461,N$1,Data_filtered!$F$2:$F$461,$A25, Data_filtered!$D$2:$D$461,"mata",Data_filtered!$J$2:$J$461,"&lt;&gt;Incompleto"))
</f>
        <v>1</v>
      </c>
      <c r="P25" s="106" t="str">
        <f>IF(SUMIFS(Data_filtered!$G$2:$G$461,Data_filtered!$A$2:$A$461,P$1,Data_filtered!$F$2:$F$461,$A25, Data_filtered!$D$2:$D$461,"eucalipto",Data_filtered!$J$2:$J$461,"&lt;&gt;Incompleto")=0, "-", SUMIFS(Data_filtered!$G$2:$G$461,Data_filtered!$A$2:$A$461,P$1,Data_filtered!$F$2:$F$461,$A25, Data_filtered!$D$2:$D$461,"eucalipto",Data_filtered!$J$2:$J$461,"&lt;&gt;Incompleto"))</f>
        <v>-</v>
      </c>
      <c r="Q25" s="108" t="str">
        <f>IF(SUMIFS(Data_filtered!$G$2:$G$461,Data_filtered!$A$2:$A$461,P$1,Data_filtered!$F$2:$F$461,$A25, Data_filtered!$D$2:$D$461,"mata",Data_filtered!$J$2:$J$461,"&lt;&gt;Incompleto")=0, "-", SUMIFS(Data_filtered!$G$2:$G$461,Data_filtered!$A$2:$A$461,P$1,Data_filtered!$F$2:$F$461,$A25, Data_filtered!$D$2:$D$461,"mata",Data_filtered!$J$2:$J$461,"&lt;&gt;Incompleto"))
</f>
        <v>-</v>
      </c>
      <c r="R25" s="106" t="str">
        <f>IF(SUMIFS(Data_filtered!$G$2:$G$461,Data_filtered!$A$2:$A$461,R$1,Data_filtered!$F$2:$F$461,$A25, Data_filtered!$D$2:$D$461,"eucalipto",Data_filtered!$J$2:$J$461,"&lt;&gt;Incompleto")=0, "-", SUMIFS(Data_filtered!$G$2:$G$461,Data_filtered!$A$2:$A$461,R$1,Data_filtered!$F$2:$F$461,$A25, Data_filtered!$D$2:$D$461,"eucalipto",Data_filtered!$J$2:$J$461,"&lt;&gt;Incompleto"))</f>
        <v>-</v>
      </c>
      <c r="S25" s="108" t="str">
        <f>IF(SUMIFS(Data_filtered!$G$2:$G$461,Data_filtered!$A$2:$A$461,R$1,Data_filtered!$F$2:$F$461,$A25, Data_filtered!$D$2:$D$461,"mata",Data_filtered!$J$2:$J$461,"&lt;&gt;Incompleto")=0, "-", SUMIFS(Data_filtered!$G$2:$G$461,Data_filtered!$A$2:$A$461,R$1,Data_filtered!$F$2:$F$461,$A25, Data_filtered!$D$2:$D$461,"mata",Data_filtered!$J$2:$J$461,"&lt;&gt;Incompleto"))
</f>
        <v>-</v>
      </c>
      <c r="T25" s="106" t="str">
        <f>IF(SUMIFS(Data_filtered!$G$2:$G$461,Data_filtered!$A$2:$A$461,T$1,Data_filtered!$F$2:$F$461,$A25, Data_filtered!$D$2:$D$461,"eucalipto",Data_filtered!$J$2:$J$461,"&lt;&gt;Incompleto")=0, "-", SUMIFS(Data_filtered!$G$2:$G$461,Data_filtered!$A$2:$A$461,T$1,Data_filtered!$F$2:$F$461,$A25, Data_filtered!$D$2:$D$461,"eucalipto",Data_filtered!$J$2:$J$461,"&lt;&gt;Incompleto"))</f>
        <v>-</v>
      </c>
      <c r="U25" s="108" t="str">
        <f>IF(SUMIFS(Data_filtered!$G$2:$G$461,Data_filtered!$A$2:$A$461,T$1,Data_filtered!$F$2:$F$461,$A25, Data_filtered!$D$2:$D$461,"mata",Data_filtered!$J$2:$J$461,"&lt;&gt;Incompleto")=0, "-", SUMIFS(Data_filtered!$G$2:$G$461,Data_filtered!$A$2:$A$461,T$1,Data_filtered!$F$2:$F$461,$A25, Data_filtered!$D$2:$D$461,"mata",Data_filtered!$J$2:$J$461,"&lt;&gt;Incompleto"))
</f>
        <v>-</v>
      </c>
      <c r="V25" s="106" t="str">
        <f>IF(SUMIFS(Data_filtered!$G$2:$G$461,Data_filtered!$A$2:$A$461,V$1,Data_filtered!$F$2:$F$461,$A25, Data_filtered!$D$2:$D$461,"eucalipto",Data_filtered!$J$2:$J$461,"&lt;&gt;Incompleto")=0, "-", SUMIFS(Data_filtered!$G$2:$G$461,Data_filtered!$A$2:$A$461,V$1,Data_filtered!$F$2:$F$461,$A25, Data_filtered!$D$2:$D$461,"eucalipto",Data_filtered!$J$2:$J$461,"&lt;&gt;Incompleto"))</f>
        <v>-</v>
      </c>
      <c r="W25" s="108" t="str">
        <f>IF(SUMIFS(Data_filtered!$G$2:$G$461,Data_filtered!$A$2:$A$461,V$1,Data_filtered!$F$2:$F$461,$A25, Data_filtered!$D$2:$D$461,"mata",Data_filtered!$J$2:$J$461,"&lt;&gt;Incompleto")=0, "-", SUMIFS(Data_filtered!$G$2:$G$461,Data_filtered!$A$2:$A$461,V$1,Data_filtered!$F$2:$F$461,$A25, Data_filtered!$D$2:$D$461,"mata",Data_filtered!$J$2:$J$461,"&lt;&gt;Incompleto"))
</f>
        <v>-</v>
      </c>
      <c r="X25" s="106" t="str">
        <f>IF(SUMIFS(Data_filtered!$G$2:$G$461,Data_filtered!$A$2:$A$461,X$1,Data_filtered!$F$2:$F$461,$A25, Data_filtered!$D$2:$D$461,"eucalipto",Data_filtered!$J$2:$J$461,"&lt;&gt;Incompleto")=0, "-", SUMIFS(Data_filtered!$G$2:$G$461,Data_filtered!$A$2:$A$461,X$1,Data_filtered!$F$2:$F$461,$A25, Data_filtered!$D$2:$D$461,"eucalipto",Data_filtered!$J$2:$J$461,"&lt;&gt;Incompleto"))</f>
        <v>-</v>
      </c>
      <c r="Y25" s="108" t="str">
        <f>IF(SUMIFS(Data_filtered!$G$2:$G$461,Data_filtered!$A$2:$A$461,X$1,Data_filtered!$F$2:$F$461,$A25, Data_filtered!$D$2:$D$461,"mata",Data_filtered!$J$2:$J$461,"&lt;&gt;Incompleto")=0, "-", SUMIFS(Data_filtered!$G$2:$G$461,Data_filtered!$A$2:$A$461,X$1,Data_filtered!$F$2:$F$461,$A25, Data_filtered!$D$2:$D$461,"mata",Data_filtered!$J$2:$J$461,"&lt;&gt;Incompleto"))
</f>
        <v>-</v>
      </c>
      <c r="Z25" s="106" t="str">
        <f>IF(SUMIFS(Data_filtered!$G$2:$G$461,Data_filtered!$A$2:$A$461,Z$1,Data_filtered!$F$2:$F$461,$A25, Data_filtered!$D$2:$D$461,"eucalipto",Data_filtered!$J$2:$J$461,"&lt;&gt;Incompleto")=0, "-", SUMIFS(Data_filtered!$G$2:$G$461,Data_filtered!$A$2:$A$461,Z$1,Data_filtered!$F$2:$F$461,$A25, Data_filtered!$D$2:$D$461,"eucalipto",Data_filtered!$J$2:$J$461,"&lt;&gt;Incompleto"))</f>
        <v>-</v>
      </c>
      <c r="AA25" s="108" t="str">
        <f>IF(SUMIFS(Data_filtered!$G$2:$G$461,Data_filtered!$A$2:$A$461,Z$1,Data_filtered!$F$2:$F$461,$A25, Data_filtered!$D$2:$D$461,"mata",Data_filtered!$J$2:$J$461,"&lt;&gt;Incompleto")=0, "-", SUMIFS(Data_filtered!$G$2:$G$461,Data_filtered!$A$2:$A$461,Z$1,Data_filtered!$F$2:$F$461,$A25, Data_filtered!$D$2:$D$461,"mata",Data_filtered!$J$2:$J$461,"&lt;&gt;Incompleto"))
</f>
        <v>-</v>
      </c>
      <c r="AB25" s="106" t="str">
        <f>IF(SUMIFS(Data_filtered!$G$2:$G$461,Data_filtered!$A$2:$A$461,AB$1,Data_filtered!$F$2:$F$461,$A25, Data_filtered!$D$2:$D$461,"eucalipto",Data_filtered!$J$2:$J$461,"&lt;&gt;Incompleto")=0, "-", SUMIFS(Data_filtered!$G$2:$G$461,Data_filtered!$A$2:$A$461,AB$1,Data_filtered!$F$2:$F$461,$A25, Data_filtered!$D$2:$D$461,"eucalipto",Data_filtered!$J$2:$J$461,"&lt;&gt;Incompleto"))</f>
        <v>-</v>
      </c>
      <c r="AC25" s="108" t="str">
        <f>IF(SUMIFS(Data_filtered!$G$2:$G$461,Data_filtered!$A$2:$A$461,AB$1,Data_filtered!$F$2:$F$461,$A25, Data_filtered!$D$2:$D$461,"mata",Data_filtered!$J$2:$J$461,"&lt;&gt;Incompleto")=0, "-", SUMIFS(Data_filtered!$G$2:$G$461,Data_filtered!$A$2:$A$461,AB$1,Data_filtered!$F$2:$F$461,$A25, Data_filtered!$D$2:$D$461,"mata",Data_filtered!$J$2:$J$461,"&lt;&gt;Incompleto"))
</f>
        <v>-</v>
      </c>
      <c r="AD25" s="106" t="str">
        <f>IF(SUMIFS(Data_filtered!$G$2:$G$461,Data_filtered!$A$2:$A$461,AD$1,Data_filtered!$F$2:$F$461,$A25, Data_filtered!$D$2:$D$461,"eucalipto",Data_filtered!$J$2:$J$461,"&lt;&gt;Incompleto")=0, "-", SUMIFS(Data_filtered!$G$2:$G$461,Data_filtered!$A$2:$A$461,AD$1,Data_filtered!$F$2:$F$461,$A25, Data_filtered!$D$2:$D$461,"eucalipto",Data_filtered!$J$2:$J$461,"&lt;&gt;Incompleto"))</f>
        <v>-</v>
      </c>
      <c r="AE25" s="108" t="str">
        <f>IF(SUMIFS(Data_filtered!$G$2:$G$461,Data_filtered!$A$2:$A$461,AD$1,Data_filtered!$F$2:$F$461,$A25, Data_filtered!$D$2:$D$461,"mata",Data_filtered!$J$2:$J$461,"&lt;&gt;Incompleto")=0, "-", SUMIFS(Data_filtered!$G$2:$G$461,Data_filtered!$A$2:$A$461,AD$1,Data_filtered!$F$2:$F$461,$A25, Data_filtered!$D$2:$D$461,"mata",Data_filtered!$J$2:$J$461,"&lt;&gt;Incompleto"))
</f>
        <v>-</v>
      </c>
      <c r="AF25" s="106" t="str">
        <f>IF(SUMIFS(Data_filtered!$G$2:$G$461,Data_filtered!$A$2:$A$461,AF$1,Data_filtered!$F$2:$F$461,$A25, Data_filtered!$D$2:$D$461,"eucalipto",Data_filtered!$J$2:$J$461,"&lt;&gt;Incompleto")=0, "-", SUMIFS(Data_filtered!$G$2:$G$461,Data_filtered!$A$2:$A$461,AF$1,Data_filtered!$F$2:$F$461,$A25, Data_filtered!$D$2:$D$461,"eucalipto",Data_filtered!$J$2:$J$461,"&lt;&gt;Incompleto"))</f>
        <v>-</v>
      </c>
      <c r="AG25" s="108" t="str">
        <f>IF(SUMIFS(Data_filtered!$G$2:$G$461,Data_filtered!$A$2:$A$461,AF$1,Data_filtered!$F$2:$F$461,$A25, Data_filtered!$D$2:$D$461,"mata",Data_filtered!$J$2:$J$461,"&lt;&gt;Incompleto")=0, "-", SUMIFS(Data_filtered!$G$2:$G$461,Data_filtered!$A$2:$A$461,AF$1,Data_filtered!$F$2:$F$461,$A25, Data_filtered!$D$2:$D$461,"mata",Data_filtered!$J$2:$J$461,"&lt;&gt;Incompleto"))
</f>
        <v>-</v>
      </c>
      <c r="AH25" s="106" t="str">
        <f>IF(SUMIFS(Data_filtered!$G$2:$G$461,Data_filtered!$A$2:$A$461,AH$1,Data_filtered!$F$2:$F$461,$A25, Data_filtered!$D$2:$D$461,"eucalipto",Data_filtered!$J$2:$J$461,"&lt;&gt;Incompleto")=0, "-", SUMIFS(Data_filtered!$G$2:$G$461,Data_filtered!$A$2:$A$461,AH$1,Data_filtered!$F$2:$F$461,$A25, Data_filtered!$D$2:$D$461,"eucalipto",Data_filtered!$J$2:$J$461,"&lt;&gt;Incompleto"))</f>
        <v>-</v>
      </c>
      <c r="AI25" s="108" t="str">
        <f>IF(SUMIFS(Data_filtered!$G$2:$G$461,Data_filtered!$A$2:$A$461,AH$1,Data_filtered!$F$2:$F$461,$A25, Data_filtered!$D$2:$D$461,"mata",Data_filtered!$J$2:$J$461,"&lt;&gt;Incompleto")=0, "-", SUMIFS(Data_filtered!$G$2:$G$461,Data_filtered!$A$2:$A$461,AH$1,Data_filtered!$F$2:$F$461,$A25, Data_filtered!$D$2:$D$461,"mata",Data_filtered!$J$2:$J$461,"&lt;&gt;Incompleto"))
</f>
        <v>-</v>
      </c>
      <c r="AJ25" s="106" t="str">
        <f>IF(SUMIFS(Data_filtered!$G$2:$G$461,Data_filtered!$A$2:$A$461,AJ$1,Data_filtered!$F$2:$F$461,$A25, Data_filtered!$D$2:$D$461,"eucalipto",Data_filtered!$J$2:$J$461,"&lt;&gt;Incompleto")=0, "-", SUMIFS(Data_filtered!$G$2:$G$461,Data_filtered!$A$2:$A$461,AJ$1,Data_filtered!$F$2:$F$461,$A25, Data_filtered!$D$2:$D$461,"eucalipto",Data_filtered!$J$2:$J$461,"&lt;&gt;Incompleto"))</f>
        <v>-</v>
      </c>
      <c r="AK25" s="108" t="str">
        <f>IF(SUMIFS(Data_filtered!$G$2:$G$461,Data_filtered!$A$2:$A$461,AJ$1,Data_filtered!$F$2:$F$461,$A25, Data_filtered!$D$2:$D$461,"mata",Data_filtered!$J$2:$J$461,"&lt;&gt;Incompleto")=0, "-", SUMIFS(Data_filtered!$G$2:$G$461,Data_filtered!$A$2:$A$461,AJ$1,Data_filtered!$F$2:$F$461,$A25, Data_filtered!$D$2:$D$461,"mata",Data_filtered!$J$2:$J$461,"&lt;&gt;Incompleto"))
</f>
        <v>-</v>
      </c>
      <c r="AL25" s="106" t="str">
        <f>IF(SUMIFS(Data_filtered!$G$2:$G$461,Data_filtered!$A$2:$A$461,AL$1,Data_filtered!$F$2:$F$461,$A25, Data_filtered!$D$2:$D$461,"eucalipto",Data_filtered!$J$2:$J$461,"&lt;&gt;Incompleto")=0, "-", SUMIFS(Data_filtered!$G$2:$G$461,Data_filtered!$A$2:$A$461,AL$1,Data_filtered!$F$2:$F$461,$A25, Data_filtered!$D$2:$D$461,"eucalipto",Data_filtered!$J$2:$J$461,"&lt;&gt;Incompleto"))</f>
        <v>-</v>
      </c>
      <c r="AM25" s="108" t="str">
        <f>IF(SUMIFS(Data_filtered!$G$2:$G$461,Data_filtered!$A$2:$A$461,AL$1,Data_filtered!$F$2:$F$461,$A25, Data_filtered!$D$2:$D$461,"mata",Data_filtered!$J$2:$J$461,"&lt;&gt;Incompleto")=0, "-", SUMIFS(Data_filtered!$G$2:$G$461,Data_filtered!$A$2:$A$461,AL$1,Data_filtered!$F$2:$F$461,$A25, Data_filtered!$D$2:$D$461,"mata",Data_filtered!$J$2:$J$461,"&lt;&gt;Incompleto"))
</f>
        <v>-</v>
      </c>
      <c r="AN25" s="106" t="str">
        <f>IF(SUMIFS(Data_filtered!$G$2:$G$461,Data_filtered!$A$2:$A$461,AN$1,Data_filtered!$F$2:$F$461,$A25, Data_filtered!$D$2:$D$461,"eucalipto",Data_filtered!$J$2:$J$461,"&lt;&gt;Incompleto")=0, "-", SUMIFS(Data_filtered!$G$2:$G$461,Data_filtered!$A$2:$A$461,AN$1,Data_filtered!$F$2:$F$461,$A25, Data_filtered!$D$2:$D$461,"eucalipto",Data_filtered!$J$2:$J$461,"&lt;&gt;Incompleto"))</f>
        <v>-</v>
      </c>
      <c r="AO25" s="108" t="str">
        <f>IF(SUMIFS(Data_filtered!$G$2:$G$461,Data_filtered!$A$2:$A$461,AN$1,Data_filtered!$F$2:$F$461,$A25, Data_filtered!$D$2:$D$461,"mata",Data_filtered!$J$2:$J$461,"&lt;&gt;Incompleto")=0, "-", SUMIFS(Data_filtered!$G$2:$G$461,Data_filtered!$A$2:$A$461,AN$1,Data_filtered!$F$2:$F$461,$A25, Data_filtered!$D$2:$D$461,"mata",Data_filtered!$J$2:$J$461,"&lt;&gt;Incompleto"))
</f>
        <v>-</v>
      </c>
      <c r="AP25" s="106" t="str">
        <f>IF(SUMIFS(Data_filtered!$G$2:$G$461,Data_filtered!$A$2:$A$461,AP$1,Data_filtered!$F$2:$F$461,$A25, Data_filtered!$D$2:$D$461,"eucalipto",Data_filtered!$J$2:$J$461,"&lt;&gt;Incompleto")=0, "-", SUMIFS(Data_filtered!$G$2:$G$461,Data_filtered!$A$2:$A$461,AP$1,Data_filtered!$F$2:$F$461,$A25, Data_filtered!$D$2:$D$461,"eucalipto",Data_filtered!$J$2:$J$461,"&lt;&gt;Incompleto"))</f>
        <v>-</v>
      </c>
      <c r="AQ25" s="108" t="str">
        <f>IF(SUMIFS(Data_filtered!$G$2:$G$461,Data_filtered!$A$2:$A$461,AP$1,Data_filtered!$F$2:$F$461,$A25, Data_filtered!$D$2:$D$461,"mata",Data_filtered!$J$2:$J$461,"&lt;&gt;Incompleto")=0, "-", SUMIFS(Data_filtered!$G$2:$G$461,Data_filtered!$A$2:$A$461,AP$1,Data_filtered!$F$2:$F$461,$A25, Data_filtered!$D$2:$D$461,"mata",Data_filtered!$J$2:$J$461,"&lt;&gt;Incompleto"))
</f>
        <v>-</v>
      </c>
      <c r="AR25" s="106" t="str">
        <f>IF(SUMIFS(Data_filtered!$G$2:$G$461,Data_filtered!$A$2:$A$461,AR$1,Data_filtered!$F$2:$F$461,$A25, Data_filtered!$D$2:$D$461,"eucalipto",Data_filtered!$J$2:$J$461,"&lt;&gt;Incompleto")=0, "-", SUMIFS(Data_filtered!$G$2:$G$461,Data_filtered!$A$2:$A$461,AR$1,Data_filtered!$F$2:$F$461,$A25, Data_filtered!$D$2:$D$461,"eucalipto",Data_filtered!$J$2:$J$461,"&lt;&gt;Incompleto"))</f>
        <v>-</v>
      </c>
      <c r="AS25" s="108" t="str">
        <f>IF(SUMIFS(Data_filtered!$G$2:$G$461,Data_filtered!$A$2:$A$461,AR$1,Data_filtered!$F$2:$F$461,$A25, Data_filtered!$D$2:$D$461,"mata",Data_filtered!$J$2:$J$461,"&lt;&gt;Incompleto")=0, "-", SUMIFS(Data_filtered!$G$2:$G$461,Data_filtered!$A$2:$A$461,AR$1,Data_filtered!$F$2:$F$461,$A25, Data_filtered!$D$2:$D$461,"mata",Data_filtered!$J$2:$J$461,"&lt;&gt;Incompleto"))
</f>
        <v>-</v>
      </c>
    </row>
    <row r="26">
      <c r="A26" s="68" t="str">
        <f>IFERROR(__xludf.DUMMYFUNCTION("""COMPUTED_VALUE"""),"Vespa")</f>
        <v>Vespa</v>
      </c>
      <c r="B26" s="106" t="str">
        <f>IF(SUMIFS(Data_filtered!$G$2:$G$461,Data_filtered!$A$2:$A$461,B$1,Data_filtered!$F$2:$F$461,$A26, Data_filtered!$D$2:$D$461,"eucalipto",Data_filtered!$J$2:$J$461,"&lt;&gt;Incompleto")=0, "-", SUMIFS(Data_filtered!$G$2:$G$461,Data_filtered!$A$2:$A$461,B$1,Data_filtered!$F$2:$F$461,$A26, Data_filtered!$D$2:$D$461,"eucalipto",Data_filtered!$J$2:$J$461,"&lt;&gt;Incompleto"))</f>
        <v>-</v>
      </c>
      <c r="C26" s="108" t="str">
        <f>IF(SUMIFS(Data_filtered!$G$2:$G$461,Data_filtered!$A$2:$A$461,B$1,Data_filtered!$F$2:$F$461,$A26, Data_filtered!$D$2:$D$461,"mata",Data_filtered!$J$2:$J$461,"&lt;&gt;Incompleto")=0, "-", SUMIFS(Data_filtered!$G$2:$G$461,Data_filtered!$A$2:$A$461,B$1,Data_filtered!$F$2:$F$461,$A26, Data_filtered!$D$2:$D$461,"mata",Data_filtered!$J$2:$J$461,"&lt;&gt;Incompleto"))
</f>
        <v>-</v>
      </c>
      <c r="D26" s="106" t="str">
        <f>IF(SUMIFS(Data_filtered!$G$2:$G$461,Data_filtered!$A$2:$A$461,D$1,Data_filtered!$F$2:$F$461,$A26, Data_filtered!$D$2:$D$461,"eucalipto",Data_filtered!$J$2:$J$461,"&lt;&gt;Incompleto")=0, "-", SUMIFS(Data_filtered!$G$2:$G$461,Data_filtered!$A$2:$A$461,D$1,Data_filtered!$F$2:$F$461,$A26, Data_filtered!$D$2:$D$461,"eucalipto",Data_filtered!$J$2:$J$461,"&lt;&gt;Incompleto"))</f>
        <v>-</v>
      </c>
      <c r="E26" s="108" t="str">
        <f>IF(SUMIFS(Data_filtered!$G$2:$G$461,Data_filtered!$A$2:$A$461,D$1,Data_filtered!$F$2:$F$461,$A26, Data_filtered!$D$2:$D$461,"mata",Data_filtered!$J$2:$J$461,"&lt;&gt;Incompleto")=0, "-", SUMIFS(Data_filtered!$G$2:$G$461,Data_filtered!$A$2:$A$461,D$1,Data_filtered!$F$2:$F$461,$A26, Data_filtered!$D$2:$D$461,"mata",Data_filtered!$J$2:$J$461,"&lt;&gt;Incompleto"))
</f>
        <v>-</v>
      </c>
      <c r="F26" s="106" t="str">
        <f>IF(SUMIFS(Data_filtered!$G$2:$G$461,Data_filtered!$A$2:$A$461,F$1,Data_filtered!$F$2:$F$461,$A26, Data_filtered!$D$2:$D$461,"eucalipto",Data_filtered!$J$2:$J$461,"&lt;&gt;Incompleto")=0, "-", SUMIFS(Data_filtered!$G$2:$G$461,Data_filtered!$A$2:$A$461,F$1,Data_filtered!$F$2:$F$461,$A26, Data_filtered!$D$2:$D$461,"eucalipto",Data_filtered!$J$2:$J$461,"&lt;&gt;Incompleto"))</f>
        <v>-</v>
      </c>
      <c r="G26" s="108" t="str">
        <f>IF(SUMIFS(Data_filtered!$G$2:$G$461,Data_filtered!$A$2:$A$461,F$1,Data_filtered!$F$2:$F$461,$A26, Data_filtered!$D$2:$D$461,"mata",Data_filtered!$J$2:$J$461,"&lt;&gt;Incompleto")=0, "-", SUMIFS(Data_filtered!$G$2:$G$461,Data_filtered!$A$2:$A$461,F$1,Data_filtered!$F$2:$F$461,$A26, Data_filtered!$D$2:$D$461,"mata",Data_filtered!$J$2:$J$461,"&lt;&gt;Incompleto"))
</f>
        <v>-</v>
      </c>
      <c r="H26" s="106" t="str">
        <f>IF(SUMIFS(Data_filtered!$G$2:$G$461,Data_filtered!$A$2:$A$461,H$1,Data_filtered!$F$2:$F$461,$A26, Data_filtered!$D$2:$D$461,"eucalipto",Data_filtered!$J$2:$J$461,"&lt;&gt;Incompleto")=0, "-", SUMIFS(Data_filtered!$G$2:$G$461,Data_filtered!$A$2:$A$461,H$1,Data_filtered!$F$2:$F$461,$A26, Data_filtered!$D$2:$D$461,"eucalipto",Data_filtered!$J$2:$J$461,"&lt;&gt;Incompleto"))</f>
        <v>-</v>
      </c>
      <c r="I26" s="108" t="str">
        <f>IF(SUMIFS(Data_filtered!$G$2:$G$461,Data_filtered!$A$2:$A$461,H$1,Data_filtered!$F$2:$F$461,$A26, Data_filtered!$D$2:$D$461,"mata",Data_filtered!$J$2:$J$461,"&lt;&gt;Incompleto")=0, "-", SUMIFS(Data_filtered!$G$2:$G$461,Data_filtered!$A$2:$A$461,H$1,Data_filtered!$F$2:$F$461,$A26, Data_filtered!$D$2:$D$461,"mata",Data_filtered!$J$2:$J$461,"&lt;&gt;Incompleto"))
</f>
        <v>-</v>
      </c>
      <c r="J26" s="106" t="str">
        <f>IF(SUMIFS(Data_filtered!$G$2:$G$461,Data_filtered!$A$2:$A$461,J$1,Data_filtered!$F$2:$F$461,$A26, Data_filtered!$D$2:$D$461,"eucalipto",Data_filtered!$J$2:$J$461,"&lt;&gt;Incompleto")=0, "-", SUMIFS(Data_filtered!$G$2:$G$461,Data_filtered!$A$2:$A$461,J$1,Data_filtered!$F$2:$F$461,$A26, Data_filtered!$D$2:$D$461,"eucalipto",Data_filtered!$J$2:$J$461,"&lt;&gt;Incompleto"))</f>
        <v>-</v>
      </c>
      <c r="K26" s="108" t="str">
        <f>IF(SUMIFS(Data_filtered!$G$2:$G$461,Data_filtered!$A$2:$A$461,J$1,Data_filtered!$F$2:$F$461,$A26, Data_filtered!$D$2:$D$461,"mata",Data_filtered!$J$2:$J$461,"&lt;&gt;Incompleto")=0, "-", SUMIFS(Data_filtered!$G$2:$G$461,Data_filtered!$A$2:$A$461,J$1,Data_filtered!$F$2:$F$461,$A26, Data_filtered!$D$2:$D$461,"mata",Data_filtered!$J$2:$J$461,"&lt;&gt;Incompleto"))
</f>
        <v>-</v>
      </c>
      <c r="L26" s="106" t="str">
        <f>IF(SUMIFS(Data_filtered!$G$2:$G$461,Data_filtered!$A$2:$A$461,L$1,Data_filtered!$F$2:$F$461,$A26, Data_filtered!$D$2:$D$461,"eucalipto",Data_filtered!$J$2:$J$461,"&lt;&gt;Incompleto")=0, "-", SUMIFS(Data_filtered!$G$2:$G$461,Data_filtered!$A$2:$A$461,L$1,Data_filtered!$F$2:$F$461,$A26, Data_filtered!$D$2:$D$461,"eucalipto",Data_filtered!$J$2:$J$461,"&lt;&gt;Incompleto"))</f>
        <v>-</v>
      </c>
      <c r="M26" s="108" t="str">
        <f>IF(SUMIFS(Data_filtered!$G$2:$G$461,Data_filtered!$A$2:$A$461,L$1,Data_filtered!$F$2:$F$461,$A26, Data_filtered!$D$2:$D$461,"mata",Data_filtered!$J$2:$J$461,"&lt;&gt;Incompleto")=0, "-", SUMIFS(Data_filtered!$G$2:$G$461,Data_filtered!$A$2:$A$461,L$1,Data_filtered!$F$2:$F$461,$A26, Data_filtered!$D$2:$D$461,"mata",Data_filtered!$J$2:$J$461,"&lt;&gt;Incompleto"))
</f>
        <v>-</v>
      </c>
      <c r="N26" s="106" t="str">
        <f>IF(SUMIFS(Data_filtered!$G$2:$G$461,Data_filtered!$A$2:$A$461,N$1,Data_filtered!$F$2:$F$461,$A26, Data_filtered!$D$2:$D$461,"eucalipto",Data_filtered!$J$2:$J$461,"&lt;&gt;Incompleto")=0, "-", SUMIFS(Data_filtered!$G$2:$G$461,Data_filtered!$A$2:$A$461,N$1,Data_filtered!$F$2:$F$461,$A26, Data_filtered!$D$2:$D$461,"eucalipto",Data_filtered!$J$2:$J$461,"&lt;&gt;Incompleto"))</f>
        <v>-</v>
      </c>
      <c r="O26" s="108" t="str">
        <f>IF(SUMIFS(Data_filtered!$G$2:$G$461,Data_filtered!$A$2:$A$461,N$1,Data_filtered!$F$2:$F$461,$A26, Data_filtered!$D$2:$D$461,"mata",Data_filtered!$J$2:$J$461,"&lt;&gt;Incompleto")=0, "-", SUMIFS(Data_filtered!$G$2:$G$461,Data_filtered!$A$2:$A$461,N$1,Data_filtered!$F$2:$F$461,$A26, Data_filtered!$D$2:$D$461,"mata",Data_filtered!$J$2:$J$461,"&lt;&gt;Incompleto"))
</f>
        <v>-</v>
      </c>
      <c r="P26" s="106" t="str">
        <f>IF(SUMIFS(Data_filtered!$G$2:$G$461,Data_filtered!$A$2:$A$461,P$1,Data_filtered!$F$2:$F$461,$A26, Data_filtered!$D$2:$D$461,"eucalipto",Data_filtered!$J$2:$J$461,"&lt;&gt;Incompleto")=0, "-", SUMIFS(Data_filtered!$G$2:$G$461,Data_filtered!$A$2:$A$461,P$1,Data_filtered!$F$2:$F$461,$A26, Data_filtered!$D$2:$D$461,"eucalipto",Data_filtered!$J$2:$J$461,"&lt;&gt;Incompleto"))</f>
        <v>-</v>
      </c>
      <c r="Q26" s="108">
        <f>IF(SUMIFS(Data_filtered!$G$2:$G$461,Data_filtered!$A$2:$A$461,P$1,Data_filtered!$F$2:$F$461,$A26, Data_filtered!$D$2:$D$461,"mata",Data_filtered!$J$2:$J$461,"&lt;&gt;Incompleto")=0, "-", SUMIFS(Data_filtered!$G$2:$G$461,Data_filtered!$A$2:$A$461,P$1,Data_filtered!$F$2:$F$461,$A26, Data_filtered!$D$2:$D$461,"mata",Data_filtered!$J$2:$J$461,"&lt;&gt;Incompleto"))
</f>
        <v>1</v>
      </c>
      <c r="R26" s="106" t="str">
        <f>IF(SUMIFS(Data_filtered!$G$2:$G$461,Data_filtered!$A$2:$A$461,R$1,Data_filtered!$F$2:$F$461,$A26, Data_filtered!$D$2:$D$461,"eucalipto",Data_filtered!$J$2:$J$461,"&lt;&gt;Incompleto")=0, "-", SUMIFS(Data_filtered!$G$2:$G$461,Data_filtered!$A$2:$A$461,R$1,Data_filtered!$F$2:$F$461,$A26, Data_filtered!$D$2:$D$461,"eucalipto",Data_filtered!$J$2:$J$461,"&lt;&gt;Incompleto"))</f>
        <v>-</v>
      </c>
      <c r="S26" s="108" t="str">
        <f>IF(SUMIFS(Data_filtered!$G$2:$G$461,Data_filtered!$A$2:$A$461,R$1,Data_filtered!$F$2:$F$461,$A26, Data_filtered!$D$2:$D$461,"mata",Data_filtered!$J$2:$J$461,"&lt;&gt;Incompleto")=0, "-", SUMIFS(Data_filtered!$G$2:$G$461,Data_filtered!$A$2:$A$461,R$1,Data_filtered!$F$2:$F$461,$A26, Data_filtered!$D$2:$D$461,"mata",Data_filtered!$J$2:$J$461,"&lt;&gt;Incompleto"))
</f>
        <v>-</v>
      </c>
      <c r="T26" s="106" t="str">
        <f>IF(SUMIFS(Data_filtered!$G$2:$G$461,Data_filtered!$A$2:$A$461,T$1,Data_filtered!$F$2:$F$461,$A26, Data_filtered!$D$2:$D$461,"eucalipto",Data_filtered!$J$2:$J$461,"&lt;&gt;Incompleto")=0, "-", SUMIFS(Data_filtered!$G$2:$G$461,Data_filtered!$A$2:$A$461,T$1,Data_filtered!$F$2:$F$461,$A26, Data_filtered!$D$2:$D$461,"eucalipto",Data_filtered!$J$2:$J$461,"&lt;&gt;Incompleto"))</f>
        <v>-</v>
      </c>
      <c r="U26" s="108">
        <f>IF(SUMIFS(Data_filtered!$G$2:$G$461,Data_filtered!$A$2:$A$461,T$1,Data_filtered!$F$2:$F$461,$A26, Data_filtered!$D$2:$D$461,"mata",Data_filtered!$J$2:$J$461,"&lt;&gt;Incompleto")=0, "-", SUMIFS(Data_filtered!$G$2:$G$461,Data_filtered!$A$2:$A$461,T$1,Data_filtered!$F$2:$F$461,$A26, Data_filtered!$D$2:$D$461,"mata",Data_filtered!$J$2:$J$461,"&lt;&gt;Incompleto"))
</f>
        <v>1</v>
      </c>
      <c r="V26" s="106">
        <f>IF(SUMIFS(Data_filtered!$G$2:$G$461,Data_filtered!$A$2:$A$461,V$1,Data_filtered!$F$2:$F$461,$A26, Data_filtered!$D$2:$D$461,"eucalipto",Data_filtered!$J$2:$J$461,"&lt;&gt;Incompleto")=0, "-", SUMIFS(Data_filtered!$G$2:$G$461,Data_filtered!$A$2:$A$461,V$1,Data_filtered!$F$2:$F$461,$A26, Data_filtered!$D$2:$D$461,"eucalipto",Data_filtered!$J$2:$J$461,"&lt;&gt;Incompleto"))</f>
        <v>1</v>
      </c>
      <c r="W26" s="108" t="str">
        <f>IF(SUMIFS(Data_filtered!$G$2:$G$461,Data_filtered!$A$2:$A$461,V$1,Data_filtered!$F$2:$F$461,$A26, Data_filtered!$D$2:$D$461,"mata",Data_filtered!$J$2:$J$461,"&lt;&gt;Incompleto")=0, "-", SUMIFS(Data_filtered!$G$2:$G$461,Data_filtered!$A$2:$A$461,V$1,Data_filtered!$F$2:$F$461,$A26, Data_filtered!$D$2:$D$461,"mata",Data_filtered!$J$2:$J$461,"&lt;&gt;Incompleto"))
</f>
        <v>-</v>
      </c>
      <c r="X26" s="106" t="str">
        <f>IF(SUMIFS(Data_filtered!$G$2:$G$461,Data_filtered!$A$2:$A$461,X$1,Data_filtered!$F$2:$F$461,$A26, Data_filtered!$D$2:$D$461,"eucalipto",Data_filtered!$J$2:$J$461,"&lt;&gt;Incompleto")=0, "-", SUMIFS(Data_filtered!$G$2:$G$461,Data_filtered!$A$2:$A$461,X$1,Data_filtered!$F$2:$F$461,$A26, Data_filtered!$D$2:$D$461,"eucalipto",Data_filtered!$J$2:$J$461,"&lt;&gt;Incompleto"))</f>
        <v>-</v>
      </c>
      <c r="Y26" s="108" t="str">
        <f>IF(SUMIFS(Data_filtered!$G$2:$G$461,Data_filtered!$A$2:$A$461,X$1,Data_filtered!$F$2:$F$461,$A26, Data_filtered!$D$2:$D$461,"mata",Data_filtered!$J$2:$J$461,"&lt;&gt;Incompleto")=0, "-", SUMIFS(Data_filtered!$G$2:$G$461,Data_filtered!$A$2:$A$461,X$1,Data_filtered!$F$2:$F$461,$A26, Data_filtered!$D$2:$D$461,"mata",Data_filtered!$J$2:$J$461,"&lt;&gt;Incompleto"))
</f>
        <v>-</v>
      </c>
      <c r="Z26" s="106" t="str">
        <f>IF(SUMIFS(Data_filtered!$G$2:$G$461,Data_filtered!$A$2:$A$461,Z$1,Data_filtered!$F$2:$F$461,$A26, Data_filtered!$D$2:$D$461,"eucalipto",Data_filtered!$J$2:$J$461,"&lt;&gt;Incompleto")=0, "-", SUMIFS(Data_filtered!$G$2:$G$461,Data_filtered!$A$2:$A$461,Z$1,Data_filtered!$F$2:$F$461,$A26, Data_filtered!$D$2:$D$461,"eucalipto",Data_filtered!$J$2:$J$461,"&lt;&gt;Incompleto"))</f>
        <v>-</v>
      </c>
      <c r="AA26" s="108" t="str">
        <f>IF(SUMIFS(Data_filtered!$G$2:$G$461,Data_filtered!$A$2:$A$461,Z$1,Data_filtered!$F$2:$F$461,$A26, Data_filtered!$D$2:$D$461,"mata",Data_filtered!$J$2:$J$461,"&lt;&gt;Incompleto")=0, "-", SUMIFS(Data_filtered!$G$2:$G$461,Data_filtered!$A$2:$A$461,Z$1,Data_filtered!$F$2:$F$461,$A26, Data_filtered!$D$2:$D$461,"mata",Data_filtered!$J$2:$J$461,"&lt;&gt;Incompleto"))
</f>
        <v>-</v>
      </c>
      <c r="AB26" s="106" t="str">
        <f>IF(SUMIFS(Data_filtered!$G$2:$G$461,Data_filtered!$A$2:$A$461,AB$1,Data_filtered!$F$2:$F$461,$A26, Data_filtered!$D$2:$D$461,"eucalipto",Data_filtered!$J$2:$J$461,"&lt;&gt;Incompleto")=0, "-", SUMIFS(Data_filtered!$G$2:$G$461,Data_filtered!$A$2:$A$461,AB$1,Data_filtered!$F$2:$F$461,$A26, Data_filtered!$D$2:$D$461,"eucalipto",Data_filtered!$J$2:$J$461,"&lt;&gt;Incompleto"))</f>
        <v>-</v>
      </c>
      <c r="AC26" s="108" t="str">
        <f>IF(SUMIFS(Data_filtered!$G$2:$G$461,Data_filtered!$A$2:$A$461,AB$1,Data_filtered!$F$2:$F$461,$A26, Data_filtered!$D$2:$D$461,"mata",Data_filtered!$J$2:$J$461,"&lt;&gt;Incompleto")=0, "-", SUMIFS(Data_filtered!$G$2:$G$461,Data_filtered!$A$2:$A$461,AB$1,Data_filtered!$F$2:$F$461,$A26, Data_filtered!$D$2:$D$461,"mata",Data_filtered!$J$2:$J$461,"&lt;&gt;Incompleto"))
</f>
        <v>-</v>
      </c>
      <c r="AD26" s="106" t="str">
        <f>IF(SUMIFS(Data_filtered!$G$2:$G$461,Data_filtered!$A$2:$A$461,AD$1,Data_filtered!$F$2:$F$461,$A26, Data_filtered!$D$2:$D$461,"eucalipto",Data_filtered!$J$2:$J$461,"&lt;&gt;Incompleto")=0, "-", SUMIFS(Data_filtered!$G$2:$G$461,Data_filtered!$A$2:$A$461,AD$1,Data_filtered!$F$2:$F$461,$A26, Data_filtered!$D$2:$D$461,"eucalipto",Data_filtered!$J$2:$J$461,"&lt;&gt;Incompleto"))</f>
        <v>-</v>
      </c>
      <c r="AE26" s="108" t="str">
        <f>IF(SUMIFS(Data_filtered!$G$2:$G$461,Data_filtered!$A$2:$A$461,AD$1,Data_filtered!$F$2:$F$461,$A26, Data_filtered!$D$2:$D$461,"mata",Data_filtered!$J$2:$J$461,"&lt;&gt;Incompleto")=0, "-", SUMIFS(Data_filtered!$G$2:$G$461,Data_filtered!$A$2:$A$461,AD$1,Data_filtered!$F$2:$F$461,$A26, Data_filtered!$D$2:$D$461,"mata",Data_filtered!$J$2:$J$461,"&lt;&gt;Incompleto"))
</f>
        <v>-</v>
      </c>
      <c r="AF26" s="106" t="str">
        <f>IF(SUMIFS(Data_filtered!$G$2:$G$461,Data_filtered!$A$2:$A$461,AF$1,Data_filtered!$F$2:$F$461,$A26, Data_filtered!$D$2:$D$461,"eucalipto",Data_filtered!$J$2:$J$461,"&lt;&gt;Incompleto")=0, "-", SUMIFS(Data_filtered!$G$2:$G$461,Data_filtered!$A$2:$A$461,AF$1,Data_filtered!$F$2:$F$461,$A26, Data_filtered!$D$2:$D$461,"eucalipto",Data_filtered!$J$2:$J$461,"&lt;&gt;Incompleto"))</f>
        <v>-</v>
      </c>
      <c r="AG26" s="108" t="str">
        <f>IF(SUMIFS(Data_filtered!$G$2:$G$461,Data_filtered!$A$2:$A$461,AF$1,Data_filtered!$F$2:$F$461,$A26, Data_filtered!$D$2:$D$461,"mata",Data_filtered!$J$2:$J$461,"&lt;&gt;Incompleto")=0, "-", SUMIFS(Data_filtered!$G$2:$G$461,Data_filtered!$A$2:$A$461,AF$1,Data_filtered!$F$2:$F$461,$A26, Data_filtered!$D$2:$D$461,"mata",Data_filtered!$J$2:$J$461,"&lt;&gt;Incompleto"))
</f>
        <v>-</v>
      </c>
      <c r="AH26" s="106" t="str">
        <f>IF(SUMIFS(Data_filtered!$G$2:$G$461,Data_filtered!$A$2:$A$461,AH$1,Data_filtered!$F$2:$F$461,$A26, Data_filtered!$D$2:$D$461,"eucalipto",Data_filtered!$J$2:$J$461,"&lt;&gt;Incompleto")=0, "-", SUMIFS(Data_filtered!$G$2:$G$461,Data_filtered!$A$2:$A$461,AH$1,Data_filtered!$F$2:$F$461,$A26, Data_filtered!$D$2:$D$461,"eucalipto",Data_filtered!$J$2:$J$461,"&lt;&gt;Incompleto"))</f>
        <v>-</v>
      </c>
      <c r="AI26" s="108" t="str">
        <f>IF(SUMIFS(Data_filtered!$G$2:$G$461,Data_filtered!$A$2:$A$461,AH$1,Data_filtered!$F$2:$F$461,$A26, Data_filtered!$D$2:$D$461,"mata",Data_filtered!$J$2:$J$461,"&lt;&gt;Incompleto")=0, "-", SUMIFS(Data_filtered!$G$2:$G$461,Data_filtered!$A$2:$A$461,AH$1,Data_filtered!$F$2:$F$461,$A26, Data_filtered!$D$2:$D$461,"mata",Data_filtered!$J$2:$J$461,"&lt;&gt;Incompleto"))
</f>
        <v>-</v>
      </c>
      <c r="AJ26" s="106" t="str">
        <f>IF(SUMIFS(Data_filtered!$G$2:$G$461,Data_filtered!$A$2:$A$461,AJ$1,Data_filtered!$F$2:$F$461,$A26, Data_filtered!$D$2:$D$461,"eucalipto",Data_filtered!$J$2:$J$461,"&lt;&gt;Incompleto")=0, "-", SUMIFS(Data_filtered!$G$2:$G$461,Data_filtered!$A$2:$A$461,AJ$1,Data_filtered!$F$2:$F$461,$A26, Data_filtered!$D$2:$D$461,"eucalipto",Data_filtered!$J$2:$J$461,"&lt;&gt;Incompleto"))</f>
        <v>-</v>
      </c>
      <c r="AK26" s="108" t="str">
        <f>IF(SUMIFS(Data_filtered!$G$2:$G$461,Data_filtered!$A$2:$A$461,AJ$1,Data_filtered!$F$2:$F$461,$A26, Data_filtered!$D$2:$D$461,"mata",Data_filtered!$J$2:$J$461,"&lt;&gt;Incompleto")=0, "-", SUMIFS(Data_filtered!$G$2:$G$461,Data_filtered!$A$2:$A$461,AJ$1,Data_filtered!$F$2:$F$461,$A26, Data_filtered!$D$2:$D$461,"mata",Data_filtered!$J$2:$J$461,"&lt;&gt;Incompleto"))
</f>
        <v>-</v>
      </c>
      <c r="AL26" s="106" t="str">
        <f>IF(SUMIFS(Data_filtered!$G$2:$G$461,Data_filtered!$A$2:$A$461,AL$1,Data_filtered!$F$2:$F$461,$A26, Data_filtered!$D$2:$D$461,"eucalipto",Data_filtered!$J$2:$J$461,"&lt;&gt;Incompleto")=0, "-", SUMIFS(Data_filtered!$G$2:$G$461,Data_filtered!$A$2:$A$461,AL$1,Data_filtered!$F$2:$F$461,$A26, Data_filtered!$D$2:$D$461,"eucalipto",Data_filtered!$J$2:$J$461,"&lt;&gt;Incompleto"))</f>
        <v>-</v>
      </c>
      <c r="AM26" s="108" t="str">
        <f>IF(SUMIFS(Data_filtered!$G$2:$G$461,Data_filtered!$A$2:$A$461,AL$1,Data_filtered!$F$2:$F$461,$A26, Data_filtered!$D$2:$D$461,"mata",Data_filtered!$J$2:$J$461,"&lt;&gt;Incompleto")=0, "-", SUMIFS(Data_filtered!$G$2:$G$461,Data_filtered!$A$2:$A$461,AL$1,Data_filtered!$F$2:$F$461,$A26, Data_filtered!$D$2:$D$461,"mata",Data_filtered!$J$2:$J$461,"&lt;&gt;Incompleto"))
</f>
        <v>-</v>
      </c>
      <c r="AN26" s="106" t="str">
        <f>IF(SUMIFS(Data_filtered!$G$2:$G$461,Data_filtered!$A$2:$A$461,AN$1,Data_filtered!$F$2:$F$461,$A26, Data_filtered!$D$2:$D$461,"eucalipto",Data_filtered!$J$2:$J$461,"&lt;&gt;Incompleto")=0, "-", SUMIFS(Data_filtered!$G$2:$G$461,Data_filtered!$A$2:$A$461,AN$1,Data_filtered!$F$2:$F$461,$A26, Data_filtered!$D$2:$D$461,"eucalipto",Data_filtered!$J$2:$J$461,"&lt;&gt;Incompleto"))</f>
        <v>-</v>
      </c>
      <c r="AO26" s="108" t="str">
        <f>IF(SUMIFS(Data_filtered!$G$2:$G$461,Data_filtered!$A$2:$A$461,AN$1,Data_filtered!$F$2:$F$461,$A26, Data_filtered!$D$2:$D$461,"mata",Data_filtered!$J$2:$J$461,"&lt;&gt;Incompleto")=0, "-", SUMIFS(Data_filtered!$G$2:$G$461,Data_filtered!$A$2:$A$461,AN$1,Data_filtered!$F$2:$F$461,$A26, Data_filtered!$D$2:$D$461,"mata",Data_filtered!$J$2:$J$461,"&lt;&gt;Incompleto"))
</f>
        <v>-</v>
      </c>
      <c r="AP26" s="106" t="str">
        <f>IF(SUMIFS(Data_filtered!$G$2:$G$461,Data_filtered!$A$2:$A$461,AP$1,Data_filtered!$F$2:$F$461,$A26, Data_filtered!$D$2:$D$461,"eucalipto",Data_filtered!$J$2:$J$461,"&lt;&gt;Incompleto")=0, "-", SUMIFS(Data_filtered!$G$2:$G$461,Data_filtered!$A$2:$A$461,AP$1,Data_filtered!$F$2:$F$461,$A26, Data_filtered!$D$2:$D$461,"eucalipto",Data_filtered!$J$2:$J$461,"&lt;&gt;Incompleto"))</f>
        <v>-</v>
      </c>
      <c r="AQ26" s="108" t="str">
        <f>IF(SUMIFS(Data_filtered!$G$2:$G$461,Data_filtered!$A$2:$A$461,AP$1,Data_filtered!$F$2:$F$461,$A26, Data_filtered!$D$2:$D$461,"mata",Data_filtered!$J$2:$J$461,"&lt;&gt;Incompleto")=0, "-", SUMIFS(Data_filtered!$G$2:$G$461,Data_filtered!$A$2:$A$461,AP$1,Data_filtered!$F$2:$F$461,$A26, Data_filtered!$D$2:$D$461,"mata",Data_filtered!$J$2:$J$461,"&lt;&gt;Incompleto"))
</f>
        <v>-</v>
      </c>
      <c r="AR26" s="106" t="str">
        <f>IF(SUMIFS(Data_filtered!$G$2:$G$461,Data_filtered!$A$2:$A$461,AR$1,Data_filtered!$F$2:$F$461,$A26, Data_filtered!$D$2:$D$461,"eucalipto",Data_filtered!$J$2:$J$461,"&lt;&gt;Incompleto")=0, "-", SUMIFS(Data_filtered!$G$2:$G$461,Data_filtered!$A$2:$A$461,AR$1,Data_filtered!$F$2:$F$461,$A26, Data_filtered!$D$2:$D$461,"eucalipto",Data_filtered!$J$2:$J$461,"&lt;&gt;Incompleto"))</f>
        <v>-</v>
      </c>
      <c r="AS26" s="108" t="str">
        <f>IF(SUMIFS(Data_filtered!$G$2:$G$461,Data_filtered!$A$2:$A$461,AR$1,Data_filtered!$F$2:$F$461,$A26, Data_filtered!$D$2:$D$461,"mata",Data_filtered!$J$2:$J$461,"&lt;&gt;Incompleto")=0, "-", SUMIFS(Data_filtered!$G$2:$G$461,Data_filtered!$A$2:$A$461,AR$1,Data_filtered!$F$2:$F$461,$A26, Data_filtered!$D$2:$D$461,"mata",Data_filtered!$J$2:$J$461,"&lt;&gt;Incompleto"))
</f>
        <v>-</v>
      </c>
    </row>
    <row r="27">
      <c r="A27" s="68"/>
      <c r="B27" s="106" t="str">
        <f>IF(SUMIFS(Data_filtered!$G$2:$G$461,Data_filtered!$A$2:$A$461,B$1,Data_filtered!$F$2:$F$461,$A27, Data_filtered!$D$2:$D$461,"eucalipto",Data_filtered!$J$2:$J$461,"&lt;&gt;Incompleto")=0, "-", SUMIFS(Data_filtered!$G$2:$G$461,Data_filtered!$A$2:$A$461,B$1,Data_filtered!$F$2:$F$461,$A27, Data_filtered!$D$2:$D$461,"eucalipto",Data_filtered!$J$2:$J$461,"&lt;&gt;Incompleto"))</f>
        <v>-</v>
      </c>
      <c r="C27" s="108" t="str">
        <f>IF(SUMIFS(Data_filtered!$G$2:$G$461,Data_filtered!$A$2:$A$461,B$1,Data_filtered!$F$2:$F$461,$A27, Data_filtered!$D$2:$D$461,"mata",Data_filtered!$J$2:$J$461,"&lt;&gt;Incompleto")=0, "-", SUMIFS(Data_filtered!$G$2:$G$461,Data_filtered!$A$2:$A$461,B$1,Data_filtered!$F$2:$F$461,$A27, Data_filtered!$D$2:$D$461,"mata",Data_filtered!$J$2:$J$461,"&lt;&gt;Incompleto"))
</f>
        <v>-</v>
      </c>
      <c r="D27" s="106" t="str">
        <f>IF(SUMIFS(Data_filtered!$G$2:$G$461,Data_filtered!$A$2:$A$461,D$1,Data_filtered!$F$2:$F$461,$A27, Data_filtered!$D$2:$D$461,"eucalipto",Data_filtered!$J$2:$J$461,"&lt;&gt;Incompleto")=0, "-", SUMIFS(Data_filtered!$G$2:$G$461,Data_filtered!$A$2:$A$461,D$1,Data_filtered!$F$2:$F$461,$A27, Data_filtered!$D$2:$D$461,"eucalipto",Data_filtered!$J$2:$J$461,"&lt;&gt;Incompleto"))</f>
        <v>-</v>
      </c>
      <c r="E27" s="108" t="str">
        <f>IF(SUMIFS(Data_filtered!$G$2:$G$461,Data_filtered!$A$2:$A$461,D$1,Data_filtered!$F$2:$F$461,$A27, Data_filtered!$D$2:$D$461,"mata",Data_filtered!$J$2:$J$461,"&lt;&gt;Incompleto")=0, "-", SUMIFS(Data_filtered!$G$2:$G$461,Data_filtered!$A$2:$A$461,D$1,Data_filtered!$F$2:$F$461,$A27, Data_filtered!$D$2:$D$461,"mata",Data_filtered!$J$2:$J$461,"&lt;&gt;Incompleto"))
</f>
        <v>-</v>
      </c>
      <c r="F27" s="106" t="str">
        <f>IF(SUMIFS(Data_filtered!$G$2:$G$461,Data_filtered!$A$2:$A$461,F$1,Data_filtered!$F$2:$F$461,$A27, Data_filtered!$D$2:$D$461,"eucalipto",Data_filtered!$J$2:$J$461,"&lt;&gt;Incompleto")=0, "-", SUMIFS(Data_filtered!$G$2:$G$461,Data_filtered!$A$2:$A$461,F$1,Data_filtered!$F$2:$F$461,$A27, Data_filtered!$D$2:$D$461,"eucalipto",Data_filtered!$J$2:$J$461,"&lt;&gt;Incompleto"))</f>
        <v>-</v>
      </c>
      <c r="G27" s="108" t="str">
        <f>IF(SUMIFS(Data_filtered!$G$2:$G$461,Data_filtered!$A$2:$A$461,F$1,Data_filtered!$F$2:$F$461,$A27, Data_filtered!$D$2:$D$461,"mata",Data_filtered!$J$2:$J$461,"&lt;&gt;Incompleto")=0, "-", SUMIFS(Data_filtered!$G$2:$G$461,Data_filtered!$A$2:$A$461,F$1,Data_filtered!$F$2:$F$461,$A27, Data_filtered!$D$2:$D$461,"mata",Data_filtered!$J$2:$J$461,"&lt;&gt;Incompleto"))
</f>
        <v>-</v>
      </c>
      <c r="H27" s="106" t="str">
        <f>IF(SUMIFS(Data_filtered!$G$2:$G$461,Data_filtered!$A$2:$A$461,H$1,Data_filtered!$F$2:$F$461,$A27, Data_filtered!$D$2:$D$461,"eucalipto",Data_filtered!$J$2:$J$461,"&lt;&gt;Incompleto")=0, "-", SUMIFS(Data_filtered!$G$2:$G$461,Data_filtered!$A$2:$A$461,H$1,Data_filtered!$F$2:$F$461,$A27, Data_filtered!$D$2:$D$461,"eucalipto",Data_filtered!$J$2:$J$461,"&lt;&gt;Incompleto"))</f>
        <v>-</v>
      </c>
      <c r="I27" s="108" t="str">
        <f>IF(SUMIFS(Data_filtered!$G$2:$G$461,Data_filtered!$A$2:$A$461,H$1,Data_filtered!$F$2:$F$461,$A27, Data_filtered!$D$2:$D$461,"mata",Data_filtered!$J$2:$J$461,"&lt;&gt;Incompleto")=0, "-", SUMIFS(Data_filtered!$G$2:$G$461,Data_filtered!$A$2:$A$461,H$1,Data_filtered!$F$2:$F$461,$A27, Data_filtered!$D$2:$D$461,"mata",Data_filtered!$J$2:$J$461,"&lt;&gt;Incompleto"))
</f>
        <v>-</v>
      </c>
      <c r="J27" s="106" t="str">
        <f>IF(SUMIFS(Data_filtered!$G$2:$G$461,Data_filtered!$A$2:$A$461,J$1,Data_filtered!$F$2:$F$461,$A27, Data_filtered!$D$2:$D$461,"eucalipto",Data_filtered!$J$2:$J$461,"&lt;&gt;Incompleto")=0, "-", SUMIFS(Data_filtered!$G$2:$G$461,Data_filtered!$A$2:$A$461,J$1,Data_filtered!$F$2:$F$461,$A27, Data_filtered!$D$2:$D$461,"eucalipto",Data_filtered!$J$2:$J$461,"&lt;&gt;Incompleto"))</f>
        <v>-</v>
      </c>
      <c r="K27" s="108" t="str">
        <f>IF(SUMIFS(Data_filtered!$G$2:$G$461,Data_filtered!$A$2:$A$461,J$1,Data_filtered!$F$2:$F$461,$A27, Data_filtered!$D$2:$D$461,"mata",Data_filtered!$J$2:$J$461,"&lt;&gt;Incompleto")=0, "-", SUMIFS(Data_filtered!$G$2:$G$461,Data_filtered!$A$2:$A$461,J$1,Data_filtered!$F$2:$F$461,$A27, Data_filtered!$D$2:$D$461,"mata",Data_filtered!$J$2:$J$461,"&lt;&gt;Incompleto"))
</f>
        <v>-</v>
      </c>
      <c r="L27" s="106" t="str">
        <f>IF(SUMIFS(Data_filtered!$G$2:$G$461,Data_filtered!$A$2:$A$461,L$1,Data_filtered!$F$2:$F$461,$A27, Data_filtered!$D$2:$D$461,"eucalipto",Data_filtered!$J$2:$J$461,"&lt;&gt;Incompleto")=0, "-", SUMIFS(Data_filtered!$G$2:$G$461,Data_filtered!$A$2:$A$461,L$1,Data_filtered!$F$2:$F$461,$A27, Data_filtered!$D$2:$D$461,"eucalipto",Data_filtered!$J$2:$J$461,"&lt;&gt;Incompleto"))</f>
        <v>-</v>
      </c>
      <c r="M27" s="108" t="str">
        <f>IF(SUMIFS(Data_filtered!$G$2:$G$461,Data_filtered!$A$2:$A$461,L$1,Data_filtered!$F$2:$F$461,$A27, Data_filtered!$D$2:$D$461,"mata",Data_filtered!$J$2:$J$461,"&lt;&gt;Incompleto")=0, "-", SUMIFS(Data_filtered!$G$2:$G$461,Data_filtered!$A$2:$A$461,L$1,Data_filtered!$F$2:$F$461,$A27, Data_filtered!$D$2:$D$461,"mata",Data_filtered!$J$2:$J$461,"&lt;&gt;Incompleto"))
</f>
        <v>-</v>
      </c>
      <c r="N27" s="106" t="str">
        <f>IF(SUMIFS(Data_filtered!$G$2:$G$461,Data_filtered!$A$2:$A$461,N$1,Data_filtered!$F$2:$F$461,$A27, Data_filtered!$D$2:$D$461,"eucalipto",Data_filtered!$J$2:$J$461,"&lt;&gt;Incompleto")=0, "-", SUMIFS(Data_filtered!$G$2:$G$461,Data_filtered!$A$2:$A$461,N$1,Data_filtered!$F$2:$F$461,$A27, Data_filtered!$D$2:$D$461,"eucalipto",Data_filtered!$J$2:$J$461,"&lt;&gt;Incompleto"))</f>
        <v>-</v>
      </c>
      <c r="O27" s="108" t="str">
        <f>IF(SUMIFS(Data_filtered!$G$2:$G$461,Data_filtered!$A$2:$A$461,N$1,Data_filtered!$F$2:$F$461,$A27, Data_filtered!$D$2:$D$461,"mata",Data_filtered!$J$2:$J$461,"&lt;&gt;Incompleto")=0, "-", SUMIFS(Data_filtered!$G$2:$G$461,Data_filtered!$A$2:$A$461,N$1,Data_filtered!$F$2:$F$461,$A27, Data_filtered!$D$2:$D$461,"mata",Data_filtered!$J$2:$J$461,"&lt;&gt;Incompleto"))
</f>
        <v>-</v>
      </c>
      <c r="P27" s="106" t="str">
        <f>IF(SUMIFS(Data_filtered!$G$2:$G$461,Data_filtered!$A$2:$A$461,P$1,Data_filtered!$F$2:$F$461,$A27, Data_filtered!$D$2:$D$461,"eucalipto",Data_filtered!$J$2:$J$461,"&lt;&gt;Incompleto")=0, "-", SUMIFS(Data_filtered!$G$2:$G$461,Data_filtered!$A$2:$A$461,P$1,Data_filtered!$F$2:$F$461,$A27, Data_filtered!$D$2:$D$461,"eucalipto",Data_filtered!$J$2:$J$461,"&lt;&gt;Incompleto"))</f>
        <v>-</v>
      </c>
      <c r="Q27" s="108" t="str">
        <f>IF(SUMIFS(Data_filtered!$G$2:$G$461,Data_filtered!$A$2:$A$461,P$1,Data_filtered!$F$2:$F$461,$A27, Data_filtered!$D$2:$D$461,"mata",Data_filtered!$J$2:$J$461,"&lt;&gt;Incompleto")=0, "-", SUMIFS(Data_filtered!$G$2:$G$461,Data_filtered!$A$2:$A$461,P$1,Data_filtered!$F$2:$F$461,$A27, Data_filtered!$D$2:$D$461,"mata",Data_filtered!$J$2:$J$461,"&lt;&gt;Incompleto"))
</f>
        <v>-</v>
      </c>
      <c r="R27" s="106" t="str">
        <f>IF(SUMIFS(Data_filtered!$G$2:$G$461,Data_filtered!$A$2:$A$461,R$1,Data_filtered!$F$2:$F$461,$A27, Data_filtered!$D$2:$D$461,"eucalipto",Data_filtered!$J$2:$J$461,"&lt;&gt;Incompleto")=0, "-", SUMIFS(Data_filtered!$G$2:$G$461,Data_filtered!$A$2:$A$461,R$1,Data_filtered!$F$2:$F$461,$A27, Data_filtered!$D$2:$D$461,"eucalipto",Data_filtered!$J$2:$J$461,"&lt;&gt;Incompleto"))</f>
        <v>-</v>
      </c>
      <c r="S27" s="108" t="str">
        <f>IF(SUMIFS(Data_filtered!$G$2:$G$461,Data_filtered!$A$2:$A$461,R$1,Data_filtered!$F$2:$F$461,$A27, Data_filtered!$D$2:$D$461,"mata",Data_filtered!$J$2:$J$461,"&lt;&gt;Incompleto")=0, "-", SUMIFS(Data_filtered!$G$2:$G$461,Data_filtered!$A$2:$A$461,R$1,Data_filtered!$F$2:$F$461,$A27, Data_filtered!$D$2:$D$461,"mata",Data_filtered!$J$2:$J$461,"&lt;&gt;Incompleto"))
</f>
        <v>-</v>
      </c>
      <c r="T27" s="106" t="str">
        <f>IF(SUMIFS(Data_filtered!$G$2:$G$461,Data_filtered!$A$2:$A$461,T$1,Data_filtered!$F$2:$F$461,$A27, Data_filtered!$D$2:$D$461,"eucalipto",Data_filtered!$J$2:$J$461,"&lt;&gt;Incompleto")=0, "-", SUMIFS(Data_filtered!$G$2:$G$461,Data_filtered!$A$2:$A$461,T$1,Data_filtered!$F$2:$F$461,$A27, Data_filtered!$D$2:$D$461,"eucalipto",Data_filtered!$J$2:$J$461,"&lt;&gt;Incompleto"))</f>
        <v>-</v>
      </c>
      <c r="U27" s="108" t="str">
        <f>IF(SUMIFS(Data_filtered!$G$2:$G$461,Data_filtered!$A$2:$A$461,T$1,Data_filtered!$F$2:$F$461,$A27, Data_filtered!$D$2:$D$461,"mata",Data_filtered!$J$2:$J$461,"&lt;&gt;Incompleto")=0, "-", SUMIFS(Data_filtered!$G$2:$G$461,Data_filtered!$A$2:$A$461,T$1,Data_filtered!$F$2:$F$461,$A27, Data_filtered!$D$2:$D$461,"mata",Data_filtered!$J$2:$J$461,"&lt;&gt;Incompleto"))
</f>
        <v>-</v>
      </c>
      <c r="V27" s="106" t="str">
        <f>IF(SUMIFS(Data_filtered!$G$2:$G$461,Data_filtered!$A$2:$A$461,V$1,Data_filtered!$F$2:$F$461,$A27, Data_filtered!$D$2:$D$461,"eucalipto",Data_filtered!$J$2:$J$461,"&lt;&gt;Incompleto")=0, "-", SUMIFS(Data_filtered!$G$2:$G$461,Data_filtered!$A$2:$A$461,V$1,Data_filtered!$F$2:$F$461,$A27, Data_filtered!$D$2:$D$461,"eucalipto",Data_filtered!$J$2:$J$461,"&lt;&gt;Incompleto"))</f>
        <v>-</v>
      </c>
      <c r="W27" s="108" t="str">
        <f>IF(SUMIFS(Data_filtered!$G$2:$G$461,Data_filtered!$A$2:$A$461,V$1,Data_filtered!$F$2:$F$461,$A27, Data_filtered!$D$2:$D$461,"mata",Data_filtered!$J$2:$J$461,"&lt;&gt;Incompleto")=0, "-", SUMIFS(Data_filtered!$G$2:$G$461,Data_filtered!$A$2:$A$461,V$1,Data_filtered!$F$2:$F$461,$A27, Data_filtered!$D$2:$D$461,"mata",Data_filtered!$J$2:$J$461,"&lt;&gt;Incompleto"))
</f>
        <v>-</v>
      </c>
      <c r="X27" s="106" t="str">
        <f>IF(SUMIFS(Data_filtered!$G$2:$G$461,Data_filtered!$A$2:$A$461,X$1,Data_filtered!$F$2:$F$461,$A27, Data_filtered!$D$2:$D$461,"eucalipto",Data_filtered!$J$2:$J$461,"&lt;&gt;Incompleto")=0, "-", SUMIFS(Data_filtered!$G$2:$G$461,Data_filtered!$A$2:$A$461,X$1,Data_filtered!$F$2:$F$461,$A27, Data_filtered!$D$2:$D$461,"eucalipto",Data_filtered!$J$2:$J$461,"&lt;&gt;Incompleto"))</f>
        <v>-</v>
      </c>
      <c r="Y27" s="108" t="str">
        <f>IF(SUMIFS(Data_filtered!$G$2:$G$461,Data_filtered!$A$2:$A$461,X$1,Data_filtered!$F$2:$F$461,$A27, Data_filtered!$D$2:$D$461,"mata",Data_filtered!$J$2:$J$461,"&lt;&gt;Incompleto")=0, "-", SUMIFS(Data_filtered!$G$2:$G$461,Data_filtered!$A$2:$A$461,X$1,Data_filtered!$F$2:$F$461,$A27, Data_filtered!$D$2:$D$461,"mata",Data_filtered!$J$2:$J$461,"&lt;&gt;Incompleto"))
</f>
        <v>-</v>
      </c>
      <c r="Z27" s="106" t="str">
        <f>IF(SUMIFS(Data_filtered!$G$2:$G$461,Data_filtered!$A$2:$A$461,Z$1,Data_filtered!$F$2:$F$461,$A27, Data_filtered!$D$2:$D$461,"eucalipto",Data_filtered!$J$2:$J$461,"&lt;&gt;Incompleto")=0, "-", SUMIFS(Data_filtered!$G$2:$G$461,Data_filtered!$A$2:$A$461,Z$1,Data_filtered!$F$2:$F$461,$A27, Data_filtered!$D$2:$D$461,"eucalipto",Data_filtered!$J$2:$J$461,"&lt;&gt;Incompleto"))</f>
        <v>-</v>
      </c>
      <c r="AA27" s="108" t="str">
        <f>IF(SUMIFS(Data_filtered!$G$2:$G$461,Data_filtered!$A$2:$A$461,Z$1,Data_filtered!$F$2:$F$461,$A27, Data_filtered!$D$2:$D$461,"mata",Data_filtered!$J$2:$J$461,"&lt;&gt;Incompleto")=0, "-", SUMIFS(Data_filtered!$G$2:$G$461,Data_filtered!$A$2:$A$461,Z$1,Data_filtered!$F$2:$F$461,$A27, Data_filtered!$D$2:$D$461,"mata",Data_filtered!$J$2:$J$461,"&lt;&gt;Incompleto"))
</f>
        <v>-</v>
      </c>
      <c r="AB27" s="106" t="str">
        <f>IF(SUMIFS(Data_filtered!$G$2:$G$461,Data_filtered!$A$2:$A$461,AB$1,Data_filtered!$F$2:$F$461,$A27, Data_filtered!$D$2:$D$461,"eucalipto",Data_filtered!$J$2:$J$461,"&lt;&gt;Incompleto")=0, "-", SUMIFS(Data_filtered!$G$2:$G$461,Data_filtered!$A$2:$A$461,AB$1,Data_filtered!$F$2:$F$461,$A27, Data_filtered!$D$2:$D$461,"eucalipto",Data_filtered!$J$2:$J$461,"&lt;&gt;Incompleto"))</f>
        <v>-</v>
      </c>
      <c r="AC27" s="108" t="str">
        <f>IF(SUMIFS(Data_filtered!$G$2:$G$461,Data_filtered!$A$2:$A$461,AB$1,Data_filtered!$F$2:$F$461,$A27, Data_filtered!$D$2:$D$461,"mata",Data_filtered!$J$2:$J$461,"&lt;&gt;Incompleto")=0, "-", SUMIFS(Data_filtered!$G$2:$G$461,Data_filtered!$A$2:$A$461,AB$1,Data_filtered!$F$2:$F$461,$A27, Data_filtered!$D$2:$D$461,"mata",Data_filtered!$J$2:$J$461,"&lt;&gt;Incompleto"))
</f>
        <v>-</v>
      </c>
      <c r="AD27" s="106" t="str">
        <f>IF(SUMIFS(Data_filtered!$G$2:$G$461,Data_filtered!$A$2:$A$461,AD$1,Data_filtered!$F$2:$F$461,$A27, Data_filtered!$D$2:$D$461,"eucalipto",Data_filtered!$J$2:$J$461,"&lt;&gt;Incompleto")=0, "-", SUMIFS(Data_filtered!$G$2:$G$461,Data_filtered!$A$2:$A$461,AD$1,Data_filtered!$F$2:$F$461,$A27, Data_filtered!$D$2:$D$461,"eucalipto",Data_filtered!$J$2:$J$461,"&lt;&gt;Incompleto"))</f>
        <v>-</v>
      </c>
      <c r="AE27" s="108" t="str">
        <f>IF(SUMIFS(Data_filtered!$G$2:$G$461,Data_filtered!$A$2:$A$461,AD$1,Data_filtered!$F$2:$F$461,$A27, Data_filtered!$D$2:$D$461,"mata",Data_filtered!$J$2:$J$461,"&lt;&gt;Incompleto")=0, "-", SUMIFS(Data_filtered!$G$2:$G$461,Data_filtered!$A$2:$A$461,AD$1,Data_filtered!$F$2:$F$461,$A27, Data_filtered!$D$2:$D$461,"mata",Data_filtered!$J$2:$J$461,"&lt;&gt;Incompleto"))
</f>
        <v>-</v>
      </c>
      <c r="AF27" s="106" t="str">
        <f>IF(SUMIFS(Data_filtered!$G$2:$G$461,Data_filtered!$A$2:$A$461,AF$1,Data_filtered!$F$2:$F$461,$A27, Data_filtered!$D$2:$D$461,"eucalipto",Data_filtered!$J$2:$J$461,"&lt;&gt;Incompleto")=0, "-", SUMIFS(Data_filtered!$G$2:$G$461,Data_filtered!$A$2:$A$461,AF$1,Data_filtered!$F$2:$F$461,$A27, Data_filtered!$D$2:$D$461,"eucalipto",Data_filtered!$J$2:$J$461,"&lt;&gt;Incompleto"))</f>
        <v>-</v>
      </c>
      <c r="AG27" s="108" t="str">
        <f>IF(SUMIFS(Data_filtered!$G$2:$G$461,Data_filtered!$A$2:$A$461,AF$1,Data_filtered!$F$2:$F$461,$A27, Data_filtered!$D$2:$D$461,"mata",Data_filtered!$J$2:$J$461,"&lt;&gt;Incompleto")=0, "-", SUMIFS(Data_filtered!$G$2:$G$461,Data_filtered!$A$2:$A$461,AF$1,Data_filtered!$F$2:$F$461,$A27, Data_filtered!$D$2:$D$461,"mata",Data_filtered!$J$2:$J$461,"&lt;&gt;Incompleto"))
</f>
        <v>-</v>
      </c>
      <c r="AH27" s="106" t="str">
        <f>IF(SUMIFS(Data_filtered!$G$2:$G$461,Data_filtered!$A$2:$A$461,AH$1,Data_filtered!$F$2:$F$461,$A27, Data_filtered!$D$2:$D$461,"eucalipto",Data_filtered!$J$2:$J$461,"&lt;&gt;Incompleto")=0, "-", SUMIFS(Data_filtered!$G$2:$G$461,Data_filtered!$A$2:$A$461,AH$1,Data_filtered!$F$2:$F$461,$A27, Data_filtered!$D$2:$D$461,"eucalipto",Data_filtered!$J$2:$J$461,"&lt;&gt;Incompleto"))</f>
        <v>-</v>
      </c>
      <c r="AI27" s="108" t="str">
        <f>IF(SUMIFS(Data_filtered!$G$2:$G$461,Data_filtered!$A$2:$A$461,AH$1,Data_filtered!$F$2:$F$461,$A27, Data_filtered!$D$2:$D$461,"mata",Data_filtered!$J$2:$J$461,"&lt;&gt;Incompleto")=0, "-", SUMIFS(Data_filtered!$G$2:$G$461,Data_filtered!$A$2:$A$461,AH$1,Data_filtered!$F$2:$F$461,$A27, Data_filtered!$D$2:$D$461,"mata",Data_filtered!$J$2:$J$461,"&lt;&gt;Incompleto"))
</f>
        <v>-</v>
      </c>
      <c r="AJ27" s="106" t="str">
        <f>IF(SUMIFS(Data_filtered!$G$2:$G$461,Data_filtered!$A$2:$A$461,AJ$1,Data_filtered!$F$2:$F$461,$A27, Data_filtered!$D$2:$D$461,"eucalipto",Data_filtered!$J$2:$J$461,"&lt;&gt;Incompleto")=0, "-", SUMIFS(Data_filtered!$G$2:$G$461,Data_filtered!$A$2:$A$461,AJ$1,Data_filtered!$F$2:$F$461,$A27, Data_filtered!$D$2:$D$461,"eucalipto",Data_filtered!$J$2:$J$461,"&lt;&gt;Incompleto"))</f>
        <v>-</v>
      </c>
      <c r="AK27" s="108" t="str">
        <f>IF(SUMIFS(Data_filtered!$G$2:$G$461,Data_filtered!$A$2:$A$461,AJ$1,Data_filtered!$F$2:$F$461,$A27, Data_filtered!$D$2:$D$461,"mata",Data_filtered!$J$2:$J$461,"&lt;&gt;Incompleto")=0, "-", SUMIFS(Data_filtered!$G$2:$G$461,Data_filtered!$A$2:$A$461,AJ$1,Data_filtered!$F$2:$F$461,$A27, Data_filtered!$D$2:$D$461,"mata",Data_filtered!$J$2:$J$461,"&lt;&gt;Incompleto"))
</f>
        <v>-</v>
      </c>
      <c r="AL27" s="106" t="str">
        <f>IF(SUMIFS(Data_filtered!$G$2:$G$461,Data_filtered!$A$2:$A$461,AL$1,Data_filtered!$F$2:$F$461,$A27, Data_filtered!$D$2:$D$461,"eucalipto",Data_filtered!$J$2:$J$461,"&lt;&gt;Incompleto")=0, "-", SUMIFS(Data_filtered!$G$2:$G$461,Data_filtered!$A$2:$A$461,AL$1,Data_filtered!$F$2:$F$461,$A27, Data_filtered!$D$2:$D$461,"eucalipto",Data_filtered!$J$2:$J$461,"&lt;&gt;Incompleto"))</f>
        <v>-</v>
      </c>
      <c r="AM27" s="108" t="str">
        <f>IF(SUMIFS(Data_filtered!$G$2:$G$461,Data_filtered!$A$2:$A$461,AL$1,Data_filtered!$F$2:$F$461,$A27, Data_filtered!$D$2:$D$461,"mata",Data_filtered!$J$2:$J$461,"&lt;&gt;Incompleto")=0, "-", SUMIFS(Data_filtered!$G$2:$G$461,Data_filtered!$A$2:$A$461,AL$1,Data_filtered!$F$2:$F$461,$A27, Data_filtered!$D$2:$D$461,"mata",Data_filtered!$J$2:$J$461,"&lt;&gt;Incompleto"))
</f>
        <v>-</v>
      </c>
      <c r="AN27" s="106" t="str">
        <f>IF(SUMIFS(Data_filtered!$G$2:$G$461,Data_filtered!$A$2:$A$461,AN$1,Data_filtered!$F$2:$F$461,$A27, Data_filtered!$D$2:$D$461,"eucalipto",Data_filtered!$J$2:$J$461,"&lt;&gt;Incompleto")=0, "-", SUMIFS(Data_filtered!$G$2:$G$461,Data_filtered!$A$2:$A$461,AN$1,Data_filtered!$F$2:$F$461,$A27, Data_filtered!$D$2:$D$461,"eucalipto",Data_filtered!$J$2:$J$461,"&lt;&gt;Incompleto"))</f>
        <v>-</v>
      </c>
      <c r="AO27" s="108" t="str">
        <f>IF(SUMIFS(Data_filtered!$G$2:$G$461,Data_filtered!$A$2:$A$461,AN$1,Data_filtered!$F$2:$F$461,$A27, Data_filtered!$D$2:$D$461,"mata",Data_filtered!$J$2:$J$461,"&lt;&gt;Incompleto")=0, "-", SUMIFS(Data_filtered!$G$2:$G$461,Data_filtered!$A$2:$A$461,AN$1,Data_filtered!$F$2:$F$461,$A27, Data_filtered!$D$2:$D$461,"mata",Data_filtered!$J$2:$J$461,"&lt;&gt;Incompleto"))
</f>
        <v>-</v>
      </c>
      <c r="AP27" s="106" t="str">
        <f>IF(SUMIFS(Data_filtered!$G$2:$G$461,Data_filtered!$A$2:$A$461,AP$1,Data_filtered!$F$2:$F$461,$A27, Data_filtered!$D$2:$D$461,"eucalipto",Data_filtered!$J$2:$J$461,"&lt;&gt;Incompleto")=0, "-", SUMIFS(Data_filtered!$G$2:$G$461,Data_filtered!$A$2:$A$461,AP$1,Data_filtered!$F$2:$F$461,$A27, Data_filtered!$D$2:$D$461,"eucalipto",Data_filtered!$J$2:$J$461,"&lt;&gt;Incompleto"))</f>
        <v>-</v>
      </c>
      <c r="AQ27" s="108" t="str">
        <f>IF(SUMIFS(Data_filtered!$G$2:$G$461,Data_filtered!$A$2:$A$461,AP$1,Data_filtered!$F$2:$F$461,$A27, Data_filtered!$D$2:$D$461,"mata",Data_filtered!$J$2:$J$461,"&lt;&gt;Incompleto")=0, "-", SUMIFS(Data_filtered!$G$2:$G$461,Data_filtered!$A$2:$A$461,AP$1,Data_filtered!$F$2:$F$461,$A27, Data_filtered!$D$2:$D$461,"mata",Data_filtered!$J$2:$J$461,"&lt;&gt;Incompleto"))
</f>
        <v>-</v>
      </c>
      <c r="AR27" s="106" t="str">
        <f>IF(SUMIFS(Data_filtered!$G$2:$G$461,Data_filtered!$A$2:$A$461,AR$1,Data_filtered!$F$2:$F$461,$A27, Data_filtered!$D$2:$D$461,"eucalipto",Data_filtered!$J$2:$J$461,"&lt;&gt;Incompleto")=0, "-", SUMIFS(Data_filtered!$G$2:$G$461,Data_filtered!$A$2:$A$461,AR$1,Data_filtered!$F$2:$F$461,$A27, Data_filtered!$D$2:$D$461,"eucalipto",Data_filtered!$J$2:$J$461,"&lt;&gt;Incompleto"))</f>
        <v>-</v>
      </c>
      <c r="AS27" s="108" t="str">
        <f>IF(SUMIFS(Data_filtered!$G$2:$G$461,Data_filtered!$A$2:$A$461,AR$1,Data_filtered!$F$2:$F$461,$A27, Data_filtered!$D$2:$D$461,"mata",Data_filtered!$J$2:$J$461,"&lt;&gt;Incompleto")=0, "-", SUMIFS(Data_filtered!$G$2:$G$461,Data_filtered!$A$2:$A$461,AR$1,Data_filtered!$F$2:$F$461,$A27, Data_filtered!$D$2:$D$461,"mata",Data_filtered!$J$2:$J$461,"&lt;&gt;Incompleto"))
</f>
        <v>-</v>
      </c>
    </row>
    <row r="28">
      <c r="A28" s="68"/>
      <c r="B28" s="106"/>
      <c r="C28" s="108"/>
      <c r="D28" s="106"/>
      <c r="E28" s="108"/>
      <c r="F28" s="106"/>
      <c r="G28" s="108"/>
      <c r="H28" s="106"/>
      <c r="I28" s="108"/>
      <c r="J28" s="106"/>
      <c r="K28" s="108"/>
      <c r="L28" s="106"/>
      <c r="M28" s="108"/>
      <c r="N28" s="106"/>
      <c r="O28" s="108"/>
      <c r="P28" s="106"/>
      <c r="Q28" s="108"/>
      <c r="R28" s="106"/>
      <c r="S28" s="108"/>
      <c r="T28" s="106"/>
      <c r="U28" s="108"/>
      <c r="V28" s="106"/>
      <c r="W28" s="108"/>
      <c r="X28" s="106"/>
      <c r="Y28" s="108"/>
      <c r="Z28" s="106"/>
      <c r="AA28" s="108"/>
      <c r="AB28" s="106"/>
      <c r="AC28" s="108"/>
      <c r="AD28" s="106"/>
      <c r="AE28" s="108"/>
      <c r="AF28" s="106"/>
      <c r="AG28" s="108"/>
      <c r="AH28" s="106"/>
      <c r="AI28" s="108"/>
      <c r="AJ28" s="106"/>
      <c r="AK28" s="108"/>
      <c r="AL28" s="106"/>
      <c r="AM28" s="108"/>
      <c r="AN28" s="106"/>
      <c r="AO28" s="108"/>
      <c r="AP28" s="106"/>
      <c r="AQ28" s="108"/>
      <c r="AR28" s="106"/>
      <c r="AS28" s="108"/>
    </row>
    <row r="29">
      <c r="A29" s="68"/>
      <c r="B29" s="106"/>
      <c r="C29" s="108"/>
      <c r="D29" s="106"/>
      <c r="E29" s="108"/>
      <c r="F29" s="106"/>
      <c r="G29" s="108"/>
      <c r="H29" s="106"/>
      <c r="I29" s="108"/>
      <c r="J29" s="106"/>
      <c r="K29" s="108"/>
      <c r="L29" s="106"/>
      <c r="M29" s="108"/>
      <c r="N29" s="106"/>
      <c r="O29" s="108"/>
      <c r="P29" s="106"/>
      <c r="Q29" s="108"/>
      <c r="R29" s="106"/>
      <c r="S29" s="108"/>
      <c r="T29" s="106"/>
      <c r="U29" s="108"/>
      <c r="V29" s="106"/>
      <c r="W29" s="108"/>
      <c r="X29" s="106"/>
      <c r="Y29" s="108"/>
      <c r="Z29" s="106"/>
      <c r="AA29" s="108"/>
      <c r="AB29" s="106"/>
      <c r="AC29" s="108"/>
      <c r="AD29" s="106"/>
      <c r="AE29" s="108"/>
      <c r="AF29" s="106"/>
      <c r="AG29" s="108"/>
      <c r="AH29" s="106"/>
      <c r="AI29" s="108"/>
      <c r="AJ29" s="106"/>
      <c r="AK29" s="108"/>
      <c r="AL29" s="106"/>
      <c r="AM29" s="108"/>
      <c r="AN29" s="106"/>
      <c r="AO29" s="108"/>
      <c r="AP29" s="106"/>
      <c r="AQ29" s="108"/>
      <c r="AR29" s="106"/>
      <c r="AS29" s="108"/>
    </row>
    <row r="30">
      <c r="B30" s="106"/>
      <c r="C30" s="108"/>
      <c r="D30" s="106"/>
      <c r="E30" s="108"/>
      <c r="F30" s="106"/>
      <c r="G30" s="108"/>
      <c r="H30" s="106"/>
      <c r="I30" s="108"/>
      <c r="J30" s="106"/>
      <c r="K30" s="108"/>
      <c r="L30" s="106"/>
      <c r="M30" s="108"/>
      <c r="N30" s="106"/>
      <c r="O30" s="108"/>
      <c r="P30" s="106"/>
      <c r="Q30" s="108"/>
      <c r="R30" s="106"/>
      <c r="S30" s="108"/>
      <c r="T30" s="106"/>
      <c r="U30" s="108"/>
      <c r="V30" s="106"/>
      <c r="W30" s="108"/>
      <c r="X30" s="106"/>
      <c r="Y30" s="108"/>
      <c r="Z30" s="106"/>
      <c r="AA30" s="108"/>
      <c r="AB30" s="106"/>
      <c r="AC30" s="108"/>
      <c r="AD30" s="106"/>
      <c r="AE30" s="108"/>
      <c r="AF30" s="106"/>
      <c r="AG30" s="108"/>
      <c r="AH30" s="106"/>
      <c r="AI30" s="108"/>
      <c r="AJ30" s="106"/>
      <c r="AK30" s="108"/>
      <c r="AL30" s="106"/>
      <c r="AM30" s="108"/>
      <c r="AN30" s="106"/>
      <c r="AO30" s="108"/>
      <c r="AP30" s="106"/>
      <c r="AQ30" s="108"/>
      <c r="AR30" s="106"/>
      <c r="AS30" s="108"/>
    </row>
    <row r="31">
      <c r="B31" s="106"/>
      <c r="C31" s="108"/>
      <c r="D31" s="106"/>
      <c r="E31" s="108"/>
      <c r="F31" s="106"/>
      <c r="G31" s="108"/>
      <c r="H31" s="106"/>
      <c r="I31" s="108"/>
      <c r="J31" s="106"/>
      <c r="K31" s="108"/>
      <c r="L31" s="106"/>
      <c r="M31" s="108"/>
      <c r="N31" s="106"/>
      <c r="O31" s="108"/>
      <c r="P31" s="106"/>
      <c r="Q31" s="108"/>
      <c r="R31" s="106"/>
      <c r="S31" s="108"/>
      <c r="T31" s="106"/>
      <c r="U31" s="108"/>
      <c r="V31" s="106"/>
      <c r="W31" s="108"/>
      <c r="X31" s="106"/>
      <c r="Y31" s="108"/>
      <c r="Z31" s="106"/>
      <c r="AA31" s="108"/>
      <c r="AB31" s="106"/>
      <c r="AC31" s="108"/>
      <c r="AD31" s="106"/>
      <c r="AE31" s="108"/>
      <c r="AF31" s="106"/>
      <c r="AG31" s="108"/>
      <c r="AH31" s="106"/>
      <c r="AI31" s="108"/>
      <c r="AJ31" s="106"/>
      <c r="AK31" s="108"/>
      <c r="AL31" s="106"/>
      <c r="AM31" s="108"/>
      <c r="AN31" s="106"/>
      <c r="AO31" s="108"/>
      <c r="AP31" s="106"/>
      <c r="AQ31" s="108"/>
      <c r="AR31" s="106"/>
      <c r="AS31" s="108"/>
    </row>
  </sheetData>
  <mergeCells count="22">
    <mergeCell ref="B1:C1"/>
    <mergeCell ref="D1:E1"/>
    <mergeCell ref="F1:G1"/>
    <mergeCell ref="H1:I1"/>
    <mergeCell ref="J1:K1"/>
    <mergeCell ref="L1:M1"/>
    <mergeCell ref="N1:O1"/>
    <mergeCell ref="AD1:AE1"/>
    <mergeCell ref="AF1:AG1"/>
    <mergeCell ref="AH1:AI1"/>
    <mergeCell ref="AJ1:AK1"/>
    <mergeCell ref="AL1:AM1"/>
    <mergeCell ref="AN1:AO1"/>
    <mergeCell ref="AP1:AQ1"/>
    <mergeCell ref="AR1:AS1"/>
    <mergeCell ref="P1:Q1"/>
    <mergeCell ref="R1:S1"/>
    <mergeCell ref="T1:U1"/>
    <mergeCell ref="V1:W1"/>
    <mergeCell ref="X1:Y1"/>
    <mergeCell ref="Z1:AA1"/>
    <mergeCell ref="AB1:AC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</cols>
  <sheetData>
    <row r="1">
      <c r="B1" s="106" t="s">
        <v>214</v>
      </c>
      <c r="D1" s="106" t="s">
        <v>360</v>
      </c>
      <c r="F1" s="106" t="s">
        <v>126</v>
      </c>
      <c r="H1" s="106" t="s">
        <v>150</v>
      </c>
      <c r="J1" s="106" t="s">
        <v>137</v>
      </c>
      <c r="L1" s="106" t="s">
        <v>170</v>
      </c>
      <c r="N1" s="106" t="s">
        <v>388</v>
      </c>
      <c r="P1" s="106" t="s">
        <v>305</v>
      </c>
      <c r="R1" s="106" t="s">
        <v>145</v>
      </c>
      <c r="T1" s="106" t="s">
        <v>714</v>
      </c>
      <c r="V1" s="106" t="s">
        <v>119</v>
      </c>
      <c r="X1" s="106" t="s">
        <v>434</v>
      </c>
      <c r="Z1" s="106" t="s">
        <v>129</v>
      </c>
      <c r="AB1" s="106" t="s">
        <v>448</v>
      </c>
      <c r="AD1" s="106" t="s">
        <v>165</v>
      </c>
      <c r="AF1" s="106" t="s">
        <v>134</v>
      </c>
      <c r="AH1" s="106" t="s">
        <v>207</v>
      </c>
      <c r="AJ1" s="106" t="s">
        <v>343</v>
      </c>
      <c r="AL1" s="106" t="s">
        <v>210</v>
      </c>
      <c r="AN1" s="106" t="s">
        <v>441</v>
      </c>
      <c r="AP1" s="106" t="s">
        <v>175</v>
      </c>
      <c r="AR1" s="106" t="s">
        <v>349</v>
      </c>
    </row>
    <row r="2">
      <c r="B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substrato"",Data_filtered!$A$2:$A$461=B$1,Data_filtered!$D$2:$D$461=""eucalipto"",Data_filtered!$J$2:$J$461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substrato"",Data_filtered!$A$2:$A$461=B$1,Data_filtered!$D$2:$D$461=""eucalipto"",Data"&amp;"_filtered!$J$2:$J$461 &lt;&gt;""Incompleto""))),"" indiv."",
  "" - "",
  SUMIFS(Data_filtered!$G$2:$G$461,Data_filtered!$A$2:$A$461,B$1,Data_filtered!$E$2:$E$461,""&lt;&gt;Não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1 indiv. - 1 items")</f>
        <v>Eucalyptus
1 indiv. - 1 items</v>
      </c>
      <c r="C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substrato"",Data_filtered!$A$2:$A$461=B$1,Data_filtered!$D$2:$D$461=""mata"",Data_filtered!$J$2:$J$461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substrato"",Data_filtered!$A$2:$A$461=B$1,Data_filtered!$D$2:$D$461=""mata"",Data_filter"&amp;"ed!$J$2:$J$461 &lt;&gt;""Incompleto""))), "" indiv."","" - "", SUMIFS(Data_filtered!$G$2:$G$461,Data_filtered!$A$2:$A$461,B$1,Data_filtered!$E$2:$E$461,""&lt;&gt;Não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1 indiv. - 1 items")</f>
        <v>Atlantic Forest
1 indiv. - 1 items</v>
      </c>
      <c r="D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substrato"",Data_filtered!$A$2:$A$461=D$1,Data_filtered!$D$2:$D$461=""eucalipto"",Data_filtered!$J$2:$J$461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substrato"",Data_filtered!$A$2:$A$461=D$1,Data_filtered!$D$2:$D$461=""eucalipto"",Data"&amp;"_filtered!$J$2:$J$461 &lt;&gt;""Incompleto""))),"" indiv."",
  "" - "",
  SUMIFS(Data_filtered!$G$2:$G$461,Data_filtered!$A$2:$A$461,D$1,Data_filtered!$E$2:$E$461,""&lt;&gt;Não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1 indiv. - 1 items")</f>
        <v>Eucalyptus
1 indiv. - 1 items</v>
      </c>
      <c r="E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substrato"",Data_filtered!$A$2:$A$461=D$1,Data_filtered!$D$2:$D$461=""mata"",Data_filtered!$J$2:$J$461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substrato"",Data_filtered!$A$2:$A$461=D$1,Data_filtered!$D$2:$D$461=""mata"",Data_filter"&amp;"ed!$J$2:$J$461 &lt;&gt;""Incompleto""))), "" indiv."","" - "", SUMIFS(Data_filtered!$G$2:$G$461,Data_filtered!$A$2:$A$461,D$1,Data_filtered!$E$2:$E$461,""&lt;&gt;Não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1 indiv. - 3 items")</f>
        <v>Atlantic Forest
1 indiv. - 3 items</v>
      </c>
      <c r="F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substrato"",Data_filtered!$A$2:$A$461=F$1,Data_filtered!$D$2:$D$461=""eucalipto"",Data_filtered!$J$2:$J$461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substrato"",Data_filtered!$A$2:$A$461=F$1,Data_filtered!$D$2:$D$461=""eucalipto"",Data"&amp;"_filtered!$J$2:$J$461 &lt;&gt;""Incompleto""))),"" indiv."",
  "" - "",
  SUMIFS(Data_filtered!$G$2:$G$461,Data_filtered!$A$2:$A$461,F$1,Data_filtered!$E$2:$E$461,""&lt;&gt;Não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G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substrato"",Data_filtered!$A$2:$A$461=F$1,Data_filtered!$D$2:$D$461=""mata"",Data_filtered!$J$2:$J$461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substrato"",Data_filtered!$A$2:$A$461=F$1,Data_filtered!$D$2:$D$461=""mata"",Data_filter"&amp;"ed!$J$2:$J$461 &lt;&gt;""Incompleto""))), "" indiv."","" - "", SUMIFS(Data_filtered!$G$2:$G$461,Data_filtered!$A$2:$A$461,F$1,Data_filtered!$E$2:$E$461,""&lt;&gt;Não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1 indiv. - 3 items")</f>
        <v>Atlantic Forest
1 indiv. - 3 items</v>
      </c>
      <c r="H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substrato"",Data_filtered!$A$2:$A$461=H$1,Data_filtered!$D$2:$D$461=""eucalipto"",Data_filtered!$J$2:$J$461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substrato"",Data_filtered!$A$2:$A$461=H$1,Data_filtered!$D$2:$D$461=""eucalipto"",Data"&amp;"_filtered!$J$2:$J$461 &lt;&gt;""Incompleto""))),"" indiv."",
  "" - "",
  SUMIFS(Data_filtered!$G$2:$G$461,Data_filtered!$A$2:$A$461,H$1,Data_filtered!$E$2:$E$461,""&lt;&gt;Não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I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substrato"",Data_filtered!$A$2:$A$461=H$1,Data_filtered!$D$2:$D$461=""mata"",Data_filtered!$J$2:$J$461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substrato"",Data_filtered!$A$2:$A$461=H$1,Data_filtered!$D$2:$D$461=""mata"",Data_filter"&amp;"ed!$J$2:$J$461 &lt;&gt;""Incompleto""))), "" indiv."","" - "", SUMIFS(Data_filtered!$G$2:$G$461,Data_filtered!$A$2:$A$461,H$1,Data_filtered!$E$2:$E$461,""&lt;&gt;Não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7 indiv. - 10 items")</f>
        <v>Atlantic Forest
7 indiv. - 10 items</v>
      </c>
      <c r="J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substrato"",Data_filtered!$A$2:$A$461=J$1,Data_filtered!$D$2:$D$461=""eucalipto"",Data_filtered!$J$2:$J$461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substrato"",Data_filtered!$A$2:$A$461=J$1,Data_filtered!$D$2:$D$461=""eucalipto"",Data"&amp;"_filtered!$J$2:$J$461 &lt;&gt;""Incompleto""))),"" indiv."",
  "" - "",
  SUMIFS(Data_filtered!$G$2:$G$461,Data_filtered!$A$2:$A$461,J$1,Data_filtered!$E$2:$E$461,""&lt;&gt;Não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11 indiv. - 82 items")</f>
        <v>Eucalyptus
11 indiv. - 82 items</v>
      </c>
      <c r="K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substrato"",Data_filtered!$A$2:$A$461=J$1,Data_filtered!$D$2:$D$461=""mata"",Data_filtered!$J$2:$J$461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substrato"",Data_filtered!$A$2:$A$461=J$1,Data_filtered!$D$2:$D$461=""mata"",Data_filter"&amp;"ed!$J$2:$J$461 &lt;&gt;""Incompleto""))), "" indiv."","" - "", SUMIFS(Data_filtered!$G$2:$G$461,Data_filtered!$A$2:$A$461,J$1,Data_filtered!$E$2:$E$461,""&lt;&gt;Não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2 indiv. - 4 items")</f>
        <v>Atlantic Forest
2 indiv. - 4 items</v>
      </c>
      <c r="L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substrato"",Data_filtered!$A$2:$A$461=L$1,Data_filtered!$D$2:$D$461=""eucalipto"",Data_filtered!$J$2:$J$461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substrato"",Data_filtered!$A$2:$A$461=L$1,Data_filtered!$D$2:$D$461=""eucalipto"",Data"&amp;"_filtered!$J$2:$J$461 &lt;&gt;""Incompleto""))),"" indiv."",
  "" - "",
  SUMIFS(Data_filtered!$G$2:$G$461,Data_filtered!$A$2:$A$461,L$1,Data_filtered!$E$2:$E$461,""&lt;&gt;Não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M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substrato"",Data_filtered!$A$2:$A$461=L$1,Data_filtered!$D$2:$D$461=""mata"",Data_filtered!$J$2:$J$461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substrato"",Data_filtered!$A$2:$A$461=L$1,Data_filtered!$D$2:$D$461=""mata"",Data_filter"&amp;"ed!$J$2:$J$461 &lt;&gt;""Incompleto""))), "" indiv."","" - "", SUMIFS(Data_filtered!$G$2:$G$461,Data_filtered!$A$2:$A$461,L$1,Data_filtered!$E$2:$E$461,""&lt;&gt;Não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7 indiv. - 21 items")</f>
        <v>Atlantic Forest
7 indiv. - 21 items</v>
      </c>
      <c r="N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substrato"",Data_filtered!$A$2:$A$461=N$1,Data_filtered!$D$2:$D$461=""eucalipto"",Data_filtered!$J$2:$J$461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substrato"",Data_filtered!$A$2:$A$461=N$1,Data_filtered!$D$2:$D$461=""eucalipto"",Data"&amp;"_filtered!$J$2:$J$461 &lt;&gt;""Incompleto""))),"" indiv."",
  "" - "",
  SUMIFS(Data_filtered!$G$2:$G$461,Data_filtered!$A$2:$A$461,N$1,Data_filtered!$E$2:$E$461,""&lt;&gt;Não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O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substrato"",Data_filtered!$A$2:$A$461=N$1,Data_filtered!$D$2:$D$461=""mata"",Data_filtered!$J$2:$J$461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substrato"",Data_filtered!$A$2:$A$461=N$1,Data_filtered!$D$2:$D$461=""mata"",Data_filter"&amp;"ed!$J$2:$J$461 &lt;&gt;""Incompleto""))), "" indiv."","" - "", SUMIFS(Data_filtered!$G$2:$G$461,Data_filtered!$A$2:$A$461,N$1,Data_filtered!$E$2:$E$461,""&lt;&gt;Não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1 indiv. - 1 items")</f>
        <v>Atlantic Forest
1 indiv. - 1 items</v>
      </c>
      <c r="P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substrato"",Data_filtered!$A$2:$A$461=P$1,Data_filtered!$D$2:$D$461=""eucalipto"",Data_filtered!$J$2:$J$461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substrato"",Data_filtered!$A$2:$A$461=P$1,Data_filtered!$D$2:$D$461=""eucalipto"",Data"&amp;"_filtered!$J$2:$J$461 &lt;&gt;""Incompleto""))),"" indiv."",
  "" - "",
  SUMIFS(Data_filtered!$G$2:$G$461,Data_filtered!$A$2:$A$461,P$1,Data_filtered!$E$2:$E$461,""&lt;&gt;Não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1 indiv. - 1 items")</f>
        <v>Eucalyptus
1 indiv. - 1 items</v>
      </c>
      <c r="Q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substrato"",Data_filtered!$A$2:$A$461=P$1,Data_filtered!$D$2:$D$461=""mata"",Data_filtered!$J$2:$J$461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substrato"",Data_filtered!$A$2:$A$461=P$1,Data_filtered!$D$2:$D$461=""mata"",Data_filter"&amp;"ed!$J$2:$J$461 &lt;&gt;""Incompleto""))), "" indiv."","" - "", SUMIFS(Data_filtered!$G$2:$G$461,Data_filtered!$A$2:$A$461,P$1,Data_filtered!$E$2:$E$461,""&lt;&gt;Não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4 indiv. - 5 items")</f>
        <v>Atlantic Forest
4 indiv. - 5 items</v>
      </c>
      <c r="R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substrato"",Data_filtered!$A$2:$A$461=R$1,Data_filtered!$D$2:$D$461=""eucalipto"",Data_filtered!$J$2:$J$461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substrato"",Data_filtered!$A$2:$A$461=R$1,Data_filtered!$D$2:$D$461=""eucalipto"",Data"&amp;"_filtered!$J$2:$J$461 &lt;&gt;""Incompleto""))),"" indiv."",
  "" - "",
  SUMIFS(Data_filtered!$G$2:$G$461,Data_filtered!$A$2:$A$461,R$1,Data_filtered!$E$2:$E$461,""&lt;&gt;Não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6 indiv. - 15 items")</f>
        <v>Eucalyptus
6 indiv. - 15 items</v>
      </c>
      <c r="S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substrato"",Data_filtered!$A$2:$A$461=R$1,Data_filtered!$D$2:$D$461=""mata"",Data_filtered!$J$2:$J$461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substrato"",Data_filtered!$A$2:$A$461=R$1,Data_filtered!$D$2:$D$461=""mata"",Data_filter"&amp;"ed!$J$2:$J$461 &lt;&gt;""Incompleto""))), "" indiv."","" - "", SUMIFS(Data_filtered!$G$2:$G$461,Data_filtered!$A$2:$A$461,R$1,Data_filtered!$E$2:$E$461,""&lt;&gt;Não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3 indiv. - 7 items")</f>
        <v>Atlantic Forest
3 indiv. - 7 items</v>
      </c>
      <c r="T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substrato"",Data_filtered!$A$2:$A$461=T$1,Data_filtered!$D$2:$D$461=""eucalipto"",Data_filtered!$J$2:$J$461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substrato"",Data_filtered!$A$2:$A$461=T$1,Data_filtered!$D$2:$D$461=""eucalipto"",Data"&amp;"_filtered!$J$2:$J$461 &lt;&gt;""Incompleto""))),"" indiv."",
  "" - "",
  SUMIFS(Data_filtered!$G$2:$G$461,Data_filtered!$A$2:$A$461,T$1,Data_filtered!$E$2:$E$461,""&lt;&gt;Não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U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substrato"",Data_filtered!$A$2:$A$461=T$1,Data_filtered!$D$2:$D$461=""mata"",Data_filtered!$J$2:$J$461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substrato"",Data_filtered!$A$2:$A$461=T$1,Data_filtered!$D$2:$D$461=""mata"",Data_filter"&amp;"ed!$J$2:$J$461 &lt;&gt;""Incompleto""))), "" indiv."","" - "", SUMIFS(Data_filtered!$G$2:$G$461,Data_filtered!$A$2:$A$461,T$1,Data_filtered!$E$2:$E$461,""&lt;&gt;Não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2 indiv. - 6 items")</f>
        <v>Atlantic Forest
2 indiv. - 6 items</v>
      </c>
      <c r="V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substrato"",Data_filtered!$A$2:$A$461=V$1,Data_filtered!$D$2:$D$461=""eucalipto"",Data_filtered!$J$2:$J$461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substrato"",Data_filtered!$A$2:$A$461=V$1,Data_filtered!$D$2:$D$461=""eucalipto"",Data"&amp;"_filtered!$J$2:$J$461 &lt;&gt;""Incompleto""))),"" indiv."",
  "" - "",
  SUMIFS(Data_filtered!$G$2:$G$461,Data_filtered!$A$2:$A$461,V$1,Data_filtered!$E$2:$E$461,""&lt;&gt;Não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8 indiv. - 22 items")</f>
        <v>Eucalyptus
8 indiv. - 22 items</v>
      </c>
      <c r="W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substrato"",Data_filtered!$A$2:$A$461=V$1,Data_filtered!$D$2:$D$461=""mata"",Data_filtered!$J$2:$J$461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substrato"",Data_filtered!$A$2:$A$461=V$1,Data_filtered!$D$2:$D$461=""mata"",Data_filter"&amp;"ed!$J$2:$J$461 &lt;&gt;""Incompleto""))), "" indiv."","" - "", SUMIFS(Data_filtered!$G$2:$G$461,Data_filtered!$A$2:$A$461,V$1,Data_filtered!$E$2:$E$461,""&lt;&gt;Não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1 indiv. - 1 items")</f>
        <v>Atlantic Forest
1 indiv. - 1 items</v>
      </c>
      <c r="X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substrato"",Data_filtered!$A$2:$A$461=X$1,Data_filtered!$D$2:$D$461=""eucalipto"",Data_filtered!$J$2:$J$461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substrato"",Data_filtered!$A$2:$A$461=X$1,Data_filtered!$D$2:$D$461=""eucalipto"",Data"&amp;"_filtered!$J$2:$J$461 &lt;&gt;""Incompleto""))),"" indiv."",
  "" - "",
  SUMIFS(Data_filtered!$G$2:$G$461,Data_filtered!$A$2:$A$461,X$1,Data_filtered!$E$2:$E$461,""&lt;&gt;Não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Y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substrato"",Data_filtered!$A$2:$A$461=X$1,Data_filtered!$D$2:$D$461=""mata"",Data_filtered!$J$2:$J$461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substrato"",Data_filtered!$A$2:$A$461=X$1,Data_filtered!$D$2:$D$461=""mata"",Data_filter"&amp;"ed!$J$2:$J$461 &lt;&gt;""Incompleto""))), "" indiv."","" - "", SUMIFS(Data_filtered!$G$2:$G$461,Data_filtered!$A$2:$A$461,X$1,Data_filtered!$E$2:$E$461,""&lt;&gt;Não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1 indiv. - 2 items")</f>
        <v>Atlantic Forest
1 indiv. - 2 items</v>
      </c>
      <c r="Z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substrato"",Data_filtered!$A$2:$A$461=Z$1,Data_filtered!$D$2:$D$461=""eucalipto"",Data_filtered!$J$2:$J$461 &lt;&gt;""Incompleto""),0)=0,0, COUNTUNIQUE(FILTER(Data_filtered!$B$2:$B$461,Data_filtered!$E$2:$E$461&lt;&gt;""Vazio"",Da"&amp;"ta_filtered!$E$2:$E$461&lt;&gt;""Não identificado"",Data_filtered!$E$2:$E$461&lt;&gt;""Semente"",Data_filtered!$E$2:$E$461&lt;&gt;""Semente de capim"",Data_filtered!$E$2:$E$461&lt;&gt;""Apenas substrato"",Data_filtered!$A$2:$A$461=Z$1,Data_filtered!$D$2:$D$461=""eucalipto"",Data"&amp;"_filtered!$J$2:$J$461 &lt;&gt;""Incompleto""))),"" indiv."",
  "" - "",
  SUMIFS(Data_filtered!$G$2:$G$461,Data_filtered!$A$2:$A$461,Z$1,Data_filtered!$E$2:$E$461,""&lt;&gt;Não identificado"",Data_filtered!$E$2:$E$461,""&lt;&gt;Semente"",Data_filtered!$E$2:$E$461,""&lt;&gt;Semen"&amp;"te de capim"",Data_filtered!$E$2:$E$461,""&lt;&gt;Apenas substrato"",Data_filtered!$D$2:$D$461,""=eucalipto"",Data_filtered!$J$2:$J$461,""&lt;&gt;Incompleto""), "" items""
)"),"Eucalyptus
1 indiv. - 1 items")</f>
        <v>Eucalyptus
1 indiv. - 1 items</v>
      </c>
      <c r="AA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substrato"",Data_filtered!$A$2:$A$461=Z$1,Data_filtered!$D$2:$D$461=""mata"",Data_filtered!$J$2:$J$461 &lt;&gt;""Incompleto""),0)=0,0, COUNTUNIQUE(FILTER(Data_filtered!$B$2:$B$461,Data_filtered!$E$2:$E$461&lt;&gt;""Vazio"",Data"&amp;"_filtered!$E$2:$E$461&lt;&gt;""Não identificado"",Data_filtered!$E$2:$E$461&lt;&gt;""Semente"",Data_filtered!$E$2:$E$461&lt;&gt;""Semente de capim"",Data_filtered!$E$2:$E$461&lt;&gt;""Apenas substrato"",Data_filtered!$A$2:$A$461=Z$1,Data_filtered!$D$2:$D$461=""mata"",Data_filter"&amp;"ed!$J$2:$J$461 &lt;&gt;""Incompleto""))), "" indiv."","" - "", SUMIFS(Data_filtered!$G$2:$G$461,Data_filtered!$A$2:$A$461,Z$1,Data_filtered!$E$2:$E$461,""&lt;&gt;Não identificado"",Data_filtered!$E$2:$E$461,""&lt;&gt;Semente"",Data_filtered!$E$2:$E$461,""&lt;&gt;Semente de capim"&amp;""",Data_filtered!$E$2:$E$461,""&lt;&gt;Apenas substrato"",Data_filtered!$D$2:$D$461,""=mata"",Data_filtered!$J$2:$J$461,""&lt;&gt;Incompleto""), "" items"")"),"Atlantic Forest
6 indiv. - 7 items")</f>
        <v>Atlantic Forest
6 indiv. - 7 items</v>
      </c>
      <c r="AB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substrato"",Data_filtered!$A$2:$A$461=AB$1,Data_filtered!$D$2:$D$461=""eucalipto"",Data_filtered!$J$2:$J$461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substrato"",Data_filtered!$A$2:$A$461=AB$1,Data_filtered!$D$2:$D$461=""eucalipto"",Da"&amp;"ta_filtered!$J$2:$J$461 &lt;&gt;""Incompleto""))),"" indiv."",
  "" - "",
  SUMIFS(Data_filtered!$G$2:$G$461,Data_filtered!$A$2:$A$461,AB$1,Data_filtered!$E$2:$E$461,""&lt;&gt;Não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AC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substrato"",Data_filtered!$A$2:$A$461=AB$1,Data_filtered!$D$2:$D$461=""mata"",Data_filtered!$J$2:$J$461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substrato"",Data_filtered!$A$2:$A$461=AB$1,Data_filtered!$D$2:$D$461=""mata"",Data_filt"&amp;"ered!$J$2:$J$461 &lt;&gt;""Incompleto""))), "" indiv."","" - "", SUMIFS(Data_filtered!$G$2:$G$461,Data_filtered!$A$2:$A$461,AB$1,Data_filtered!$E$2:$E$461,""&lt;&gt;Não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1 indiv. - 3 items")</f>
        <v>Atlantic Forest
1 indiv. - 3 items</v>
      </c>
      <c r="AD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substrato"",Data_filtered!$A$2:$A$461=AD$1,Data_filtered!$D$2:$D$461=""eucalipto"",Data_filtered!$J$2:$J$461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substrato"",Data_filtered!$A$2:$A$461=AD$1,Data_filtered!$D$2:$D$461=""eucalipto"",Da"&amp;"ta_filtered!$J$2:$J$461 &lt;&gt;""Incompleto""))),"" indiv."",
  "" - "",
  SUMIFS(Data_filtered!$G$2:$G$461,Data_filtered!$A$2:$A$461,AD$1,Data_filtered!$E$2:$E$461,""&lt;&gt;Não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AE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substrato"",Data_filtered!$A$2:$A$461=AD$1,Data_filtered!$D$2:$D$461=""mata"",Data_filtered!$J$2:$J$461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substrato"",Data_filtered!$A$2:$A$461=AD$1,Data_filtered!$D$2:$D$461=""mata"",Data_filt"&amp;"ered!$J$2:$J$461 &lt;&gt;""Incompleto""))), "" indiv."","" - "", SUMIFS(Data_filtered!$G$2:$G$461,Data_filtered!$A$2:$A$461,AD$1,Data_filtered!$E$2:$E$461,""&lt;&gt;Não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1 indiv. - 2 items")</f>
        <v>Atlantic Forest
1 indiv. - 2 items</v>
      </c>
      <c r="AF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substrato"",Data_filtered!$A$2:$A$461=AF$1,Data_filtered!$D$2:$D$461=""eucalipto"",Data_filtered!$J$2:$J$461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substrato"",Data_filtered!$A$2:$A$461=AF$1,Data_filtered!$D$2:$D$461=""eucalipto"",Da"&amp;"ta_filtered!$J$2:$J$461 &lt;&gt;""Incompleto""))),"" indiv."",
  "" - "",
  SUMIFS(Data_filtered!$G$2:$G$461,Data_filtered!$A$2:$A$461,AF$1,Data_filtered!$E$2:$E$461,""&lt;&gt;Não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3 indiv. - 16 items")</f>
        <v>Eucalyptus
3 indiv. - 16 items</v>
      </c>
      <c r="AG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substrato"",Data_filtered!$A$2:$A$461=AF$1,Data_filtered!$D$2:$D$461=""mata"",Data_filtered!$J$2:$J$461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substrato"",Data_filtered!$A$2:$A$461=AF$1,Data_filtered!$D$2:$D$461=""mata"",Data_filt"&amp;"ered!$J$2:$J$461 &lt;&gt;""Incompleto""))), "" indiv."","" - "", SUMIFS(Data_filtered!$G$2:$G$461,Data_filtered!$A$2:$A$461,AF$1,Data_filtered!$E$2:$E$461,""&lt;&gt;Não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6 indiv. - 28 items")</f>
        <v>Atlantic Forest
6 indiv. - 28 items</v>
      </c>
      <c r="AH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substrato"",Data_filtered!$A$2:$A$461=AH$1,Data_filtered!$D$2:$D$461=""eucalipto"",Data_filtered!$J$2:$J$461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substrato"",Data_filtered!$A$2:$A$461=AH$1,Data_filtered!$D$2:$D$461=""eucalipto"",Da"&amp;"ta_filtered!$J$2:$J$461 &lt;&gt;""Incompleto""))),"" indiv."",
  "" - "",
  SUMIFS(Data_filtered!$G$2:$G$461,Data_filtered!$A$2:$A$461,AH$1,Data_filtered!$E$2:$E$461,""&lt;&gt;Não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1 indiv. - 1 items")</f>
        <v>Eucalyptus
1 indiv. - 1 items</v>
      </c>
      <c r="AI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substrato"",Data_filtered!$A$2:$A$461=AH$1,Data_filtered!$D$2:$D$461=""mata"",Data_filtered!$J$2:$J$461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substrato"",Data_filtered!$A$2:$A$461=AH$1,Data_filtered!$D$2:$D$461=""mata"",Data_filt"&amp;"ered!$J$2:$J$461 &lt;&gt;""Incompleto""))), "" indiv."","" - "", SUMIFS(Data_filtered!$G$2:$G$461,Data_filtered!$A$2:$A$461,AH$1,Data_filtered!$E$2:$E$461,""&lt;&gt;Não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7 indiv. - 17 items")</f>
        <v>Atlantic Forest
7 indiv. - 17 items</v>
      </c>
      <c r="AJ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substrato"",Data_filtered!$A$2:$A$461=AJ$1,Data_filtered!$D$2:$D$461=""eucalipto"",Data_filtered!$J$2:$J$461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substrato"",Data_filtered!$A$2:$A$461=AJ$1,Data_filtered!$D$2:$D$461=""eucalipto"",Da"&amp;"ta_filtered!$J$2:$J$461 &lt;&gt;""Incompleto""))),"" indiv."",
  "" - "",
  SUMIFS(Data_filtered!$G$2:$G$461,Data_filtered!$A$2:$A$461,AJ$1,Data_filtered!$E$2:$E$461,""&lt;&gt;Não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AK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substrato"",Data_filtered!$A$2:$A$461=AJ$1,Data_filtered!$D$2:$D$461=""mata"",Data_filtered!$J$2:$J$461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substrato"",Data_filtered!$A$2:$A$461=AJ$1,Data_filtered!$D$2:$D$461=""mata"",Data_filt"&amp;"ered!$J$2:$J$461 &lt;&gt;""Incompleto""))), "" indiv."","" - "", SUMIFS(Data_filtered!$G$2:$G$461,Data_filtered!$A$2:$A$461,AJ$1,Data_filtered!$E$2:$E$461,""&lt;&gt;Não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3 indiv. - 6 items")</f>
        <v>Atlantic Forest
3 indiv. - 6 items</v>
      </c>
      <c r="AL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substrato"",Data_filtered!$A$2:$A$461=AL$1,Data_filtered!$D$2:$D$461=""eucalipto"",Data_filtered!$J$2:$J$461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substrato"",Data_filtered!$A$2:$A$461=AL$1,Data_filtered!$D$2:$D$461=""eucalipto"",Da"&amp;"ta_filtered!$J$2:$J$461 &lt;&gt;""Incompleto""))),"" indiv."",
  "" - "",
  SUMIFS(Data_filtered!$G$2:$G$461,Data_filtered!$A$2:$A$461,AL$1,Data_filtered!$E$2:$E$461,""&lt;&gt;Não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2 indiv. - 13 items")</f>
        <v>Eucalyptus
2 indiv. - 13 items</v>
      </c>
      <c r="AM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substrato"",Data_filtered!$A$2:$A$461=AL$1,Data_filtered!$D$2:$D$461=""mata"",Data_filtered!$J$2:$J$461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substrato"",Data_filtered!$A$2:$A$461=AL$1,Data_filtered!$D$2:$D$461=""mata"",Data_filt"&amp;"ered!$J$2:$J$461 &lt;&gt;""Incompleto""))), "" indiv."","" - "", SUMIFS(Data_filtered!$G$2:$G$461,Data_filtered!$A$2:$A$461,AL$1,Data_filtered!$E$2:$E$461,""&lt;&gt;Não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10 indiv. - 193 items")</f>
        <v>Atlantic Forest
10 indiv. - 193 items</v>
      </c>
      <c r="AN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substrato"",Data_filtered!$A$2:$A$461=AN$1,Data_filtered!$D$2:$D$461=""eucalipto"",Data_filtered!$J$2:$J$461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substrato"",Data_filtered!$A$2:$A$461=AN$1,Data_filtered!$D$2:$D$461=""eucalipto"",Da"&amp;"ta_filtered!$J$2:$J$461 &lt;&gt;""Incompleto""))),"" indiv."",
  "" - "",
  SUMIFS(Data_filtered!$G$2:$G$461,Data_filtered!$A$2:$A$461,AN$1,Data_filtered!$E$2:$E$461,""&lt;&gt;Não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AO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substrato"",Data_filtered!$A$2:$A$461=AN$1,Data_filtered!$D$2:$D$461=""mata"",Data_filtered!$J$2:$J$461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substrato"",Data_filtered!$A$2:$A$461=AN$1,Data_filtered!$D$2:$D$461=""mata"",Data_filt"&amp;"ered!$J$2:$J$461 &lt;&gt;""Incompleto""))), "" indiv."","" - "", SUMIFS(Data_filtered!$G$2:$G$461,Data_filtered!$A$2:$A$461,AN$1,Data_filtered!$E$2:$E$461,""&lt;&gt;Não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2 indiv. - 69 items")</f>
        <v>Atlantic Forest
2 indiv. - 69 items</v>
      </c>
      <c r="AP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substrato"",Data_filtered!$A$2:$A$461=AP$1,Data_filtered!$D$2:$D$461=""eucalipto"",Data_filtered!$J$2:$J$461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substrato"",Data_filtered!$A$2:$A$461=AP$1,Data_filtered!$D$2:$D$461=""eucalipto"",Da"&amp;"ta_filtered!$J$2:$J$461 &lt;&gt;""Incompleto""))),"" indiv."",
  "" - "",
  SUMIFS(Data_filtered!$G$2:$G$461,Data_filtered!$A$2:$A$461,AP$1,Data_filtered!$E$2:$E$461,""&lt;&gt;Não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AQ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substrato"",Data_filtered!$A$2:$A$461=AP$1,Data_filtered!$D$2:$D$461=""mata"",Data_filtered!$J$2:$J$461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substrato"",Data_filtered!$A$2:$A$461=AP$1,Data_filtered!$D$2:$D$461=""mata"",Data_filt"&amp;"ered!$J$2:$J$461 &lt;&gt;""Incompleto""))), "" indiv."","" - "", SUMIFS(Data_filtered!$G$2:$G$461,Data_filtered!$A$2:$A$461,AP$1,Data_filtered!$E$2:$E$461,""&lt;&gt;Não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4 indiv. - 7 items")</f>
        <v>Atlantic Forest
4 indiv. - 7 items</v>
      </c>
      <c r="AR2" s="106" t="str">
        <f>IFERROR(__xludf.DUMMYFUNCTION("CONCATENATE(""Eucalyptus"", CHAR(10),
  IF(IFERROR(FILTER(Data_filtered!$B$2:$B$461,Data_filtered!$E$2:$E$461&lt;&gt;""Vazio"",Data_filtered!$E$2:$E$461&lt;&gt;""Não identificado"",Data_filtered!$E$2:$E$461&lt;&gt;""Semente"",Data_filtered!$E$2:$E$461&lt;&gt;""Semente de capim"""&amp;",Data_filtered!$E$2:$E$461&lt;&gt;""Apenas substrato"",Data_filtered!$A$2:$A$461=AR$1,Data_filtered!$D$2:$D$461=""eucalipto"",Data_filtered!$J$2:$J$461 &lt;&gt;""Incompleto""),0)=0,0, COUNTUNIQUE(FILTER(Data_filtered!$B$2:$B$461,Data_filtered!$E$2:$E$461&lt;&gt;""Vazio"",D"&amp;"ata_filtered!$E$2:$E$461&lt;&gt;""Não identificado"",Data_filtered!$E$2:$E$461&lt;&gt;""Semente"",Data_filtered!$E$2:$E$461&lt;&gt;""Semente de capim"",Data_filtered!$E$2:$E$461&lt;&gt;""Apenas substrato"",Data_filtered!$A$2:$A$461=AR$1,Data_filtered!$D$2:$D$461=""eucalipto"",Da"&amp;"ta_filtered!$J$2:$J$461 &lt;&gt;""Incompleto""))),"" indiv."",
  "" - "",
  SUMIFS(Data_filtered!$G$2:$G$461,Data_filtered!$A$2:$A$461,AR$1,Data_filtered!$E$2:$E$461,""&lt;&gt;Não identificado"",Data_filtered!$E$2:$E$461,""&lt;&gt;Semente"",Data_filtered!$E$2:$E$461,""&lt;&gt;Se"&amp;"mente de capim"",Data_filtered!$E$2:$E$461,""&lt;&gt;Apenas substrato"",Data_filtered!$D$2:$D$461,""=eucalipto"",Data_filtered!$J$2:$J$461,""&lt;&gt;Incompleto""), "" items""
)"),"Eucalyptus
0 indiv. - 0 items")</f>
        <v>Eucalyptus
0 indiv. - 0 items</v>
      </c>
      <c r="AS2" s="106" t="str">
        <f>IFERROR(__xludf.DUMMYFUNCTION("CONCATENATE(""Atlantic Forest"", CHAR(10), IF(IFERROR(FILTER(Data_filtered!$B$2:$B$461,Data_filtered!$E$2:$E$461&lt;&gt;""Vazio"",Data_filtered!$E$2:$E$461&lt;&gt;""Não identificado"",Data_filtered!$E$2:$E$461&lt;&gt;""Semente"",Data_filtered!$E$2:$E$461&lt;&gt;""Semente de capi"&amp;"m"",Data_filtered!$E$2:$E$461&lt;&gt;""Apenas substrato"",Data_filtered!$A$2:$A$461=AR$1,Data_filtered!$D$2:$D$461=""mata"",Data_filtered!$J$2:$J$461 &lt;&gt;""Incompleto""),0)=0,0, COUNTUNIQUE(FILTER(Data_filtered!$B$2:$B$461,Data_filtered!$E$2:$E$461&lt;&gt;""Vazio"",Dat"&amp;"a_filtered!$E$2:$E$461&lt;&gt;""Não identificado"",Data_filtered!$E$2:$E$461&lt;&gt;""Semente"",Data_filtered!$E$2:$E$461&lt;&gt;""Semente de capim"",Data_filtered!$E$2:$E$461&lt;&gt;""Apenas substrato"",Data_filtered!$A$2:$A$461=AR$1,Data_filtered!$D$2:$D$461=""mata"",Data_filt"&amp;"ered!$J$2:$J$461 &lt;&gt;""Incompleto""))), "" indiv."","" - "", SUMIFS(Data_filtered!$G$2:$G$461,Data_filtered!$A$2:$A$461,AR$1,Data_filtered!$E$2:$E$461,""&lt;&gt;Não identificado"",Data_filtered!$E$2:$E$461,""&lt;&gt;Semente"",Data_filtered!$E$2:$E$461,""&lt;&gt;Semente de ca"&amp;"pim"",Data_filtered!$E$2:$E$461,""&lt;&gt;Apenas substrato"",Data_filtered!$D$2:$D$461,""=mata"",Data_filtered!$J$2:$J$461,""&lt;&gt;Incompleto""), "" items"")"),"Atlantic Forest
1 indiv. - 1 items")</f>
        <v>Atlantic Forest
1 indiv. - 1 items</v>
      </c>
    </row>
    <row r="3">
      <c r="A3" s="9" t="str">
        <f>IFERROR(__xludf.DUMMYFUNCTION("SORT(UNIQUE(FILTER(Data_filtered!F2:F461,Data_filtered!E$2:E$461&lt;&gt;""Não identificado"",Data_filtered!E$2:E$461&lt;&gt;""Semente"",Data_filtered!E$2:E$461&lt;&gt;""Semente de capim"",Data_filtered!E$2:E$461&lt;&gt;""Apenas substrato"",Data_filtered!E$2:E$461&lt;&gt;""Vazio"",Data"&amp;"_filtered!$J$2:$J$461 &lt;&gt;""Incompleto"")))"),"Acari")</f>
        <v>Acari</v>
      </c>
      <c r="B3" s="109" t="str">
        <f>IF(SUMIFS(Data_filtered!$K$2:$K$461,Data_filtered!$A$2:$A$461,B$1,Data_filtered!$F$2:$F$461,$A3, Data_filtered!$D$2:$D$461,"eucalipto",Data_filtered!$J$2:$J$461,"&lt;&gt;Incompleto")=0, "-", SUMIFS(Data_filtered!$K$2:$K$461,Data_filtered!$A$2:$A$461,B$1,Data_filtered!$F$2:$F$461,$A3, Data_filtered!$D$2:$D$461,"eucalipto",Data_filtered!$J$2:$J$461,"&lt;&gt;Incompleto"))</f>
        <v>-</v>
      </c>
      <c r="C3" s="110" t="str">
        <f>IF(SUMIFS(Data_filtered!$K$2:$K$461,Data_filtered!$A$2:$A$461,B$1,Data_filtered!$F$2:$F$461,$A3, Data_filtered!$D$2:$D$461,"mata",Data_filtered!$J$2:$J$461,"&lt;&gt;Incompleto")=0, "-", SUMIFS(Data_filtered!$K$2:$K$461,Data_filtered!$A$2:$A$461,B$1,Data_filtered!$F$2:$F$461,$A3, Data_filtered!$D$2:$D$461,"mata",Data_filtered!$J$2:$J$461,"&lt;&gt;Incompleto"))
</f>
        <v>-</v>
      </c>
      <c r="D3" s="109" t="str">
        <f>IF(SUMIFS(Data_filtered!$K$2:$K$461,Data_filtered!$A$2:$A$461,D$1,Data_filtered!$F$2:$F$461,$A3, Data_filtered!$D$2:$D$461,"eucalipto",Data_filtered!$J$2:$J$461,"&lt;&gt;Incompleto")=0, "-", SUMIFS(Data_filtered!$K$2:$K$461,Data_filtered!$A$2:$A$461,D$1,Data_filtered!$F$2:$F$461,$A3, Data_filtered!$D$2:$D$461,"eucalipto",Data_filtered!$J$2:$J$461,"&lt;&gt;Incompleto"))</f>
        <v>-</v>
      </c>
      <c r="E3" s="110" t="str">
        <f>IF(SUMIFS(Data_filtered!$K$2:$K$461,Data_filtered!$A$2:$A$461,D$1,Data_filtered!$F$2:$F$461,$A3, Data_filtered!$D$2:$D$461,"mata",Data_filtered!$J$2:$J$461,"&lt;&gt;Incompleto")=0, "-", SUMIFS(Data_filtered!$K$2:$K$461,Data_filtered!$A$2:$A$461,D$1,Data_filtered!$F$2:$F$461,$A3, Data_filtered!$D$2:$D$461,"mata",Data_filtered!$J$2:$J$461,"&lt;&gt;Incompleto"))
</f>
        <v>-</v>
      </c>
      <c r="F3" s="109" t="str">
        <f>IF(SUMIFS(Data_filtered!$K$2:$K$461,Data_filtered!$A$2:$A$461,F$1,Data_filtered!$F$2:$F$461,$A3, Data_filtered!$D$2:$D$461,"eucalipto",Data_filtered!$J$2:$J$461,"&lt;&gt;Incompleto")=0, "-", SUMIFS(Data_filtered!$K$2:$K$461,Data_filtered!$A$2:$A$461,F$1,Data_filtered!$F$2:$F$461,$A3, Data_filtered!$D$2:$D$461,"eucalipto",Data_filtered!$J$2:$J$461,"&lt;&gt;Incompleto"))</f>
        <v>-</v>
      </c>
      <c r="G3" s="110" t="str">
        <f>IF(SUMIFS(Data_filtered!$K$2:$K$461,Data_filtered!$A$2:$A$461,F$1,Data_filtered!$F$2:$F$461,$A3, Data_filtered!$D$2:$D$461,"mata",Data_filtered!$J$2:$J$461,"&lt;&gt;Incompleto")=0, "-", SUMIFS(Data_filtered!$K$2:$K$461,Data_filtered!$A$2:$A$461,F$1,Data_filtered!$F$2:$F$461,$A3, Data_filtered!$D$2:$D$461,"mata",Data_filtered!$J$2:$J$461,"&lt;&gt;Incompleto"))
</f>
        <v>-</v>
      </c>
      <c r="H3" s="109" t="str">
        <f>IF(SUMIFS(Data_filtered!$K$2:$K$461,Data_filtered!$A$2:$A$461,H$1,Data_filtered!$F$2:$F$461,$A3, Data_filtered!$D$2:$D$461,"eucalipto",Data_filtered!$J$2:$J$461,"&lt;&gt;Incompleto")=0, "-", SUMIFS(Data_filtered!$K$2:$K$461,Data_filtered!$A$2:$A$461,H$1,Data_filtered!$F$2:$F$461,$A3, Data_filtered!$D$2:$D$461,"eucalipto",Data_filtered!$J$2:$J$461,"&lt;&gt;Incompleto"))</f>
        <v>-</v>
      </c>
      <c r="I3" s="110">
        <f>IF(SUMIFS(Data_filtered!$K$2:$K$461,Data_filtered!$A$2:$A$461,H$1,Data_filtered!$F$2:$F$461,$A3, Data_filtered!$D$2:$D$461,"mata",Data_filtered!$J$2:$J$461,"&lt;&gt;Incompleto")=0, "-", SUMIFS(Data_filtered!$K$2:$K$461,Data_filtered!$A$2:$A$461,H$1,Data_filtered!$F$2:$F$461,$A3, Data_filtered!$D$2:$D$461,"mata",Data_filtered!$J$2:$J$461,"&lt;&gt;Incompleto"))
</f>
        <v>4.188790205</v>
      </c>
      <c r="J3" s="109">
        <f>IF(SUMIFS(Data_filtered!$K$2:$K$461,Data_filtered!$A$2:$A$461,J$1,Data_filtered!$F$2:$F$461,$A3, Data_filtered!$D$2:$D$461,"eucalipto",Data_filtered!$J$2:$J$461,"&lt;&gt;Incompleto")=0, "-", SUMIFS(Data_filtered!$K$2:$K$461,Data_filtered!$A$2:$A$461,J$1,Data_filtered!$F$2:$F$461,$A3, Data_filtered!$D$2:$D$461,"eucalipto",Data_filtered!$J$2:$J$461,"&lt;&gt;Incompleto"))</f>
        <v>0.5235987756</v>
      </c>
      <c r="K3" s="110" t="str">
        <f>IF(SUMIFS(Data_filtered!$K$2:$K$461,Data_filtered!$A$2:$A$461,J$1,Data_filtered!$F$2:$F$461,$A3, Data_filtered!$D$2:$D$461,"mata",Data_filtered!$J$2:$J$461,"&lt;&gt;Incompleto")=0, "-", SUMIFS(Data_filtered!$K$2:$K$461,Data_filtered!$A$2:$A$461,J$1,Data_filtered!$F$2:$F$461,$A3, Data_filtered!$D$2:$D$461,"mata",Data_filtered!$J$2:$J$461,"&lt;&gt;Incompleto"))
</f>
        <v>-</v>
      </c>
      <c r="L3" s="109" t="str">
        <f>IF(SUMIFS(Data_filtered!$K$2:$K$461,Data_filtered!$A$2:$A$461,L$1,Data_filtered!$F$2:$F$461,$A3, Data_filtered!$D$2:$D$461,"eucalipto",Data_filtered!$J$2:$J$461,"&lt;&gt;Incompleto")=0, "-", SUMIFS(Data_filtered!$K$2:$K$461,Data_filtered!$A$2:$A$461,L$1,Data_filtered!$F$2:$F$461,$A3, Data_filtered!$D$2:$D$461,"eucalipto",Data_filtered!$J$2:$J$461,"&lt;&gt;Incompleto"))</f>
        <v>-</v>
      </c>
      <c r="M3" s="110" t="str">
        <f>IF(SUMIFS(Data_filtered!$K$2:$K$461,Data_filtered!$A$2:$A$461,L$1,Data_filtered!$F$2:$F$461,$A3, Data_filtered!$D$2:$D$461,"mata",Data_filtered!$J$2:$J$461,"&lt;&gt;Incompleto")=0, "-", SUMIFS(Data_filtered!$K$2:$K$461,Data_filtered!$A$2:$A$461,L$1,Data_filtered!$F$2:$F$461,$A3, Data_filtered!$D$2:$D$461,"mata",Data_filtered!$J$2:$J$461,"&lt;&gt;Incompleto"))
</f>
        <v>-</v>
      </c>
      <c r="N3" s="109" t="str">
        <f>IF(SUMIFS(Data_filtered!$K$2:$K$461,Data_filtered!$A$2:$A$461,N$1,Data_filtered!$F$2:$F$461,$A3, Data_filtered!$D$2:$D$461,"eucalipto",Data_filtered!$J$2:$J$461,"&lt;&gt;Incompleto")=0, "-", SUMIFS(Data_filtered!$K$2:$K$461,Data_filtered!$A$2:$A$461,N$1,Data_filtered!$F$2:$F$461,$A3, Data_filtered!$D$2:$D$461,"eucalipto",Data_filtered!$J$2:$J$461,"&lt;&gt;Incompleto"))</f>
        <v>-</v>
      </c>
      <c r="O3" s="110" t="str">
        <f>IF(SUMIFS(Data_filtered!$K$2:$K$461,Data_filtered!$A$2:$A$461,N$1,Data_filtered!$F$2:$F$461,$A3, Data_filtered!$D$2:$D$461,"mata",Data_filtered!$J$2:$J$461,"&lt;&gt;Incompleto")=0, "-", SUMIFS(Data_filtered!$K$2:$K$461,Data_filtered!$A$2:$A$461,N$1,Data_filtered!$F$2:$F$461,$A3, Data_filtered!$D$2:$D$461,"mata",Data_filtered!$J$2:$J$461,"&lt;&gt;Incompleto"))
</f>
        <v>-</v>
      </c>
      <c r="P3" s="109" t="str">
        <f>IF(SUMIFS(Data_filtered!$K$2:$K$461,Data_filtered!$A$2:$A$461,P$1,Data_filtered!$F$2:$F$461,$A3, Data_filtered!$D$2:$D$461,"eucalipto",Data_filtered!$J$2:$J$461,"&lt;&gt;Incompleto")=0, "-", SUMIFS(Data_filtered!$K$2:$K$461,Data_filtered!$A$2:$A$461,P$1,Data_filtered!$F$2:$F$461,$A3, Data_filtered!$D$2:$D$461,"eucalipto",Data_filtered!$J$2:$J$461,"&lt;&gt;Incompleto"))</f>
        <v>-</v>
      </c>
      <c r="Q3" s="110" t="str">
        <f>IF(SUMIFS(Data_filtered!$K$2:$K$461,Data_filtered!$A$2:$A$461,P$1,Data_filtered!$F$2:$F$461,$A3, Data_filtered!$D$2:$D$461,"mata",Data_filtered!$J$2:$J$461,"&lt;&gt;Incompleto")=0, "-", SUMIFS(Data_filtered!$K$2:$K$461,Data_filtered!$A$2:$A$461,P$1,Data_filtered!$F$2:$F$461,$A3, Data_filtered!$D$2:$D$461,"mata",Data_filtered!$J$2:$J$461,"&lt;&gt;Incompleto"))
</f>
        <v>-</v>
      </c>
      <c r="R3" s="109" t="str">
        <f>IF(SUMIFS(Data_filtered!$K$2:$K$461,Data_filtered!$A$2:$A$461,R$1,Data_filtered!$F$2:$F$461,$A3, Data_filtered!$D$2:$D$461,"eucalipto",Data_filtered!$J$2:$J$461,"&lt;&gt;Incompleto")=0, "-", SUMIFS(Data_filtered!$K$2:$K$461,Data_filtered!$A$2:$A$461,R$1,Data_filtered!$F$2:$F$461,$A3, Data_filtered!$D$2:$D$461,"eucalipto",Data_filtered!$J$2:$J$461,"&lt;&gt;Incompleto"))</f>
        <v>-</v>
      </c>
      <c r="S3" s="110" t="str">
        <f>IF(SUMIFS(Data_filtered!$K$2:$K$461,Data_filtered!$A$2:$A$461,R$1,Data_filtered!$F$2:$F$461,$A3, Data_filtered!$D$2:$D$461,"mata",Data_filtered!$J$2:$J$461,"&lt;&gt;Incompleto")=0, "-", SUMIFS(Data_filtered!$K$2:$K$461,Data_filtered!$A$2:$A$461,R$1,Data_filtered!$F$2:$F$461,$A3, Data_filtered!$D$2:$D$461,"mata",Data_filtered!$J$2:$J$461,"&lt;&gt;Incompleto"))
</f>
        <v>-</v>
      </c>
      <c r="T3" s="109" t="str">
        <f>IF(SUMIFS(Data_filtered!$K$2:$K$461,Data_filtered!$A$2:$A$461,T$1,Data_filtered!$F$2:$F$461,$A3, Data_filtered!$D$2:$D$461,"eucalipto",Data_filtered!$J$2:$J$461,"&lt;&gt;Incompleto")=0, "-", SUMIFS(Data_filtered!$K$2:$K$461,Data_filtered!$A$2:$A$461,T$1,Data_filtered!$F$2:$F$461,$A3, Data_filtered!$D$2:$D$461,"eucalipto",Data_filtered!$J$2:$J$461,"&lt;&gt;Incompleto"))</f>
        <v>-</v>
      </c>
      <c r="U3" s="110" t="str">
        <f>IF(SUMIFS(Data_filtered!$K$2:$K$461,Data_filtered!$A$2:$A$461,T$1,Data_filtered!$F$2:$F$461,$A3, Data_filtered!$D$2:$D$461,"mata",Data_filtered!$J$2:$J$461,"&lt;&gt;Incompleto")=0, "-", SUMIFS(Data_filtered!$K$2:$K$461,Data_filtered!$A$2:$A$461,T$1,Data_filtered!$F$2:$F$461,$A3, Data_filtered!$D$2:$D$461,"mata",Data_filtered!$J$2:$J$461,"&lt;&gt;Incompleto"))
</f>
        <v>-</v>
      </c>
      <c r="V3" s="109" t="str">
        <f>IF(SUMIFS(Data_filtered!$K$2:$K$461,Data_filtered!$A$2:$A$461,V$1,Data_filtered!$F$2:$F$461,$A3, Data_filtered!$D$2:$D$461,"eucalipto",Data_filtered!$J$2:$J$461,"&lt;&gt;Incompleto")=0, "-", SUMIFS(Data_filtered!$K$2:$K$461,Data_filtered!$A$2:$A$461,V$1,Data_filtered!$F$2:$F$461,$A3, Data_filtered!$D$2:$D$461,"eucalipto",Data_filtered!$J$2:$J$461,"&lt;&gt;Incompleto"))</f>
        <v>-</v>
      </c>
      <c r="W3" s="110" t="str">
        <f>IF(SUMIFS(Data_filtered!$K$2:$K$461,Data_filtered!$A$2:$A$461,V$1,Data_filtered!$F$2:$F$461,$A3, Data_filtered!$D$2:$D$461,"mata",Data_filtered!$J$2:$J$461,"&lt;&gt;Incompleto")=0, "-", SUMIFS(Data_filtered!$K$2:$K$461,Data_filtered!$A$2:$A$461,V$1,Data_filtered!$F$2:$F$461,$A3, Data_filtered!$D$2:$D$461,"mata",Data_filtered!$J$2:$J$461,"&lt;&gt;Incompleto"))
</f>
        <v>-</v>
      </c>
      <c r="X3" s="109" t="str">
        <f>IF(SUMIFS(Data_filtered!$K$2:$K$461,Data_filtered!$A$2:$A$461,X$1,Data_filtered!$F$2:$F$461,$A3, Data_filtered!$D$2:$D$461,"eucalipto",Data_filtered!$J$2:$J$461,"&lt;&gt;Incompleto")=0, "-", SUMIFS(Data_filtered!$K$2:$K$461,Data_filtered!$A$2:$A$461,X$1,Data_filtered!$F$2:$F$461,$A3, Data_filtered!$D$2:$D$461,"eucalipto",Data_filtered!$J$2:$J$461,"&lt;&gt;Incompleto"))</f>
        <v>-</v>
      </c>
      <c r="Y3" s="110" t="str">
        <f>IF(SUMIFS(Data_filtered!$K$2:$K$461,Data_filtered!$A$2:$A$461,X$1,Data_filtered!$F$2:$F$461,$A3, Data_filtered!$D$2:$D$461,"mata",Data_filtered!$J$2:$J$461,"&lt;&gt;Incompleto")=0, "-", SUMIFS(Data_filtered!$K$2:$K$461,Data_filtered!$A$2:$A$461,X$1,Data_filtered!$F$2:$F$461,$A3, Data_filtered!$D$2:$D$461,"mata",Data_filtered!$J$2:$J$461,"&lt;&gt;Incompleto"))
</f>
        <v>-</v>
      </c>
      <c r="Z3" s="109" t="str">
        <f>IF(SUMIFS(Data_filtered!$K$2:$K$461,Data_filtered!$A$2:$A$461,Z$1,Data_filtered!$F$2:$F$461,$A3, Data_filtered!$D$2:$D$461,"eucalipto",Data_filtered!$J$2:$J$461,"&lt;&gt;Incompleto")=0, "-", SUMIFS(Data_filtered!$K$2:$K$461,Data_filtered!$A$2:$A$461,Z$1,Data_filtered!$F$2:$F$461,$A3, Data_filtered!$D$2:$D$461,"eucalipto",Data_filtered!$J$2:$J$461,"&lt;&gt;Incompleto"))</f>
        <v>-</v>
      </c>
      <c r="AA3" s="110" t="str">
        <f>IF(SUMIFS(Data_filtered!$K$2:$K$461,Data_filtered!$A$2:$A$461,Z$1,Data_filtered!$F$2:$F$461,$A3, Data_filtered!$D$2:$D$461,"mata",Data_filtered!$J$2:$J$461,"&lt;&gt;Incompleto")=0, "-", SUMIFS(Data_filtered!$K$2:$K$461,Data_filtered!$A$2:$A$461,Z$1,Data_filtered!$F$2:$F$461,$A3, Data_filtered!$D$2:$D$461,"mata",Data_filtered!$J$2:$J$461,"&lt;&gt;Incompleto"))
</f>
        <v>-</v>
      </c>
      <c r="AB3" s="109" t="str">
        <f>IF(SUMIFS(Data_filtered!$K$2:$K$461,Data_filtered!$A$2:$A$461,AB$1,Data_filtered!$F$2:$F$461,$A3, Data_filtered!$D$2:$D$461,"eucalipto",Data_filtered!$J$2:$J$461,"&lt;&gt;Incompleto")=0, "-", SUMIFS(Data_filtered!$K$2:$K$461,Data_filtered!$A$2:$A$461,AB$1,Data_filtered!$F$2:$F$461,$A3, Data_filtered!$D$2:$D$461,"eucalipto",Data_filtered!$J$2:$J$461,"&lt;&gt;Incompleto"))</f>
        <v>-</v>
      </c>
      <c r="AC3" s="110" t="str">
        <f>IF(SUMIFS(Data_filtered!$K$2:$K$461,Data_filtered!$A$2:$A$461,AB$1,Data_filtered!$F$2:$F$461,$A3, Data_filtered!$D$2:$D$461,"mata",Data_filtered!$J$2:$J$461,"&lt;&gt;Incompleto")=0, "-", SUMIFS(Data_filtered!$K$2:$K$461,Data_filtered!$A$2:$A$461,AB$1,Data_filtered!$F$2:$F$461,$A3, Data_filtered!$D$2:$D$461,"mata",Data_filtered!$J$2:$J$461,"&lt;&gt;Incompleto"))
</f>
        <v>-</v>
      </c>
      <c r="AD3" s="109" t="str">
        <f>IF(SUMIFS(Data_filtered!$K$2:$K$461,Data_filtered!$A$2:$A$461,AD$1,Data_filtered!$F$2:$F$461,$A3, Data_filtered!$D$2:$D$461,"eucalipto",Data_filtered!$J$2:$J$461,"&lt;&gt;Incompleto")=0, "-", SUMIFS(Data_filtered!$K$2:$K$461,Data_filtered!$A$2:$A$461,AD$1,Data_filtered!$F$2:$F$461,$A3, Data_filtered!$D$2:$D$461,"eucalipto",Data_filtered!$J$2:$J$461,"&lt;&gt;Incompleto"))</f>
        <v>-</v>
      </c>
      <c r="AE3" s="110" t="str">
        <f>IF(SUMIFS(Data_filtered!$K$2:$K$461,Data_filtered!$A$2:$A$461,AD$1,Data_filtered!$F$2:$F$461,$A3, Data_filtered!$D$2:$D$461,"mata",Data_filtered!$J$2:$J$461,"&lt;&gt;Incompleto")=0, "-", SUMIFS(Data_filtered!$K$2:$K$461,Data_filtered!$A$2:$A$461,AD$1,Data_filtered!$F$2:$F$461,$A3, Data_filtered!$D$2:$D$461,"mata",Data_filtered!$J$2:$J$461,"&lt;&gt;Incompleto"))
</f>
        <v>-</v>
      </c>
      <c r="AF3" s="109" t="str">
        <f>IF(SUMIFS(Data_filtered!$K$2:$K$461,Data_filtered!$A$2:$A$461,AF$1,Data_filtered!$F$2:$F$461,$A3, Data_filtered!$D$2:$D$461,"eucalipto",Data_filtered!$J$2:$J$461,"&lt;&gt;Incompleto")=0, "-", SUMIFS(Data_filtered!$K$2:$K$461,Data_filtered!$A$2:$A$461,AF$1,Data_filtered!$F$2:$F$461,$A3, Data_filtered!$D$2:$D$461,"eucalipto",Data_filtered!$J$2:$J$461,"&lt;&gt;Incompleto"))</f>
        <v>-</v>
      </c>
      <c r="AG3" s="110" t="str">
        <f>IF(SUMIFS(Data_filtered!$K$2:$K$461,Data_filtered!$A$2:$A$461,AF$1,Data_filtered!$F$2:$F$461,$A3, Data_filtered!$D$2:$D$461,"mata",Data_filtered!$J$2:$J$461,"&lt;&gt;Incompleto")=0, "-", SUMIFS(Data_filtered!$K$2:$K$461,Data_filtered!$A$2:$A$461,AF$1,Data_filtered!$F$2:$F$461,$A3, Data_filtered!$D$2:$D$461,"mata",Data_filtered!$J$2:$J$461,"&lt;&gt;Incompleto"))
</f>
        <v>-</v>
      </c>
      <c r="AH3" s="109" t="str">
        <f>IF(SUMIFS(Data_filtered!$K$2:$K$461,Data_filtered!$A$2:$A$461,AH$1,Data_filtered!$F$2:$F$461,$A3, Data_filtered!$D$2:$D$461,"eucalipto",Data_filtered!$J$2:$J$461,"&lt;&gt;Incompleto")=0, "-", SUMIFS(Data_filtered!$K$2:$K$461,Data_filtered!$A$2:$A$461,AH$1,Data_filtered!$F$2:$F$461,$A3, Data_filtered!$D$2:$D$461,"eucalipto",Data_filtered!$J$2:$J$461,"&lt;&gt;Incompleto"))</f>
        <v>-</v>
      </c>
      <c r="AI3" s="110">
        <f>IF(SUMIFS(Data_filtered!$K$2:$K$461,Data_filtered!$A$2:$A$461,AH$1,Data_filtered!$F$2:$F$461,$A3, Data_filtered!$D$2:$D$461,"mata",Data_filtered!$J$2:$J$461,"&lt;&gt;Incompleto")=0, "-", SUMIFS(Data_filtered!$K$2:$K$461,Data_filtered!$A$2:$A$461,AH$1,Data_filtered!$F$2:$F$461,$A3, Data_filtered!$D$2:$D$461,"mata",Data_filtered!$J$2:$J$461,"&lt;&gt;Incompleto"))
</f>
        <v>8.37758041</v>
      </c>
      <c r="AJ3" s="109" t="str">
        <f>IF(SUMIFS(Data_filtered!$K$2:$K$461,Data_filtered!$A$2:$A$461,AJ$1,Data_filtered!$F$2:$F$461,$A3, Data_filtered!$D$2:$D$461,"eucalipto",Data_filtered!$J$2:$J$461,"&lt;&gt;Incompleto")=0, "-", SUMIFS(Data_filtered!$K$2:$K$461,Data_filtered!$A$2:$A$461,AJ$1,Data_filtered!$F$2:$F$461,$A3, Data_filtered!$D$2:$D$461,"eucalipto",Data_filtered!$J$2:$J$461,"&lt;&gt;Incompleto"))</f>
        <v>-</v>
      </c>
      <c r="AK3" s="110" t="str">
        <f>IF(SUMIFS(Data_filtered!$K$2:$K$461,Data_filtered!$A$2:$A$461,AJ$1,Data_filtered!$F$2:$F$461,$A3, Data_filtered!$D$2:$D$461,"mata",Data_filtered!$J$2:$J$461,"&lt;&gt;Incompleto")=0, "-", SUMIFS(Data_filtered!$K$2:$K$461,Data_filtered!$A$2:$A$461,AJ$1,Data_filtered!$F$2:$F$461,$A3, Data_filtered!$D$2:$D$461,"mata",Data_filtered!$J$2:$J$461,"&lt;&gt;Incompleto"))
</f>
        <v>-</v>
      </c>
      <c r="AL3" s="109" t="str">
        <f>IF(SUMIFS(Data_filtered!$K$2:$K$461,Data_filtered!$A$2:$A$461,AL$1,Data_filtered!$F$2:$F$461,$A3, Data_filtered!$D$2:$D$461,"eucalipto",Data_filtered!$J$2:$J$461,"&lt;&gt;Incompleto")=0, "-", SUMIFS(Data_filtered!$K$2:$K$461,Data_filtered!$A$2:$A$461,AL$1,Data_filtered!$F$2:$F$461,$A3, Data_filtered!$D$2:$D$461,"eucalipto",Data_filtered!$J$2:$J$461,"&lt;&gt;Incompleto"))</f>
        <v>-</v>
      </c>
      <c r="AM3" s="110" t="str">
        <f>IF(SUMIFS(Data_filtered!$K$2:$K$461,Data_filtered!$A$2:$A$461,AL$1,Data_filtered!$F$2:$F$461,$A3, Data_filtered!$D$2:$D$461,"mata",Data_filtered!$J$2:$J$461,"&lt;&gt;Incompleto")=0, "-", SUMIFS(Data_filtered!$K$2:$K$461,Data_filtered!$A$2:$A$461,AL$1,Data_filtered!$F$2:$F$461,$A3, Data_filtered!$D$2:$D$461,"mata",Data_filtered!$J$2:$J$461,"&lt;&gt;Incompleto"))
</f>
        <v>-</v>
      </c>
      <c r="AN3" s="109" t="str">
        <f>IF(SUMIFS(Data_filtered!$K$2:$K$461,Data_filtered!$A$2:$A$461,AN$1,Data_filtered!$F$2:$F$461,$A3, Data_filtered!$D$2:$D$461,"eucalipto",Data_filtered!$J$2:$J$461,"&lt;&gt;Incompleto")=0, "-", SUMIFS(Data_filtered!$K$2:$K$461,Data_filtered!$A$2:$A$461,AN$1,Data_filtered!$F$2:$F$461,$A3, Data_filtered!$D$2:$D$461,"eucalipto",Data_filtered!$J$2:$J$461,"&lt;&gt;Incompleto"))</f>
        <v>-</v>
      </c>
      <c r="AO3" s="110" t="str">
        <f>IF(SUMIFS(Data_filtered!$K$2:$K$461,Data_filtered!$A$2:$A$461,AN$1,Data_filtered!$F$2:$F$461,$A3, Data_filtered!$D$2:$D$461,"mata",Data_filtered!$J$2:$J$461,"&lt;&gt;Incompleto")=0, "-", SUMIFS(Data_filtered!$K$2:$K$461,Data_filtered!$A$2:$A$461,AN$1,Data_filtered!$F$2:$F$461,$A3, Data_filtered!$D$2:$D$461,"mata",Data_filtered!$J$2:$J$461,"&lt;&gt;Incompleto"))
</f>
        <v>-</v>
      </c>
      <c r="AP3" s="109" t="str">
        <f>IF(SUMIFS(Data_filtered!$K$2:$K$461,Data_filtered!$A$2:$A$461,AP$1,Data_filtered!$F$2:$F$461,$A3, Data_filtered!$D$2:$D$461,"eucalipto",Data_filtered!$J$2:$J$461,"&lt;&gt;Incompleto")=0, "-", SUMIFS(Data_filtered!$K$2:$K$461,Data_filtered!$A$2:$A$461,AP$1,Data_filtered!$F$2:$F$461,$A3, Data_filtered!$D$2:$D$461,"eucalipto",Data_filtered!$J$2:$J$461,"&lt;&gt;Incompleto"))</f>
        <v>-</v>
      </c>
      <c r="AQ3" s="110" t="str">
        <f>IF(SUMIFS(Data_filtered!$K$2:$K$461,Data_filtered!$A$2:$A$461,AP$1,Data_filtered!$F$2:$F$461,$A3, Data_filtered!$D$2:$D$461,"mata",Data_filtered!$J$2:$J$461,"&lt;&gt;Incompleto")=0, "-", SUMIFS(Data_filtered!$K$2:$K$461,Data_filtered!$A$2:$A$461,AP$1,Data_filtered!$F$2:$F$461,$A3, Data_filtered!$D$2:$D$461,"mata",Data_filtered!$J$2:$J$461,"&lt;&gt;Incompleto"))
</f>
        <v>-</v>
      </c>
      <c r="AR3" s="109" t="str">
        <f>IF(SUMIFS(Data_filtered!$K$2:$K$461,Data_filtered!$A$2:$A$461,AR$1,Data_filtered!$F$2:$F$461,$A3, Data_filtered!$D$2:$D$461,"eucalipto",Data_filtered!$J$2:$J$461,"&lt;&gt;Incompleto")=0, "-", SUMIFS(Data_filtered!$K$2:$K$461,Data_filtered!$A$2:$A$461,AR$1,Data_filtered!$F$2:$F$461,$A3, Data_filtered!$D$2:$D$461,"eucalipto",Data_filtered!$J$2:$J$461,"&lt;&gt;Incompleto"))</f>
        <v>-</v>
      </c>
      <c r="AS3" s="110" t="str">
        <f>IF(SUMIFS(Data_filtered!$K$2:$K$461,Data_filtered!$A$2:$A$461,AR$1,Data_filtered!$F$2:$F$461,$A3, Data_filtered!$D$2:$D$461,"mata",Data_filtered!$J$2:$J$461,"&lt;&gt;Incompleto")=0, "-", SUMIFS(Data_filtered!$K$2:$K$461,Data_filtered!$A$2:$A$461,AR$1,Data_filtered!$F$2:$F$461,$A3, Data_filtered!$D$2:$D$461,"mata",Data_filtered!$J$2:$J$461,"&lt;&gt;Incompleto"))
</f>
        <v>-</v>
      </c>
    </row>
    <row r="4">
      <c r="A4" s="9" t="str">
        <f>IFERROR(__xludf.DUMMYFUNCTION("""COMPUTED_VALUE"""),"Araneae")</f>
        <v>Araneae</v>
      </c>
      <c r="B4" s="109" t="str">
        <f>IF(SUMIFS(Data_filtered!$K$2:$K$461,Data_filtered!$A$2:$A$461,B$1,Data_filtered!$F$2:$F$461,$A4, Data_filtered!$D$2:$D$461,"eucalipto",Data_filtered!$J$2:$J$461,"&lt;&gt;Incompleto")=0, "-", SUMIFS(Data_filtered!$K$2:$K$461,Data_filtered!$A$2:$A$461,B$1,Data_filtered!$F$2:$F$461,$A4, Data_filtered!$D$2:$D$461,"eucalipto",Data_filtered!$J$2:$J$461,"&lt;&gt;Incompleto"))</f>
        <v>-</v>
      </c>
      <c r="C4" s="110" t="str">
        <f>IF(SUMIFS(Data_filtered!$K$2:$K$461,Data_filtered!$A$2:$A$461,B$1,Data_filtered!$F$2:$F$461,$A4, Data_filtered!$D$2:$D$461,"mata",Data_filtered!$J$2:$J$461,"&lt;&gt;Incompleto")=0, "-", SUMIFS(Data_filtered!$K$2:$K$461,Data_filtered!$A$2:$A$461,B$1,Data_filtered!$F$2:$F$461,$A4, Data_filtered!$D$2:$D$461,"mata",Data_filtered!$J$2:$J$461,"&lt;&gt;Incompleto"))
</f>
        <v>-</v>
      </c>
      <c r="D4" s="109" t="str">
        <f>IF(SUMIFS(Data_filtered!$K$2:$K$461,Data_filtered!$A$2:$A$461,D$1,Data_filtered!$F$2:$F$461,$A4, Data_filtered!$D$2:$D$461,"eucalipto",Data_filtered!$J$2:$J$461,"&lt;&gt;Incompleto")=0, "-", SUMIFS(Data_filtered!$K$2:$K$461,Data_filtered!$A$2:$A$461,D$1,Data_filtered!$F$2:$F$461,$A4, Data_filtered!$D$2:$D$461,"eucalipto",Data_filtered!$J$2:$J$461,"&lt;&gt;Incompleto"))</f>
        <v>-</v>
      </c>
      <c r="E4" s="110">
        <f>IF(SUMIFS(Data_filtered!$K$2:$K$461,Data_filtered!$A$2:$A$461,D$1,Data_filtered!$F$2:$F$461,$A4, Data_filtered!$D$2:$D$461,"mata",Data_filtered!$J$2:$J$461,"&lt;&gt;Incompleto")=0, "-", SUMIFS(Data_filtered!$K$2:$K$461,Data_filtered!$A$2:$A$461,D$1,Data_filtered!$F$2:$F$461,$A4, Data_filtered!$D$2:$D$461,"mata",Data_filtered!$J$2:$J$461,"&lt;&gt;Incompleto"))
</f>
        <v>4105.014401</v>
      </c>
      <c r="F4" s="109" t="str">
        <f>IF(SUMIFS(Data_filtered!$K$2:$K$461,Data_filtered!$A$2:$A$461,F$1,Data_filtered!$F$2:$F$461,$A4, Data_filtered!$D$2:$D$461,"eucalipto",Data_filtered!$J$2:$J$461,"&lt;&gt;Incompleto")=0, "-", SUMIFS(Data_filtered!$K$2:$K$461,Data_filtered!$A$2:$A$461,F$1,Data_filtered!$F$2:$F$461,$A4, Data_filtered!$D$2:$D$461,"eucalipto",Data_filtered!$J$2:$J$461,"&lt;&gt;Incompleto"))</f>
        <v>-</v>
      </c>
      <c r="G4" s="110">
        <f>IF(SUMIFS(Data_filtered!$K$2:$K$461,Data_filtered!$A$2:$A$461,F$1,Data_filtered!$F$2:$F$461,$A4, Data_filtered!$D$2:$D$461,"mata",Data_filtered!$J$2:$J$461,"&lt;&gt;Incompleto")=0, "-", SUMIFS(Data_filtered!$K$2:$K$461,Data_filtered!$A$2:$A$461,F$1,Data_filtered!$F$2:$F$461,$A4, Data_filtered!$D$2:$D$461,"mata",Data_filtered!$J$2:$J$461,"&lt;&gt;Incompleto"))
</f>
        <v>50.26548246</v>
      </c>
      <c r="H4" s="109" t="str">
        <f>IF(SUMIFS(Data_filtered!$K$2:$K$461,Data_filtered!$A$2:$A$461,H$1,Data_filtered!$F$2:$F$461,$A4, Data_filtered!$D$2:$D$461,"eucalipto",Data_filtered!$J$2:$J$461,"&lt;&gt;Incompleto")=0, "-", SUMIFS(Data_filtered!$K$2:$K$461,Data_filtered!$A$2:$A$461,H$1,Data_filtered!$F$2:$F$461,$A4, Data_filtered!$D$2:$D$461,"eucalipto",Data_filtered!$J$2:$J$461,"&lt;&gt;Incompleto"))</f>
        <v>-</v>
      </c>
      <c r="I4" s="110">
        <f>IF(SUMIFS(Data_filtered!$K$2:$K$461,Data_filtered!$A$2:$A$461,H$1,Data_filtered!$F$2:$F$461,$A4, Data_filtered!$D$2:$D$461,"mata",Data_filtered!$J$2:$J$461,"&lt;&gt;Incompleto")=0, "-", SUMIFS(Data_filtered!$K$2:$K$461,Data_filtered!$A$2:$A$461,H$1,Data_filtered!$F$2:$F$461,$A4, Data_filtered!$D$2:$D$461,"mata",Data_filtered!$J$2:$J$461,"&lt;&gt;Incompleto"))
</f>
        <v>2375.044046</v>
      </c>
      <c r="J4" s="109" t="str">
        <f>IF(SUMIFS(Data_filtered!$K$2:$K$461,Data_filtered!$A$2:$A$461,J$1,Data_filtered!$F$2:$F$461,$A4, Data_filtered!$D$2:$D$461,"eucalipto",Data_filtered!$J$2:$J$461,"&lt;&gt;Incompleto")=0, "-", SUMIFS(Data_filtered!$K$2:$K$461,Data_filtered!$A$2:$A$461,J$1,Data_filtered!$F$2:$F$461,$A4, Data_filtered!$D$2:$D$461,"eucalipto",Data_filtered!$J$2:$J$461,"&lt;&gt;Incompleto"))</f>
        <v>-</v>
      </c>
      <c r="K4" s="110" t="str">
        <f>IF(SUMIFS(Data_filtered!$K$2:$K$461,Data_filtered!$A$2:$A$461,J$1,Data_filtered!$F$2:$F$461,$A4, Data_filtered!$D$2:$D$461,"mata",Data_filtered!$J$2:$J$461,"&lt;&gt;Incompleto")=0, "-", SUMIFS(Data_filtered!$K$2:$K$461,Data_filtered!$A$2:$A$461,J$1,Data_filtered!$F$2:$F$461,$A4, Data_filtered!$D$2:$D$461,"mata",Data_filtered!$J$2:$J$461,"&lt;&gt;Incompleto"))
</f>
        <v>-</v>
      </c>
      <c r="L4" s="109" t="str">
        <f>IF(SUMIFS(Data_filtered!$K$2:$K$461,Data_filtered!$A$2:$A$461,L$1,Data_filtered!$F$2:$F$461,$A4, Data_filtered!$D$2:$D$461,"eucalipto",Data_filtered!$J$2:$J$461,"&lt;&gt;Incompleto")=0, "-", SUMIFS(Data_filtered!$K$2:$K$461,Data_filtered!$A$2:$A$461,L$1,Data_filtered!$F$2:$F$461,$A4, Data_filtered!$D$2:$D$461,"eucalipto",Data_filtered!$J$2:$J$461,"&lt;&gt;Incompleto"))</f>
        <v>-</v>
      </c>
      <c r="M4" s="110">
        <f>IF(SUMIFS(Data_filtered!$K$2:$K$461,Data_filtered!$A$2:$A$461,L$1,Data_filtered!$F$2:$F$461,$A4, Data_filtered!$D$2:$D$461,"mata",Data_filtered!$J$2:$J$461,"&lt;&gt;Incompleto")=0, "-", SUMIFS(Data_filtered!$K$2:$K$461,Data_filtered!$A$2:$A$461,L$1,Data_filtered!$F$2:$F$461,$A4, Data_filtered!$D$2:$D$461,"mata",Data_filtered!$J$2:$J$461,"&lt;&gt;Incompleto"))
</f>
        <v>12.56637061</v>
      </c>
      <c r="N4" s="109" t="str">
        <f>IF(SUMIFS(Data_filtered!$K$2:$K$461,Data_filtered!$A$2:$A$461,N$1,Data_filtered!$F$2:$F$461,$A4, Data_filtered!$D$2:$D$461,"eucalipto",Data_filtered!$J$2:$J$461,"&lt;&gt;Incompleto")=0, "-", SUMIFS(Data_filtered!$K$2:$K$461,Data_filtered!$A$2:$A$461,N$1,Data_filtered!$F$2:$F$461,$A4, Data_filtered!$D$2:$D$461,"eucalipto",Data_filtered!$J$2:$J$461,"&lt;&gt;Incompleto"))</f>
        <v>-</v>
      </c>
      <c r="O4" s="110" t="str">
        <f>IF(SUMIFS(Data_filtered!$K$2:$K$461,Data_filtered!$A$2:$A$461,N$1,Data_filtered!$F$2:$F$461,$A4, Data_filtered!$D$2:$D$461,"mata",Data_filtered!$J$2:$J$461,"&lt;&gt;Incompleto")=0, "-", SUMIFS(Data_filtered!$K$2:$K$461,Data_filtered!$A$2:$A$461,N$1,Data_filtered!$F$2:$F$461,$A4, Data_filtered!$D$2:$D$461,"mata",Data_filtered!$J$2:$J$461,"&lt;&gt;Incompleto"))
</f>
        <v>-</v>
      </c>
      <c r="P4" s="109" t="str">
        <f>IF(SUMIFS(Data_filtered!$K$2:$K$461,Data_filtered!$A$2:$A$461,P$1,Data_filtered!$F$2:$F$461,$A4, Data_filtered!$D$2:$D$461,"eucalipto",Data_filtered!$J$2:$J$461,"&lt;&gt;Incompleto")=0, "-", SUMIFS(Data_filtered!$K$2:$K$461,Data_filtered!$A$2:$A$461,P$1,Data_filtered!$F$2:$F$461,$A4, Data_filtered!$D$2:$D$461,"eucalipto",Data_filtered!$J$2:$J$461,"&lt;&gt;Incompleto"))</f>
        <v>-</v>
      </c>
      <c r="Q4" s="110">
        <f>IF(SUMIFS(Data_filtered!$K$2:$K$461,Data_filtered!$A$2:$A$461,P$1,Data_filtered!$F$2:$F$461,$A4, Data_filtered!$D$2:$D$461,"mata",Data_filtered!$J$2:$J$461,"&lt;&gt;Incompleto")=0, "-", SUMIFS(Data_filtered!$K$2:$K$461,Data_filtered!$A$2:$A$461,P$1,Data_filtered!$F$2:$F$461,$A4, Data_filtered!$D$2:$D$461,"mata",Data_filtered!$J$2:$J$461,"&lt;&gt;Incompleto"))
</f>
        <v>12.56637061</v>
      </c>
      <c r="R4" s="109" t="str">
        <f>IF(SUMIFS(Data_filtered!$K$2:$K$461,Data_filtered!$A$2:$A$461,R$1,Data_filtered!$F$2:$F$461,$A4, Data_filtered!$D$2:$D$461,"eucalipto",Data_filtered!$J$2:$J$461,"&lt;&gt;Incompleto")=0, "-", SUMIFS(Data_filtered!$K$2:$K$461,Data_filtered!$A$2:$A$461,R$1,Data_filtered!$F$2:$F$461,$A4, Data_filtered!$D$2:$D$461,"eucalipto",Data_filtered!$J$2:$J$461,"&lt;&gt;Incompleto"))</f>
        <v>-</v>
      </c>
      <c r="S4" s="110">
        <f>IF(SUMIFS(Data_filtered!$K$2:$K$461,Data_filtered!$A$2:$A$461,R$1,Data_filtered!$F$2:$F$461,$A4, Data_filtered!$D$2:$D$461,"mata",Data_filtered!$J$2:$J$461,"&lt;&gt;Incompleto")=0, "-", SUMIFS(Data_filtered!$K$2:$K$461,Data_filtered!$A$2:$A$461,R$1,Data_filtered!$F$2:$F$461,$A4, Data_filtered!$D$2:$D$461,"mata",Data_filtered!$J$2:$J$461,"&lt;&gt;Incompleto"))
</f>
        <v>104.7197551</v>
      </c>
      <c r="T4" s="109" t="str">
        <f>IF(SUMIFS(Data_filtered!$K$2:$K$461,Data_filtered!$A$2:$A$461,T$1,Data_filtered!$F$2:$F$461,$A4, Data_filtered!$D$2:$D$461,"eucalipto",Data_filtered!$J$2:$J$461,"&lt;&gt;Incompleto")=0, "-", SUMIFS(Data_filtered!$K$2:$K$461,Data_filtered!$A$2:$A$461,T$1,Data_filtered!$F$2:$F$461,$A4, Data_filtered!$D$2:$D$461,"eucalipto",Data_filtered!$J$2:$J$461,"&lt;&gt;Incompleto"))</f>
        <v>-</v>
      </c>
      <c r="U4" s="110" t="str">
        <f>IF(SUMIFS(Data_filtered!$K$2:$K$461,Data_filtered!$A$2:$A$461,T$1,Data_filtered!$F$2:$F$461,$A4, Data_filtered!$D$2:$D$461,"mata",Data_filtered!$J$2:$J$461,"&lt;&gt;Incompleto")=0, "-", SUMIFS(Data_filtered!$K$2:$K$461,Data_filtered!$A$2:$A$461,T$1,Data_filtered!$F$2:$F$461,$A4, Data_filtered!$D$2:$D$461,"mata",Data_filtered!$J$2:$J$461,"&lt;&gt;Incompleto"))
</f>
        <v>-</v>
      </c>
      <c r="V4" s="109">
        <f>IF(SUMIFS(Data_filtered!$K$2:$K$461,Data_filtered!$A$2:$A$461,V$1,Data_filtered!$F$2:$F$461,$A4, Data_filtered!$D$2:$D$461,"eucalipto",Data_filtered!$J$2:$J$461,"&lt;&gt;Incompleto")=0, "-", SUMIFS(Data_filtered!$K$2:$K$461,Data_filtered!$A$2:$A$461,V$1,Data_filtered!$F$2:$F$461,$A4, Data_filtered!$D$2:$D$461,"eucalipto",Data_filtered!$J$2:$J$461,"&lt;&gt;Incompleto"))</f>
        <v>397.9350695</v>
      </c>
      <c r="W4" s="110" t="str">
        <f>IF(SUMIFS(Data_filtered!$K$2:$K$461,Data_filtered!$A$2:$A$461,V$1,Data_filtered!$F$2:$F$461,$A4, Data_filtered!$D$2:$D$461,"mata",Data_filtered!$J$2:$J$461,"&lt;&gt;Incompleto")=0, "-", SUMIFS(Data_filtered!$K$2:$K$461,Data_filtered!$A$2:$A$461,V$1,Data_filtered!$F$2:$F$461,$A4, Data_filtered!$D$2:$D$461,"mata",Data_filtered!$J$2:$J$461,"&lt;&gt;Incompleto"))
</f>
        <v>-</v>
      </c>
      <c r="X4" s="109" t="str">
        <f>IF(SUMIFS(Data_filtered!$K$2:$K$461,Data_filtered!$A$2:$A$461,X$1,Data_filtered!$F$2:$F$461,$A4, Data_filtered!$D$2:$D$461,"eucalipto",Data_filtered!$J$2:$J$461,"&lt;&gt;Incompleto")=0, "-", SUMIFS(Data_filtered!$K$2:$K$461,Data_filtered!$A$2:$A$461,X$1,Data_filtered!$F$2:$F$461,$A4, Data_filtered!$D$2:$D$461,"eucalipto",Data_filtered!$J$2:$J$461,"&lt;&gt;Incompleto"))</f>
        <v>-</v>
      </c>
      <c r="Y4" s="110" t="str">
        <f>IF(SUMIFS(Data_filtered!$K$2:$K$461,Data_filtered!$A$2:$A$461,X$1,Data_filtered!$F$2:$F$461,$A4, Data_filtered!$D$2:$D$461,"mata",Data_filtered!$J$2:$J$461,"&lt;&gt;Incompleto")=0, "-", SUMIFS(Data_filtered!$K$2:$K$461,Data_filtered!$A$2:$A$461,X$1,Data_filtered!$F$2:$F$461,$A4, Data_filtered!$D$2:$D$461,"mata",Data_filtered!$J$2:$J$461,"&lt;&gt;Incompleto"))
</f>
        <v>-</v>
      </c>
      <c r="Z4" s="109">
        <f>IF(SUMIFS(Data_filtered!$K$2:$K$461,Data_filtered!$A$2:$A$461,Z$1,Data_filtered!$F$2:$F$461,$A4, Data_filtered!$D$2:$D$461,"eucalipto",Data_filtered!$J$2:$J$461,"&lt;&gt;Incompleto")=0, "-", SUMIFS(Data_filtered!$K$2:$K$461,Data_filtered!$A$2:$A$461,Z$1,Data_filtered!$F$2:$F$461,$A4, Data_filtered!$D$2:$D$461,"eucalipto",Data_filtered!$J$2:$J$461,"&lt;&gt;Incompleto"))</f>
        <v>67.02064328</v>
      </c>
      <c r="AA4" s="110">
        <f>IF(SUMIFS(Data_filtered!$K$2:$K$461,Data_filtered!$A$2:$A$461,Z$1,Data_filtered!$F$2:$F$461,$A4, Data_filtered!$D$2:$D$461,"mata",Data_filtered!$J$2:$J$461,"&lt;&gt;Incompleto")=0, "-", SUMIFS(Data_filtered!$K$2:$K$461,Data_filtered!$A$2:$A$461,Z$1,Data_filtered!$F$2:$F$461,$A4, Data_filtered!$D$2:$D$461,"mata",Data_filtered!$J$2:$J$461,"&lt;&gt;Incompleto"))
</f>
        <v>397.9350695</v>
      </c>
      <c r="AB4" s="109" t="str">
        <f>IF(SUMIFS(Data_filtered!$K$2:$K$461,Data_filtered!$A$2:$A$461,AB$1,Data_filtered!$F$2:$F$461,$A4, Data_filtered!$D$2:$D$461,"eucalipto",Data_filtered!$J$2:$J$461,"&lt;&gt;Incompleto")=0, "-", SUMIFS(Data_filtered!$K$2:$K$461,Data_filtered!$A$2:$A$461,AB$1,Data_filtered!$F$2:$F$461,$A4, Data_filtered!$D$2:$D$461,"eucalipto",Data_filtered!$J$2:$J$461,"&lt;&gt;Incompleto"))</f>
        <v>-</v>
      </c>
      <c r="AC4" s="110">
        <f>IF(SUMIFS(Data_filtered!$K$2:$K$461,Data_filtered!$A$2:$A$461,AB$1,Data_filtered!$F$2:$F$461,$A4, Data_filtered!$D$2:$D$461,"mata",Data_filtered!$J$2:$J$461,"&lt;&gt;Incompleto")=0, "-", SUMIFS(Data_filtered!$K$2:$K$461,Data_filtered!$A$2:$A$461,AB$1,Data_filtered!$F$2:$F$461,$A4, Data_filtered!$D$2:$D$461,"mata",Data_filtered!$J$2:$J$461,"&lt;&gt;Incompleto"))
</f>
        <v>1.047197551</v>
      </c>
      <c r="AD4" s="109" t="str">
        <f>IF(SUMIFS(Data_filtered!$K$2:$K$461,Data_filtered!$A$2:$A$461,AD$1,Data_filtered!$F$2:$F$461,$A4, Data_filtered!$D$2:$D$461,"eucalipto",Data_filtered!$J$2:$J$461,"&lt;&gt;Incompleto")=0, "-", SUMIFS(Data_filtered!$K$2:$K$461,Data_filtered!$A$2:$A$461,AD$1,Data_filtered!$F$2:$F$461,$A4, Data_filtered!$D$2:$D$461,"eucalipto",Data_filtered!$J$2:$J$461,"&lt;&gt;Incompleto"))</f>
        <v>-</v>
      </c>
      <c r="AE4" s="110" t="str">
        <f>IF(SUMIFS(Data_filtered!$K$2:$K$461,Data_filtered!$A$2:$A$461,AD$1,Data_filtered!$F$2:$F$461,$A4, Data_filtered!$D$2:$D$461,"mata",Data_filtered!$J$2:$J$461,"&lt;&gt;Incompleto")=0, "-", SUMIFS(Data_filtered!$K$2:$K$461,Data_filtered!$A$2:$A$461,AD$1,Data_filtered!$F$2:$F$461,$A4, Data_filtered!$D$2:$D$461,"mata",Data_filtered!$J$2:$J$461,"&lt;&gt;Incompleto"))
</f>
        <v>-</v>
      </c>
      <c r="AF4" s="109" t="str">
        <f>IF(SUMIFS(Data_filtered!$K$2:$K$461,Data_filtered!$A$2:$A$461,AF$1,Data_filtered!$F$2:$F$461,$A4, Data_filtered!$D$2:$D$461,"eucalipto",Data_filtered!$J$2:$J$461,"&lt;&gt;Incompleto")=0, "-", SUMIFS(Data_filtered!$K$2:$K$461,Data_filtered!$A$2:$A$461,AF$1,Data_filtered!$F$2:$F$461,$A4, Data_filtered!$D$2:$D$461,"eucalipto",Data_filtered!$J$2:$J$461,"&lt;&gt;Incompleto"))</f>
        <v>-</v>
      </c>
      <c r="AG4" s="110">
        <f>IF(SUMIFS(Data_filtered!$K$2:$K$461,Data_filtered!$A$2:$A$461,AF$1,Data_filtered!$F$2:$F$461,$A4, Data_filtered!$D$2:$D$461,"mata",Data_filtered!$J$2:$J$461,"&lt;&gt;Incompleto")=0, "-", SUMIFS(Data_filtered!$K$2:$K$461,Data_filtered!$A$2:$A$461,AF$1,Data_filtered!$F$2:$F$461,$A4, Data_filtered!$D$2:$D$461,"mata",Data_filtered!$J$2:$J$461,"&lt;&gt;Incompleto"))
</f>
        <v>16.75516082</v>
      </c>
      <c r="AH4" s="109" t="str">
        <f>IF(SUMIFS(Data_filtered!$K$2:$K$461,Data_filtered!$A$2:$A$461,AH$1,Data_filtered!$F$2:$F$461,$A4, Data_filtered!$D$2:$D$461,"eucalipto",Data_filtered!$J$2:$J$461,"&lt;&gt;Incompleto")=0, "-", SUMIFS(Data_filtered!$K$2:$K$461,Data_filtered!$A$2:$A$461,AH$1,Data_filtered!$F$2:$F$461,$A4, Data_filtered!$D$2:$D$461,"eucalipto",Data_filtered!$J$2:$J$461,"&lt;&gt;Incompleto"))</f>
        <v>-</v>
      </c>
      <c r="AI4" s="110" t="str">
        <f>IF(SUMIFS(Data_filtered!$K$2:$K$461,Data_filtered!$A$2:$A$461,AH$1,Data_filtered!$F$2:$F$461,$A4, Data_filtered!$D$2:$D$461,"mata",Data_filtered!$J$2:$J$461,"&lt;&gt;Incompleto")=0, "-", SUMIFS(Data_filtered!$K$2:$K$461,Data_filtered!$A$2:$A$461,AH$1,Data_filtered!$F$2:$F$461,$A4, Data_filtered!$D$2:$D$461,"mata",Data_filtered!$J$2:$J$461,"&lt;&gt;Incompleto"))
</f>
        <v>-</v>
      </c>
      <c r="AJ4" s="109" t="str">
        <f>IF(SUMIFS(Data_filtered!$K$2:$K$461,Data_filtered!$A$2:$A$461,AJ$1,Data_filtered!$F$2:$F$461,$A4, Data_filtered!$D$2:$D$461,"eucalipto",Data_filtered!$J$2:$J$461,"&lt;&gt;Incompleto")=0, "-", SUMIFS(Data_filtered!$K$2:$K$461,Data_filtered!$A$2:$A$461,AJ$1,Data_filtered!$F$2:$F$461,$A4, Data_filtered!$D$2:$D$461,"eucalipto",Data_filtered!$J$2:$J$461,"&lt;&gt;Incompleto"))</f>
        <v>-</v>
      </c>
      <c r="AK4" s="110">
        <f>IF(SUMIFS(Data_filtered!$K$2:$K$461,Data_filtered!$A$2:$A$461,AJ$1,Data_filtered!$F$2:$F$461,$A4, Data_filtered!$D$2:$D$461,"mata",Data_filtered!$J$2:$J$461,"&lt;&gt;Incompleto")=0, "-", SUMIFS(Data_filtered!$K$2:$K$461,Data_filtered!$A$2:$A$461,AJ$1,Data_filtered!$F$2:$F$461,$A4, Data_filtered!$D$2:$D$461,"mata",Data_filtered!$J$2:$J$461,"&lt;&gt;Incompleto"))
</f>
        <v>100.5309649</v>
      </c>
      <c r="AL4" s="109" t="str">
        <f>IF(SUMIFS(Data_filtered!$K$2:$K$461,Data_filtered!$A$2:$A$461,AL$1,Data_filtered!$F$2:$F$461,$A4, Data_filtered!$D$2:$D$461,"eucalipto",Data_filtered!$J$2:$J$461,"&lt;&gt;Incompleto")=0, "-", SUMIFS(Data_filtered!$K$2:$K$461,Data_filtered!$A$2:$A$461,AL$1,Data_filtered!$F$2:$F$461,$A4, Data_filtered!$D$2:$D$461,"eucalipto",Data_filtered!$J$2:$J$461,"&lt;&gt;Incompleto"))</f>
        <v>-</v>
      </c>
      <c r="AM4" s="110" t="str">
        <f>IF(SUMIFS(Data_filtered!$K$2:$K$461,Data_filtered!$A$2:$A$461,AL$1,Data_filtered!$F$2:$F$461,$A4, Data_filtered!$D$2:$D$461,"mata",Data_filtered!$J$2:$J$461,"&lt;&gt;Incompleto")=0, "-", SUMIFS(Data_filtered!$K$2:$K$461,Data_filtered!$A$2:$A$461,AL$1,Data_filtered!$F$2:$F$461,$A4, Data_filtered!$D$2:$D$461,"mata",Data_filtered!$J$2:$J$461,"&lt;&gt;Incompleto"))
</f>
        <v>-</v>
      </c>
      <c r="AN4" s="109" t="str">
        <f>IF(SUMIFS(Data_filtered!$K$2:$K$461,Data_filtered!$A$2:$A$461,AN$1,Data_filtered!$F$2:$F$461,$A4, Data_filtered!$D$2:$D$461,"eucalipto",Data_filtered!$J$2:$J$461,"&lt;&gt;Incompleto")=0, "-", SUMIFS(Data_filtered!$K$2:$K$461,Data_filtered!$A$2:$A$461,AN$1,Data_filtered!$F$2:$F$461,$A4, Data_filtered!$D$2:$D$461,"eucalipto",Data_filtered!$J$2:$J$461,"&lt;&gt;Incompleto"))</f>
        <v>-</v>
      </c>
      <c r="AO4" s="110" t="str">
        <f>IF(SUMIFS(Data_filtered!$K$2:$K$461,Data_filtered!$A$2:$A$461,AN$1,Data_filtered!$F$2:$F$461,$A4, Data_filtered!$D$2:$D$461,"mata",Data_filtered!$J$2:$J$461,"&lt;&gt;Incompleto")=0, "-", SUMIFS(Data_filtered!$K$2:$K$461,Data_filtered!$A$2:$A$461,AN$1,Data_filtered!$F$2:$F$461,$A4, Data_filtered!$D$2:$D$461,"mata",Data_filtered!$J$2:$J$461,"&lt;&gt;Incompleto"))
</f>
        <v>-</v>
      </c>
      <c r="AP4" s="109" t="str">
        <f>IF(SUMIFS(Data_filtered!$K$2:$K$461,Data_filtered!$A$2:$A$461,AP$1,Data_filtered!$F$2:$F$461,$A4, Data_filtered!$D$2:$D$461,"eucalipto",Data_filtered!$J$2:$J$461,"&lt;&gt;Incompleto")=0, "-", SUMIFS(Data_filtered!$K$2:$K$461,Data_filtered!$A$2:$A$461,AP$1,Data_filtered!$F$2:$F$461,$A4, Data_filtered!$D$2:$D$461,"eucalipto",Data_filtered!$J$2:$J$461,"&lt;&gt;Incompleto"))</f>
        <v>-</v>
      </c>
      <c r="AQ4" s="110">
        <f>IF(SUMIFS(Data_filtered!$K$2:$K$461,Data_filtered!$A$2:$A$461,AP$1,Data_filtered!$F$2:$F$461,$A4, Data_filtered!$D$2:$D$461,"mata",Data_filtered!$J$2:$J$461,"&lt;&gt;Incompleto")=0, "-", SUMIFS(Data_filtered!$K$2:$K$461,Data_filtered!$A$2:$A$461,AP$1,Data_filtered!$F$2:$F$461,$A4, Data_filtered!$D$2:$D$461,"mata",Data_filtered!$J$2:$J$461,"&lt;&gt;Incompleto"))
</f>
        <v>218.8642882</v>
      </c>
      <c r="AR4" s="109" t="str">
        <f>IF(SUMIFS(Data_filtered!$K$2:$K$461,Data_filtered!$A$2:$A$461,AR$1,Data_filtered!$F$2:$F$461,$A4, Data_filtered!$D$2:$D$461,"eucalipto",Data_filtered!$J$2:$J$461,"&lt;&gt;Incompleto")=0, "-", SUMIFS(Data_filtered!$K$2:$K$461,Data_filtered!$A$2:$A$461,AR$1,Data_filtered!$F$2:$F$461,$A4, Data_filtered!$D$2:$D$461,"eucalipto",Data_filtered!$J$2:$J$461,"&lt;&gt;Incompleto"))</f>
        <v>-</v>
      </c>
      <c r="AS4" s="110" t="str">
        <f>IF(SUMIFS(Data_filtered!$K$2:$K$461,Data_filtered!$A$2:$A$461,AR$1,Data_filtered!$F$2:$F$461,$A4, Data_filtered!$D$2:$D$461,"mata",Data_filtered!$J$2:$J$461,"&lt;&gt;Incompleto")=0, "-", SUMIFS(Data_filtered!$K$2:$K$461,Data_filtered!$A$2:$A$461,AR$1,Data_filtered!$F$2:$F$461,$A4, Data_filtered!$D$2:$D$461,"mata",Data_filtered!$J$2:$J$461,"&lt;&gt;Incompleto"))
</f>
        <v>-</v>
      </c>
    </row>
    <row r="5">
      <c r="A5" s="68" t="str">
        <f>IFERROR(__xludf.DUMMYFUNCTION("""COMPUTED_VALUE"""),"Blattodea")</f>
        <v>Blattodea</v>
      </c>
      <c r="B5" s="109" t="str">
        <f>IF(SUMIFS(Data_filtered!$K$2:$K$461,Data_filtered!$A$2:$A$461,B$1,Data_filtered!$F$2:$F$461,$A5, Data_filtered!$D$2:$D$461,"eucalipto",Data_filtered!$J$2:$J$461,"&lt;&gt;Incompleto")=0, "-", SUMIFS(Data_filtered!$K$2:$K$461,Data_filtered!$A$2:$A$461,B$1,Data_filtered!$F$2:$F$461,$A5, Data_filtered!$D$2:$D$461,"eucalipto",Data_filtered!$J$2:$J$461,"&lt;&gt;Incompleto"))</f>
        <v>-</v>
      </c>
      <c r="C5" s="110" t="str">
        <f>IF(SUMIFS(Data_filtered!$K$2:$K$461,Data_filtered!$A$2:$A$461,B$1,Data_filtered!$F$2:$F$461,$A5, Data_filtered!$D$2:$D$461,"mata",Data_filtered!$J$2:$J$461,"&lt;&gt;Incompleto")=0, "-", SUMIFS(Data_filtered!$K$2:$K$461,Data_filtered!$A$2:$A$461,B$1,Data_filtered!$F$2:$F$461,$A5, Data_filtered!$D$2:$D$461,"mata",Data_filtered!$J$2:$J$461,"&lt;&gt;Incompleto"))
</f>
        <v>-</v>
      </c>
      <c r="D5" s="109">
        <f>IF(SUMIFS(Data_filtered!$K$2:$K$461,Data_filtered!$A$2:$A$461,D$1,Data_filtered!$F$2:$F$461,$A5, Data_filtered!$D$2:$D$461,"eucalipto",Data_filtered!$J$2:$J$461,"&lt;&gt;Incompleto")=0, "-", SUMIFS(Data_filtered!$K$2:$K$461,Data_filtered!$A$2:$A$461,D$1,Data_filtered!$F$2:$F$461,$A5, Data_filtered!$D$2:$D$461,"eucalipto",Data_filtered!$J$2:$J$461,"&lt;&gt;Incompleto"))</f>
        <v>871.2683626</v>
      </c>
      <c r="E5" s="110" t="str">
        <f>IF(SUMIFS(Data_filtered!$K$2:$K$461,Data_filtered!$A$2:$A$461,D$1,Data_filtered!$F$2:$F$461,$A5, Data_filtered!$D$2:$D$461,"mata",Data_filtered!$J$2:$J$461,"&lt;&gt;Incompleto")=0, "-", SUMIFS(Data_filtered!$K$2:$K$461,Data_filtered!$A$2:$A$461,D$1,Data_filtered!$F$2:$F$461,$A5, Data_filtered!$D$2:$D$461,"mata",Data_filtered!$J$2:$J$461,"&lt;&gt;Incompleto"))
</f>
        <v>-</v>
      </c>
      <c r="F5" s="109" t="str">
        <f>IF(SUMIFS(Data_filtered!$K$2:$K$461,Data_filtered!$A$2:$A$461,F$1,Data_filtered!$F$2:$F$461,$A5, Data_filtered!$D$2:$D$461,"eucalipto",Data_filtered!$J$2:$J$461,"&lt;&gt;Incompleto")=0, "-", SUMIFS(Data_filtered!$K$2:$K$461,Data_filtered!$A$2:$A$461,F$1,Data_filtered!$F$2:$F$461,$A5, Data_filtered!$D$2:$D$461,"eucalipto",Data_filtered!$J$2:$J$461,"&lt;&gt;Incompleto"))</f>
        <v>-</v>
      </c>
      <c r="G5" s="110">
        <f>IF(SUMIFS(Data_filtered!$K$2:$K$461,Data_filtered!$A$2:$A$461,F$1,Data_filtered!$F$2:$F$461,$A5, Data_filtered!$D$2:$D$461,"mata",Data_filtered!$J$2:$J$461,"&lt;&gt;Incompleto")=0, "-", SUMIFS(Data_filtered!$K$2:$K$461,Data_filtered!$A$2:$A$461,F$1,Data_filtered!$F$2:$F$461,$A5, Data_filtered!$D$2:$D$461,"mata",Data_filtered!$J$2:$J$461,"&lt;&gt;Incompleto"))
</f>
        <v>226.1946711</v>
      </c>
      <c r="H5" s="109" t="str">
        <f>IF(SUMIFS(Data_filtered!$K$2:$K$461,Data_filtered!$A$2:$A$461,H$1,Data_filtered!$F$2:$F$461,$A5, Data_filtered!$D$2:$D$461,"eucalipto",Data_filtered!$J$2:$J$461,"&lt;&gt;Incompleto")=0, "-", SUMIFS(Data_filtered!$K$2:$K$461,Data_filtered!$A$2:$A$461,H$1,Data_filtered!$F$2:$F$461,$A5, Data_filtered!$D$2:$D$461,"eucalipto",Data_filtered!$J$2:$J$461,"&lt;&gt;Incompleto"))</f>
        <v>-</v>
      </c>
      <c r="I5" s="110">
        <f>IF(SUMIFS(Data_filtered!$K$2:$K$461,Data_filtered!$A$2:$A$461,H$1,Data_filtered!$F$2:$F$461,$A5, Data_filtered!$D$2:$D$461,"mata",Data_filtered!$J$2:$J$461,"&lt;&gt;Incompleto")=0, "-", SUMIFS(Data_filtered!$K$2:$K$461,Data_filtered!$A$2:$A$461,H$1,Data_filtered!$F$2:$F$461,$A5, Data_filtered!$D$2:$D$461,"mata",Data_filtered!$J$2:$J$461,"&lt;&gt;Incompleto"))
</f>
        <v>16.75516082</v>
      </c>
      <c r="J5" s="109" t="str">
        <f>IF(SUMIFS(Data_filtered!$K$2:$K$461,Data_filtered!$A$2:$A$461,J$1,Data_filtered!$F$2:$F$461,$A5, Data_filtered!$D$2:$D$461,"eucalipto",Data_filtered!$J$2:$J$461,"&lt;&gt;Incompleto")=0, "-", SUMIFS(Data_filtered!$K$2:$K$461,Data_filtered!$A$2:$A$461,J$1,Data_filtered!$F$2:$F$461,$A5, Data_filtered!$D$2:$D$461,"eucalipto",Data_filtered!$J$2:$J$461,"&lt;&gt;Incompleto"))</f>
        <v>-</v>
      </c>
      <c r="K5" s="110" t="str">
        <f>IF(SUMIFS(Data_filtered!$K$2:$K$461,Data_filtered!$A$2:$A$461,J$1,Data_filtered!$F$2:$F$461,$A5, Data_filtered!$D$2:$D$461,"mata",Data_filtered!$J$2:$J$461,"&lt;&gt;Incompleto")=0, "-", SUMIFS(Data_filtered!$K$2:$K$461,Data_filtered!$A$2:$A$461,J$1,Data_filtered!$F$2:$F$461,$A5, Data_filtered!$D$2:$D$461,"mata",Data_filtered!$J$2:$J$461,"&lt;&gt;Incompleto"))
</f>
        <v>-</v>
      </c>
      <c r="L5" s="109" t="str">
        <f>IF(SUMIFS(Data_filtered!$K$2:$K$461,Data_filtered!$A$2:$A$461,L$1,Data_filtered!$F$2:$F$461,$A5, Data_filtered!$D$2:$D$461,"eucalipto",Data_filtered!$J$2:$J$461,"&lt;&gt;Incompleto")=0, "-", SUMIFS(Data_filtered!$K$2:$K$461,Data_filtered!$A$2:$A$461,L$1,Data_filtered!$F$2:$F$461,$A5, Data_filtered!$D$2:$D$461,"eucalipto",Data_filtered!$J$2:$J$461,"&lt;&gt;Incompleto"))</f>
        <v>-</v>
      </c>
      <c r="M5" s="110" t="str">
        <f>IF(SUMIFS(Data_filtered!$K$2:$K$461,Data_filtered!$A$2:$A$461,L$1,Data_filtered!$F$2:$F$461,$A5, Data_filtered!$D$2:$D$461,"mata",Data_filtered!$J$2:$J$461,"&lt;&gt;Incompleto")=0, "-", SUMIFS(Data_filtered!$K$2:$K$461,Data_filtered!$A$2:$A$461,L$1,Data_filtered!$F$2:$F$461,$A5, Data_filtered!$D$2:$D$461,"mata",Data_filtered!$J$2:$J$461,"&lt;&gt;Incompleto"))
</f>
        <v>-</v>
      </c>
      <c r="N5" s="109" t="str">
        <f>IF(SUMIFS(Data_filtered!$K$2:$K$461,Data_filtered!$A$2:$A$461,N$1,Data_filtered!$F$2:$F$461,$A5, Data_filtered!$D$2:$D$461,"eucalipto",Data_filtered!$J$2:$J$461,"&lt;&gt;Incompleto")=0, "-", SUMIFS(Data_filtered!$K$2:$K$461,Data_filtered!$A$2:$A$461,N$1,Data_filtered!$F$2:$F$461,$A5, Data_filtered!$D$2:$D$461,"eucalipto",Data_filtered!$J$2:$J$461,"&lt;&gt;Incompleto"))</f>
        <v>-</v>
      </c>
      <c r="O5" s="110" t="str">
        <f>IF(SUMIFS(Data_filtered!$K$2:$K$461,Data_filtered!$A$2:$A$461,N$1,Data_filtered!$F$2:$F$461,$A5, Data_filtered!$D$2:$D$461,"mata",Data_filtered!$J$2:$J$461,"&lt;&gt;Incompleto")=0, "-", SUMIFS(Data_filtered!$K$2:$K$461,Data_filtered!$A$2:$A$461,N$1,Data_filtered!$F$2:$F$461,$A5, Data_filtered!$D$2:$D$461,"mata",Data_filtered!$J$2:$J$461,"&lt;&gt;Incompleto"))
</f>
        <v>-</v>
      </c>
      <c r="P5" s="109" t="str">
        <f>IF(SUMIFS(Data_filtered!$K$2:$K$461,Data_filtered!$A$2:$A$461,P$1,Data_filtered!$F$2:$F$461,$A5, Data_filtered!$D$2:$D$461,"eucalipto",Data_filtered!$J$2:$J$461,"&lt;&gt;Incompleto")=0, "-", SUMIFS(Data_filtered!$K$2:$K$461,Data_filtered!$A$2:$A$461,P$1,Data_filtered!$F$2:$F$461,$A5, Data_filtered!$D$2:$D$461,"eucalipto",Data_filtered!$J$2:$J$461,"&lt;&gt;Incompleto"))</f>
        <v>-</v>
      </c>
      <c r="Q5" s="110" t="str">
        <f>IF(SUMIFS(Data_filtered!$K$2:$K$461,Data_filtered!$A$2:$A$461,P$1,Data_filtered!$F$2:$F$461,$A5, Data_filtered!$D$2:$D$461,"mata",Data_filtered!$J$2:$J$461,"&lt;&gt;Incompleto")=0, "-", SUMIFS(Data_filtered!$K$2:$K$461,Data_filtered!$A$2:$A$461,P$1,Data_filtered!$F$2:$F$461,$A5, Data_filtered!$D$2:$D$461,"mata",Data_filtered!$J$2:$J$461,"&lt;&gt;Incompleto"))
</f>
        <v>-</v>
      </c>
      <c r="R5" s="109">
        <f>IF(SUMIFS(Data_filtered!$K$2:$K$461,Data_filtered!$A$2:$A$461,R$1,Data_filtered!$F$2:$F$461,$A5, Data_filtered!$D$2:$D$461,"eucalipto",Data_filtered!$J$2:$J$461,"&lt;&gt;Incompleto")=0, "-", SUMIFS(Data_filtered!$K$2:$K$461,Data_filtered!$A$2:$A$461,R$1,Data_filtered!$F$2:$F$461,$A5, Data_filtered!$D$2:$D$461,"eucalipto",Data_filtered!$J$2:$J$461,"&lt;&gt;Incompleto"))</f>
        <v>201.0619298</v>
      </c>
      <c r="S5" s="110" t="str">
        <f>IF(SUMIFS(Data_filtered!$K$2:$K$461,Data_filtered!$A$2:$A$461,R$1,Data_filtered!$F$2:$F$461,$A5, Data_filtered!$D$2:$D$461,"mata",Data_filtered!$J$2:$J$461,"&lt;&gt;Incompleto")=0, "-", SUMIFS(Data_filtered!$K$2:$K$461,Data_filtered!$A$2:$A$461,R$1,Data_filtered!$F$2:$F$461,$A5, Data_filtered!$D$2:$D$461,"mata",Data_filtered!$J$2:$J$461,"&lt;&gt;Incompleto"))
</f>
        <v>-</v>
      </c>
      <c r="T5" s="109" t="str">
        <f>IF(SUMIFS(Data_filtered!$K$2:$K$461,Data_filtered!$A$2:$A$461,T$1,Data_filtered!$F$2:$F$461,$A5, Data_filtered!$D$2:$D$461,"eucalipto",Data_filtered!$J$2:$J$461,"&lt;&gt;Incompleto")=0, "-", SUMIFS(Data_filtered!$K$2:$K$461,Data_filtered!$A$2:$A$461,T$1,Data_filtered!$F$2:$F$461,$A5, Data_filtered!$D$2:$D$461,"eucalipto",Data_filtered!$J$2:$J$461,"&lt;&gt;Incompleto"))</f>
        <v>-</v>
      </c>
      <c r="U5" s="110">
        <f>IF(SUMIFS(Data_filtered!$K$2:$K$461,Data_filtered!$A$2:$A$461,T$1,Data_filtered!$F$2:$F$461,$A5, Data_filtered!$D$2:$D$461,"mata",Data_filtered!$J$2:$J$461,"&lt;&gt;Incompleto")=0, "-", SUMIFS(Data_filtered!$K$2:$K$461,Data_filtered!$A$2:$A$461,T$1,Data_filtered!$F$2:$F$461,$A5, Data_filtered!$D$2:$D$461,"mata",Data_filtered!$J$2:$J$461,"&lt;&gt;Incompleto"))
</f>
        <v>33.51032164</v>
      </c>
      <c r="V5" s="109" t="str">
        <f>IF(SUMIFS(Data_filtered!$K$2:$K$461,Data_filtered!$A$2:$A$461,V$1,Data_filtered!$F$2:$F$461,$A5, Data_filtered!$D$2:$D$461,"eucalipto",Data_filtered!$J$2:$J$461,"&lt;&gt;Incompleto")=0, "-", SUMIFS(Data_filtered!$K$2:$K$461,Data_filtered!$A$2:$A$461,V$1,Data_filtered!$F$2:$F$461,$A5, Data_filtered!$D$2:$D$461,"eucalipto",Data_filtered!$J$2:$J$461,"&lt;&gt;Incompleto"))</f>
        <v>-</v>
      </c>
      <c r="W5" s="110" t="str">
        <f>IF(SUMIFS(Data_filtered!$K$2:$K$461,Data_filtered!$A$2:$A$461,V$1,Data_filtered!$F$2:$F$461,$A5, Data_filtered!$D$2:$D$461,"mata",Data_filtered!$J$2:$J$461,"&lt;&gt;Incompleto")=0, "-", SUMIFS(Data_filtered!$K$2:$K$461,Data_filtered!$A$2:$A$461,V$1,Data_filtered!$F$2:$F$461,$A5, Data_filtered!$D$2:$D$461,"mata",Data_filtered!$J$2:$J$461,"&lt;&gt;Incompleto"))
</f>
        <v>-</v>
      </c>
      <c r="X5" s="109" t="str">
        <f>IF(SUMIFS(Data_filtered!$K$2:$K$461,Data_filtered!$A$2:$A$461,X$1,Data_filtered!$F$2:$F$461,$A5, Data_filtered!$D$2:$D$461,"eucalipto",Data_filtered!$J$2:$J$461,"&lt;&gt;Incompleto")=0, "-", SUMIFS(Data_filtered!$K$2:$K$461,Data_filtered!$A$2:$A$461,X$1,Data_filtered!$F$2:$F$461,$A5, Data_filtered!$D$2:$D$461,"eucalipto",Data_filtered!$J$2:$J$461,"&lt;&gt;Incompleto"))</f>
        <v>-</v>
      </c>
      <c r="Y5" s="110" t="str">
        <f>IF(SUMIFS(Data_filtered!$K$2:$K$461,Data_filtered!$A$2:$A$461,X$1,Data_filtered!$F$2:$F$461,$A5, Data_filtered!$D$2:$D$461,"mata",Data_filtered!$J$2:$J$461,"&lt;&gt;Incompleto")=0, "-", SUMIFS(Data_filtered!$K$2:$K$461,Data_filtered!$A$2:$A$461,X$1,Data_filtered!$F$2:$F$461,$A5, Data_filtered!$D$2:$D$461,"mata",Data_filtered!$J$2:$J$461,"&lt;&gt;Incompleto"))
</f>
        <v>-</v>
      </c>
      <c r="Z5" s="109" t="str">
        <f>IF(SUMIFS(Data_filtered!$K$2:$K$461,Data_filtered!$A$2:$A$461,Z$1,Data_filtered!$F$2:$F$461,$A5, Data_filtered!$D$2:$D$461,"eucalipto",Data_filtered!$J$2:$J$461,"&lt;&gt;Incompleto")=0, "-", SUMIFS(Data_filtered!$K$2:$K$461,Data_filtered!$A$2:$A$461,Z$1,Data_filtered!$F$2:$F$461,$A5, Data_filtered!$D$2:$D$461,"eucalipto",Data_filtered!$J$2:$J$461,"&lt;&gt;Incompleto"))</f>
        <v>-</v>
      </c>
      <c r="AA5" s="110" t="str">
        <f>IF(SUMIFS(Data_filtered!$K$2:$K$461,Data_filtered!$A$2:$A$461,Z$1,Data_filtered!$F$2:$F$461,$A5, Data_filtered!$D$2:$D$461,"mata",Data_filtered!$J$2:$J$461,"&lt;&gt;Incompleto")=0, "-", SUMIFS(Data_filtered!$K$2:$K$461,Data_filtered!$A$2:$A$461,Z$1,Data_filtered!$F$2:$F$461,$A5, Data_filtered!$D$2:$D$461,"mata",Data_filtered!$J$2:$J$461,"&lt;&gt;Incompleto"))
</f>
        <v>-</v>
      </c>
      <c r="AB5" s="109" t="str">
        <f>IF(SUMIFS(Data_filtered!$K$2:$K$461,Data_filtered!$A$2:$A$461,AB$1,Data_filtered!$F$2:$F$461,$A5, Data_filtered!$D$2:$D$461,"eucalipto",Data_filtered!$J$2:$J$461,"&lt;&gt;Incompleto")=0, "-", SUMIFS(Data_filtered!$K$2:$K$461,Data_filtered!$A$2:$A$461,AB$1,Data_filtered!$F$2:$F$461,$A5, Data_filtered!$D$2:$D$461,"eucalipto",Data_filtered!$J$2:$J$461,"&lt;&gt;Incompleto"))</f>
        <v>-</v>
      </c>
      <c r="AC5" s="110" t="str">
        <f>IF(SUMIFS(Data_filtered!$K$2:$K$461,Data_filtered!$A$2:$A$461,AB$1,Data_filtered!$F$2:$F$461,$A5, Data_filtered!$D$2:$D$461,"mata",Data_filtered!$J$2:$J$461,"&lt;&gt;Incompleto")=0, "-", SUMIFS(Data_filtered!$K$2:$K$461,Data_filtered!$A$2:$A$461,AB$1,Data_filtered!$F$2:$F$461,$A5, Data_filtered!$D$2:$D$461,"mata",Data_filtered!$J$2:$J$461,"&lt;&gt;Incompleto"))
</f>
        <v>-</v>
      </c>
      <c r="AD5" s="109" t="str">
        <f>IF(SUMIFS(Data_filtered!$K$2:$K$461,Data_filtered!$A$2:$A$461,AD$1,Data_filtered!$F$2:$F$461,$A5, Data_filtered!$D$2:$D$461,"eucalipto",Data_filtered!$J$2:$J$461,"&lt;&gt;Incompleto")=0, "-", SUMIFS(Data_filtered!$K$2:$K$461,Data_filtered!$A$2:$A$461,AD$1,Data_filtered!$F$2:$F$461,$A5, Data_filtered!$D$2:$D$461,"eucalipto",Data_filtered!$J$2:$J$461,"&lt;&gt;Incompleto"))</f>
        <v>-</v>
      </c>
      <c r="AE5" s="110" t="str">
        <f>IF(SUMIFS(Data_filtered!$K$2:$K$461,Data_filtered!$A$2:$A$461,AD$1,Data_filtered!$F$2:$F$461,$A5, Data_filtered!$D$2:$D$461,"mata",Data_filtered!$J$2:$J$461,"&lt;&gt;Incompleto")=0, "-", SUMIFS(Data_filtered!$K$2:$K$461,Data_filtered!$A$2:$A$461,AD$1,Data_filtered!$F$2:$F$461,$A5, Data_filtered!$D$2:$D$461,"mata",Data_filtered!$J$2:$J$461,"&lt;&gt;Incompleto"))
</f>
        <v>-</v>
      </c>
      <c r="AF5" s="109" t="str">
        <f>IF(SUMIFS(Data_filtered!$K$2:$K$461,Data_filtered!$A$2:$A$461,AF$1,Data_filtered!$F$2:$F$461,$A5, Data_filtered!$D$2:$D$461,"eucalipto",Data_filtered!$J$2:$J$461,"&lt;&gt;Incompleto")=0, "-", SUMIFS(Data_filtered!$K$2:$K$461,Data_filtered!$A$2:$A$461,AF$1,Data_filtered!$F$2:$F$461,$A5, Data_filtered!$D$2:$D$461,"eucalipto",Data_filtered!$J$2:$J$461,"&lt;&gt;Incompleto"))</f>
        <v>-</v>
      </c>
      <c r="AG5" s="110" t="str">
        <f>IF(SUMIFS(Data_filtered!$K$2:$K$461,Data_filtered!$A$2:$A$461,AF$1,Data_filtered!$F$2:$F$461,$A5, Data_filtered!$D$2:$D$461,"mata",Data_filtered!$J$2:$J$461,"&lt;&gt;Incompleto")=0, "-", SUMIFS(Data_filtered!$K$2:$K$461,Data_filtered!$A$2:$A$461,AF$1,Data_filtered!$F$2:$F$461,$A5, Data_filtered!$D$2:$D$461,"mata",Data_filtered!$J$2:$J$461,"&lt;&gt;Incompleto"))
</f>
        <v>-</v>
      </c>
      <c r="AH5" s="109" t="str">
        <f>IF(SUMIFS(Data_filtered!$K$2:$K$461,Data_filtered!$A$2:$A$461,AH$1,Data_filtered!$F$2:$F$461,$A5, Data_filtered!$D$2:$D$461,"eucalipto",Data_filtered!$J$2:$J$461,"&lt;&gt;Incompleto")=0, "-", SUMIFS(Data_filtered!$K$2:$K$461,Data_filtered!$A$2:$A$461,AH$1,Data_filtered!$F$2:$F$461,$A5, Data_filtered!$D$2:$D$461,"eucalipto",Data_filtered!$J$2:$J$461,"&lt;&gt;Incompleto"))</f>
        <v>-</v>
      </c>
      <c r="AI5" s="110" t="str">
        <f>IF(SUMIFS(Data_filtered!$K$2:$K$461,Data_filtered!$A$2:$A$461,AH$1,Data_filtered!$F$2:$F$461,$A5, Data_filtered!$D$2:$D$461,"mata",Data_filtered!$J$2:$J$461,"&lt;&gt;Incompleto")=0, "-", SUMIFS(Data_filtered!$K$2:$K$461,Data_filtered!$A$2:$A$461,AH$1,Data_filtered!$F$2:$F$461,$A5, Data_filtered!$D$2:$D$461,"mata",Data_filtered!$J$2:$J$461,"&lt;&gt;Incompleto"))
</f>
        <v>-</v>
      </c>
      <c r="AJ5" s="109" t="str">
        <f>IF(SUMIFS(Data_filtered!$K$2:$K$461,Data_filtered!$A$2:$A$461,AJ$1,Data_filtered!$F$2:$F$461,$A5, Data_filtered!$D$2:$D$461,"eucalipto",Data_filtered!$J$2:$J$461,"&lt;&gt;Incompleto")=0, "-", SUMIFS(Data_filtered!$K$2:$K$461,Data_filtered!$A$2:$A$461,AJ$1,Data_filtered!$F$2:$F$461,$A5, Data_filtered!$D$2:$D$461,"eucalipto",Data_filtered!$J$2:$J$461,"&lt;&gt;Incompleto"))</f>
        <v>-</v>
      </c>
      <c r="AK5" s="110" t="str">
        <f>IF(SUMIFS(Data_filtered!$K$2:$K$461,Data_filtered!$A$2:$A$461,AJ$1,Data_filtered!$F$2:$F$461,$A5, Data_filtered!$D$2:$D$461,"mata",Data_filtered!$J$2:$J$461,"&lt;&gt;Incompleto")=0, "-", SUMIFS(Data_filtered!$K$2:$K$461,Data_filtered!$A$2:$A$461,AJ$1,Data_filtered!$F$2:$F$461,$A5, Data_filtered!$D$2:$D$461,"mata",Data_filtered!$J$2:$J$461,"&lt;&gt;Incompleto"))
</f>
        <v>-</v>
      </c>
      <c r="AL5" s="109" t="str">
        <f>IF(SUMIFS(Data_filtered!$K$2:$K$461,Data_filtered!$A$2:$A$461,AL$1,Data_filtered!$F$2:$F$461,$A5, Data_filtered!$D$2:$D$461,"eucalipto",Data_filtered!$J$2:$J$461,"&lt;&gt;Incompleto")=0, "-", SUMIFS(Data_filtered!$K$2:$K$461,Data_filtered!$A$2:$A$461,AL$1,Data_filtered!$F$2:$F$461,$A5, Data_filtered!$D$2:$D$461,"eucalipto",Data_filtered!$J$2:$J$461,"&lt;&gt;Incompleto"))</f>
        <v>-</v>
      </c>
      <c r="AM5" s="110" t="str">
        <f>IF(SUMIFS(Data_filtered!$K$2:$K$461,Data_filtered!$A$2:$A$461,AL$1,Data_filtered!$F$2:$F$461,$A5, Data_filtered!$D$2:$D$461,"mata",Data_filtered!$J$2:$J$461,"&lt;&gt;Incompleto")=0, "-", SUMIFS(Data_filtered!$K$2:$K$461,Data_filtered!$A$2:$A$461,AL$1,Data_filtered!$F$2:$F$461,$A5, Data_filtered!$D$2:$D$461,"mata",Data_filtered!$J$2:$J$461,"&lt;&gt;Incompleto"))
</f>
        <v>-</v>
      </c>
      <c r="AN5" s="109" t="str">
        <f>IF(SUMIFS(Data_filtered!$K$2:$K$461,Data_filtered!$A$2:$A$461,AN$1,Data_filtered!$F$2:$F$461,$A5, Data_filtered!$D$2:$D$461,"eucalipto",Data_filtered!$J$2:$J$461,"&lt;&gt;Incompleto")=0, "-", SUMIFS(Data_filtered!$K$2:$K$461,Data_filtered!$A$2:$A$461,AN$1,Data_filtered!$F$2:$F$461,$A5, Data_filtered!$D$2:$D$461,"eucalipto",Data_filtered!$J$2:$J$461,"&lt;&gt;Incompleto"))</f>
        <v>-</v>
      </c>
      <c r="AO5" s="110" t="str">
        <f>IF(SUMIFS(Data_filtered!$K$2:$K$461,Data_filtered!$A$2:$A$461,AN$1,Data_filtered!$F$2:$F$461,$A5, Data_filtered!$D$2:$D$461,"mata",Data_filtered!$J$2:$J$461,"&lt;&gt;Incompleto")=0, "-", SUMIFS(Data_filtered!$K$2:$K$461,Data_filtered!$A$2:$A$461,AN$1,Data_filtered!$F$2:$F$461,$A5, Data_filtered!$D$2:$D$461,"mata",Data_filtered!$J$2:$J$461,"&lt;&gt;Incompleto"))
</f>
        <v>-</v>
      </c>
      <c r="AP5" s="109" t="str">
        <f>IF(SUMIFS(Data_filtered!$K$2:$K$461,Data_filtered!$A$2:$A$461,AP$1,Data_filtered!$F$2:$F$461,$A5, Data_filtered!$D$2:$D$461,"eucalipto",Data_filtered!$J$2:$J$461,"&lt;&gt;Incompleto")=0, "-", SUMIFS(Data_filtered!$K$2:$K$461,Data_filtered!$A$2:$A$461,AP$1,Data_filtered!$F$2:$F$461,$A5, Data_filtered!$D$2:$D$461,"eucalipto",Data_filtered!$J$2:$J$461,"&lt;&gt;Incompleto"))</f>
        <v>-</v>
      </c>
      <c r="AQ5" s="110" t="str">
        <f>IF(SUMIFS(Data_filtered!$K$2:$K$461,Data_filtered!$A$2:$A$461,AP$1,Data_filtered!$F$2:$F$461,$A5, Data_filtered!$D$2:$D$461,"mata",Data_filtered!$J$2:$J$461,"&lt;&gt;Incompleto")=0, "-", SUMIFS(Data_filtered!$K$2:$K$461,Data_filtered!$A$2:$A$461,AP$1,Data_filtered!$F$2:$F$461,$A5, Data_filtered!$D$2:$D$461,"mata",Data_filtered!$J$2:$J$461,"&lt;&gt;Incompleto"))
</f>
        <v>-</v>
      </c>
      <c r="AR5" s="109" t="str">
        <f>IF(SUMIFS(Data_filtered!$K$2:$K$461,Data_filtered!$A$2:$A$461,AR$1,Data_filtered!$F$2:$F$461,$A5, Data_filtered!$D$2:$D$461,"eucalipto",Data_filtered!$J$2:$J$461,"&lt;&gt;Incompleto")=0, "-", SUMIFS(Data_filtered!$K$2:$K$461,Data_filtered!$A$2:$A$461,AR$1,Data_filtered!$F$2:$F$461,$A5, Data_filtered!$D$2:$D$461,"eucalipto",Data_filtered!$J$2:$J$461,"&lt;&gt;Incompleto"))</f>
        <v>-</v>
      </c>
      <c r="AS5" s="110" t="str">
        <f>IF(SUMIFS(Data_filtered!$K$2:$K$461,Data_filtered!$A$2:$A$461,AR$1,Data_filtered!$F$2:$F$461,$A5, Data_filtered!$D$2:$D$461,"mata",Data_filtered!$J$2:$J$461,"&lt;&gt;Incompleto")=0, "-", SUMIFS(Data_filtered!$K$2:$K$461,Data_filtered!$A$2:$A$461,AR$1,Data_filtered!$F$2:$F$461,$A5, Data_filtered!$D$2:$D$461,"mata",Data_filtered!$J$2:$J$461,"&lt;&gt;Incompleto"))
</f>
        <v>-</v>
      </c>
    </row>
    <row r="6">
      <c r="A6" s="68" t="str">
        <f>IFERROR(__xludf.DUMMYFUNCTION("""COMPUTED_VALUE"""),"Chilopoda")</f>
        <v>Chilopoda</v>
      </c>
      <c r="B6" s="109" t="str">
        <f>IF(SUMIFS(Data_filtered!$K$2:$K$461,Data_filtered!$A$2:$A$461,B$1,Data_filtered!$F$2:$F$461,$A6, Data_filtered!$D$2:$D$461,"eucalipto",Data_filtered!$J$2:$J$461,"&lt;&gt;Incompleto")=0, "-", SUMIFS(Data_filtered!$K$2:$K$461,Data_filtered!$A$2:$A$461,B$1,Data_filtered!$F$2:$F$461,$A6, Data_filtered!$D$2:$D$461,"eucalipto",Data_filtered!$J$2:$J$461,"&lt;&gt;Incompleto"))</f>
        <v>-</v>
      </c>
      <c r="C6" s="110" t="str">
        <f>IF(SUMIFS(Data_filtered!$K$2:$K$461,Data_filtered!$A$2:$A$461,B$1,Data_filtered!$F$2:$F$461,$A6, Data_filtered!$D$2:$D$461,"mata",Data_filtered!$J$2:$J$461,"&lt;&gt;Incompleto")=0, "-", SUMIFS(Data_filtered!$K$2:$K$461,Data_filtered!$A$2:$A$461,B$1,Data_filtered!$F$2:$F$461,$A6, Data_filtered!$D$2:$D$461,"mata",Data_filtered!$J$2:$J$461,"&lt;&gt;Incompleto"))
</f>
        <v>-</v>
      </c>
      <c r="D6" s="109" t="str">
        <f>IF(SUMIFS(Data_filtered!$K$2:$K$461,Data_filtered!$A$2:$A$461,D$1,Data_filtered!$F$2:$F$461,$A6, Data_filtered!$D$2:$D$461,"eucalipto",Data_filtered!$J$2:$J$461,"&lt;&gt;Incompleto")=0, "-", SUMIFS(Data_filtered!$K$2:$K$461,Data_filtered!$A$2:$A$461,D$1,Data_filtered!$F$2:$F$461,$A6, Data_filtered!$D$2:$D$461,"eucalipto",Data_filtered!$J$2:$J$461,"&lt;&gt;Incompleto"))</f>
        <v>-</v>
      </c>
      <c r="E6" s="110" t="str">
        <f>IF(SUMIFS(Data_filtered!$K$2:$K$461,Data_filtered!$A$2:$A$461,D$1,Data_filtered!$F$2:$F$461,$A6, Data_filtered!$D$2:$D$461,"mata",Data_filtered!$J$2:$J$461,"&lt;&gt;Incompleto")=0, "-", SUMIFS(Data_filtered!$K$2:$K$461,Data_filtered!$A$2:$A$461,D$1,Data_filtered!$F$2:$F$461,$A6, Data_filtered!$D$2:$D$461,"mata",Data_filtered!$J$2:$J$461,"&lt;&gt;Incompleto"))
</f>
        <v>-</v>
      </c>
      <c r="F6" s="109" t="str">
        <f>IF(SUMIFS(Data_filtered!$K$2:$K$461,Data_filtered!$A$2:$A$461,F$1,Data_filtered!$F$2:$F$461,$A6, Data_filtered!$D$2:$D$461,"eucalipto",Data_filtered!$J$2:$J$461,"&lt;&gt;Incompleto")=0, "-", SUMIFS(Data_filtered!$K$2:$K$461,Data_filtered!$A$2:$A$461,F$1,Data_filtered!$F$2:$F$461,$A6, Data_filtered!$D$2:$D$461,"eucalipto",Data_filtered!$J$2:$J$461,"&lt;&gt;Incompleto"))</f>
        <v>-</v>
      </c>
      <c r="G6" s="110" t="str">
        <f>IF(SUMIFS(Data_filtered!$K$2:$K$461,Data_filtered!$A$2:$A$461,F$1,Data_filtered!$F$2:$F$461,$A6, Data_filtered!$D$2:$D$461,"mata",Data_filtered!$J$2:$J$461,"&lt;&gt;Incompleto")=0, "-", SUMIFS(Data_filtered!$K$2:$K$461,Data_filtered!$A$2:$A$461,F$1,Data_filtered!$F$2:$F$461,$A6, Data_filtered!$D$2:$D$461,"mata",Data_filtered!$J$2:$J$461,"&lt;&gt;Incompleto"))
</f>
        <v>-</v>
      </c>
      <c r="H6" s="109" t="str">
        <f>IF(SUMIFS(Data_filtered!$K$2:$K$461,Data_filtered!$A$2:$A$461,H$1,Data_filtered!$F$2:$F$461,$A6, Data_filtered!$D$2:$D$461,"eucalipto",Data_filtered!$J$2:$J$461,"&lt;&gt;Incompleto")=0, "-", SUMIFS(Data_filtered!$K$2:$K$461,Data_filtered!$A$2:$A$461,H$1,Data_filtered!$F$2:$F$461,$A6, Data_filtered!$D$2:$D$461,"eucalipto",Data_filtered!$J$2:$J$461,"&lt;&gt;Incompleto"))</f>
        <v>-</v>
      </c>
      <c r="I6" s="110" t="str">
        <f>IF(SUMIFS(Data_filtered!$K$2:$K$461,Data_filtered!$A$2:$A$461,H$1,Data_filtered!$F$2:$F$461,$A6, Data_filtered!$D$2:$D$461,"mata",Data_filtered!$J$2:$J$461,"&lt;&gt;Incompleto")=0, "-", SUMIFS(Data_filtered!$K$2:$K$461,Data_filtered!$A$2:$A$461,H$1,Data_filtered!$F$2:$F$461,$A6, Data_filtered!$D$2:$D$461,"mata",Data_filtered!$J$2:$J$461,"&lt;&gt;Incompleto"))
</f>
        <v>-</v>
      </c>
      <c r="J6" s="109" t="str">
        <f>IF(SUMIFS(Data_filtered!$K$2:$K$461,Data_filtered!$A$2:$A$461,J$1,Data_filtered!$F$2:$F$461,$A6, Data_filtered!$D$2:$D$461,"eucalipto",Data_filtered!$J$2:$J$461,"&lt;&gt;Incompleto")=0, "-", SUMIFS(Data_filtered!$K$2:$K$461,Data_filtered!$A$2:$A$461,J$1,Data_filtered!$F$2:$F$461,$A6, Data_filtered!$D$2:$D$461,"eucalipto",Data_filtered!$J$2:$J$461,"&lt;&gt;Incompleto"))</f>
        <v>-</v>
      </c>
      <c r="K6" s="110" t="str">
        <f>IF(SUMIFS(Data_filtered!$K$2:$K$461,Data_filtered!$A$2:$A$461,J$1,Data_filtered!$F$2:$F$461,$A6, Data_filtered!$D$2:$D$461,"mata",Data_filtered!$J$2:$J$461,"&lt;&gt;Incompleto")=0, "-", SUMIFS(Data_filtered!$K$2:$K$461,Data_filtered!$A$2:$A$461,J$1,Data_filtered!$F$2:$F$461,$A6, Data_filtered!$D$2:$D$461,"mata",Data_filtered!$J$2:$J$461,"&lt;&gt;Incompleto"))
</f>
        <v>-</v>
      </c>
      <c r="L6" s="109" t="str">
        <f>IF(SUMIFS(Data_filtered!$K$2:$K$461,Data_filtered!$A$2:$A$461,L$1,Data_filtered!$F$2:$F$461,$A6, Data_filtered!$D$2:$D$461,"eucalipto",Data_filtered!$J$2:$J$461,"&lt;&gt;Incompleto")=0, "-", SUMIFS(Data_filtered!$K$2:$K$461,Data_filtered!$A$2:$A$461,L$1,Data_filtered!$F$2:$F$461,$A6, Data_filtered!$D$2:$D$461,"eucalipto",Data_filtered!$J$2:$J$461,"&lt;&gt;Incompleto"))</f>
        <v>-</v>
      </c>
      <c r="M6" s="110" t="str">
        <f>IF(SUMIFS(Data_filtered!$K$2:$K$461,Data_filtered!$A$2:$A$461,L$1,Data_filtered!$F$2:$F$461,$A6, Data_filtered!$D$2:$D$461,"mata",Data_filtered!$J$2:$J$461,"&lt;&gt;Incompleto")=0, "-", SUMIFS(Data_filtered!$K$2:$K$461,Data_filtered!$A$2:$A$461,L$1,Data_filtered!$F$2:$F$461,$A6, Data_filtered!$D$2:$D$461,"mata",Data_filtered!$J$2:$J$461,"&lt;&gt;Incompleto"))
</f>
        <v>-</v>
      </c>
      <c r="N6" s="109" t="str">
        <f>IF(SUMIFS(Data_filtered!$K$2:$K$461,Data_filtered!$A$2:$A$461,N$1,Data_filtered!$F$2:$F$461,$A6, Data_filtered!$D$2:$D$461,"eucalipto",Data_filtered!$J$2:$J$461,"&lt;&gt;Incompleto")=0, "-", SUMIFS(Data_filtered!$K$2:$K$461,Data_filtered!$A$2:$A$461,N$1,Data_filtered!$F$2:$F$461,$A6, Data_filtered!$D$2:$D$461,"eucalipto",Data_filtered!$J$2:$J$461,"&lt;&gt;Incompleto"))</f>
        <v>-</v>
      </c>
      <c r="O6" s="110" t="str">
        <f>IF(SUMIFS(Data_filtered!$K$2:$K$461,Data_filtered!$A$2:$A$461,N$1,Data_filtered!$F$2:$F$461,$A6, Data_filtered!$D$2:$D$461,"mata",Data_filtered!$J$2:$J$461,"&lt;&gt;Incompleto")=0, "-", SUMIFS(Data_filtered!$K$2:$K$461,Data_filtered!$A$2:$A$461,N$1,Data_filtered!$F$2:$F$461,$A6, Data_filtered!$D$2:$D$461,"mata",Data_filtered!$J$2:$J$461,"&lt;&gt;Incompleto"))
</f>
        <v>-</v>
      </c>
      <c r="P6" s="109" t="str">
        <f>IF(SUMIFS(Data_filtered!$K$2:$K$461,Data_filtered!$A$2:$A$461,P$1,Data_filtered!$F$2:$F$461,$A6, Data_filtered!$D$2:$D$461,"eucalipto",Data_filtered!$J$2:$J$461,"&lt;&gt;Incompleto")=0, "-", SUMIFS(Data_filtered!$K$2:$K$461,Data_filtered!$A$2:$A$461,P$1,Data_filtered!$F$2:$F$461,$A6, Data_filtered!$D$2:$D$461,"eucalipto",Data_filtered!$J$2:$J$461,"&lt;&gt;Incompleto"))</f>
        <v>-</v>
      </c>
      <c r="Q6" s="110" t="str">
        <f>IF(SUMIFS(Data_filtered!$K$2:$K$461,Data_filtered!$A$2:$A$461,P$1,Data_filtered!$F$2:$F$461,$A6, Data_filtered!$D$2:$D$461,"mata",Data_filtered!$J$2:$J$461,"&lt;&gt;Incompleto")=0, "-", SUMIFS(Data_filtered!$K$2:$K$461,Data_filtered!$A$2:$A$461,P$1,Data_filtered!$F$2:$F$461,$A6, Data_filtered!$D$2:$D$461,"mata",Data_filtered!$J$2:$J$461,"&lt;&gt;Incompleto"))
</f>
        <v>-</v>
      </c>
      <c r="R6" s="109">
        <f>IF(SUMIFS(Data_filtered!$K$2:$K$461,Data_filtered!$A$2:$A$461,R$1,Data_filtered!$F$2:$F$461,$A6, Data_filtered!$D$2:$D$461,"eucalipto",Data_filtered!$J$2:$J$461,"&lt;&gt;Incompleto")=0, "-", SUMIFS(Data_filtered!$K$2:$K$461,Data_filtered!$A$2:$A$461,R$1,Data_filtered!$F$2:$F$461,$A6, Data_filtered!$D$2:$D$461,"eucalipto",Data_filtered!$J$2:$J$461,"&lt;&gt;Incompleto"))</f>
        <v>506.8436148</v>
      </c>
      <c r="S6" s="110" t="str">
        <f>IF(SUMIFS(Data_filtered!$K$2:$K$461,Data_filtered!$A$2:$A$461,R$1,Data_filtered!$F$2:$F$461,$A6, Data_filtered!$D$2:$D$461,"mata",Data_filtered!$J$2:$J$461,"&lt;&gt;Incompleto")=0, "-", SUMIFS(Data_filtered!$K$2:$K$461,Data_filtered!$A$2:$A$461,R$1,Data_filtered!$F$2:$F$461,$A6, Data_filtered!$D$2:$D$461,"mata",Data_filtered!$J$2:$J$461,"&lt;&gt;Incompleto"))
</f>
        <v>-</v>
      </c>
      <c r="T6" s="109" t="str">
        <f>IF(SUMIFS(Data_filtered!$K$2:$K$461,Data_filtered!$A$2:$A$461,T$1,Data_filtered!$F$2:$F$461,$A6, Data_filtered!$D$2:$D$461,"eucalipto",Data_filtered!$J$2:$J$461,"&lt;&gt;Incompleto")=0, "-", SUMIFS(Data_filtered!$K$2:$K$461,Data_filtered!$A$2:$A$461,T$1,Data_filtered!$F$2:$F$461,$A6, Data_filtered!$D$2:$D$461,"eucalipto",Data_filtered!$J$2:$J$461,"&lt;&gt;Incompleto"))</f>
        <v>-</v>
      </c>
      <c r="U6" s="110" t="str">
        <f>IF(SUMIFS(Data_filtered!$K$2:$K$461,Data_filtered!$A$2:$A$461,T$1,Data_filtered!$F$2:$F$461,$A6, Data_filtered!$D$2:$D$461,"mata",Data_filtered!$J$2:$J$461,"&lt;&gt;Incompleto")=0, "-", SUMIFS(Data_filtered!$K$2:$K$461,Data_filtered!$A$2:$A$461,T$1,Data_filtered!$F$2:$F$461,$A6, Data_filtered!$D$2:$D$461,"mata",Data_filtered!$J$2:$J$461,"&lt;&gt;Incompleto"))
</f>
        <v>-</v>
      </c>
      <c r="V6" s="109">
        <f>IF(SUMIFS(Data_filtered!$K$2:$K$461,Data_filtered!$A$2:$A$461,V$1,Data_filtered!$F$2:$F$461,$A6, Data_filtered!$D$2:$D$461,"eucalipto",Data_filtered!$J$2:$J$461,"&lt;&gt;Incompleto")=0, "-", SUMIFS(Data_filtered!$K$2:$K$461,Data_filtered!$A$2:$A$461,V$1,Data_filtered!$F$2:$F$461,$A6, Data_filtered!$D$2:$D$461,"eucalipto",Data_filtered!$J$2:$J$461,"&lt;&gt;Incompleto"))</f>
        <v>41.88790205</v>
      </c>
      <c r="W6" s="110" t="str">
        <f>IF(SUMIFS(Data_filtered!$K$2:$K$461,Data_filtered!$A$2:$A$461,V$1,Data_filtered!$F$2:$F$461,$A6, Data_filtered!$D$2:$D$461,"mata",Data_filtered!$J$2:$J$461,"&lt;&gt;Incompleto")=0, "-", SUMIFS(Data_filtered!$K$2:$K$461,Data_filtered!$A$2:$A$461,V$1,Data_filtered!$F$2:$F$461,$A6, Data_filtered!$D$2:$D$461,"mata",Data_filtered!$J$2:$J$461,"&lt;&gt;Incompleto"))
</f>
        <v>-</v>
      </c>
      <c r="X6" s="109" t="str">
        <f>IF(SUMIFS(Data_filtered!$K$2:$K$461,Data_filtered!$A$2:$A$461,X$1,Data_filtered!$F$2:$F$461,$A6, Data_filtered!$D$2:$D$461,"eucalipto",Data_filtered!$J$2:$J$461,"&lt;&gt;Incompleto")=0, "-", SUMIFS(Data_filtered!$K$2:$K$461,Data_filtered!$A$2:$A$461,X$1,Data_filtered!$F$2:$F$461,$A6, Data_filtered!$D$2:$D$461,"eucalipto",Data_filtered!$J$2:$J$461,"&lt;&gt;Incompleto"))</f>
        <v>-</v>
      </c>
      <c r="Y6" s="110" t="str">
        <f>IF(SUMIFS(Data_filtered!$K$2:$K$461,Data_filtered!$A$2:$A$461,X$1,Data_filtered!$F$2:$F$461,$A6, Data_filtered!$D$2:$D$461,"mata",Data_filtered!$J$2:$J$461,"&lt;&gt;Incompleto")=0, "-", SUMIFS(Data_filtered!$K$2:$K$461,Data_filtered!$A$2:$A$461,X$1,Data_filtered!$F$2:$F$461,$A6, Data_filtered!$D$2:$D$461,"mata",Data_filtered!$J$2:$J$461,"&lt;&gt;Incompleto"))
</f>
        <v>-</v>
      </c>
      <c r="Z6" s="109" t="str">
        <f>IF(SUMIFS(Data_filtered!$K$2:$K$461,Data_filtered!$A$2:$A$461,Z$1,Data_filtered!$F$2:$F$461,$A6, Data_filtered!$D$2:$D$461,"eucalipto",Data_filtered!$J$2:$J$461,"&lt;&gt;Incompleto")=0, "-", SUMIFS(Data_filtered!$K$2:$K$461,Data_filtered!$A$2:$A$461,Z$1,Data_filtered!$F$2:$F$461,$A6, Data_filtered!$D$2:$D$461,"eucalipto",Data_filtered!$J$2:$J$461,"&lt;&gt;Incompleto"))</f>
        <v>-</v>
      </c>
      <c r="AA6" s="110" t="str">
        <f>IF(SUMIFS(Data_filtered!$K$2:$K$461,Data_filtered!$A$2:$A$461,Z$1,Data_filtered!$F$2:$F$461,$A6, Data_filtered!$D$2:$D$461,"mata",Data_filtered!$J$2:$J$461,"&lt;&gt;Incompleto")=0, "-", SUMIFS(Data_filtered!$K$2:$K$461,Data_filtered!$A$2:$A$461,Z$1,Data_filtered!$F$2:$F$461,$A6, Data_filtered!$D$2:$D$461,"mata",Data_filtered!$J$2:$J$461,"&lt;&gt;Incompleto"))
</f>
        <v>-</v>
      </c>
      <c r="AB6" s="109" t="str">
        <f>IF(SUMIFS(Data_filtered!$K$2:$K$461,Data_filtered!$A$2:$A$461,AB$1,Data_filtered!$F$2:$F$461,$A6, Data_filtered!$D$2:$D$461,"eucalipto",Data_filtered!$J$2:$J$461,"&lt;&gt;Incompleto")=0, "-", SUMIFS(Data_filtered!$K$2:$K$461,Data_filtered!$A$2:$A$461,AB$1,Data_filtered!$F$2:$F$461,$A6, Data_filtered!$D$2:$D$461,"eucalipto",Data_filtered!$J$2:$J$461,"&lt;&gt;Incompleto"))</f>
        <v>-</v>
      </c>
      <c r="AC6" s="110" t="str">
        <f>IF(SUMIFS(Data_filtered!$K$2:$K$461,Data_filtered!$A$2:$A$461,AB$1,Data_filtered!$F$2:$F$461,$A6, Data_filtered!$D$2:$D$461,"mata",Data_filtered!$J$2:$J$461,"&lt;&gt;Incompleto")=0, "-", SUMIFS(Data_filtered!$K$2:$K$461,Data_filtered!$A$2:$A$461,AB$1,Data_filtered!$F$2:$F$461,$A6, Data_filtered!$D$2:$D$461,"mata",Data_filtered!$J$2:$J$461,"&lt;&gt;Incompleto"))
</f>
        <v>-</v>
      </c>
      <c r="AD6" s="109" t="str">
        <f>IF(SUMIFS(Data_filtered!$K$2:$K$461,Data_filtered!$A$2:$A$461,AD$1,Data_filtered!$F$2:$F$461,$A6, Data_filtered!$D$2:$D$461,"eucalipto",Data_filtered!$J$2:$J$461,"&lt;&gt;Incompleto")=0, "-", SUMIFS(Data_filtered!$K$2:$K$461,Data_filtered!$A$2:$A$461,AD$1,Data_filtered!$F$2:$F$461,$A6, Data_filtered!$D$2:$D$461,"eucalipto",Data_filtered!$J$2:$J$461,"&lt;&gt;Incompleto"))</f>
        <v>-</v>
      </c>
      <c r="AE6" s="110" t="str">
        <f>IF(SUMIFS(Data_filtered!$K$2:$K$461,Data_filtered!$A$2:$A$461,AD$1,Data_filtered!$F$2:$F$461,$A6, Data_filtered!$D$2:$D$461,"mata",Data_filtered!$J$2:$J$461,"&lt;&gt;Incompleto")=0, "-", SUMIFS(Data_filtered!$K$2:$K$461,Data_filtered!$A$2:$A$461,AD$1,Data_filtered!$F$2:$F$461,$A6, Data_filtered!$D$2:$D$461,"mata",Data_filtered!$J$2:$J$461,"&lt;&gt;Incompleto"))
</f>
        <v>-</v>
      </c>
      <c r="AF6" s="109" t="str">
        <f>IF(SUMIFS(Data_filtered!$K$2:$K$461,Data_filtered!$A$2:$A$461,AF$1,Data_filtered!$F$2:$F$461,$A6, Data_filtered!$D$2:$D$461,"eucalipto",Data_filtered!$J$2:$J$461,"&lt;&gt;Incompleto")=0, "-", SUMIFS(Data_filtered!$K$2:$K$461,Data_filtered!$A$2:$A$461,AF$1,Data_filtered!$F$2:$F$461,$A6, Data_filtered!$D$2:$D$461,"eucalipto",Data_filtered!$J$2:$J$461,"&lt;&gt;Incompleto"))</f>
        <v>-</v>
      </c>
      <c r="AG6" s="110" t="str">
        <f>IF(SUMIFS(Data_filtered!$K$2:$K$461,Data_filtered!$A$2:$A$461,AF$1,Data_filtered!$F$2:$F$461,$A6, Data_filtered!$D$2:$D$461,"mata",Data_filtered!$J$2:$J$461,"&lt;&gt;Incompleto")=0, "-", SUMIFS(Data_filtered!$K$2:$K$461,Data_filtered!$A$2:$A$461,AF$1,Data_filtered!$F$2:$F$461,$A6, Data_filtered!$D$2:$D$461,"mata",Data_filtered!$J$2:$J$461,"&lt;&gt;Incompleto"))
</f>
        <v>-</v>
      </c>
      <c r="AH6" s="109" t="str">
        <f>IF(SUMIFS(Data_filtered!$K$2:$K$461,Data_filtered!$A$2:$A$461,AH$1,Data_filtered!$F$2:$F$461,$A6, Data_filtered!$D$2:$D$461,"eucalipto",Data_filtered!$J$2:$J$461,"&lt;&gt;Incompleto")=0, "-", SUMIFS(Data_filtered!$K$2:$K$461,Data_filtered!$A$2:$A$461,AH$1,Data_filtered!$F$2:$F$461,$A6, Data_filtered!$D$2:$D$461,"eucalipto",Data_filtered!$J$2:$J$461,"&lt;&gt;Incompleto"))</f>
        <v>-</v>
      </c>
      <c r="AI6" s="110">
        <f>IF(SUMIFS(Data_filtered!$K$2:$K$461,Data_filtered!$A$2:$A$461,AH$1,Data_filtered!$F$2:$F$461,$A6, Data_filtered!$D$2:$D$461,"mata",Data_filtered!$J$2:$J$461,"&lt;&gt;Incompleto")=0, "-", SUMIFS(Data_filtered!$K$2:$K$461,Data_filtered!$A$2:$A$461,AH$1,Data_filtered!$F$2:$F$461,$A6, Data_filtered!$D$2:$D$461,"mata",Data_filtered!$J$2:$J$461,"&lt;&gt;Incompleto"))
</f>
        <v>33.51032164</v>
      </c>
      <c r="AJ6" s="109" t="str">
        <f>IF(SUMIFS(Data_filtered!$K$2:$K$461,Data_filtered!$A$2:$A$461,AJ$1,Data_filtered!$F$2:$F$461,$A6, Data_filtered!$D$2:$D$461,"eucalipto",Data_filtered!$J$2:$J$461,"&lt;&gt;Incompleto")=0, "-", SUMIFS(Data_filtered!$K$2:$K$461,Data_filtered!$A$2:$A$461,AJ$1,Data_filtered!$F$2:$F$461,$A6, Data_filtered!$D$2:$D$461,"eucalipto",Data_filtered!$J$2:$J$461,"&lt;&gt;Incompleto"))</f>
        <v>-</v>
      </c>
      <c r="AK6" s="110" t="str">
        <f>IF(SUMIFS(Data_filtered!$K$2:$K$461,Data_filtered!$A$2:$A$461,AJ$1,Data_filtered!$F$2:$F$461,$A6, Data_filtered!$D$2:$D$461,"mata",Data_filtered!$J$2:$J$461,"&lt;&gt;Incompleto")=0, "-", SUMIFS(Data_filtered!$K$2:$K$461,Data_filtered!$A$2:$A$461,AJ$1,Data_filtered!$F$2:$F$461,$A6, Data_filtered!$D$2:$D$461,"mata",Data_filtered!$J$2:$J$461,"&lt;&gt;Incompleto"))
</f>
        <v>-</v>
      </c>
      <c r="AL6" s="109" t="str">
        <f>IF(SUMIFS(Data_filtered!$K$2:$K$461,Data_filtered!$A$2:$A$461,AL$1,Data_filtered!$F$2:$F$461,$A6, Data_filtered!$D$2:$D$461,"eucalipto",Data_filtered!$J$2:$J$461,"&lt;&gt;Incompleto")=0, "-", SUMIFS(Data_filtered!$K$2:$K$461,Data_filtered!$A$2:$A$461,AL$1,Data_filtered!$F$2:$F$461,$A6, Data_filtered!$D$2:$D$461,"eucalipto",Data_filtered!$J$2:$J$461,"&lt;&gt;Incompleto"))</f>
        <v>-</v>
      </c>
      <c r="AM6" s="110" t="str">
        <f>IF(SUMIFS(Data_filtered!$K$2:$K$461,Data_filtered!$A$2:$A$461,AL$1,Data_filtered!$F$2:$F$461,$A6, Data_filtered!$D$2:$D$461,"mata",Data_filtered!$J$2:$J$461,"&lt;&gt;Incompleto")=0, "-", SUMIFS(Data_filtered!$K$2:$K$461,Data_filtered!$A$2:$A$461,AL$1,Data_filtered!$F$2:$F$461,$A6, Data_filtered!$D$2:$D$461,"mata",Data_filtered!$J$2:$J$461,"&lt;&gt;Incompleto"))
</f>
        <v>-</v>
      </c>
      <c r="AN6" s="109" t="str">
        <f>IF(SUMIFS(Data_filtered!$K$2:$K$461,Data_filtered!$A$2:$A$461,AN$1,Data_filtered!$F$2:$F$461,$A6, Data_filtered!$D$2:$D$461,"eucalipto",Data_filtered!$J$2:$J$461,"&lt;&gt;Incompleto")=0, "-", SUMIFS(Data_filtered!$K$2:$K$461,Data_filtered!$A$2:$A$461,AN$1,Data_filtered!$F$2:$F$461,$A6, Data_filtered!$D$2:$D$461,"eucalipto",Data_filtered!$J$2:$J$461,"&lt;&gt;Incompleto"))</f>
        <v>-</v>
      </c>
      <c r="AO6" s="110" t="str">
        <f>IF(SUMIFS(Data_filtered!$K$2:$K$461,Data_filtered!$A$2:$A$461,AN$1,Data_filtered!$F$2:$F$461,$A6, Data_filtered!$D$2:$D$461,"mata",Data_filtered!$J$2:$J$461,"&lt;&gt;Incompleto")=0, "-", SUMIFS(Data_filtered!$K$2:$K$461,Data_filtered!$A$2:$A$461,AN$1,Data_filtered!$F$2:$F$461,$A6, Data_filtered!$D$2:$D$461,"mata",Data_filtered!$J$2:$J$461,"&lt;&gt;Incompleto"))
</f>
        <v>-</v>
      </c>
      <c r="AP6" s="109" t="str">
        <f>IF(SUMIFS(Data_filtered!$K$2:$K$461,Data_filtered!$A$2:$A$461,AP$1,Data_filtered!$F$2:$F$461,$A6, Data_filtered!$D$2:$D$461,"eucalipto",Data_filtered!$J$2:$J$461,"&lt;&gt;Incompleto")=0, "-", SUMIFS(Data_filtered!$K$2:$K$461,Data_filtered!$A$2:$A$461,AP$1,Data_filtered!$F$2:$F$461,$A6, Data_filtered!$D$2:$D$461,"eucalipto",Data_filtered!$J$2:$J$461,"&lt;&gt;Incompleto"))</f>
        <v>-</v>
      </c>
      <c r="AQ6" s="110" t="str">
        <f>IF(SUMIFS(Data_filtered!$K$2:$K$461,Data_filtered!$A$2:$A$461,AP$1,Data_filtered!$F$2:$F$461,$A6, Data_filtered!$D$2:$D$461,"mata",Data_filtered!$J$2:$J$461,"&lt;&gt;Incompleto")=0, "-", SUMIFS(Data_filtered!$K$2:$K$461,Data_filtered!$A$2:$A$461,AP$1,Data_filtered!$F$2:$F$461,$A6, Data_filtered!$D$2:$D$461,"mata",Data_filtered!$J$2:$J$461,"&lt;&gt;Incompleto"))
</f>
        <v>-</v>
      </c>
      <c r="AR6" s="109" t="str">
        <f>IF(SUMIFS(Data_filtered!$K$2:$K$461,Data_filtered!$A$2:$A$461,AR$1,Data_filtered!$F$2:$F$461,$A6, Data_filtered!$D$2:$D$461,"eucalipto",Data_filtered!$J$2:$J$461,"&lt;&gt;Incompleto")=0, "-", SUMIFS(Data_filtered!$K$2:$K$461,Data_filtered!$A$2:$A$461,AR$1,Data_filtered!$F$2:$F$461,$A6, Data_filtered!$D$2:$D$461,"eucalipto",Data_filtered!$J$2:$J$461,"&lt;&gt;Incompleto"))</f>
        <v>-</v>
      </c>
      <c r="AS6" s="110" t="str">
        <f>IF(SUMIFS(Data_filtered!$K$2:$K$461,Data_filtered!$A$2:$A$461,AR$1,Data_filtered!$F$2:$F$461,$A6, Data_filtered!$D$2:$D$461,"mata",Data_filtered!$J$2:$J$461,"&lt;&gt;Incompleto")=0, "-", SUMIFS(Data_filtered!$K$2:$K$461,Data_filtered!$A$2:$A$461,AR$1,Data_filtered!$F$2:$F$461,$A6, Data_filtered!$D$2:$D$461,"mata",Data_filtered!$J$2:$J$461,"&lt;&gt;Incompleto"))
</f>
        <v>-</v>
      </c>
    </row>
    <row r="7">
      <c r="A7" s="68" t="str">
        <f>IFERROR(__xludf.DUMMYFUNCTION("""COMPUTED_VALUE"""),"Coleoptera")</f>
        <v>Coleoptera</v>
      </c>
      <c r="B7" s="109">
        <f>IF(SUMIFS(Data_filtered!$K$2:$K$461,Data_filtered!$A$2:$A$461,B$1,Data_filtered!$F$2:$F$461,$A7, Data_filtered!$D$2:$D$461,"eucalipto",Data_filtered!$J$2:$J$461,"&lt;&gt;Incompleto")=0, "-", SUMIFS(Data_filtered!$K$2:$K$461,Data_filtered!$A$2:$A$461,B$1,Data_filtered!$F$2:$F$461,$A7, Data_filtered!$D$2:$D$461,"eucalipto",Data_filtered!$J$2:$J$461,"&lt;&gt;Incompleto"))</f>
        <v>301.5928947</v>
      </c>
      <c r="C7" s="110">
        <f>IF(SUMIFS(Data_filtered!$K$2:$K$461,Data_filtered!$A$2:$A$461,B$1,Data_filtered!$F$2:$F$461,$A7, Data_filtered!$D$2:$D$461,"mata",Data_filtered!$J$2:$J$461,"&lt;&gt;Incompleto")=0, "-", SUMIFS(Data_filtered!$K$2:$K$461,Data_filtered!$A$2:$A$461,B$1,Data_filtered!$F$2:$F$461,$A7, Data_filtered!$D$2:$D$461,"mata",Data_filtered!$J$2:$J$461,"&lt;&gt;Incompleto"))
</f>
        <v>737.227076</v>
      </c>
      <c r="D7" s="109" t="str">
        <f>IF(SUMIFS(Data_filtered!$K$2:$K$461,Data_filtered!$A$2:$A$461,D$1,Data_filtered!$F$2:$F$461,$A7, Data_filtered!$D$2:$D$461,"eucalipto",Data_filtered!$J$2:$J$461,"&lt;&gt;Incompleto")=0, "-", SUMIFS(Data_filtered!$K$2:$K$461,Data_filtered!$A$2:$A$461,D$1,Data_filtered!$F$2:$F$461,$A7, Data_filtered!$D$2:$D$461,"eucalipto",Data_filtered!$J$2:$J$461,"&lt;&gt;Incompleto"))</f>
        <v>-</v>
      </c>
      <c r="E7" s="110" t="str">
        <f>IF(SUMIFS(Data_filtered!$K$2:$K$461,Data_filtered!$A$2:$A$461,D$1,Data_filtered!$F$2:$F$461,$A7, Data_filtered!$D$2:$D$461,"mata",Data_filtered!$J$2:$J$461,"&lt;&gt;Incompleto")=0, "-", SUMIFS(Data_filtered!$K$2:$K$461,Data_filtered!$A$2:$A$461,D$1,Data_filtered!$F$2:$F$461,$A7, Data_filtered!$D$2:$D$461,"mata",Data_filtered!$J$2:$J$461,"&lt;&gt;Incompleto"))
</f>
        <v>-</v>
      </c>
      <c r="F7" s="109" t="str">
        <f>IF(SUMIFS(Data_filtered!$K$2:$K$461,Data_filtered!$A$2:$A$461,F$1,Data_filtered!$F$2:$F$461,$A7, Data_filtered!$D$2:$D$461,"eucalipto",Data_filtered!$J$2:$J$461,"&lt;&gt;Incompleto")=0, "-", SUMIFS(Data_filtered!$K$2:$K$461,Data_filtered!$A$2:$A$461,F$1,Data_filtered!$F$2:$F$461,$A7, Data_filtered!$D$2:$D$461,"eucalipto",Data_filtered!$J$2:$J$461,"&lt;&gt;Incompleto"))</f>
        <v>-</v>
      </c>
      <c r="G7" s="110">
        <f>IF(SUMIFS(Data_filtered!$K$2:$K$461,Data_filtered!$A$2:$A$461,F$1,Data_filtered!$F$2:$F$461,$A7, Data_filtered!$D$2:$D$461,"mata",Data_filtered!$J$2:$J$461,"&lt;&gt;Incompleto")=0, "-", SUMIFS(Data_filtered!$K$2:$K$461,Data_filtered!$A$2:$A$461,F$1,Data_filtered!$F$2:$F$461,$A7, Data_filtered!$D$2:$D$461,"mata",Data_filtered!$J$2:$J$461,"&lt;&gt;Incompleto"))
</f>
        <v>12.56637061</v>
      </c>
      <c r="H7" s="109" t="str">
        <f>IF(SUMIFS(Data_filtered!$K$2:$K$461,Data_filtered!$A$2:$A$461,H$1,Data_filtered!$F$2:$F$461,$A7, Data_filtered!$D$2:$D$461,"eucalipto",Data_filtered!$J$2:$J$461,"&lt;&gt;Incompleto")=0, "-", SUMIFS(Data_filtered!$K$2:$K$461,Data_filtered!$A$2:$A$461,H$1,Data_filtered!$F$2:$F$461,$A7, Data_filtered!$D$2:$D$461,"eucalipto",Data_filtered!$J$2:$J$461,"&lt;&gt;Incompleto"))</f>
        <v>-</v>
      </c>
      <c r="I7" s="110">
        <f>IF(SUMIFS(Data_filtered!$K$2:$K$461,Data_filtered!$A$2:$A$461,H$1,Data_filtered!$F$2:$F$461,$A7, Data_filtered!$D$2:$D$461,"mata",Data_filtered!$J$2:$J$461,"&lt;&gt;Incompleto")=0, "-", SUMIFS(Data_filtered!$K$2:$K$461,Data_filtered!$A$2:$A$461,H$1,Data_filtered!$F$2:$F$461,$A7, Data_filtered!$D$2:$D$461,"mata",Data_filtered!$J$2:$J$461,"&lt;&gt;Incompleto"))
</f>
        <v>737.227076</v>
      </c>
      <c r="J7" s="109">
        <f>IF(SUMIFS(Data_filtered!$K$2:$K$461,Data_filtered!$A$2:$A$461,J$1,Data_filtered!$F$2:$F$461,$A7, Data_filtered!$D$2:$D$461,"eucalipto",Data_filtered!$J$2:$J$461,"&lt;&gt;Incompleto")=0, "-", SUMIFS(Data_filtered!$K$2:$K$461,Data_filtered!$A$2:$A$461,J$1,Data_filtered!$F$2:$F$461,$A7, Data_filtered!$D$2:$D$461,"eucalipto",Data_filtered!$J$2:$J$461,"&lt;&gt;Incompleto"))</f>
        <v>37.69911184</v>
      </c>
      <c r="K7" s="110">
        <f>IF(SUMIFS(Data_filtered!$K$2:$K$461,Data_filtered!$A$2:$A$461,J$1,Data_filtered!$F$2:$F$461,$A7, Data_filtered!$D$2:$D$461,"mata",Data_filtered!$J$2:$J$461,"&lt;&gt;Incompleto")=0, "-", SUMIFS(Data_filtered!$K$2:$K$461,Data_filtered!$A$2:$A$461,J$1,Data_filtered!$F$2:$F$461,$A7, Data_filtered!$D$2:$D$461,"mata",Data_filtered!$J$2:$J$461,"&lt;&gt;Incompleto"))
</f>
        <v>12.56637061</v>
      </c>
      <c r="L7" s="109" t="str">
        <f>IF(SUMIFS(Data_filtered!$K$2:$K$461,Data_filtered!$A$2:$A$461,L$1,Data_filtered!$F$2:$F$461,$A7, Data_filtered!$D$2:$D$461,"eucalipto",Data_filtered!$J$2:$J$461,"&lt;&gt;Incompleto")=0, "-", SUMIFS(Data_filtered!$K$2:$K$461,Data_filtered!$A$2:$A$461,L$1,Data_filtered!$F$2:$F$461,$A7, Data_filtered!$D$2:$D$461,"eucalipto",Data_filtered!$J$2:$J$461,"&lt;&gt;Incompleto"))</f>
        <v>-</v>
      </c>
      <c r="M7" s="110">
        <f>IF(SUMIFS(Data_filtered!$K$2:$K$461,Data_filtered!$A$2:$A$461,L$1,Data_filtered!$F$2:$F$461,$A7, Data_filtered!$D$2:$D$461,"mata",Data_filtered!$J$2:$J$461,"&lt;&gt;Incompleto")=0, "-", SUMIFS(Data_filtered!$K$2:$K$461,Data_filtered!$A$2:$A$461,L$1,Data_filtered!$F$2:$F$461,$A7, Data_filtered!$D$2:$D$461,"mata",Data_filtered!$J$2:$J$461,"&lt;&gt;Incompleto"))
</f>
        <v>129.8524963</v>
      </c>
      <c r="N7" s="109" t="str">
        <f>IF(SUMIFS(Data_filtered!$K$2:$K$461,Data_filtered!$A$2:$A$461,N$1,Data_filtered!$F$2:$F$461,$A7, Data_filtered!$D$2:$D$461,"eucalipto",Data_filtered!$J$2:$J$461,"&lt;&gt;Incompleto")=0, "-", SUMIFS(Data_filtered!$K$2:$K$461,Data_filtered!$A$2:$A$461,N$1,Data_filtered!$F$2:$F$461,$A7, Data_filtered!$D$2:$D$461,"eucalipto",Data_filtered!$J$2:$J$461,"&lt;&gt;Incompleto"))</f>
        <v>-</v>
      </c>
      <c r="O7" s="110" t="str">
        <f>IF(SUMIFS(Data_filtered!$K$2:$K$461,Data_filtered!$A$2:$A$461,N$1,Data_filtered!$F$2:$F$461,$A7, Data_filtered!$D$2:$D$461,"mata",Data_filtered!$J$2:$J$461,"&lt;&gt;Incompleto")=0, "-", SUMIFS(Data_filtered!$K$2:$K$461,Data_filtered!$A$2:$A$461,N$1,Data_filtered!$F$2:$F$461,$A7, Data_filtered!$D$2:$D$461,"mata",Data_filtered!$J$2:$J$461,"&lt;&gt;Incompleto"))
</f>
        <v>-</v>
      </c>
      <c r="P7" s="109">
        <f>IF(SUMIFS(Data_filtered!$K$2:$K$461,Data_filtered!$A$2:$A$461,P$1,Data_filtered!$F$2:$F$461,$A7, Data_filtered!$D$2:$D$461,"eucalipto",Data_filtered!$J$2:$J$461,"&lt;&gt;Incompleto")=0, "-", SUMIFS(Data_filtered!$K$2:$K$461,Data_filtered!$A$2:$A$461,P$1,Data_filtered!$F$2:$F$461,$A7, Data_filtered!$D$2:$D$461,"eucalipto",Data_filtered!$J$2:$J$461,"&lt;&gt;Incompleto"))</f>
        <v>12.56637061</v>
      </c>
      <c r="Q7" s="110">
        <f>IF(SUMIFS(Data_filtered!$K$2:$K$461,Data_filtered!$A$2:$A$461,P$1,Data_filtered!$F$2:$F$461,$A7, Data_filtered!$D$2:$D$461,"mata",Data_filtered!$J$2:$J$461,"&lt;&gt;Incompleto")=0, "-", SUMIFS(Data_filtered!$K$2:$K$461,Data_filtered!$A$2:$A$461,P$1,Data_filtered!$F$2:$F$461,$A7, Data_filtered!$D$2:$D$461,"mata",Data_filtered!$J$2:$J$461,"&lt;&gt;Incompleto"))
</f>
        <v>100.5309649</v>
      </c>
      <c r="R7" s="109">
        <f>IF(SUMIFS(Data_filtered!$K$2:$K$461,Data_filtered!$A$2:$A$461,R$1,Data_filtered!$F$2:$F$461,$A7, Data_filtered!$D$2:$D$461,"eucalipto",Data_filtered!$J$2:$J$461,"&lt;&gt;Incompleto")=0, "-", SUMIFS(Data_filtered!$K$2:$K$461,Data_filtered!$A$2:$A$461,R$1,Data_filtered!$F$2:$F$461,$A7, Data_filtered!$D$2:$D$461,"eucalipto",Data_filtered!$J$2:$J$461,"&lt;&gt;Incompleto"))</f>
        <v>929.9114255</v>
      </c>
      <c r="S7" s="110">
        <f>IF(SUMIFS(Data_filtered!$K$2:$K$461,Data_filtered!$A$2:$A$461,R$1,Data_filtered!$F$2:$F$461,$A7, Data_filtered!$D$2:$D$461,"mata",Data_filtered!$J$2:$J$461,"&lt;&gt;Incompleto")=0, "-", SUMIFS(Data_filtered!$K$2:$K$461,Data_filtered!$A$2:$A$461,R$1,Data_filtered!$F$2:$F$461,$A7, Data_filtered!$D$2:$D$461,"mata",Data_filtered!$J$2:$J$461,"&lt;&gt;Incompleto"))
</f>
        <v>871.2683626</v>
      </c>
      <c r="T7" s="109" t="str">
        <f>IF(SUMIFS(Data_filtered!$K$2:$K$461,Data_filtered!$A$2:$A$461,T$1,Data_filtered!$F$2:$F$461,$A7, Data_filtered!$D$2:$D$461,"eucalipto",Data_filtered!$J$2:$J$461,"&lt;&gt;Incompleto")=0, "-", SUMIFS(Data_filtered!$K$2:$K$461,Data_filtered!$A$2:$A$461,T$1,Data_filtered!$F$2:$F$461,$A7, Data_filtered!$D$2:$D$461,"eucalipto",Data_filtered!$J$2:$J$461,"&lt;&gt;Incompleto"))</f>
        <v>-</v>
      </c>
      <c r="U7" s="110">
        <f>IF(SUMIFS(Data_filtered!$K$2:$K$461,Data_filtered!$A$2:$A$461,T$1,Data_filtered!$F$2:$F$461,$A7, Data_filtered!$D$2:$D$461,"mata",Data_filtered!$J$2:$J$461,"&lt;&gt;Incompleto")=0, "-", SUMIFS(Data_filtered!$K$2:$K$461,Data_filtered!$A$2:$A$461,T$1,Data_filtered!$F$2:$F$461,$A7, Data_filtered!$D$2:$D$461,"mata",Data_filtered!$J$2:$J$461,"&lt;&gt;Incompleto"))
</f>
        <v>142.418867</v>
      </c>
      <c r="V7" s="109">
        <f>IF(SUMIFS(Data_filtered!$K$2:$K$461,Data_filtered!$A$2:$A$461,V$1,Data_filtered!$F$2:$F$461,$A7, Data_filtered!$D$2:$D$461,"eucalipto",Data_filtered!$J$2:$J$461,"&lt;&gt;Incompleto")=0, "-", SUMIFS(Data_filtered!$K$2:$K$461,Data_filtered!$A$2:$A$461,V$1,Data_filtered!$F$2:$F$461,$A7, Data_filtered!$D$2:$D$461,"eucalipto",Data_filtered!$J$2:$J$461,"&lt;&gt;Incompleto"))</f>
        <v>117.2861257</v>
      </c>
      <c r="W7" s="110">
        <f>IF(SUMIFS(Data_filtered!$K$2:$K$461,Data_filtered!$A$2:$A$461,V$1,Data_filtered!$F$2:$F$461,$A7, Data_filtered!$D$2:$D$461,"mata",Data_filtered!$J$2:$J$461,"&lt;&gt;Incompleto")=0, "-", SUMIFS(Data_filtered!$K$2:$K$461,Data_filtered!$A$2:$A$461,V$1,Data_filtered!$F$2:$F$461,$A7, Data_filtered!$D$2:$D$461,"mata",Data_filtered!$J$2:$J$461,"&lt;&gt;Incompleto"))
</f>
        <v>83.7758041</v>
      </c>
      <c r="X7" s="109" t="str">
        <f>IF(SUMIFS(Data_filtered!$K$2:$K$461,Data_filtered!$A$2:$A$461,X$1,Data_filtered!$F$2:$F$461,$A7, Data_filtered!$D$2:$D$461,"eucalipto",Data_filtered!$J$2:$J$461,"&lt;&gt;Incompleto")=0, "-", SUMIFS(Data_filtered!$K$2:$K$461,Data_filtered!$A$2:$A$461,X$1,Data_filtered!$F$2:$F$461,$A7, Data_filtered!$D$2:$D$461,"eucalipto",Data_filtered!$J$2:$J$461,"&lt;&gt;Incompleto"))</f>
        <v>-</v>
      </c>
      <c r="Y7" s="110" t="str">
        <f>IF(SUMIFS(Data_filtered!$K$2:$K$461,Data_filtered!$A$2:$A$461,X$1,Data_filtered!$F$2:$F$461,$A7, Data_filtered!$D$2:$D$461,"mata",Data_filtered!$J$2:$J$461,"&lt;&gt;Incompleto")=0, "-", SUMIFS(Data_filtered!$K$2:$K$461,Data_filtered!$A$2:$A$461,X$1,Data_filtered!$F$2:$F$461,$A7, Data_filtered!$D$2:$D$461,"mata",Data_filtered!$J$2:$J$461,"&lt;&gt;Incompleto"))
</f>
        <v>-</v>
      </c>
      <c r="Z7" s="109" t="str">
        <f>IF(SUMIFS(Data_filtered!$K$2:$K$461,Data_filtered!$A$2:$A$461,Z$1,Data_filtered!$F$2:$F$461,$A7, Data_filtered!$D$2:$D$461,"eucalipto",Data_filtered!$J$2:$J$461,"&lt;&gt;Incompleto")=0, "-", SUMIFS(Data_filtered!$K$2:$K$461,Data_filtered!$A$2:$A$461,Z$1,Data_filtered!$F$2:$F$461,$A7, Data_filtered!$D$2:$D$461,"eucalipto",Data_filtered!$J$2:$J$461,"&lt;&gt;Incompleto"))</f>
        <v>-</v>
      </c>
      <c r="AA7" s="110">
        <f>IF(SUMIFS(Data_filtered!$K$2:$K$461,Data_filtered!$A$2:$A$461,Z$1,Data_filtered!$F$2:$F$461,$A7, Data_filtered!$D$2:$D$461,"mata",Data_filtered!$J$2:$J$461,"&lt;&gt;Incompleto")=0, "-", SUMIFS(Data_filtered!$K$2:$K$461,Data_filtered!$A$2:$A$461,Z$1,Data_filtered!$F$2:$F$461,$A7, Data_filtered!$D$2:$D$461,"mata",Data_filtered!$J$2:$J$461,"&lt;&gt;Incompleto"))
</f>
        <v>8.37758041</v>
      </c>
      <c r="AB7" s="109" t="str">
        <f>IF(SUMIFS(Data_filtered!$K$2:$K$461,Data_filtered!$A$2:$A$461,AB$1,Data_filtered!$F$2:$F$461,$A7, Data_filtered!$D$2:$D$461,"eucalipto",Data_filtered!$J$2:$J$461,"&lt;&gt;Incompleto")=0, "-", SUMIFS(Data_filtered!$K$2:$K$461,Data_filtered!$A$2:$A$461,AB$1,Data_filtered!$F$2:$F$461,$A7, Data_filtered!$D$2:$D$461,"eucalipto",Data_filtered!$J$2:$J$461,"&lt;&gt;Incompleto"))</f>
        <v>-</v>
      </c>
      <c r="AC7" s="110" t="str">
        <f>IF(SUMIFS(Data_filtered!$K$2:$K$461,Data_filtered!$A$2:$A$461,AB$1,Data_filtered!$F$2:$F$461,$A7, Data_filtered!$D$2:$D$461,"mata",Data_filtered!$J$2:$J$461,"&lt;&gt;Incompleto")=0, "-", SUMIFS(Data_filtered!$K$2:$K$461,Data_filtered!$A$2:$A$461,AB$1,Data_filtered!$F$2:$F$461,$A7, Data_filtered!$D$2:$D$461,"mata",Data_filtered!$J$2:$J$461,"&lt;&gt;Incompleto"))
</f>
        <v>-</v>
      </c>
      <c r="AD7" s="109" t="str">
        <f>IF(SUMIFS(Data_filtered!$K$2:$K$461,Data_filtered!$A$2:$A$461,AD$1,Data_filtered!$F$2:$F$461,$A7, Data_filtered!$D$2:$D$461,"eucalipto",Data_filtered!$J$2:$J$461,"&lt;&gt;Incompleto")=0, "-", SUMIFS(Data_filtered!$K$2:$K$461,Data_filtered!$A$2:$A$461,AD$1,Data_filtered!$F$2:$F$461,$A7, Data_filtered!$D$2:$D$461,"eucalipto",Data_filtered!$J$2:$J$461,"&lt;&gt;Incompleto"))</f>
        <v>-</v>
      </c>
      <c r="AE7" s="110" t="str">
        <f>IF(SUMIFS(Data_filtered!$K$2:$K$461,Data_filtered!$A$2:$A$461,AD$1,Data_filtered!$F$2:$F$461,$A7, Data_filtered!$D$2:$D$461,"mata",Data_filtered!$J$2:$J$461,"&lt;&gt;Incompleto")=0, "-", SUMIFS(Data_filtered!$K$2:$K$461,Data_filtered!$A$2:$A$461,AD$1,Data_filtered!$F$2:$F$461,$A7, Data_filtered!$D$2:$D$461,"mata",Data_filtered!$J$2:$J$461,"&lt;&gt;Incompleto"))
</f>
        <v>-</v>
      </c>
      <c r="AF7" s="109">
        <f>IF(SUMIFS(Data_filtered!$K$2:$K$461,Data_filtered!$A$2:$A$461,AF$1,Data_filtered!$F$2:$F$461,$A7, Data_filtered!$D$2:$D$461,"eucalipto",Data_filtered!$J$2:$J$461,"&lt;&gt;Incompleto")=0, "-", SUMIFS(Data_filtered!$K$2:$K$461,Data_filtered!$A$2:$A$461,AF$1,Data_filtered!$F$2:$F$461,$A7, Data_filtered!$D$2:$D$461,"eucalipto",Data_filtered!$J$2:$J$461,"&lt;&gt;Incompleto"))</f>
        <v>8.37758041</v>
      </c>
      <c r="AG7" s="110">
        <f>IF(SUMIFS(Data_filtered!$K$2:$K$461,Data_filtered!$A$2:$A$461,AF$1,Data_filtered!$F$2:$F$461,$A7, Data_filtered!$D$2:$D$461,"mata",Data_filtered!$J$2:$J$461,"&lt;&gt;Incompleto")=0, "-", SUMIFS(Data_filtered!$K$2:$K$461,Data_filtered!$A$2:$A$461,AF$1,Data_filtered!$F$2:$F$461,$A7, Data_filtered!$D$2:$D$461,"mata",Data_filtered!$J$2:$J$461,"&lt;&gt;Incompleto"))
</f>
        <v>282.7433388</v>
      </c>
      <c r="AH7" s="109">
        <f>IF(SUMIFS(Data_filtered!$K$2:$K$461,Data_filtered!$A$2:$A$461,AH$1,Data_filtered!$F$2:$F$461,$A7, Data_filtered!$D$2:$D$461,"eucalipto",Data_filtered!$J$2:$J$461,"&lt;&gt;Incompleto")=0, "-", SUMIFS(Data_filtered!$K$2:$K$461,Data_filtered!$A$2:$A$461,AH$1,Data_filtered!$F$2:$F$461,$A7, Data_filtered!$D$2:$D$461,"eucalipto",Data_filtered!$J$2:$J$461,"&lt;&gt;Incompleto"))</f>
        <v>2412.743158</v>
      </c>
      <c r="AI7" s="110">
        <f>IF(SUMIFS(Data_filtered!$K$2:$K$461,Data_filtered!$A$2:$A$461,AH$1,Data_filtered!$F$2:$F$461,$A7, Data_filtered!$D$2:$D$461,"mata",Data_filtered!$J$2:$J$461,"&lt;&gt;Incompleto")=0, "-", SUMIFS(Data_filtered!$K$2:$K$461,Data_filtered!$A$2:$A$461,AH$1,Data_filtered!$F$2:$F$461,$A7, Data_filtered!$D$2:$D$461,"mata",Data_filtered!$J$2:$J$461,"&lt;&gt;Incompleto"))
</f>
        <v>29715.27771</v>
      </c>
      <c r="AJ7" s="109" t="str">
        <f>IF(SUMIFS(Data_filtered!$K$2:$K$461,Data_filtered!$A$2:$A$461,AJ$1,Data_filtered!$F$2:$F$461,$A7, Data_filtered!$D$2:$D$461,"eucalipto",Data_filtered!$J$2:$J$461,"&lt;&gt;Incompleto")=0, "-", SUMIFS(Data_filtered!$K$2:$K$461,Data_filtered!$A$2:$A$461,AJ$1,Data_filtered!$F$2:$F$461,$A7, Data_filtered!$D$2:$D$461,"eucalipto",Data_filtered!$J$2:$J$461,"&lt;&gt;Incompleto"))</f>
        <v>-</v>
      </c>
      <c r="AK7" s="110">
        <f>IF(SUMIFS(Data_filtered!$K$2:$K$461,Data_filtered!$A$2:$A$461,AJ$1,Data_filtered!$F$2:$F$461,$A7, Data_filtered!$D$2:$D$461,"mata",Data_filtered!$J$2:$J$461,"&lt;&gt;Incompleto")=0, "-", SUMIFS(Data_filtered!$K$2:$K$461,Data_filtered!$A$2:$A$461,AJ$1,Data_filtered!$F$2:$F$461,$A7, Data_filtered!$D$2:$D$461,"mata",Data_filtered!$J$2:$J$461,"&lt;&gt;Incompleto"))
</f>
        <v>117.2861257</v>
      </c>
      <c r="AL7" s="109">
        <f>IF(SUMIFS(Data_filtered!$K$2:$K$461,Data_filtered!$A$2:$A$461,AL$1,Data_filtered!$F$2:$F$461,$A7, Data_filtered!$D$2:$D$461,"eucalipto",Data_filtered!$J$2:$J$461,"&lt;&gt;Incompleto")=0, "-", SUMIFS(Data_filtered!$K$2:$K$461,Data_filtered!$A$2:$A$461,AL$1,Data_filtered!$F$2:$F$461,$A7, Data_filtered!$D$2:$D$461,"eucalipto",Data_filtered!$J$2:$J$461,"&lt;&gt;Incompleto"))</f>
        <v>33095.63141</v>
      </c>
      <c r="AM7" s="110">
        <f>IF(SUMIFS(Data_filtered!$K$2:$K$461,Data_filtered!$A$2:$A$461,AL$1,Data_filtered!$F$2:$F$461,$A7, Data_filtered!$D$2:$D$461,"mata",Data_filtered!$J$2:$J$461,"&lt;&gt;Incompleto")=0, "-", SUMIFS(Data_filtered!$K$2:$K$461,Data_filtered!$A$2:$A$461,AL$1,Data_filtered!$F$2:$F$461,$A7, Data_filtered!$D$2:$D$461,"mata",Data_filtered!$J$2:$J$461,"&lt;&gt;Incompleto"))
</f>
        <v>569214.7009</v>
      </c>
      <c r="AN7" s="109" t="str">
        <f>IF(SUMIFS(Data_filtered!$K$2:$K$461,Data_filtered!$A$2:$A$461,AN$1,Data_filtered!$F$2:$F$461,$A7, Data_filtered!$D$2:$D$461,"eucalipto",Data_filtered!$J$2:$J$461,"&lt;&gt;Incompleto")=0, "-", SUMIFS(Data_filtered!$K$2:$K$461,Data_filtered!$A$2:$A$461,AN$1,Data_filtered!$F$2:$F$461,$A7, Data_filtered!$D$2:$D$461,"eucalipto",Data_filtered!$J$2:$J$461,"&lt;&gt;Incompleto"))</f>
        <v>-</v>
      </c>
      <c r="AO7" s="110">
        <f>IF(SUMIFS(Data_filtered!$K$2:$K$461,Data_filtered!$A$2:$A$461,AN$1,Data_filtered!$F$2:$F$461,$A7, Data_filtered!$D$2:$D$461,"mata",Data_filtered!$J$2:$J$461,"&lt;&gt;Incompleto")=0, "-", SUMIFS(Data_filtered!$K$2:$K$461,Data_filtered!$A$2:$A$461,AN$1,Data_filtered!$F$2:$F$461,$A7, Data_filtered!$D$2:$D$461,"mata",Data_filtered!$J$2:$J$461,"&lt;&gt;Incompleto"))
</f>
        <v>3736.400863</v>
      </c>
      <c r="AP7" s="109" t="str">
        <f>IF(SUMIFS(Data_filtered!$K$2:$K$461,Data_filtered!$A$2:$A$461,AP$1,Data_filtered!$F$2:$F$461,$A7, Data_filtered!$D$2:$D$461,"eucalipto",Data_filtered!$J$2:$J$461,"&lt;&gt;Incompleto")=0, "-", SUMIFS(Data_filtered!$K$2:$K$461,Data_filtered!$A$2:$A$461,AP$1,Data_filtered!$F$2:$F$461,$A7, Data_filtered!$D$2:$D$461,"eucalipto",Data_filtered!$J$2:$J$461,"&lt;&gt;Incompleto"))</f>
        <v>-</v>
      </c>
      <c r="AQ7" s="110">
        <f>IF(SUMIFS(Data_filtered!$K$2:$K$461,Data_filtered!$A$2:$A$461,AP$1,Data_filtered!$F$2:$F$461,$A7, Data_filtered!$D$2:$D$461,"mata",Data_filtered!$J$2:$J$461,"&lt;&gt;Incompleto")=0, "-", SUMIFS(Data_filtered!$K$2:$K$461,Data_filtered!$A$2:$A$461,AP$1,Data_filtered!$F$2:$F$461,$A7, Data_filtered!$D$2:$D$461,"mata",Data_filtered!$J$2:$J$461,"&lt;&gt;Incompleto"))
</f>
        <v>196.8731396</v>
      </c>
      <c r="AR7" s="109" t="str">
        <f>IF(SUMIFS(Data_filtered!$K$2:$K$461,Data_filtered!$A$2:$A$461,AR$1,Data_filtered!$F$2:$F$461,$A7, Data_filtered!$D$2:$D$461,"eucalipto",Data_filtered!$J$2:$J$461,"&lt;&gt;Incompleto")=0, "-", SUMIFS(Data_filtered!$K$2:$K$461,Data_filtered!$A$2:$A$461,AR$1,Data_filtered!$F$2:$F$461,$A7, Data_filtered!$D$2:$D$461,"eucalipto",Data_filtered!$J$2:$J$461,"&lt;&gt;Incompleto"))</f>
        <v>-</v>
      </c>
      <c r="AS7" s="110">
        <f>IF(SUMIFS(Data_filtered!$K$2:$K$461,Data_filtered!$A$2:$A$461,AR$1,Data_filtered!$F$2:$F$461,$A7, Data_filtered!$D$2:$D$461,"mata",Data_filtered!$J$2:$J$461,"&lt;&gt;Incompleto")=0, "-", SUMIFS(Data_filtered!$K$2:$K$461,Data_filtered!$A$2:$A$461,AR$1,Data_filtered!$F$2:$F$461,$A7, Data_filtered!$D$2:$D$461,"mata",Data_filtered!$J$2:$J$461,"&lt;&gt;Incompleto"))
</f>
        <v>402.1238597</v>
      </c>
    </row>
    <row r="8">
      <c r="A8" s="68" t="str">
        <f>IFERROR(__xludf.DUMMYFUNCTION("""COMPUTED_VALUE"""),"Coleoptera Larva")</f>
        <v>Coleoptera Larva</v>
      </c>
      <c r="B8" s="109" t="str">
        <f>IF(SUMIFS(Data_filtered!$K$2:$K$461,Data_filtered!$A$2:$A$461,B$1,Data_filtered!$F$2:$F$461,$A8, Data_filtered!$D$2:$D$461,"eucalipto",Data_filtered!$J$2:$J$461,"&lt;&gt;Incompleto")=0, "-", SUMIFS(Data_filtered!$K$2:$K$461,Data_filtered!$A$2:$A$461,B$1,Data_filtered!$F$2:$F$461,$A8, Data_filtered!$D$2:$D$461,"eucalipto",Data_filtered!$J$2:$J$461,"&lt;&gt;Incompleto"))</f>
        <v>-</v>
      </c>
      <c r="C8" s="110" t="str">
        <f>IF(SUMIFS(Data_filtered!$K$2:$K$461,Data_filtered!$A$2:$A$461,B$1,Data_filtered!$F$2:$F$461,$A8, Data_filtered!$D$2:$D$461,"mata",Data_filtered!$J$2:$J$461,"&lt;&gt;Incompleto")=0, "-", SUMIFS(Data_filtered!$K$2:$K$461,Data_filtered!$A$2:$A$461,B$1,Data_filtered!$F$2:$F$461,$A8, Data_filtered!$D$2:$D$461,"mata",Data_filtered!$J$2:$J$461,"&lt;&gt;Incompleto"))
</f>
        <v>-</v>
      </c>
      <c r="D8" s="109" t="str">
        <f>IF(SUMIFS(Data_filtered!$K$2:$K$461,Data_filtered!$A$2:$A$461,D$1,Data_filtered!$F$2:$F$461,$A8, Data_filtered!$D$2:$D$461,"eucalipto",Data_filtered!$J$2:$J$461,"&lt;&gt;Incompleto")=0, "-", SUMIFS(Data_filtered!$K$2:$K$461,Data_filtered!$A$2:$A$461,D$1,Data_filtered!$F$2:$F$461,$A8, Data_filtered!$D$2:$D$461,"eucalipto",Data_filtered!$J$2:$J$461,"&lt;&gt;Incompleto"))</f>
        <v>-</v>
      </c>
      <c r="E8" s="110" t="str">
        <f>IF(SUMIFS(Data_filtered!$K$2:$K$461,Data_filtered!$A$2:$A$461,D$1,Data_filtered!$F$2:$F$461,$A8, Data_filtered!$D$2:$D$461,"mata",Data_filtered!$J$2:$J$461,"&lt;&gt;Incompleto")=0, "-", SUMIFS(Data_filtered!$K$2:$K$461,Data_filtered!$A$2:$A$461,D$1,Data_filtered!$F$2:$F$461,$A8, Data_filtered!$D$2:$D$461,"mata",Data_filtered!$J$2:$J$461,"&lt;&gt;Incompleto"))
</f>
        <v>-</v>
      </c>
      <c r="F8" s="109" t="str">
        <f>IF(SUMIFS(Data_filtered!$K$2:$K$461,Data_filtered!$A$2:$A$461,F$1,Data_filtered!$F$2:$F$461,$A8, Data_filtered!$D$2:$D$461,"eucalipto",Data_filtered!$J$2:$J$461,"&lt;&gt;Incompleto")=0, "-", SUMIFS(Data_filtered!$K$2:$K$461,Data_filtered!$A$2:$A$461,F$1,Data_filtered!$F$2:$F$461,$A8, Data_filtered!$D$2:$D$461,"eucalipto",Data_filtered!$J$2:$J$461,"&lt;&gt;Incompleto"))</f>
        <v>-</v>
      </c>
      <c r="G8" s="110" t="str">
        <f>IF(SUMIFS(Data_filtered!$K$2:$K$461,Data_filtered!$A$2:$A$461,F$1,Data_filtered!$F$2:$F$461,$A8, Data_filtered!$D$2:$D$461,"mata",Data_filtered!$J$2:$J$461,"&lt;&gt;Incompleto")=0, "-", SUMIFS(Data_filtered!$K$2:$K$461,Data_filtered!$A$2:$A$461,F$1,Data_filtered!$F$2:$F$461,$A8, Data_filtered!$D$2:$D$461,"mata",Data_filtered!$J$2:$J$461,"&lt;&gt;Incompleto"))
</f>
        <v>-</v>
      </c>
      <c r="H8" s="109" t="str">
        <f>IF(SUMIFS(Data_filtered!$K$2:$K$461,Data_filtered!$A$2:$A$461,H$1,Data_filtered!$F$2:$F$461,$A8, Data_filtered!$D$2:$D$461,"eucalipto",Data_filtered!$J$2:$J$461,"&lt;&gt;Incompleto")=0, "-", SUMIFS(Data_filtered!$K$2:$K$461,Data_filtered!$A$2:$A$461,H$1,Data_filtered!$F$2:$F$461,$A8, Data_filtered!$D$2:$D$461,"eucalipto",Data_filtered!$J$2:$J$461,"&lt;&gt;Incompleto"))</f>
        <v>-</v>
      </c>
      <c r="I8" s="110" t="str">
        <f>IF(SUMIFS(Data_filtered!$K$2:$K$461,Data_filtered!$A$2:$A$461,H$1,Data_filtered!$F$2:$F$461,$A8, Data_filtered!$D$2:$D$461,"mata",Data_filtered!$J$2:$J$461,"&lt;&gt;Incompleto")=0, "-", SUMIFS(Data_filtered!$K$2:$K$461,Data_filtered!$A$2:$A$461,H$1,Data_filtered!$F$2:$F$461,$A8, Data_filtered!$D$2:$D$461,"mata",Data_filtered!$J$2:$J$461,"&lt;&gt;Incompleto"))
</f>
        <v>-</v>
      </c>
      <c r="J8" s="109" t="str">
        <f>IF(SUMIFS(Data_filtered!$K$2:$K$461,Data_filtered!$A$2:$A$461,J$1,Data_filtered!$F$2:$F$461,$A8, Data_filtered!$D$2:$D$461,"eucalipto",Data_filtered!$J$2:$J$461,"&lt;&gt;Incompleto")=0, "-", SUMIFS(Data_filtered!$K$2:$K$461,Data_filtered!$A$2:$A$461,J$1,Data_filtered!$F$2:$F$461,$A8, Data_filtered!$D$2:$D$461,"eucalipto",Data_filtered!$J$2:$J$461,"&lt;&gt;Incompleto"))</f>
        <v>-</v>
      </c>
      <c r="K8" s="110" t="str">
        <f>IF(SUMIFS(Data_filtered!$K$2:$K$461,Data_filtered!$A$2:$A$461,J$1,Data_filtered!$F$2:$F$461,$A8, Data_filtered!$D$2:$D$461,"mata",Data_filtered!$J$2:$J$461,"&lt;&gt;Incompleto")=0, "-", SUMIFS(Data_filtered!$K$2:$K$461,Data_filtered!$A$2:$A$461,J$1,Data_filtered!$F$2:$F$461,$A8, Data_filtered!$D$2:$D$461,"mata",Data_filtered!$J$2:$J$461,"&lt;&gt;Incompleto"))
</f>
        <v>-</v>
      </c>
      <c r="L8" s="109" t="str">
        <f>IF(SUMIFS(Data_filtered!$K$2:$K$461,Data_filtered!$A$2:$A$461,L$1,Data_filtered!$F$2:$F$461,$A8, Data_filtered!$D$2:$D$461,"eucalipto",Data_filtered!$J$2:$J$461,"&lt;&gt;Incompleto")=0, "-", SUMIFS(Data_filtered!$K$2:$K$461,Data_filtered!$A$2:$A$461,L$1,Data_filtered!$F$2:$F$461,$A8, Data_filtered!$D$2:$D$461,"eucalipto",Data_filtered!$J$2:$J$461,"&lt;&gt;Incompleto"))</f>
        <v>-</v>
      </c>
      <c r="M8" s="110" t="str">
        <f>IF(SUMIFS(Data_filtered!$K$2:$K$461,Data_filtered!$A$2:$A$461,L$1,Data_filtered!$F$2:$F$461,$A8, Data_filtered!$D$2:$D$461,"mata",Data_filtered!$J$2:$J$461,"&lt;&gt;Incompleto")=0, "-", SUMIFS(Data_filtered!$K$2:$K$461,Data_filtered!$A$2:$A$461,L$1,Data_filtered!$F$2:$F$461,$A8, Data_filtered!$D$2:$D$461,"mata",Data_filtered!$J$2:$J$461,"&lt;&gt;Incompleto"))
</f>
        <v>-</v>
      </c>
      <c r="N8" s="109" t="str">
        <f>IF(SUMIFS(Data_filtered!$K$2:$K$461,Data_filtered!$A$2:$A$461,N$1,Data_filtered!$F$2:$F$461,$A8, Data_filtered!$D$2:$D$461,"eucalipto",Data_filtered!$J$2:$J$461,"&lt;&gt;Incompleto")=0, "-", SUMIFS(Data_filtered!$K$2:$K$461,Data_filtered!$A$2:$A$461,N$1,Data_filtered!$F$2:$F$461,$A8, Data_filtered!$D$2:$D$461,"eucalipto",Data_filtered!$J$2:$J$461,"&lt;&gt;Incompleto"))</f>
        <v>-</v>
      </c>
      <c r="O8" s="110" t="str">
        <f>IF(SUMIFS(Data_filtered!$K$2:$K$461,Data_filtered!$A$2:$A$461,N$1,Data_filtered!$F$2:$F$461,$A8, Data_filtered!$D$2:$D$461,"mata",Data_filtered!$J$2:$J$461,"&lt;&gt;Incompleto")=0, "-", SUMIFS(Data_filtered!$K$2:$K$461,Data_filtered!$A$2:$A$461,N$1,Data_filtered!$F$2:$F$461,$A8, Data_filtered!$D$2:$D$461,"mata",Data_filtered!$J$2:$J$461,"&lt;&gt;Incompleto"))
</f>
        <v>-</v>
      </c>
      <c r="P8" s="109" t="str">
        <f>IF(SUMIFS(Data_filtered!$K$2:$K$461,Data_filtered!$A$2:$A$461,P$1,Data_filtered!$F$2:$F$461,$A8, Data_filtered!$D$2:$D$461,"eucalipto",Data_filtered!$J$2:$J$461,"&lt;&gt;Incompleto")=0, "-", SUMIFS(Data_filtered!$K$2:$K$461,Data_filtered!$A$2:$A$461,P$1,Data_filtered!$F$2:$F$461,$A8, Data_filtered!$D$2:$D$461,"eucalipto",Data_filtered!$J$2:$J$461,"&lt;&gt;Incompleto"))</f>
        <v>-</v>
      </c>
      <c r="Q8" s="110" t="str">
        <f>IF(SUMIFS(Data_filtered!$K$2:$K$461,Data_filtered!$A$2:$A$461,P$1,Data_filtered!$F$2:$F$461,$A8, Data_filtered!$D$2:$D$461,"mata",Data_filtered!$J$2:$J$461,"&lt;&gt;Incompleto")=0, "-", SUMIFS(Data_filtered!$K$2:$K$461,Data_filtered!$A$2:$A$461,P$1,Data_filtered!$F$2:$F$461,$A8, Data_filtered!$D$2:$D$461,"mata",Data_filtered!$J$2:$J$461,"&lt;&gt;Incompleto"))
</f>
        <v>-</v>
      </c>
      <c r="R8" s="109" t="str">
        <f>IF(SUMIFS(Data_filtered!$K$2:$K$461,Data_filtered!$A$2:$A$461,R$1,Data_filtered!$F$2:$F$461,$A8, Data_filtered!$D$2:$D$461,"eucalipto",Data_filtered!$J$2:$J$461,"&lt;&gt;Incompleto")=0, "-", SUMIFS(Data_filtered!$K$2:$K$461,Data_filtered!$A$2:$A$461,R$1,Data_filtered!$F$2:$F$461,$A8, Data_filtered!$D$2:$D$461,"eucalipto",Data_filtered!$J$2:$J$461,"&lt;&gt;Incompleto"))</f>
        <v>-</v>
      </c>
      <c r="S8" s="110" t="str">
        <f>IF(SUMIFS(Data_filtered!$K$2:$K$461,Data_filtered!$A$2:$A$461,R$1,Data_filtered!$F$2:$F$461,$A8, Data_filtered!$D$2:$D$461,"mata",Data_filtered!$J$2:$J$461,"&lt;&gt;Incompleto")=0, "-", SUMIFS(Data_filtered!$K$2:$K$461,Data_filtered!$A$2:$A$461,R$1,Data_filtered!$F$2:$F$461,$A8, Data_filtered!$D$2:$D$461,"mata",Data_filtered!$J$2:$J$461,"&lt;&gt;Incompleto"))
</f>
        <v>-</v>
      </c>
      <c r="T8" s="109" t="str">
        <f>IF(SUMIFS(Data_filtered!$K$2:$K$461,Data_filtered!$A$2:$A$461,T$1,Data_filtered!$F$2:$F$461,$A8, Data_filtered!$D$2:$D$461,"eucalipto",Data_filtered!$J$2:$J$461,"&lt;&gt;Incompleto")=0, "-", SUMIFS(Data_filtered!$K$2:$K$461,Data_filtered!$A$2:$A$461,T$1,Data_filtered!$F$2:$F$461,$A8, Data_filtered!$D$2:$D$461,"eucalipto",Data_filtered!$J$2:$J$461,"&lt;&gt;Incompleto"))</f>
        <v>-</v>
      </c>
      <c r="U8" s="110">
        <f>IF(SUMIFS(Data_filtered!$K$2:$K$461,Data_filtered!$A$2:$A$461,T$1,Data_filtered!$F$2:$F$461,$A8, Data_filtered!$D$2:$D$461,"mata",Data_filtered!$J$2:$J$461,"&lt;&gt;Incompleto")=0, "-", SUMIFS(Data_filtered!$K$2:$K$461,Data_filtered!$A$2:$A$461,T$1,Data_filtered!$F$2:$F$461,$A8, Data_filtered!$D$2:$D$461,"mata",Data_filtered!$J$2:$J$461,"&lt;&gt;Incompleto"))
</f>
        <v>5.235987756</v>
      </c>
      <c r="V8" s="109" t="str">
        <f>IF(SUMIFS(Data_filtered!$K$2:$K$461,Data_filtered!$A$2:$A$461,V$1,Data_filtered!$F$2:$F$461,$A8, Data_filtered!$D$2:$D$461,"eucalipto",Data_filtered!$J$2:$J$461,"&lt;&gt;Incompleto")=0, "-", SUMIFS(Data_filtered!$K$2:$K$461,Data_filtered!$A$2:$A$461,V$1,Data_filtered!$F$2:$F$461,$A8, Data_filtered!$D$2:$D$461,"eucalipto",Data_filtered!$J$2:$J$461,"&lt;&gt;Incompleto"))</f>
        <v>-</v>
      </c>
      <c r="W8" s="110" t="str">
        <f>IF(SUMIFS(Data_filtered!$K$2:$K$461,Data_filtered!$A$2:$A$461,V$1,Data_filtered!$F$2:$F$461,$A8, Data_filtered!$D$2:$D$461,"mata",Data_filtered!$J$2:$J$461,"&lt;&gt;Incompleto")=0, "-", SUMIFS(Data_filtered!$K$2:$K$461,Data_filtered!$A$2:$A$461,V$1,Data_filtered!$F$2:$F$461,$A8, Data_filtered!$D$2:$D$461,"mata",Data_filtered!$J$2:$J$461,"&lt;&gt;Incompleto"))
</f>
        <v>-</v>
      </c>
      <c r="X8" s="109" t="str">
        <f>IF(SUMIFS(Data_filtered!$K$2:$K$461,Data_filtered!$A$2:$A$461,X$1,Data_filtered!$F$2:$F$461,$A8, Data_filtered!$D$2:$D$461,"eucalipto",Data_filtered!$J$2:$J$461,"&lt;&gt;Incompleto")=0, "-", SUMIFS(Data_filtered!$K$2:$K$461,Data_filtered!$A$2:$A$461,X$1,Data_filtered!$F$2:$F$461,$A8, Data_filtered!$D$2:$D$461,"eucalipto",Data_filtered!$J$2:$J$461,"&lt;&gt;Incompleto"))</f>
        <v>-</v>
      </c>
      <c r="Y8" s="110" t="str">
        <f>IF(SUMIFS(Data_filtered!$K$2:$K$461,Data_filtered!$A$2:$A$461,X$1,Data_filtered!$F$2:$F$461,$A8, Data_filtered!$D$2:$D$461,"mata",Data_filtered!$J$2:$J$461,"&lt;&gt;Incompleto")=0, "-", SUMIFS(Data_filtered!$K$2:$K$461,Data_filtered!$A$2:$A$461,X$1,Data_filtered!$F$2:$F$461,$A8, Data_filtered!$D$2:$D$461,"mata",Data_filtered!$J$2:$J$461,"&lt;&gt;Incompleto"))
</f>
        <v>-</v>
      </c>
      <c r="Z8" s="109" t="str">
        <f>IF(SUMIFS(Data_filtered!$K$2:$K$461,Data_filtered!$A$2:$A$461,Z$1,Data_filtered!$F$2:$F$461,$A8, Data_filtered!$D$2:$D$461,"eucalipto",Data_filtered!$J$2:$J$461,"&lt;&gt;Incompleto")=0, "-", SUMIFS(Data_filtered!$K$2:$K$461,Data_filtered!$A$2:$A$461,Z$1,Data_filtered!$F$2:$F$461,$A8, Data_filtered!$D$2:$D$461,"eucalipto",Data_filtered!$J$2:$J$461,"&lt;&gt;Incompleto"))</f>
        <v>-</v>
      </c>
      <c r="AA8" s="110" t="str">
        <f>IF(SUMIFS(Data_filtered!$K$2:$K$461,Data_filtered!$A$2:$A$461,Z$1,Data_filtered!$F$2:$F$461,$A8, Data_filtered!$D$2:$D$461,"mata",Data_filtered!$J$2:$J$461,"&lt;&gt;Incompleto")=0, "-", SUMIFS(Data_filtered!$K$2:$K$461,Data_filtered!$A$2:$A$461,Z$1,Data_filtered!$F$2:$F$461,$A8, Data_filtered!$D$2:$D$461,"mata",Data_filtered!$J$2:$J$461,"&lt;&gt;Incompleto"))
</f>
        <v>-</v>
      </c>
      <c r="AB8" s="109" t="str">
        <f>IF(SUMIFS(Data_filtered!$K$2:$K$461,Data_filtered!$A$2:$A$461,AB$1,Data_filtered!$F$2:$F$461,$A8, Data_filtered!$D$2:$D$461,"eucalipto",Data_filtered!$J$2:$J$461,"&lt;&gt;Incompleto")=0, "-", SUMIFS(Data_filtered!$K$2:$K$461,Data_filtered!$A$2:$A$461,AB$1,Data_filtered!$F$2:$F$461,$A8, Data_filtered!$D$2:$D$461,"eucalipto",Data_filtered!$J$2:$J$461,"&lt;&gt;Incompleto"))</f>
        <v>-</v>
      </c>
      <c r="AC8" s="110" t="str">
        <f>IF(SUMIFS(Data_filtered!$K$2:$K$461,Data_filtered!$A$2:$A$461,AB$1,Data_filtered!$F$2:$F$461,$A8, Data_filtered!$D$2:$D$461,"mata",Data_filtered!$J$2:$J$461,"&lt;&gt;Incompleto")=0, "-", SUMIFS(Data_filtered!$K$2:$K$461,Data_filtered!$A$2:$A$461,AB$1,Data_filtered!$F$2:$F$461,$A8, Data_filtered!$D$2:$D$461,"mata",Data_filtered!$J$2:$J$461,"&lt;&gt;Incompleto"))
</f>
        <v>-</v>
      </c>
      <c r="AD8" s="109" t="str">
        <f>IF(SUMIFS(Data_filtered!$K$2:$K$461,Data_filtered!$A$2:$A$461,AD$1,Data_filtered!$F$2:$F$461,$A8, Data_filtered!$D$2:$D$461,"eucalipto",Data_filtered!$J$2:$J$461,"&lt;&gt;Incompleto")=0, "-", SUMIFS(Data_filtered!$K$2:$K$461,Data_filtered!$A$2:$A$461,AD$1,Data_filtered!$F$2:$F$461,$A8, Data_filtered!$D$2:$D$461,"eucalipto",Data_filtered!$J$2:$J$461,"&lt;&gt;Incompleto"))</f>
        <v>-</v>
      </c>
      <c r="AE8" s="110" t="str">
        <f>IF(SUMIFS(Data_filtered!$K$2:$K$461,Data_filtered!$A$2:$A$461,AD$1,Data_filtered!$F$2:$F$461,$A8, Data_filtered!$D$2:$D$461,"mata",Data_filtered!$J$2:$J$461,"&lt;&gt;Incompleto")=0, "-", SUMIFS(Data_filtered!$K$2:$K$461,Data_filtered!$A$2:$A$461,AD$1,Data_filtered!$F$2:$F$461,$A8, Data_filtered!$D$2:$D$461,"mata",Data_filtered!$J$2:$J$461,"&lt;&gt;Incompleto"))
</f>
        <v>-</v>
      </c>
      <c r="AF8" s="109" t="str">
        <f>IF(SUMIFS(Data_filtered!$K$2:$K$461,Data_filtered!$A$2:$A$461,AF$1,Data_filtered!$F$2:$F$461,$A8, Data_filtered!$D$2:$D$461,"eucalipto",Data_filtered!$J$2:$J$461,"&lt;&gt;Incompleto")=0, "-", SUMIFS(Data_filtered!$K$2:$K$461,Data_filtered!$A$2:$A$461,AF$1,Data_filtered!$F$2:$F$461,$A8, Data_filtered!$D$2:$D$461,"eucalipto",Data_filtered!$J$2:$J$461,"&lt;&gt;Incompleto"))</f>
        <v>-</v>
      </c>
      <c r="AG8" s="110" t="str">
        <f>IF(SUMIFS(Data_filtered!$K$2:$K$461,Data_filtered!$A$2:$A$461,AF$1,Data_filtered!$F$2:$F$461,$A8, Data_filtered!$D$2:$D$461,"mata",Data_filtered!$J$2:$J$461,"&lt;&gt;Incompleto")=0, "-", SUMIFS(Data_filtered!$K$2:$K$461,Data_filtered!$A$2:$A$461,AF$1,Data_filtered!$F$2:$F$461,$A8, Data_filtered!$D$2:$D$461,"mata",Data_filtered!$J$2:$J$461,"&lt;&gt;Incompleto"))
</f>
        <v>-</v>
      </c>
      <c r="AH8" s="109" t="str">
        <f>IF(SUMIFS(Data_filtered!$K$2:$K$461,Data_filtered!$A$2:$A$461,AH$1,Data_filtered!$F$2:$F$461,$A8, Data_filtered!$D$2:$D$461,"eucalipto",Data_filtered!$J$2:$J$461,"&lt;&gt;Incompleto")=0, "-", SUMIFS(Data_filtered!$K$2:$K$461,Data_filtered!$A$2:$A$461,AH$1,Data_filtered!$F$2:$F$461,$A8, Data_filtered!$D$2:$D$461,"eucalipto",Data_filtered!$J$2:$J$461,"&lt;&gt;Incompleto"))</f>
        <v>-</v>
      </c>
      <c r="AI8" s="110" t="str">
        <f>IF(SUMIFS(Data_filtered!$K$2:$K$461,Data_filtered!$A$2:$A$461,AH$1,Data_filtered!$F$2:$F$461,$A8, Data_filtered!$D$2:$D$461,"mata",Data_filtered!$J$2:$J$461,"&lt;&gt;Incompleto")=0, "-", SUMIFS(Data_filtered!$K$2:$K$461,Data_filtered!$A$2:$A$461,AH$1,Data_filtered!$F$2:$F$461,$A8, Data_filtered!$D$2:$D$461,"mata",Data_filtered!$J$2:$J$461,"&lt;&gt;Incompleto"))
</f>
        <v>-</v>
      </c>
      <c r="AJ8" s="109" t="str">
        <f>IF(SUMIFS(Data_filtered!$K$2:$K$461,Data_filtered!$A$2:$A$461,AJ$1,Data_filtered!$F$2:$F$461,$A8, Data_filtered!$D$2:$D$461,"eucalipto",Data_filtered!$J$2:$J$461,"&lt;&gt;Incompleto")=0, "-", SUMIFS(Data_filtered!$K$2:$K$461,Data_filtered!$A$2:$A$461,AJ$1,Data_filtered!$F$2:$F$461,$A8, Data_filtered!$D$2:$D$461,"eucalipto",Data_filtered!$J$2:$J$461,"&lt;&gt;Incompleto"))</f>
        <v>-</v>
      </c>
      <c r="AK8" s="110" t="str">
        <f>IF(SUMIFS(Data_filtered!$K$2:$K$461,Data_filtered!$A$2:$A$461,AJ$1,Data_filtered!$F$2:$F$461,$A8, Data_filtered!$D$2:$D$461,"mata",Data_filtered!$J$2:$J$461,"&lt;&gt;Incompleto")=0, "-", SUMIFS(Data_filtered!$K$2:$K$461,Data_filtered!$A$2:$A$461,AJ$1,Data_filtered!$F$2:$F$461,$A8, Data_filtered!$D$2:$D$461,"mata",Data_filtered!$J$2:$J$461,"&lt;&gt;Incompleto"))
</f>
        <v>-</v>
      </c>
      <c r="AL8" s="109" t="str">
        <f>IF(SUMIFS(Data_filtered!$K$2:$K$461,Data_filtered!$A$2:$A$461,AL$1,Data_filtered!$F$2:$F$461,$A8, Data_filtered!$D$2:$D$461,"eucalipto",Data_filtered!$J$2:$J$461,"&lt;&gt;Incompleto")=0, "-", SUMIFS(Data_filtered!$K$2:$K$461,Data_filtered!$A$2:$A$461,AL$1,Data_filtered!$F$2:$F$461,$A8, Data_filtered!$D$2:$D$461,"eucalipto",Data_filtered!$J$2:$J$461,"&lt;&gt;Incompleto"))</f>
        <v>-</v>
      </c>
      <c r="AM8" s="110">
        <f>IF(SUMIFS(Data_filtered!$K$2:$K$461,Data_filtered!$A$2:$A$461,AL$1,Data_filtered!$F$2:$F$461,$A8, Data_filtered!$D$2:$D$461,"mata",Data_filtered!$J$2:$J$461,"&lt;&gt;Incompleto")=0, "-", SUMIFS(Data_filtered!$K$2:$K$461,Data_filtered!$A$2:$A$461,AL$1,Data_filtered!$F$2:$F$461,$A8, Data_filtered!$D$2:$D$461,"mata",Data_filtered!$J$2:$J$461,"&lt;&gt;Incompleto"))
</f>
        <v>1470.265362</v>
      </c>
      <c r="AN8" s="109" t="str">
        <f>IF(SUMIFS(Data_filtered!$K$2:$K$461,Data_filtered!$A$2:$A$461,AN$1,Data_filtered!$F$2:$F$461,$A8, Data_filtered!$D$2:$D$461,"eucalipto",Data_filtered!$J$2:$J$461,"&lt;&gt;Incompleto")=0, "-", SUMIFS(Data_filtered!$K$2:$K$461,Data_filtered!$A$2:$A$461,AN$1,Data_filtered!$F$2:$F$461,$A8, Data_filtered!$D$2:$D$461,"eucalipto",Data_filtered!$J$2:$J$461,"&lt;&gt;Incompleto"))</f>
        <v>-</v>
      </c>
      <c r="AO8" s="110" t="str">
        <f>IF(SUMIFS(Data_filtered!$K$2:$K$461,Data_filtered!$A$2:$A$461,AN$1,Data_filtered!$F$2:$F$461,$A8, Data_filtered!$D$2:$D$461,"mata",Data_filtered!$J$2:$J$461,"&lt;&gt;Incompleto")=0, "-", SUMIFS(Data_filtered!$K$2:$K$461,Data_filtered!$A$2:$A$461,AN$1,Data_filtered!$F$2:$F$461,$A8, Data_filtered!$D$2:$D$461,"mata",Data_filtered!$J$2:$J$461,"&lt;&gt;Incompleto"))
</f>
        <v>-</v>
      </c>
      <c r="AP8" s="109" t="str">
        <f>IF(SUMIFS(Data_filtered!$K$2:$K$461,Data_filtered!$A$2:$A$461,AP$1,Data_filtered!$F$2:$F$461,$A8, Data_filtered!$D$2:$D$461,"eucalipto",Data_filtered!$J$2:$J$461,"&lt;&gt;Incompleto")=0, "-", SUMIFS(Data_filtered!$K$2:$K$461,Data_filtered!$A$2:$A$461,AP$1,Data_filtered!$F$2:$F$461,$A8, Data_filtered!$D$2:$D$461,"eucalipto",Data_filtered!$J$2:$J$461,"&lt;&gt;Incompleto"))</f>
        <v>-</v>
      </c>
      <c r="AQ8" s="110" t="str">
        <f>IF(SUMIFS(Data_filtered!$K$2:$K$461,Data_filtered!$A$2:$A$461,AP$1,Data_filtered!$F$2:$F$461,$A8, Data_filtered!$D$2:$D$461,"mata",Data_filtered!$J$2:$J$461,"&lt;&gt;Incompleto")=0, "-", SUMIFS(Data_filtered!$K$2:$K$461,Data_filtered!$A$2:$A$461,AP$1,Data_filtered!$F$2:$F$461,$A8, Data_filtered!$D$2:$D$461,"mata",Data_filtered!$J$2:$J$461,"&lt;&gt;Incompleto"))
</f>
        <v>-</v>
      </c>
      <c r="AR8" s="109" t="str">
        <f>IF(SUMIFS(Data_filtered!$K$2:$K$461,Data_filtered!$A$2:$A$461,AR$1,Data_filtered!$F$2:$F$461,$A8, Data_filtered!$D$2:$D$461,"eucalipto",Data_filtered!$J$2:$J$461,"&lt;&gt;Incompleto")=0, "-", SUMIFS(Data_filtered!$K$2:$K$461,Data_filtered!$A$2:$A$461,AR$1,Data_filtered!$F$2:$F$461,$A8, Data_filtered!$D$2:$D$461,"eucalipto",Data_filtered!$J$2:$J$461,"&lt;&gt;Incompleto"))</f>
        <v>-</v>
      </c>
      <c r="AS8" s="110" t="str">
        <f>IF(SUMIFS(Data_filtered!$K$2:$K$461,Data_filtered!$A$2:$A$461,AR$1,Data_filtered!$F$2:$F$461,$A8, Data_filtered!$D$2:$D$461,"mata",Data_filtered!$J$2:$J$461,"&lt;&gt;Incompleto")=0, "-", SUMIFS(Data_filtered!$K$2:$K$461,Data_filtered!$A$2:$A$461,AR$1,Data_filtered!$F$2:$F$461,$A8, Data_filtered!$D$2:$D$461,"mata",Data_filtered!$J$2:$J$461,"&lt;&gt;Incompleto"))
</f>
        <v>-</v>
      </c>
    </row>
    <row r="9">
      <c r="A9" s="68" t="str">
        <f>IFERROR(__xludf.DUMMYFUNCTION("""COMPUTED_VALUE"""),"Collembola")</f>
        <v>Collembola</v>
      </c>
      <c r="B9" s="109" t="str">
        <f>IF(SUMIFS(Data_filtered!$K$2:$K$461,Data_filtered!$A$2:$A$461,B$1,Data_filtered!$F$2:$F$461,$A9, Data_filtered!$D$2:$D$461,"eucalipto",Data_filtered!$J$2:$J$461,"&lt;&gt;Incompleto")=0, "-", SUMIFS(Data_filtered!$K$2:$K$461,Data_filtered!$A$2:$A$461,B$1,Data_filtered!$F$2:$F$461,$A9, Data_filtered!$D$2:$D$461,"eucalipto",Data_filtered!$J$2:$J$461,"&lt;&gt;Incompleto"))</f>
        <v>-</v>
      </c>
      <c r="C9" s="110" t="str">
        <f>IF(SUMIFS(Data_filtered!$K$2:$K$461,Data_filtered!$A$2:$A$461,B$1,Data_filtered!$F$2:$F$461,$A9, Data_filtered!$D$2:$D$461,"mata",Data_filtered!$J$2:$J$461,"&lt;&gt;Incompleto")=0, "-", SUMIFS(Data_filtered!$K$2:$K$461,Data_filtered!$A$2:$A$461,B$1,Data_filtered!$F$2:$F$461,$A9, Data_filtered!$D$2:$D$461,"mata",Data_filtered!$J$2:$J$461,"&lt;&gt;Incompleto"))
</f>
        <v>-</v>
      </c>
      <c r="D9" s="109" t="str">
        <f>IF(SUMIFS(Data_filtered!$K$2:$K$461,Data_filtered!$A$2:$A$461,D$1,Data_filtered!$F$2:$F$461,$A9, Data_filtered!$D$2:$D$461,"eucalipto",Data_filtered!$J$2:$J$461,"&lt;&gt;Incompleto")=0, "-", SUMIFS(Data_filtered!$K$2:$K$461,Data_filtered!$A$2:$A$461,D$1,Data_filtered!$F$2:$F$461,$A9, Data_filtered!$D$2:$D$461,"eucalipto",Data_filtered!$J$2:$J$461,"&lt;&gt;Incompleto"))</f>
        <v>-</v>
      </c>
      <c r="E9" s="110" t="str">
        <f>IF(SUMIFS(Data_filtered!$K$2:$K$461,Data_filtered!$A$2:$A$461,D$1,Data_filtered!$F$2:$F$461,$A9, Data_filtered!$D$2:$D$461,"mata",Data_filtered!$J$2:$J$461,"&lt;&gt;Incompleto")=0, "-", SUMIFS(Data_filtered!$K$2:$K$461,Data_filtered!$A$2:$A$461,D$1,Data_filtered!$F$2:$F$461,$A9, Data_filtered!$D$2:$D$461,"mata",Data_filtered!$J$2:$J$461,"&lt;&gt;Incompleto"))
</f>
        <v>-</v>
      </c>
      <c r="F9" s="109" t="str">
        <f>IF(SUMIFS(Data_filtered!$K$2:$K$461,Data_filtered!$A$2:$A$461,F$1,Data_filtered!$F$2:$F$461,$A9, Data_filtered!$D$2:$D$461,"eucalipto",Data_filtered!$J$2:$J$461,"&lt;&gt;Incompleto")=0, "-", SUMIFS(Data_filtered!$K$2:$K$461,Data_filtered!$A$2:$A$461,F$1,Data_filtered!$F$2:$F$461,$A9, Data_filtered!$D$2:$D$461,"eucalipto",Data_filtered!$J$2:$J$461,"&lt;&gt;Incompleto"))</f>
        <v>-</v>
      </c>
      <c r="G9" s="110" t="str">
        <f>IF(SUMIFS(Data_filtered!$K$2:$K$461,Data_filtered!$A$2:$A$461,F$1,Data_filtered!$F$2:$F$461,$A9, Data_filtered!$D$2:$D$461,"mata",Data_filtered!$J$2:$J$461,"&lt;&gt;Incompleto")=0, "-", SUMIFS(Data_filtered!$K$2:$K$461,Data_filtered!$A$2:$A$461,F$1,Data_filtered!$F$2:$F$461,$A9, Data_filtered!$D$2:$D$461,"mata",Data_filtered!$J$2:$J$461,"&lt;&gt;Incompleto"))
</f>
        <v>-</v>
      </c>
      <c r="H9" s="109" t="str">
        <f>IF(SUMIFS(Data_filtered!$K$2:$K$461,Data_filtered!$A$2:$A$461,H$1,Data_filtered!$F$2:$F$461,$A9, Data_filtered!$D$2:$D$461,"eucalipto",Data_filtered!$J$2:$J$461,"&lt;&gt;Incompleto")=0, "-", SUMIFS(Data_filtered!$K$2:$K$461,Data_filtered!$A$2:$A$461,H$1,Data_filtered!$F$2:$F$461,$A9, Data_filtered!$D$2:$D$461,"eucalipto",Data_filtered!$J$2:$J$461,"&lt;&gt;Incompleto"))</f>
        <v>-</v>
      </c>
      <c r="I9" s="110" t="str">
        <f>IF(SUMIFS(Data_filtered!$K$2:$K$461,Data_filtered!$A$2:$A$461,H$1,Data_filtered!$F$2:$F$461,$A9, Data_filtered!$D$2:$D$461,"mata",Data_filtered!$J$2:$J$461,"&lt;&gt;Incompleto")=0, "-", SUMIFS(Data_filtered!$K$2:$K$461,Data_filtered!$A$2:$A$461,H$1,Data_filtered!$F$2:$F$461,$A9, Data_filtered!$D$2:$D$461,"mata",Data_filtered!$J$2:$J$461,"&lt;&gt;Incompleto"))
</f>
        <v>-</v>
      </c>
      <c r="J9" s="109" t="str">
        <f>IF(SUMIFS(Data_filtered!$K$2:$K$461,Data_filtered!$A$2:$A$461,J$1,Data_filtered!$F$2:$F$461,$A9, Data_filtered!$D$2:$D$461,"eucalipto",Data_filtered!$J$2:$J$461,"&lt;&gt;Incompleto")=0, "-", SUMIFS(Data_filtered!$K$2:$K$461,Data_filtered!$A$2:$A$461,J$1,Data_filtered!$F$2:$F$461,$A9, Data_filtered!$D$2:$D$461,"eucalipto",Data_filtered!$J$2:$J$461,"&lt;&gt;Incompleto"))</f>
        <v>-</v>
      </c>
      <c r="K9" s="110" t="str">
        <f>IF(SUMIFS(Data_filtered!$K$2:$K$461,Data_filtered!$A$2:$A$461,J$1,Data_filtered!$F$2:$F$461,$A9, Data_filtered!$D$2:$D$461,"mata",Data_filtered!$J$2:$J$461,"&lt;&gt;Incompleto")=0, "-", SUMIFS(Data_filtered!$K$2:$K$461,Data_filtered!$A$2:$A$461,J$1,Data_filtered!$F$2:$F$461,$A9, Data_filtered!$D$2:$D$461,"mata",Data_filtered!$J$2:$J$461,"&lt;&gt;Incompleto"))
</f>
        <v>-</v>
      </c>
      <c r="L9" s="109" t="str">
        <f>IF(SUMIFS(Data_filtered!$K$2:$K$461,Data_filtered!$A$2:$A$461,L$1,Data_filtered!$F$2:$F$461,$A9, Data_filtered!$D$2:$D$461,"eucalipto",Data_filtered!$J$2:$J$461,"&lt;&gt;Incompleto")=0, "-", SUMIFS(Data_filtered!$K$2:$K$461,Data_filtered!$A$2:$A$461,L$1,Data_filtered!$F$2:$F$461,$A9, Data_filtered!$D$2:$D$461,"eucalipto",Data_filtered!$J$2:$J$461,"&lt;&gt;Incompleto"))</f>
        <v>-</v>
      </c>
      <c r="M9" s="110" t="str">
        <f>IF(SUMIFS(Data_filtered!$K$2:$K$461,Data_filtered!$A$2:$A$461,L$1,Data_filtered!$F$2:$F$461,$A9, Data_filtered!$D$2:$D$461,"mata",Data_filtered!$J$2:$J$461,"&lt;&gt;Incompleto")=0, "-", SUMIFS(Data_filtered!$K$2:$K$461,Data_filtered!$A$2:$A$461,L$1,Data_filtered!$F$2:$F$461,$A9, Data_filtered!$D$2:$D$461,"mata",Data_filtered!$J$2:$J$461,"&lt;&gt;Incompleto"))
</f>
        <v>-</v>
      </c>
      <c r="N9" s="109" t="str">
        <f>IF(SUMIFS(Data_filtered!$K$2:$K$461,Data_filtered!$A$2:$A$461,N$1,Data_filtered!$F$2:$F$461,$A9, Data_filtered!$D$2:$D$461,"eucalipto",Data_filtered!$J$2:$J$461,"&lt;&gt;Incompleto")=0, "-", SUMIFS(Data_filtered!$K$2:$K$461,Data_filtered!$A$2:$A$461,N$1,Data_filtered!$F$2:$F$461,$A9, Data_filtered!$D$2:$D$461,"eucalipto",Data_filtered!$J$2:$J$461,"&lt;&gt;Incompleto"))</f>
        <v>-</v>
      </c>
      <c r="O9" s="110" t="str">
        <f>IF(SUMIFS(Data_filtered!$K$2:$K$461,Data_filtered!$A$2:$A$461,N$1,Data_filtered!$F$2:$F$461,$A9, Data_filtered!$D$2:$D$461,"mata",Data_filtered!$J$2:$J$461,"&lt;&gt;Incompleto")=0, "-", SUMIFS(Data_filtered!$K$2:$K$461,Data_filtered!$A$2:$A$461,N$1,Data_filtered!$F$2:$F$461,$A9, Data_filtered!$D$2:$D$461,"mata",Data_filtered!$J$2:$J$461,"&lt;&gt;Incompleto"))
</f>
        <v>-</v>
      </c>
      <c r="P9" s="109" t="str">
        <f>IF(SUMIFS(Data_filtered!$K$2:$K$461,Data_filtered!$A$2:$A$461,P$1,Data_filtered!$F$2:$F$461,$A9, Data_filtered!$D$2:$D$461,"eucalipto",Data_filtered!$J$2:$J$461,"&lt;&gt;Incompleto")=0, "-", SUMIFS(Data_filtered!$K$2:$K$461,Data_filtered!$A$2:$A$461,P$1,Data_filtered!$F$2:$F$461,$A9, Data_filtered!$D$2:$D$461,"eucalipto",Data_filtered!$J$2:$J$461,"&lt;&gt;Incompleto"))</f>
        <v>-</v>
      </c>
      <c r="Q9" s="110">
        <f>IF(SUMIFS(Data_filtered!$K$2:$K$461,Data_filtered!$A$2:$A$461,P$1,Data_filtered!$F$2:$F$461,$A9, Data_filtered!$D$2:$D$461,"mata",Data_filtered!$J$2:$J$461,"&lt;&gt;Incompleto")=0, "-", SUMIFS(Data_filtered!$K$2:$K$461,Data_filtered!$A$2:$A$461,P$1,Data_filtered!$F$2:$F$461,$A9, Data_filtered!$D$2:$D$461,"mata",Data_filtered!$J$2:$J$461,"&lt;&gt;Incompleto"))
</f>
        <v>50.26548246</v>
      </c>
      <c r="R9" s="109" t="str">
        <f>IF(SUMIFS(Data_filtered!$K$2:$K$461,Data_filtered!$A$2:$A$461,R$1,Data_filtered!$F$2:$F$461,$A9, Data_filtered!$D$2:$D$461,"eucalipto",Data_filtered!$J$2:$J$461,"&lt;&gt;Incompleto")=0, "-", SUMIFS(Data_filtered!$K$2:$K$461,Data_filtered!$A$2:$A$461,R$1,Data_filtered!$F$2:$F$461,$A9, Data_filtered!$D$2:$D$461,"eucalipto",Data_filtered!$J$2:$J$461,"&lt;&gt;Incompleto"))</f>
        <v>-</v>
      </c>
      <c r="S9" s="110" t="str">
        <f>IF(SUMIFS(Data_filtered!$K$2:$K$461,Data_filtered!$A$2:$A$461,R$1,Data_filtered!$F$2:$F$461,$A9, Data_filtered!$D$2:$D$461,"mata",Data_filtered!$J$2:$J$461,"&lt;&gt;Incompleto")=0, "-", SUMIFS(Data_filtered!$K$2:$K$461,Data_filtered!$A$2:$A$461,R$1,Data_filtered!$F$2:$F$461,$A9, Data_filtered!$D$2:$D$461,"mata",Data_filtered!$J$2:$J$461,"&lt;&gt;Incompleto"))
</f>
        <v>-</v>
      </c>
      <c r="T9" s="109" t="str">
        <f>IF(SUMIFS(Data_filtered!$K$2:$K$461,Data_filtered!$A$2:$A$461,T$1,Data_filtered!$F$2:$F$461,$A9, Data_filtered!$D$2:$D$461,"eucalipto",Data_filtered!$J$2:$J$461,"&lt;&gt;Incompleto")=0, "-", SUMIFS(Data_filtered!$K$2:$K$461,Data_filtered!$A$2:$A$461,T$1,Data_filtered!$F$2:$F$461,$A9, Data_filtered!$D$2:$D$461,"eucalipto",Data_filtered!$J$2:$J$461,"&lt;&gt;Incompleto"))</f>
        <v>-</v>
      </c>
      <c r="U9" s="110" t="str">
        <f>IF(SUMIFS(Data_filtered!$K$2:$K$461,Data_filtered!$A$2:$A$461,T$1,Data_filtered!$F$2:$F$461,$A9, Data_filtered!$D$2:$D$461,"mata",Data_filtered!$J$2:$J$461,"&lt;&gt;Incompleto")=0, "-", SUMIFS(Data_filtered!$K$2:$K$461,Data_filtered!$A$2:$A$461,T$1,Data_filtered!$F$2:$F$461,$A9, Data_filtered!$D$2:$D$461,"mata",Data_filtered!$J$2:$J$461,"&lt;&gt;Incompleto"))
</f>
        <v>-</v>
      </c>
      <c r="V9" s="109">
        <f>IF(SUMIFS(Data_filtered!$K$2:$K$461,Data_filtered!$A$2:$A$461,V$1,Data_filtered!$F$2:$F$461,$A9, Data_filtered!$D$2:$D$461,"eucalipto",Data_filtered!$J$2:$J$461,"&lt;&gt;Incompleto")=0, "-", SUMIFS(Data_filtered!$K$2:$K$461,Data_filtered!$A$2:$A$461,V$1,Data_filtered!$F$2:$F$461,$A9, Data_filtered!$D$2:$D$461,"eucalipto",Data_filtered!$J$2:$J$461,"&lt;&gt;Incompleto"))</f>
        <v>1.047197551</v>
      </c>
      <c r="W9" s="110" t="str">
        <f>IF(SUMIFS(Data_filtered!$K$2:$K$461,Data_filtered!$A$2:$A$461,V$1,Data_filtered!$F$2:$F$461,$A9, Data_filtered!$D$2:$D$461,"mata",Data_filtered!$J$2:$J$461,"&lt;&gt;Incompleto")=0, "-", SUMIFS(Data_filtered!$K$2:$K$461,Data_filtered!$A$2:$A$461,V$1,Data_filtered!$F$2:$F$461,$A9, Data_filtered!$D$2:$D$461,"mata",Data_filtered!$J$2:$J$461,"&lt;&gt;Incompleto"))
</f>
        <v>-</v>
      </c>
      <c r="X9" s="109" t="str">
        <f>IF(SUMIFS(Data_filtered!$K$2:$K$461,Data_filtered!$A$2:$A$461,X$1,Data_filtered!$F$2:$F$461,$A9, Data_filtered!$D$2:$D$461,"eucalipto",Data_filtered!$J$2:$J$461,"&lt;&gt;Incompleto")=0, "-", SUMIFS(Data_filtered!$K$2:$K$461,Data_filtered!$A$2:$A$461,X$1,Data_filtered!$F$2:$F$461,$A9, Data_filtered!$D$2:$D$461,"eucalipto",Data_filtered!$J$2:$J$461,"&lt;&gt;Incompleto"))</f>
        <v>-</v>
      </c>
      <c r="Y9" s="110" t="str">
        <f>IF(SUMIFS(Data_filtered!$K$2:$K$461,Data_filtered!$A$2:$A$461,X$1,Data_filtered!$F$2:$F$461,$A9, Data_filtered!$D$2:$D$461,"mata",Data_filtered!$J$2:$J$461,"&lt;&gt;Incompleto")=0, "-", SUMIFS(Data_filtered!$K$2:$K$461,Data_filtered!$A$2:$A$461,X$1,Data_filtered!$F$2:$F$461,$A9, Data_filtered!$D$2:$D$461,"mata",Data_filtered!$J$2:$J$461,"&lt;&gt;Incompleto"))
</f>
        <v>-</v>
      </c>
      <c r="Z9" s="109" t="str">
        <f>IF(SUMIFS(Data_filtered!$K$2:$K$461,Data_filtered!$A$2:$A$461,Z$1,Data_filtered!$F$2:$F$461,$A9, Data_filtered!$D$2:$D$461,"eucalipto",Data_filtered!$J$2:$J$461,"&lt;&gt;Incompleto")=0, "-", SUMIFS(Data_filtered!$K$2:$K$461,Data_filtered!$A$2:$A$461,Z$1,Data_filtered!$F$2:$F$461,$A9, Data_filtered!$D$2:$D$461,"eucalipto",Data_filtered!$J$2:$J$461,"&lt;&gt;Incompleto"))</f>
        <v>-</v>
      </c>
      <c r="AA9" s="110" t="str">
        <f>IF(SUMIFS(Data_filtered!$K$2:$K$461,Data_filtered!$A$2:$A$461,Z$1,Data_filtered!$F$2:$F$461,$A9, Data_filtered!$D$2:$D$461,"mata",Data_filtered!$J$2:$J$461,"&lt;&gt;Incompleto")=0, "-", SUMIFS(Data_filtered!$K$2:$K$461,Data_filtered!$A$2:$A$461,Z$1,Data_filtered!$F$2:$F$461,$A9, Data_filtered!$D$2:$D$461,"mata",Data_filtered!$J$2:$J$461,"&lt;&gt;Incompleto"))
</f>
        <v>-</v>
      </c>
      <c r="AB9" s="109" t="str">
        <f>IF(SUMIFS(Data_filtered!$K$2:$K$461,Data_filtered!$A$2:$A$461,AB$1,Data_filtered!$F$2:$F$461,$A9, Data_filtered!$D$2:$D$461,"eucalipto",Data_filtered!$J$2:$J$461,"&lt;&gt;Incompleto")=0, "-", SUMIFS(Data_filtered!$K$2:$K$461,Data_filtered!$A$2:$A$461,AB$1,Data_filtered!$F$2:$F$461,$A9, Data_filtered!$D$2:$D$461,"eucalipto",Data_filtered!$J$2:$J$461,"&lt;&gt;Incompleto"))</f>
        <v>-</v>
      </c>
      <c r="AC9" s="110" t="str">
        <f>IF(SUMIFS(Data_filtered!$K$2:$K$461,Data_filtered!$A$2:$A$461,AB$1,Data_filtered!$F$2:$F$461,$A9, Data_filtered!$D$2:$D$461,"mata",Data_filtered!$J$2:$J$461,"&lt;&gt;Incompleto")=0, "-", SUMIFS(Data_filtered!$K$2:$K$461,Data_filtered!$A$2:$A$461,AB$1,Data_filtered!$F$2:$F$461,$A9, Data_filtered!$D$2:$D$461,"mata",Data_filtered!$J$2:$J$461,"&lt;&gt;Incompleto"))
</f>
        <v>-</v>
      </c>
      <c r="AD9" s="109" t="str">
        <f>IF(SUMIFS(Data_filtered!$K$2:$K$461,Data_filtered!$A$2:$A$461,AD$1,Data_filtered!$F$2:$F$461,$A9, Data_filtered!$D$2:$D$461,"eucalipto",Data_filtered!$J$2:$J$461,"&lt;&gt;Incompleto")=0, "-", SUMIFS(Data_filtered!$K$2:$K$461,Data_filtered!$A$2:$A$461,AD$1,Data_filtered!$F$2:$F$461,$A9, Data_filtered!$D$2:$D$461,"eucalipto",Data_filtered!$J$2:$J$461,"&lt;&gt;Incompleto"))</f>
        <v>-</v>
      </c>
      <c r="AE9" s="110" t="str">
        <f>IF(SUMIFS(Data_filtered!$K$2:$K$461,Data_filtered!$A$2:$A$461,AD$1,Data_filtered!$F$2:$F$461,$A9, Data_filtered!$D$2:$D$461,"mata",Data_filtered!$J$2:$J$461,"&lt;&gt;Incompleto")=0, "-", SUMIFS(Data_filtered!$K$2:$K$461,Data_filtered!$A$2:$A$461,AD$1,Data_filtered!$F$2:$F$461,$A9, Data_filtered!$D$2:$D$461,"mata",Data_filtered!$J$2:$J$461,"&lt;&gt;Incompleto"))
</f>
        <v>-</v>
      </c>
      <c r="AF9" s="109" t="str">
        <f>IF(SUMIFS(Data_filtered!$K$2:$K$461,Data_filtered!$A$2:$A$461,AF$1,Data_filtered!$F$2:$F$461,$A9, Data_filtered!$D$2:$D$461,"eucalipto",Data_filtered!$J$2:$J$461,"&lt;&gt;Incompleto")=0, "-", SUMIFS(Data_filtered!$K$2:$K$461,Data_filtered!$A$2:$A$461,AF$1,Data_filtered!$F$2:$F$461,$A9, Data_filtered!$D$2:$D$461,"eucalipto",Data_filtered!$J$2:$J$461,"&lt;&gt;Incompleto"))</f>
        <v>-</v>
      </c>
      <c r="AG9" s="110" t="str">
        <f>IF(SUMIFS(Data_filtered!$K$2:$K$461,Data_filtered!$A$2:$A$461,AF$1,Data_filtered!$F$2:$F$461,$A9, Data_filtered!$D$2:$D$461,"mata",Data_filtered!$J$2:$J$461,"&lt;&gt;Incompleto")=0, "-", SUMIFS(Data_filtered!$K$2:$K$461,Data_filtered!$A$2:$A$461,AF$1,Data_filtered!$F$2:$F$461,$A9, Data_filtered!$D$2:$D$461,"mata",Data_filtered!$J$2:$J$461,"&lt;&gt;Incompleto"))
</f>
        <v>-</v>
      </c>
      <c r="AH9" s="109" t="str">
        <f>IF(SUMIFS(Data_filtered!$K$2:$K$461,Data_filtered!$A$2:$A$461,AH$1,Data_filtered!$F$2:$F$461,$A9, Data_filtered!$D$2:$D$461,"eucalipto",Data_filtered!$J$2:$J$461,"&lt;&gt;Incompleto")=0, "-", SUMIFS(Data_filtered!$K$2:$K$461,Data_filtered!$A$2:$A$461,AH$1,Data_filtered!$F$2:$F$461,$A9, Data_filtered!$D$2:$D$461,"eucalipto",Data_filtered!$J$2:$J$461,"&lt;&gt;Incompleto"))</f>
        <v>-</v>
      </c>
      <c r="AI9" s="110" t="str">
        <f>IF(SUMIFS(Data_filtered!$K$2:$K$461,Data_filtered!$A$2:$A$461,AH$1,Data_filtered!$F$2:$F$461,$A9, Data_filtered!$D$2:$D$461,"mata",Data_filtered!$J$2:$J$461,"&lt;&gt;Incompleto")=0, "-", SUMIFS(Data_filtered!$K$2:$K$461,Data_filtered!$A$2:$A$461,AH$1,Data_filtered!$F$2:$F$461,$A9, Data_filtered!$D$2:$D$461,"mata",Data_filtered!$J$2:$J$461,"&lt;&gt;Incompleto"))
</f>
        <v>-</v>
      </c>
      <c r="AJ9" s="109" t="str">
        <f>IF(SUMIFS(Data_filtered!$K$2:$K$461,Data_filtered!$A$2:$A$461,AJ$1,Data_filtered!$F$2:$F$461,$A9, Data_filtered!$D$2:$D$461,"eucalipto",Data_filtered!$J$2:$J$461,"&lt;&gt;Incompleto")=0, "-", SUMIFS(Data_filtered!$K$2:$K$461,Data_filtered!$A$2:$A$461,AJ$1,Data_filtered!$F$2:$F$461,$A9, Data_filtered!$D$2:$D$461,"eucalipto",Data_filtered!$J$2:$J$461,"&lt;&gt;Incompleto"))</f>
        <v>-</v>
      </c>
      <c r="AK9" s="110" t="str">
        <f>IF(SUMIFS(Data_filtered!$K$2:$K$461,Data_filtered!$A$2:$A$461,AJ$1,Data_filtered!$F$2:$F$461,$A9, Data_filtered!$D$2:$D$461,"mata",Data_filtered!$J$2:$J$461,"&lt;&gt;Incompleto")=0, "-", SUMIFS(Data_filtered!$K$2:$K$461,Data_filtered!$A$2:$A$461,AJ$1,Data_filtered!$F$2:$F$461,$A9, Data_filtered!$D$2:$D$461,"mata",Data_filtered!$J$2:$J$461,"&lt;&gt;Incompleto"))
</f>
        <v>-</v>
      </c>
      <c r="AL9" s="109" t="str">
        <f>IF(SUMIFS(Data_filtered!$K$2:$K$461,Data_filtered!$A$2:$A$461,AL$1,Data_filtered!$F$2:$F$461,$A9, Data_filtered!$D$2:$D$461,"eucalipto",Data_filtered!$J$2:$J$461,"&lt;&gt;Incompleto")=0, "-", SUMIFS(Data_filtered!$K$2:$K$461,Data_filtered!$A$2:$A$461,AL$1,Data_filtered!$F$2:$F$461,$A9, Data_filtered!$D$2:$D$461,"eucalipto",Data_filtered!$J$2:$J$461,"&lt;&gt;Incompleto"))</f>
        <v>-</v>
      </c>
      <c r="AM9" s="110" t="str">
        <f>IF(SUMIFS(Data_filtered!$K$2:$K$461,Data_filtered!$A$2:$A$461,AL$1,Data_filtered!$F$2:$F$461,$A9, Data_filtered!$D$2:$D$461,"mata",Data_filtered!$J$2:$J$461,"&lt;&gt;Incompleto")=0, "-", SUMIFS(Data_filtered!$K$2:$K$461,Data_filtered!$A$2:$A$461,AL$1,Data_filtered!$F$2:$F$461,$A9, Data_filtered!$D$2:$D$461,"mata",Data_filtered!$J$2:$J$461,"&lt;&gt;Incompleto"))
</f>
        <v>-</v>
      </c>
      <c r="AN9" s="109" t="str">
        <f>IF(SUMIFS(Data_filtered!$K$2:$K$461,Data_filtered!$A$2:$A$461,AN$1,Data_filtered!$F$2:$F$461,$A9, Data_filtered!$D$2:$D$461,"eucalipto",Data_filtered!$J$2:$J$461,"&lt;&gt;Incompleto")=0, "-", SUMIFS(Data_filtered!$K$2:$K$461,Data_filtered!$A$2:$A$461,AN$1,Data_filtered!$F$2:$F$461,$A9, Data_filtered!$D$2:$D$461,"eucalipto",Data_filtered!$J$2:$J$461,"&lt;&gt;Incompleto"))</f>
        <v>-</v>
      </c>
      <c r="AO9" s="110" t="str">
        <f>IF(SUMIFS(Data_filtered!$K$2:$K$461,Data_filtered!$A$2:$A$461,AN$1,Data_filtered!$F$2:$F$461,$A9, Data_filtered!$D$2:$D$461,"mata",Data_filtered!$J$2:$J$461,"&lt;&gt;Incompleto")=0, "-", SUMIFS(Data_filtered!$K$2:$K$461,Data_filtered!$A$2:$A$461,AN$1,Data_filtered!$F$2:$F$461,$A9, Data_filtered!$D$2:$D$461,"mata",Data_filtered!$J$2:$J$461,"&lt;&gt;Incompleto"))
</f>
        <v>-</v>
      </c>
      <c r="AP9" s="109" t="str">
        <f>IF(SUMIFS(Data_filtered!$K$2:$K$461,Data_filtered!$A$2:$A$461,AP$1,Data_filtered!$F$2:$F$461,$A9, Data_filtered!$D$2:$D$461,"eucalipto",Data_filtered!$J$2:$J$461,"&lt;&gt;Incompleto")=0, "-", SUMIFS(Data_filtered!$K$2:$K$461,Data_filtered!$A$2:$A$461,AP$1,Data_filtered!$F$2:$F$461,$A9, Data_filtered!$D$2:$D$461,"eucalipto",Data_filtered!$J$2:$J$461,"&lt;&gt;Incompleto"))</f>
        <v>-</v>
      </c>
      <c r="AQ9" s="110" t="str">
        <f>IF(SUMIFS(Data_filtered!$K$2:$K$461,Data_filtered!$A$2:$A$461,AP$1,Data_filtered!$F$2:$F$461,$A9, Data_filtered!$D$2:$D$461,"mata",Data_filtered!$J$2:$J$461,"&lt;&gt;Incompleto")=0, "-", SUMIFS(Data_filtered!$K$2:$K$461,Data_filtered!$A$2:$A$461,AP$1,Data_filtered!$F$2:$F$461,$A9, Data_filtered!$D$2:$D$461,"mata",Data_filtered!$J$2:$J$461,"&lt;&gt;Incompleto"))
</f>
        <v>-</v>
      </c>
      <c r="AR9" s="109" t="str">
        <f>IF(SUMIFS(Data_filtered!$K$2:$K$461,Data_filtered!$A$2:$A$461,AR$1,Data_filtered!$F$2:$F$461,$A9, Data_filtered!$D$2:$D$461,"eucalipto",Data_filtered!$J$2:$J$461,"&lt;&gt;Incompleto")=0, "-", SUMIFS(Data_filtered!$K$2:$K$461,Data_filtered!$A$2:$A$461,AR$1,Data_filtered!$F$2:$F$461,$A9, Data_filtered!$D$2:$D$461,"eucalipto",Data_filtered!$J$2:$J$461,"&lt;&gt;Incompleto"))</f>
        <v>-</v>
      </c>
      <c r="AS9" s="110" t="str">
        <f>IF(SUMIFS(Data_filtered!$K$2:$K$461,Data_filtered!$A$2:$A$461,AR$1,Data_filtered!$F$2:$F$461,$A9, Data_filtered!$D$2:$D$461,"mata",Data_filtered!$J$2:$J$461,"&lt;&gt;Incompleto")=0, "-", SUMIFS(Data_filtered!$K$2:$K$461,Data_filtered!$A$2:$A$461,AR$1,Data_filtered!$F$2:$F$461,$A9, Data_filtered!$D$2:$D$461,"mata",Data_filtered!$J$2:$J$461,"&lt;&gt;Incompleto"))
</f>
        <v>-</v>
      </c>
    </row>
    <row r="10">
      <c r="A10" s="68" t="str">
        <f>IFERROR(__xludf.DUMMYFUNCTION("""COMPUTED_VALUE"""),"Dermaptera")</f>
        <v>Dermaptera</v>
      </c>
      <c r="B10" s="109" t="str">
        <f>IF(SUMIFS(Data_filtered!$K$2:$K$461,Data_filtered!$A$2:$A$461,B$1,Data_filtered!$F$2:$F$461,$A10, Data_filtered!$D$2:$D$461,"eucalipto",Data_filtered!$J$2:$J$461,"&lt;&gt;Incompleto")=0, "-", SUMIFS(Data_filtered!$K$2:$K$461,Data_filtered!$A$2:$A$461,B$1,Data_filtered!$F$2:$F$461,$A10, Data_filtered!$D$2:$D$461,"eucalipto",Data_filtered!$J$2:$J$461,"&lt;&gt;Incompleto"))</f>
        <v>-</v>
      </c>
      <c r="C10" s="110" t="str">
        <f>IF(SUMIFS(Data_filtered!$K$2:$K$461,Data_filtered!$A$2:$A$461,B$1,Data_filtered!$F$2:$F$461,$A10, Data_filtered!$D$2:$D$461,"mata",Data_filtered!$J$2:$J$461,"&lt;&gt;Incompleto")=0, "-", SUMIFS(Data_filtered!$K$2:$K$461,Data_filtered!$A$2:$A$461,B$1,Data_filtered!$F$2:$F$461,$A10, Data_filtered!$D$2:$D$461,"mata",Data_filtered!$J$2:$J$461,"&lt;&gt;Incompleto"))
</f>
        <v>-</v>
      </c>
      <c r="D10" s="109" t="str">
        <f>IF(SUMIFS(Data_filtered!$K$2:$K$461,Data_filtered!$A$2:$A$461,D$1,Data_filtered!$F$2:$F$461,$A10, Data_filtered!$D$2:$D$461,"eucalipto",Data_filtered!$J$2:$J$461,"&lt;&gt;Incompleto")=0, "-", SUMIFS(Data_filtered!$K$2:$K$461,Data_filtered!$A$2:$A$461,D$1,Data_filtered!$F$2:$F$461,$A10, Data_filtered!$D$2:$D$461,"eucalipto",Data_filtered!$J$2:$J$461,"&lt;&gt;Incompleto"))</f>
        <v>-</v>
      </c>
      <c r="E10" s="110" t="str">
        <f>IF(SUMIFS(Data_filtered!$K$2:$K$461,Data_filtered!$A$2:$A$461,D$1,Data_filtered!$F$2:$F$461,$A10, Data_filtered!$D$2:$D$461,"mata",Data_filtered!$J$2:$J$461,"&lt;&gt;Incompleto")=0, "-", SUMIFS(Data_filtered!$K$2:$K$461,Data_filtered!$A$2:$A$461,D$1,Data_filtered!$F$2:$F$461,$A10, Data_filtered!$D$2:$D$461,"mata",Data_filtered!$J$2:$J$461,"&lt;&gt;Incompleto"))
</f>
        <v>-</v>
      </c>
      <c r="F10" s="109" t="str">
        <f>IF(SUMIFS(Data_filtered!$K$2:$K$461,Data_filtered!$A$2:$A$461,F$1,Data_filtered!$F$2:$F$461,$A10, Data_filtered!$D$2:$D$461,"eucalipto",Data_filtered!$J$2:$J$461,"&lt;&gt;Incompleto")=0, "-", SUMIFS(Data_filtered!$K$2:$K$461,Data_filtered!$A$2:$A$461,F$1,Data_filtered!$F$2:$F$461,$A10, Data_filtered!$D$2:$D$461,"eucalipto",Data_filtered!$J$2:$J$461,"&lt;&gt;Incompleto"))</f>
        <v>-</v>
      </c>
      <c r="G10" s="110" t="str">
        <f>IF(SUMIFS(Data_filtered!$K$2:$K$461,Data_filtered!$A$2:$A$461,F$1,Data_filtered!$F$2:$F$461,$A10, Data_filtered!$D$2:$D$461,"mata",Data_filtered!$J$2:$J$461,"&lt;&gt;Incompleto")=0, "-", SUMIFS(Data_filtered!$K$2:$K$461,Data_filtered!$A$2:$A$461,F$1,Data_filtered!$F$2:$F$461,$A10, Data_filtered!$D$2:$D$461,"mata",Data_filtered!$J$2:$J$461,"&lt;&gt;Incompleto"))
</f>
        <v>-</v>
      </c>
      <c r="H10" s="109" t="str">
        <f>IF(SUMIFS(Data_filtered!$K$2:$K$461,Data_filtered!$A$2:$A$461,H$1,Data_filtered!$F$2:$F$461,$A10, Data_filtered!$D$2:$D$461,"eucalipto",Data_filtered!$J$2:$J$461,"&lt;&gt;Incompleto")=0, "-", SUMIFS(Data_filtered!$K$2:$K$461,Data_filtered!$A$2:$A$461,H$1,Data_filtered!$F$2:$F$461,$A10, Data_filtered!$D$2:$D$461,"eucalipto",Data_filtered!$J$2:$J$461,"&lt;&gt;Incompleto"))</f>
        <v>-</v>
      </c>
      <c r="I10" s="110" t="str">
        <f>IF(SUMIFS(Data_filtered!$K$2:$K$461,Data_filtered!$A$2:$A$461,H$1,Data_filtered!$F$2:$F$461,$A10, Data_filtered!$D$2:$D$461,"mata",Data_filtered!$J$2:$J$461,"&lt;&gt;Incompleto")=0, "-", SUMIFS(Data_filtered!$K$2:$K$461,Data_filtered!$A$2:$A$461,H$1,Data_filtered!$F$2:$F$461,$A10, Data_filtered!$D$2:$D$461,"mata",Data_filtered!$J$2:$J$461,"&lt;&gt;Incompleto"))
</f>
        <v>-</v>
      </c>
      <c r="J10" s="109" t="str">
        <f>IF(SUMIFS(Data_filtered!$K$2:$K$461,Data_filtered!$A$2:$A$461,J$1,Data_filtered!$F$2:$F$461,$A10, Data_filtered!$D$2:$D$461,"eucalipto",Data_filtered!$J$2:$J$461,"&lt;&gt;Incompleto")=0, "-", SUMIFS(Data_filtered!$K$2:$K$461,Data_filtered!$A$2:$A$461,J$1,Data_filtered!$F$2:$F$461,$A10, Data_filtered!$D$2:$D$461,"eucalipto",Data_filtered!$J$2:$J$461,"&lt;&gt;Incompleto"))</f>
        <v>-</v>
      </c>
      <c r="K10" s="110" t="str">
        <f>IF(SUMIFS(Data_filtered!$K$2:$K$461,Data_filtered!$A$2:$A$461,J$1,Data_filtered!$F$2:$F$461,$A10, Data_filtered!$D$2:$D$461,"mata",Data_filtered!$J$2:$J$461,"&lt;&gt;Incompleto")=0, "-", SUMIFS(Data_filtered!$K$2:$K$461,Data_filtered!$A$2:$A$461,J$1,Data_filtered!$F$2:$F$461,$A10, Data_filtered!$D$2:$D$461,"mata",Data_filtered!$J$2:$J$461,"&lt;&gt;Incompleto"))
</f>
        <v>-</v>
      </c>
      <c r="L10" s="109" t="str">
        <f>IF(SUMIFS(Data_filtered!$K$2:$K$461,Data_filtered!$A$2:$A$461,L$1,Data_filtered!$F$2:$F$461,$A10, Data_filtered!$D$2:$D$461,"eucalipto",Data_filtered!$J$2:$J$461,"&lt;&gt;Incompleto")=0, "-", SUMIFS(Data_filtered!$K$2:$K$461,Data_filtered!$A$2:$A$461,L$1,Data_filtered!$F$2:$F$461,$A10, Data_filtered!$D$2:$D$461,"eucalipto",Data_filtered!$J$2:$J$461,"&lt;&gt;Incompleto"))</f>
        <v>-</v>
      </c>
      <c r="M10" s="110" t="str">
        <f>IF(SUMIFS(Data_filtered!$K$2:$K$461,Data_filtered!$A$2:$A$461,L$1,Data_filtered!$F$2:$F$461,$A10, Data_filtered!$D$2:$D$461,"mata",Data_filtered!$J$2:$J$461,"&lt;&gt;Incompleto")=0, "-", SUMIFS(Data_filtered!$K$2:$K$461,Data_filtered!$A$2:$A$461,L$1,Data_filtered!$F$2:$F$461,$A10, Data_filtered!$D$2:$D$461,"mata",Data_filtered!$J$2:$J$461,"&lt;&gt;Incompleto"))
</f>
        <v>-</v>
      </c>
      <c r="N10" s="109" t="str">
        <f>IF(SUMIFS(Data_filtered!$K$2:$K$461,Data_filtered!$A$2:$A$461,N$1,Data_filtered!$F$2:$F$461,$A10, Data_filtered!$D$2:$D$461,"eucalipto",Data_filtered!$J$2:$J$461,"&lt;&gt;Incompleto")=0, "-", SUMIFS(Data_filtered!$K$2:$K$461,Data_filtered!$A$2:$A$461,N$1,Data_filtered!$F$2:$F$461,$A10, Data_filtered!$D$2:$D$461,"eucalipto",Data_filtered!$J$2:$J$461,"&lt;&gt;Incompleto"))</f>
        <v>-</v>
      </c>
      <c r="O10" s="110" t="str">
        <f>IF(SUMIFS(Data_filtered!$K$2:$K$461,Data_filtered!$A$2:$A$461,N$1,Data_filtered!$F$2:$F$461,$A10, Data_filtered!$D$2:$D$461,"mata",Data_filtered!$J$2:$J$461,"&lt;&gt;Incompleto")=0, "-", SUMIFS(Data_filtered!$K$2:$K$461,Data_filtered!$A$2:$A$461,N$1,Data_filtered!$F$2:$F$461,$A10, Data_filtered!$D$2:$D$461,"mata",Data_filtered!$J$2:$J$461,"&lt;&gt;Incompleto"))
</f>
        <v>-</v>
      </c>
      <c r="P10" s="109" t="str">
        <f>IF(SUMIFS(Data_filtered!$K$2:$K$461,Data_filtered!$A$2:$A$461,P$1,Data_filtered!$F$2:$F$461,$A10, Data_filtered!$D$2:$D$461,"eucalipto",Data_filtered!$J$2:$J$461,"&lt;&gt;Incompleto")=0, "-", SUMIFS(Data_filtered!$K$2:$K$461,Data_filtered!$A$2:$A$461,P$1,Data_filtered!$F$2:$F$461,$A10, Data_filtered!$D$2:$D$461,"eucalipto",Data_filtered!$J$2:$J$461,"&lt;&gt;Incompleto"))</f>
        <v>-</v>
      </c>
      <c r="Q10" s="110" t="str">
        <f>IF(SUMIFS(Data_filtered!$K$2:$K$461,Data_filtered!$A$2:$A$461,P$1,Data_filtered!$F$2:$F$461,$A10, Data_filtered!$D$2:$D$461,"mata",Data_filtered!$J$2:$J$461,"&lt;&gt;Incompleto")=0, "-", SUMIFS(Data_filtered!$K$2:$K$461,Data_filtered!$A$2:$A$461,P$1,Data_filtered!$F$2:$F$461,$A10, Data_filtered!$D$2:$D$461,"mata",Data_filtered!$J$2:$J$461,"&lt;&gt;Incompleto"))
</f>
        <v>-</v>
      </c>
      <c r="R10" s="109">
        <f>IF(SUMIFS(Data_filtered!$K$2:$K$461,Data_filtered!$A$2:$A$461,R$1,Data_filtered!$F$2:$F$461,$A10, Data_filtered!$D$2:$D$461,"eucalipto",Data_filtered!$J$2:$J$461,"&lt;&gt;Incompleto")=0, "-", SUMIFS(Data_filtered!$K$2:$K$461,Data_filtered!$A$2:$A$461,R$1,Data_filtered!$F$2:$F$461,$A10, Data_filtered!$D$2:$D$461,"eucalipto",Data_filtered!$J$2:$J$461,"&lt;&gt;Incompleto"))</f>
        <v>201.0619298</v>
      </c>
      <c r="S10" s="110">
        <f>IF(SUMIFS(Data_filtered!$K$2:$K$461,Data_filtered!$A$2:$A$461,R$1,Data_filtered!$F$2:$F$461,$A10, Data_filtered!$D$2:$D$461,"mata",Data_filtered!$J$2:$J$461,"&lt;&gt;Incompleto")=0, "-", SUMIFS(Data_filtered!$K$2:$K$461,Data_filtered!$A$2:$A$461,R$1,Data_filtered!$F$2:$F$461,$A10, Data_filtered!$D$2:$D$461,"mata",Data_filtered!$J$2:$J$461,"&lt;&gt;Incompleto"))
</f>
        <v>376.9911184</v>
      </c>
      <c r="T10" s="109" t="str">
        <f>IF(SUMIFS(Data_filtered!$K$2:$K$461,Data_filtered!$A$2:$A$461,T$1,Data_filtered!$F$2:$F$461,$A10, Data_filtered!$D$2:$D$461,"eucalipto",Data_filtered!$J$2:$J$461,"&lt;&gt;Incompleto")=0, "-", SUMIFS(Data_filtered!$K$2:$K$461,Data_filtered!$A$2:$A$461,T$1,Data_filtered!$F$2:$F$461,$A10, Data_filtered!$D$2:$D$461,"eucalipto",Data_filtered!$J$2:$J$461,"&lt;&gt;Incompleto"))</f>
        <v>-</v>
      </c>
      <c r="U10" s="110" t="str">
        <f>IF(SUMIFS(Data_filtered!$K$2:$K$461,Data_filtered!$A$2:$A$461,T$1,Data_filtered!$F$2:$F$461,$A10, Data_filtered!$D$2:$D$461,"mata",Data_filtered!$J$2:$J$461,"&lt;&gt;Incompleto")=0, "-", SUMIFS(Data_filtered!$K$2:$K$461,Data_filtered!$A$2:$A$461,T$1,Data_filtered!$F$2:$F$461,$A10, Data_filtered!$D$2:$D$461,"mata",Data_filtered!$J$2:$J$461,"&lt;&gt;Incompleto"))
</f>
        <v>-</v>
      </c>
      <c r="V10" s="109" t="str">
        <f>IF(SUMIFS(Data_filtered!$K$2:$K$461,Data_filtered!$A$2:$A$461,V$1,Data_filtered!$F$2:$F$461,$A10, Data_filtered!$D$2:$D$461,"eucalipto",Data_filtered!$J$2:$J$461,"&lt;&gt;Incompleto")=0, "-", SUMIFS(Data_filtered!$K$2:$K$461,Data_filtered!$A$2:$A$461,V$1,Data_filtered!$F$2:$F$461,$A10, Data_filtered!$D$2:$D$461,"eucalipto",Data_filtered!$J$2:$J$461,"&lt;&gt;Incompleto"))</f>
        <v>-</v>
      </c>
      <c r="W10" s="110" t="str">
        <f>IF(SUMIFS(Data_filtered!$K$2:$K$461,Data_filtered!$A$2:$A$461,V$1,Data_filtered!$F$2:$F$461,$A10, Data_filtered!$D$2:$D$461,"mata",Data_filtered!$J$2:$J$461,"&lt;&gt;Incompleto")=0, "-", SUMIFS(Data_filtered!$K$2:$K$461,Data_filtered!$A$2:$A$461,V$1,Data_filtered!$F$2:$F$461,$A10, Data_filtered!$D$2:$D$461,"mata",Data_filtered!$J$2:$J$461,"&lt;&gt;Incompleto"))
</f>
        <v>-</v>
      </c>
      <c r="X10" s="109" t="str">
        <f>IF(SUMIFS(Data_filtered!$K$2:$K$461,Data_filtered!$A$2:$A$461,X$1,Data_filtered!$F$2:$F$461,$A10, Data_filtered!$D$2:$D$461,"eucalipto",Data_filtered!$J$2:$J$461,"&lt;&gt;Incompleto")=0, "-", SUMIFS(Data_filtered!$K$2:$K$461,Data_filtered!$A$2:$A$461,X$1,Data_filtered!$F$2:$F$461,$A10, Data_filtered!$D$2:$D$461,"eucalipto",Data_filtered!$J$2:$J$461,"&lt;&gt;Incompleto"))</f>
        <v>-</v>
      </c>
      <c r="Y10" s="110" t="str">
        <f>IF(SUMIFS(Data_filtered!$K$2:$K$461,Data_filtered!$A$2:$A$461,X$1,Data_filtered!$F$2:$F$461,$A10, Data_filtered!$D$2:$D$461,"mata",Data_filtered!$J$2:$J$461,"&lt;&gt;Incompleto")=0, "-", SUMIFS(Data_filtered!$K$2:$K$461,Data_filtered!$A$2:$A$461,X$1,Data_filtered!$F$2:$F$461,$A10, Data_filtered!$D$2:$D$461,"mata",Data_filtered!$J$2:$J$461,"&lt;&gt;Incompleto"))
</f>
        <v>-</v>
      </c>
      <c r="Z10" s="109" t="str">
        <f>IF(SUMIFS(Data_filtered!$K$2:$K$461,Data_filtered!$A$2:$A$461,Z$1,Data_filtered!$F$2:$F$461,$A10, Data_filtered!$D$2:$D$461,"eucalipto",Data_filtered!$J$2:$J$461,"&lt;&gt;Incompleto")=0, "-", SUMIFS(Data_filtered!$K$2:$K$461,Data_filtered!$A$2:$A$461,Z$1,Data_filtered!$F$2:$F$461,$A10, Data_filtered!$D$2:$D$461,"eucalipto",Data_filtered!$J$2:$J$461,"&lt;&gt;Incompleto"))</f>
        <v>-</v>
      </c>
      <c r="AA10" s="110" t="str">
        <f>IF(SUMIFS(Data_filtered!$K$2:$K$461,Data_filtered!$A$2:$A$461,Z$1,Data_filtered!$F$2:$F$461,$A10, Data_filtered!$D$2:$D$461,"mata",Data_filtered!$J$2:$J$461,"&lt;&gt;Incompleto")=0, "-", SUMIFS(Data_filtered!$K$2:$K$461,Data_filtered!$A$2:$A$461,Z$1,Data_filtered!$F$2:$F$461,$A10, Data_filtered!$D$2:$D$461,"mata",Data_filtered!$J$2:$J$461,"&lt;&gt;Incompleto"))
</f>
        <v>-</v>
      </c>
      <c r="AB10" s="109" t="str">
        <f>IF(SUMIFS(Data_filtered!$K$2:$K$461,Data_filtered!$A$2:$A$461,AB$1,Data_filtered!$F$2:$F$461,$A10, Data_filtered!$D$2:$D$461,"eucalipto",Data_filtered!$J$2:$J$461,"&lt;&gt;Incompleto")=0, "-", SUMIFS(Data_filtered!$K$2:$K$461,Data_filtered!$A$2:$A$461,AB$1,Data_filtered!$F$2:$F$461,$A10, Data_filtered!$D$2:$D$461,"eucalipto",Data_filtered!$J$2:$J$461,"&lt;&gt;Incompleto"))</f>
        <v>-</v>
      </c>
      <c r="AC10" s="110" t="str">
        <f>IF(SUMIFS(Data_filtered!$K$2:$K$461,Data_filtered!$A$2:$A$461,AB$1,Data_filtered!$F$2:$F$461,$A10, Data_filtered!$D$2:$D$461,"mata",Data_filtered!$J$2:$J$461,"&lt;&gt;Incompleto")=0, "-", SUMIFS(Data_filtered!$K$2:$K$461,Data_filtered!$A$2:$A$461,AB$1,Data_filtered!$F$2:$F$461,$A10, Data_filtered!$D$2:$D$461,"mata",Data_filtered!$J$2:$J$461,"&lt;&gt;Incompleto"))
</f>
        <v>-</v>
      </c>
      <c r="AD10" s="109" t="str">
        <f>IF(SUMIFS(Data_filtered!$K$2:$K$461,Data_filtered!$A$2:$A$461,AD$1,Data_filtered!$F$2:$F$461,$A10, Data_filtered!$D$2:$D$461,"eucalipto",Data_filtered!$J$2:$J$461,"&lt;&gt;Incompleto")=0, "-", SUMIFS(Data_filtered!$K$2:$K$461,Data_filtered!$A$2:$A$461,AD$1,Data_filtered!$F$2:$F$461,$A10, Data_filtered!$D$2:$D$461,"eucalipto",Data_filtered!$J$2:$J$461,"&lt;&gt;Incompleto"))</f>
        <v>-</v>
      </c>
      <c r="AE10" s="110" t="str">
        <f>IF(SUMIFS(Data_filtered!$K$2:$K$461,Data_filtered!$A$2:$A$461,AD$1,Data_filtered!$F$2:$F$461,$A10, Data_filtered!$D$2:$D$461,"mata",Data_filtered!$J$2:$J$461,"&lt;&gt;Incompleto")=0, "-", SUMIFS(Data_filtered!$K$2:$K$461,Data_filtered!$A$2:$A$461,AD$1,Data_filtered!$F$2:$F$461,$A10, Data_filtered!$D$2:$D$461,"mata",Data_filtered!$J$2:$J$461,"&lt;&gt;Incompleto"))
</f>
        <v>-</v>
      </c>
      <c r="AF10" s="109" t="str">
        <f>IF(SUMIFS(Data_filtered!$K$2:$K$461,Data_filtered!$A$2:$A$461,AF$1,Data_filtered!$F$2:$F$461,$A10, Data_filtered!$D$2:$D$461,"eucalipto",Data_filtered!$J$2:$J$461,"&lt;&gt;Incompleto")=0, "-", SUMIFS(Data_filtered!$K$2:$K$461,Data_filtered!$A$2:$A$461,AF$1,Data_filtered!$F$2:$F$461,$A10, Data_filtered!$D$2:$D$461,"eucalipto",Data_filtered!$J$2:$J$461,"&lt;&gt;Incompleto"))</f>
        <v>-</v>
      </c>
      <c r="AG10" s="110" t="str">
        <f>IF(SUMIFS(Data_filtered!$K$2:$K$461,Data_filtered!$A$2:$A$461,AF$1,Data_filtered!$F$2:$F$461,$A10, Data_filtered!$D$2:$D$461,"mata",Data_filtered!$J$2:$J$461,"&lt;&gt;Incompleto")=0, "-", SUMIFS(Data_filtered!$K$2:$K$461,Data_filtered!$A$2:$A$461,AF$1,Data_filtered!$F$2:$F$461,$A10, Data_filtered!$D$2:$D$461,"mata",Data_filtered!$J$2:$J$461,"&lt;&gt;Incompleto"))
</f>
        <v>-</v>
      </c>
      <c r="AH10" s="109" t="str">
        <f>IF(SUMIFS(Data_filtered!$K$2:$K$461,Data_filtered!$A$2:$A$461,AH$1,Data_filtered!$F$2:$F$461,$A10, Data_filtered!$D$2:$D$461,"eucalipto",Data_filtered!$J$2:$J$461,"&lt;&gt;Incompleto")=0, "-", SUMIFS(Data_filtered!$K$2:$K$461,Data_filtered!$A$2:$A$461,AH$1,Data_filtered!$F$2:$F$461,$A10, Data_filtered!$D$2:$D$461,"eucalipto",Data_filtered!$J$2:$J$461,"&lt;&gt;Incompleto"))</f>
        <v>-</v>
      </c>
      <c r="AI10" s="110" t="str">
        <f>IF(SUMIFS(Data_filtered!$K$2:$K$461,Data_filtered!$A$2:$A$461,AH$1,Data_filtered!$F$2:$F$461,$A10, Data_filtered!$D$2:$D$461,"mata",Data_filtered!$J$2:$J$461,"&lt;&gt;Incompleto")=0, "-", SUMIFS(Data_filtered!$K$2:$K$461,Data_filtered!$A$2:$A$461,AH$1,Data_filtered!$F$2:$F$461,$A10, Data_filtered!$D$2:$D$461,"mata",Data_filtered!$J$2:$J$461,"&lt;&gt;Incompleto"))
</f>
        <v>-</v>
      </c>
      <c r="AJ10" s="109" t="str">
        <f>IF(SUMIFS(Data_filtered!$K$2:$K$461,Data_filtered!$A$2:$A$461,AJ$1,Data_filtered!$F$2:$F$461,$A10, Data_filtered!$D$2:$D$461,"eucalipto",Data_filtered!$J$2:$J$461,"&lt;&gt;Incompleto")=0, "-", SUMIFS(Data_filtered!$K$2:$K$461,Data_filtered!$A$2:$A$461,AJ$1,Data_filtered!$F$2:$F$461,$A10, Data_filtered!$D$2:$D$461,"eucalipto",Data_filtered!$J$2:$J$461,"&lt;&gt;Incompleto"))</f>
        <v>-</v>
      </c>
      <c r="AK10" s="110" t="str">
        <f>IF(SUMIFS(Data_filtered!$K$2:$K$461,Data_filtered!$A$2:$A$461,AJ$1,Data_filtered!$F$2:$F$461,$A10, Data_filtered!$D$2:$D$461,"mata",Data_filtered!$J$2:$J$461,"&lt;&gt;Incompleto")=0, "-", SUMIFS(Data_filtered!$K$2:$K$461,Data_filtered!$A$2:$A$461,AJ$1,Data_filtered!$F$2:$F$461,$A10, Data_filtered!$D$2:$D$461,"mata",Data_filtered!$J$2:$J$461,"&lt;&gt;Incompleto"))
</f>
        <v>-</v>
      </c>
      <c r="AL10" s="109" t="str">
        <f>IF(SUMIFS(Data_filtered!$K$2:$K$461,Data_filtered!$A$2:$A$461,AL$1,Data_filtered!$F$2:$F$461,$A10, Data_filtered!$D$2:$D$461,"eucalipto",Data_filtered!$J$2:$J$461,"&lt;&gt;Incompleto")=0, "-", SUMIFS(Data_filtered!$K$2:$K$461,Data_filtered!$A$2:$A$461,AL$1,Data_filtered!$F$2:$F$461,$A10, Data_filtered!$D$2:$D$461,"eucalipto",Data_filtered!$J$2:$J$461,"&lt;&gt;Incompleto"))</f>
        <v>-</v>
      </c>
      <c r="AM10" s="110">
        <f>IF(SUMIFS(Data_filtered!$K$2:$K$461,Data_filtered!$A$2:$A$461,AL$1,Data_filtered!$F$2:$F$461,$A10, Data_filtered!$D$2:$D$461,"mata",Data_filtered!$J$2:$J$461,"&lt;&gt;Incompleto")=0, "-", SUMIFS(Data_filtered!$K$2:$K$461,Data_filtered!$A$2:$A$461,AL$1,Data_filtered!$F$2:$F$461,$A10, Data_filtered!$D$2:$D$461,"mata",Data_filtered!$J$2:$J$461,"&lt;&gt;Incompleto"))
</f>
        <v>1977.108977</v>
      </c>
      <c r="AN10" s="109" t="str">
        <f>IF(SUMIFS(Data_filtered!$K$2:$K$461,Data_filtered!$A$2:$A$461,AN$1,Data_filtered!$F$2:$F$461,$A10, Data_filtered!$D$2:$D$461,"eucalipto",Data_filtered!$J$2:$J$461,"&lt;&gt;Incompleto")=0, "-", SUMIFS(Data_filtered!$K$2:$K$461,Data_filtered!$A$2:$A$461,AN$1,Data_filtered!$F$2:$F$461,$A10, Data_filtered!$D$2:$D$461,"eucalipto",Data_filtered!$J$2:$J$461,"&lt;&gt;Incompleto"))</f>
        <v>-</v>
      </c>
      <c r="AO10" s="110" t="str">
        <f>IF(SUMIFS(Data_filtered!$K$2:$K$461,Data_filtered!$A$2:$A$461,AN$1,Data_filtered!$F$2:$F$461,$A10, Data_filtered!$D$2:$D$461,"mata",Data_filtered!$J$2:$J$461,"&lt;&gt;Incompleto")=0, "-", SUMIFS(Data_filtered!$K$2:$K$461,Data_filtered!$A$2:$A$461,AN$1,Data_filtered!$F$2:$F$461,$A10, Data_filtered!$D$2:$D$461,"mata",Data_filtered!$J$2:$J$461,"&lt;&gt;Incompleto"))
</f>
        <v>-</v>
      </c>
      <c r="AP10" s="109" t="str">
        <f>IF(SUMIFS(Data_filtered!$K$2:$K$461,Data_filtered!$A$2:$A$461,AP$1,Data_filtered!$F$2:$F$461,$A10, Data_filtered!$D$2:$D$461,"eucalipto",Data_filtered!$J$2:$J$461,"&lt;&gt;Incompleto")=0, "-", SUMIFS(Data_filtered!$K$2:$K$461,Data_filtered!$A$2:$A$461,AP$1,Data_filtered!$F$2:$F$461,$A10, Data_filtered!$D$2:$D$461,"eucalipto",Data_filtered!$J$2:$J$461,"&lt;&gt;Incompleto"))</f>
        <v>-</v>
      </c>
      <c r="AQ10" s="110" t="str">
        <f>IF(SUMIFS(Data_filtered!$K$2:$K$461,Data_filtered!$A$2:$A$461,AP$1,Data_filtered!$F$2:$F$461,$A10, Data_filtered!$D$2:$D$461,"mata",Data_filtered!$J$2:$J$461,"&lt;&gt;Incompleto")=0, "-", SUMIFS(Data_filtered!$K$2:$K$461,Data_filtered!$A$2:$A$461,AP$1,Data_filtered!$F$2:$F$461,$A10, Data_filtered!$D$2:$D$461,"mata",Data_filtered!$J$2:$J$461,"&lt;&gt;Incompleto"))
</f>
        <v>-</v>
      </c>
      <c r="AR10" s="109" t="str">
        <f>IF(SUMIFS(Data_filtered!$K$2:$K$461,Data_filtered!$A$2:$A$461,AR$1,Data_filtered!$F$2:$F$461,$A10, Data_filtered!$D$2:$D$461,"eucalipto",Data_filtered!$J$2:$J$461,"&lt;&gt;Incompleto")=0, "-", SUMIFS(Data_filtered!$K$2:$K$461,Data_filtered!$A$2:$A$461,AR$1,Data_filtered!$F$2:$F$461,$A10, Data_filtered!$D$2:$D$461,"eucalipto",Data_filtered!$J$2:$J$461,"&lt;&gt;Incompleto"))</f>
        <v>-</v>
      </c>
      <c r="AS10" s="110" t="str">
        <f>IF(SUMIFS(Data_filtered!$K$2:$K$461,Data_filtered!$A$2:$A$461,AR$1,Data_filtered!$F$2:$F$461,$A10, Data_filtered!$D$2:$D$461,"mata",Data_filtered!$J$2:$J$461,"&lt;&gt;Incompleto")=0, "-", SUMIFS(Data_filtered!$K$2:$K$461,Data_filtered!$A$2:$A$461,AR$1,Data_filtered!$F$2:$F$461,$A10, Data_filtered!$D$2:$D$461,"mata",Data_filtered!$J$2:$J$461,"&lt;&gt;Incompleto"))
</f>
        <v>-</v>
      </c>
    </row>
    <row r="11">
      <c r="A11" s="68" t="str">
        <f>IFERROR(__xludf.DUMMYFUNCTION("""COMPUTED_VALUE"""),"Diplopoda")</f>
        <v>Diplopoda</v>
      </c>
      <c r="B11" s="109" t="str">
        <f>IF(SUMIFS(Data_filtered!$K$2:$K$461,Data_filtered!$A$2:$A$461,B$1,Data_filtered!$F$2:$F$461,$A11, Data_filtered!$D$2:$D$461,"eucalipto",Data_filtered!$J$2:$J$461,"&lt;&gt;Incompleto")=0, "-", SUMIFS(Data_filtered!$K$2:$K$461,Data_filtered!$A$2:$A$461,B$1,Data_filtered!$F$2:$F$461,$A11, Data_filtered!$D$2:$D$461,"eucalipto",Data_filtered!$J$2:$J$461,"&lt;&gt;Incompleto"))</f>
        <v>-</v>
      </c>
      <c r="C11" s="110" t="str">
        <f>IF(SUMIFS(Data_filtered!$K$2:$K$461,Data_filtered!$A$2:$A$461,B$1,Data_filtered!$F$2:$F$461,$A11, Data_filtered!$D$2:$D$461,"mata",Data_filtered!$J$2:$J$461,"&lt;&gt;Incompleto")=0, "-", SUMIFS(Data_filtered!$K$2:$K$461,Data_filtered!$A$2:$A$461,B$1,Data_filtered!$F$2:$F$461,$A11, Data_filtered!$D$2:$D$461,"mata",Data_filtered!$J$2:$J$461,"&lt;&gt;Incompleto"))
</f>
        <v>-</v>
      </c>
      <c r="D11" s="109" t="str">
        <f>IF(SUMIFS(Data_filtered!$K$2:$K$461,Data_filtered!$A$2:$A$461,D$1,Data_filtered!$F$2:$F$461,$A11, Data_filtered!$D$2:$D$461,"eucalipto",Data_filtered!$J$2:$J$461,"&lt;&gt;Incompleto")=0, "-", SUMIFS(Data_filtered!$K$2:$K$461,Data_filtered!$A$2:$A$461,D$1,Data_filtered!$F$2:$F$461,$A11, Data_filtered!$D$2:$D$461,"eucalipto",Data_filtered!$J$2:$J$461,"&lt;&gt;Incompleto"))</f>
        <v>-</v>
      </c>
      <c r="E11" s="110">
        <f>IF(SUMIFS(Data_filtered!$K$2:$K$461,Data_filtered!$A$2:$A$461,D$1,Data_filtered!$F$2:$F$461,$A11, Data_filtered!$D$2:$D$461,"mata",Data_filtered!$J$2:$J$461,"&lt;&gt;Incompleto")=0, "-", SUMIFS(Data_filtered!$K$2:$K$461,Data_filtered!$A$2:$A$461,D$1,Data_filtered!$F$2:$F$461,$A11, Data_filtered!$D$2:$D$461,"mata",Data_filtered!$J$2:$J$461,"&lt;&gt;Incompleto"))
</f>
        <v>678.5840132</v>
      </c>
      <c r="F11" s="109" t="str">
        <f>IF(SUMIFS(Data_filtered!$K$2:$K$461,Data_filtered!$A$2:$A$461,F$1,Data_filtered!$F$2:$F$461,$A11, Data_filtered!$D$2:$D$461,"eucalipto",Data_filtered!$J$2:$J$461,"&lt;&gt;Incompleto")=0, "-", SUMIFS(Data_filtered!$K$2:$K$461,Data_filtered!$A$2:$A$461,F$1,Data_filtered!$F$2:$F$461,$A11, Data_filtered!$D$2:$D$461,"eucalipto",Data_filtered!$J$2:$J$461,"&lt;&gt;Incompleto"))</f>
        <v>-</v>
      </c>
      <c r="G11" s="110" t="str">
        <f>IF(SUMIFS(Data_filtered!$K$2:$K$461,Data_filtered!$A$2:$A$461,F$1,Data_filtered!$F$2:$F$461,$A11, Data_filtered!$D$2:$D$461,"mata",Data_filtered!$J$2:$J$461,"&lt;&gt;Incompleto")=0, "-", SUMIFS(Data_filtered!$K$2:$K$461,Data_filtered!$A$2:$A$461,F$1,Data_filtered!$F$2:$F$461,$A11, Data_filtered!$D$2:$D$461,"mata",Data_filtered!$J$2:$J$461,"&lt;&gt;Incompleto"))
</f>
        <v>-</v>
      </c>
      <c r="H11" s="109" t="str">
        <f>IF(SUMIFS(Data_filtered!$K$2:$K$461,Data_filtered!$A$2:$A$461,H$1,Data_filtered!$F$2:$F$461,$A11, Data_filtered!$D$2:$D$461,"eucalipto",Data_filtered!$J$2:$J$461,"&lt;&gt;Incompleto")=0, "-", SUMIFS(Data_filtered!$K$2:$K$461,Data_filtered!$A$2:$A$461,H$1,Data_filtered!$F$2:$F$461,$A11, Data_filtered!$D$2:$D$461,"eucalipto",Data_filtered!$J$2:$J$461,"&lt;&gt;Incompleto"))</f>
        <v>-</v>
      </c>
      <c r="I11" s="110" t="str">
        <f>IF(SUMIFS(Data_filtered!$K$2:$K$461,Data_filtered!$A$2:$A$461,H$1,Data_filtered!$F$2:$F$461,$A11, Data_filtered!$D$2:$D$461,"mata",Data_filtered!$J$2:$J$461,"&lt;&gt;Incompleto")=0, "-", SUMIFS(Data_filtered!$K$2:$K$461,Data_filtered!$A$2:$A$461,H$1,Data_filtered!$F$2:$F$461,$A11, Data_filtered!$D$2:$D$461,"mata",Data_filtered!$J$2:$J$461,"&lt;&gt;Incompleto"))
</f>
        <v>-</v>
      </c>
      <c r="J11" s="109" t="str">
        <f>IF(SUMIFS(Data_filtered!$K$2:$K$461,Data_filtered!$A$2:$A$461,J$1,Data_filtered!$F$2:$F$461,$A11, Data_filtered!$D$2:$D$461,"eucalipto",Data_filtered!$J$2:$J$461,"&lt;&gt;Incompleto")=0, "-", SUMIFS(Data_filtered!$K$2:$K$461,Data_filtered!$A$2:$A$461,J$1,Data_filtered!$F$2:$F$461,$A11, Data_filtered!$D$2:$D$461,"eucalipto",Data_filtered!$J$2:$J$461,"&lt;&gt;Incompleto"))</f>
        <v>-</v>
      </c>
      <c r="K11" s="110" t="str">
        <f>IF(SUMIFS(Data_filtered!$K$2:$K$461,Data_filtered!$A$2:$A$461,J$1,Data_filtered!$F$2:$F$461,$A11, Data_filtered!$D$2:$D$461,"mata",Data_filtered!$J$2:$J$461,"&lt;&gt;Incompleto")=0, "-", SUMIFS(Data_filtered!$K$2:$K$461,Data_filtered!$A$2:$A$461,J$1,Data_filtered!$F$2:$F$461,$A11, Data_filtered!$D$2:$D$461,"mata",Data_filtered!$J$2:$J$461,"&lt;&gt;Incompleto"))
</f>
        <v>-</v>
      </c>
      <c r="L11" s="109" t="str">
        <f>IF(SUMIFS(Data_filtered!$K$2:$K$461,Data_filtered!$A$2:$A$461,L$1,Data_filtered!$F$2:$F$461,$A11, Data_filtered!$D$2:$D$461,"eucalipto",Data_filtered!$J$2:$J$461,"&lt;&gt;Incompleto")=0, "-", SUMIFS(Data_filtered!$K$2:$K$461,Data_filtered!$A$2:$A$461,L$1,Data_filtered!$F$2:$F$461,$A11, Data_filtered!$D$2:$D$461,"eucalipto",Data_filtered!$J$2:$J$461,"&lt;&gt;Incompleto"))</f>
        <v>-</v>
      </c>
      <c r="M11" s="110" t="str">
        <f>IF(SUMIFS(Data_filtered!$K$2:$K$461,Data_filtered!$A$2:$A$461,L$1,Data_filtered!$F$2:$F$461,$A11, Data_filtered!$D$2:$D$461,"mata",Data_filtered!$J$2:$J$461,"&lt;&gt;Incompleto")=0, "-", SUMIFS(Data_filtered!$K$2:$K$461,Data_filtered!$A$2:$A$461,L$1,Data_filtered!$F$2:$F$461,$A11, Data_filtered!$D$2:$D$461,"mata",Data_filtered!$J$2:$J$461,"&lt;&gt;Incompleto"))
</f>
        <v>-</v>
      </c>
      <c r="N11" s="109" t="str">
        <f>IF(SUMIFS(Data_filtered!$K$2:$K$461,Data_filtered!$A$2:$A$461,N$1,Data_filtered!$F$2:$F$461,$A11, Data_filtered!$D$2:$D$461,"eucalipto",Data_filtered!$J$2:$J$461,"&lt;&gt;Incompleto")=0, "-", SUMIFS(Data_filtered!$K$2:$K$461,Data_filtered!$A$2:$A$461,N$1,Data_filtered!$F$2:$F$461,$A11, Data_filtered!$D$2:$D$461,"eucalipto",Data_filtered!$J$2:$J$461,"&lt;&gt;Incompleto"))</f>
        <v>-</v>
      </c>
      <c r="O11" s="110" t="str">
        <f>IF(SUMIFS(Data_filtered!$K$2:$K$461,Data_filtered!$A$2:$A$461,N$1,Data_filtered!$F$2:$F$461,$A11, Data_filtered!$D$2:$D$461,"mata",Data_filtered!$J$2:$J$461,"&lt;&gt;Incompleto")=0, "-", SUMIFS(Data_filtered!$K$2:$K$461,Data_filtered!$A$2:$A$461,N$1,Data_filtered!$F$2:$F$461,$A11, Data_filtered!$D$2:$D$461,"mata",Data_filtered!$J$2:$J$461,"&lt;&gt;Incompleto"))
</f>
        <v>-</v>
      </c>
      <c r="P11" s="109" t="str">
        <f>IF(SUMIFS(Data_filtered!$K$2:$K$461,Data_filtered!$A$2:$A$461,P$1,Data_filtered!$F$2:$F$461,$A11, Data_filtered!$D$2:$D$461,"eucalipto",Data_filtered!$J$2:$J$461,"&lt;&gt;Incompleto")=0, "-", SUMIFS(Data_filtered!$K$2:$K$461,Data_filtered!$A$2:$A$461,P$1,Data_filtered!$F$2:$F$461,$A11, Data_filtered!$D$2:$D$461,"eucalipto",Data_filtered!$J$2:$J$461,"&lt;&gt;Incompleto"))</f>
        <v>-</v>
      </c>
      <c r="Q11" s="110" t="str">
        <f>IF(SUMIFS(Data_filtered!$K$2:$K$461,Data_filtered!$A$2:$A$461,P$1,Data_filtered!$F$2:$F$461,$A11, Data_filtered!$D$2:$D$461,"mata",Data_filtered!$J$2:$J$461,"&lt;&gt;Incompleto")=0, "-", SUMIFS(Data_filtered!$K$2:$K$461,Data_filtered!$A$2:$A$461,P$1,Data_filtered!$F$2:$F$461,$A11, Data_filtered!$D$2:$D$461,"mata",Data_filtered!$J$2:$J$461,"&lt;&gt;Incompleto"))
</f>
        <v>-</v>
      </c>
      <c r="R11" s="109" t="str">
        <f>IF(SUMIFS(Data_filtered!$K$2:$K$461,Data_filtered!$A$2:$A$461,R$1,Data_filtered!$F$2:$F$461,$A11, Data_filtered!$D$2:$D$461,"eucalipto",Data_filtered!$J$2:$J$461,"&lt;&gt;Incompleto")=0, "-", SUMIFS(Data_filtered!$K$2:$K$461,Data_filtered!$A$2:$A$461,R$1,Data_filtered!$F$2:$F$461,$A11, Data_filtered!$D$2:$D$461,"eucalipto",Data_filtered!$J$2:$J$461,"&lt;&gt;Incompleto"))</f>
        <v>-</v>
      </c>
      <c r="S11" s="110" t="str">
        <f>IF(SUMIFS(Data_filtered!$K$2:$K$461,Data_filtered!$A$2:$A$461,R$1,Data_filtered!$F$2:$F$461,$A11, Data_filtered!$D$2:$D$461,"mata",Data_filtered!$J$2:$J$461,"&lt;&gt;Incompleto")=0, "-", SUMIFS(Data_filtered!$K$2:$K$461,Data_filtered!$A$2:$A$461,R$1,Data_filtered!$F$2:$F$461,$A11, Data_filtered!$D$2:$D$461,"mata",Data_filtered!$J$2:$J$461,"&lt;&gt;Incompleto"))
</f>
        <v>-</v>
      </c>
      <c r="T11" s="109" t="str">
        <f>IF(SUMIFS(Data_filtered!$K$2:$K$461,Data_filtered!$A$2:$A$461,T$1,Data_filtered!$F$2:$F$461,$A11, Data_filtered!$D$2:$D$461,"eucalipto",Data_filtered!$J$2:$J$461,"&lt;&gt;Incompleto")=0, "-", SUMIFS(Data_filtered!$K$2:$K$461,Data_filtered!$A$2:$A$461,T$1,Data_filtered!$F$2:$F$461,$A11, Data_filtered!$D$2:$D$461,"eucalipto",Data_filtered!$J$2:$J$461,"&lt;&gt;Incompleto"))</f>
        <v>-</v>
      </c>
      <c r="U11" s="110" t="str">
        <f>IF(SUMIFS(Data_filtered!$K$2:$K$461,Data_filtered!$A$2:$A$461,T$1,Data_filtered!$F$2:$F$461,$A11, Data_filtered!$D$2:$D$461,"mata",Data_filtered!$J$2:$J$461,"&lt;&gt;Incompleto")=0, "-", SUMIFS(Data_filtered!$K$2:$K$461,Data_filtered!$A$2:$A$461,T$1,Data_filtered!$F$2:$F$461,$A11, Data_filtered!$D$2:$D$461,"mata",Data_filtered!$J$2:$J$461,"&lt;&gt;Incompleto"))
</f>
        <v>-</v>
      </c>
      <c r="V11" s="109" t="str">
        <f>IF(SUMIFS(Data_filtered!$K$2:$K$461,Data_filtered!$A$2:$A$461,V$1,Data_filtered!$F$2:$F$461,$A11, Data_filtered!$D$2:$D$461,"eucalipto",Data_filtered!$J$2:$J$461,"&lt;&gt;Incompleto")=0, "-", SUMIFS(Data_filtered!$K$2:$K$461,Data_filtered!$A$2:$A$461,V$1,Data_filtered!$F$2:$F$461,$A11, Data_filtered!$D$2:$D$461,"eucalipto",Data_filtered!$J$2:$J$461,"&lt;&gt;Incompleto"))</f>
        <v>-</v>
      </c>
      <c r="W11" s="110" t="str">
        <f>IF(SUMIFS(Data_filtered!$K$2:$K$461,Data_filtered!$A$2:$A$461,V$1,Data_filtered!$F$2:$F$461,$A11, Data_filtered!$D$2:$D$461,"mata",Data_filtered!$J$2:$J$461,"&lt;&gt;Incompleto")=0, "-", SUMIFS(Data_filtered!$K$2:$K$461,Data_filtered!$A$2:$A$461,V$1,Data_filtered!$F$2:$F$461,$A11, Data_filtered!$D$2:$D$461,"mata",Data_filtered!$J$2:$J$461,"&lt;&gt;Incompleto"))
</f>
        <v>-</v>
      </c>
      <c r="X11" s="109" t="str">
        <f>IF(SUMIFS(Data_filtered!$K$2:$K$461,Data_filtered!$A$2:$A$461,X$1,Data_filtered!$F$2:$F$461,$A11, Data_filtered!$D$2:$D$461,"eucalipto",Data_filtered!$J$2:$J$461,"&lt;&gt;Incompleto")=0, "-", SUMIFS(Data_filtered!$K$2:$K$461,Data_filtered!$A$2:$A$461,X$1,Data_filtered!$F$2:$F$461,$A11, Data_filtered!$D$2:$D$461,"eucalipto",Data_filtered!$J$2:$J$461,"&lt;&gt;Incompleto"))</f>
        <v>-</v>
      </c>
      <c r="Y11" s="110" t="str">
        <f>IF(SUMIFS(Data_filtered!$K$2:$K$461,Data_filtered!$A$2:$A$461,X$1,Data_filtered!$F$2:$F$461,$A11, Data_filtered!$D$2:$D$461,"mata",Data_filtered!$J$2:$J$461,"&lt;&gt;Incompleto")=0, "-", SUMIFS(Data_filtered!$K$2:$K$461,Data_filtered!$A$2:$A$461,X$1,Data_filtered!$F$2:$F$461,$A11, Data_filtered!$D$2:$D$461,"mata",Data_filtered!$J$2:$J$461,"&lt;&gt;Incompleto"))
</f>
        <v>-</v>
      </c>
      <c r="Z11" s="109" t="str">
        <f>IF(SUMIFS(Data_filtered!$K$2:$K$461,Data_filtered!$A$2:$A$461,Z$1,Data_filtered!$F$2:$F$461,$A11, Data_filtered!$D$2:$D$461,"eucalipto",Data_filtered!$J$2:$J$461,"&lt;&gt;Incompleto")=0, "-", SUMIFS(Data_filtered!$K$2:$K$461,Data_filtered!$A$2:$A$461,Z$1,Data_filtered!$F$2:$F$461,$A11, Data_filtered!$D$2:$D$461,"eucalipto",Data_filtered!$J$2:$J$461,"&lt;&gt;Incompleto"))</f>
        <v>-</v>
      </c>
      <c r="AA11" s="110" t="str">
        <f>IF(SUMIFS(Data_filtered!$K$2:$K$461,Data_filtered!$A$2:$A$461,Z$1,Data_filtered!$F$2:$F$461,$A11, Data_filtered!$D$2:$D$461,"mata",Data_filtered!$J$2:$J$461,"&lt;&gt;Incompleto")=0, "-", SUMIFS(Data_filtered!$K$2:$K$461,Data_filtered!$A$2:$A$461,Z$1,Data_filtered!$F$2:$F$461,$A11, Data_filtered!$D$2:$D$461,"mata",Data_filtered!$J$2:$J$461,"&lt;&gt;Incompleto"))
</f>
        <v>-</v>
      </c>
      <c r="AB11" s="109" t="str">
        <f>IF(SUMIFS(Data_filtered!$K$2:$K$461,Data_filtered!$A$2:$A$461,AB$1,Data_filtered!$F$2:$F$461,$A11, Data_filtered!$D$2:$D$461,"eucalipto",Data_filtered!$J$2:$J$461,"&lt;&gt;Incompleto")=0, "-", SUMIFS(Data_filtered!$K$2:$K$461,Data_filtered!$A$2:$A$461,AB$1,Data_filtered!$F$2:$F$461,$A11, Data_filtered!$D$2:$D$461,"eucalipto",Data_filtered!$J$2:$J$461,"&lt;&gt;Incompleto"))</f>
        <v>-</v>
      </c>
      <c r="AC11" s="110" t="str">
        <f>IF(SUMIFS(Data_filtered!$K$2:$K$461,Data_filtered!$A$2:$A$461,AB$1,Data_filtered!$F$2:$F$461,$A11, Data_filtered!$D$2:$D$461,"mata",Data_filtered!$J$2:$J$461,"&lt;&gt;Incompleto")=0, "-", SUMIFS(Data_filtered!$K$2:$K$461,Data_filtered!$A$2:$A$461,AB$1,Data_filtered!$F$2:$F$461,$A11, Data_filtered!$D$2:$D$461,"mata",Data_filtered!$J$2:$J$461,"&lt;&gt;Incompleto"))
</f>
        <v>-</v>
      </c>
      <c r="AD11" s="109" t="str">
        <f>IF(SUMIFS(Data_filtered!$K$2:$K$461,Data_filtered!$A$2:$A$461,AD$1,Data_filtered!$F$2:$F$461,$A11, Data_filtered!$D$2:$D$461,"eucalipto",Data_filtered!$J$2:$J$461,"&lt;&gt;Incompleto")=0, "-", SUMIFS(Data_filtered!$K$2:$K$461,Data_filtered!$A$2:$A$461,AD$1,Data_filtered!$F$2:$F$461,$A11, Data_filtered!$D$2:$D$461,"eucalipto",Data_filtered!$J$2:$J$461,"&lt;&gt;Incompleto"))</f>
        <v>-</v>
      </c>
      <c r="AE11" s="110" t="str">
        <f>IF(SUMIFS(Data_filtered!$K$2:$K$461,Data_filtered!$A$2:$A$461,AD$1,Data_filtered!$F$2:$F$461,$A11, Data_filtered!$D$2:$D$461,"mata",Data_filtered!$J$2:$J$461,"&lt;&gt;Incompleto")=0, "-", SUMIFS(Data_filtered!$K$2:$K$461,Data_filtered!$A$2:$A$461,AD$1,Data_filtered!$F$2:$F$461,$A11, Data_filtered!$D$2:$D$461,"mata",Data_filtered!$J$2:$J$461,"&lt;&gt;Incompleto"))
</f>
        <v>-</v>
      </c>
      <c r="AF11" s="109" t="str">
        <f>IF(SUMIFS(Data_filtered!$K$2:$K$461,Data_filtered!$A$2:$A$461,AF$1,Data_filtered!$F$2:$F$461,$A11, Data_filtered!$D$2:$D$461,"eucalipto",Data_filtered!$J$2:$J$461,"&lt;&gt;Incompleto")=0, "-", SUMIFS(Data_filtered!$K$2:$K$461,Data_filtered!$A$2:$A$461,AF$1,Data_filtered!$F$2:$F$461,$A11, Data_filtered!$D$2:$D$461,"eucalipto",Data_filtered!$J$2:$J$461,"&lt;&gt;Incompleto"))</f>
        <v>-</v>
      </c>
      <c r="AG11" s="110" t="str">
        <f>IF(SUMIFS(Data_filtered!$K$2:$K$461,Data_filtered!$A$2:$A$461,AF$1,Data_filtered!$F$2:$F$461,$A11, Data_filtered!$D$2:$D$461,"mata",Data_filtered!$J$2:$J$461,"&lt;&gt;Incompleto")=0, "-", SUMIFS(Data_filtered!$K$2:$K$461,Data_filtered!$A$2:$A$461,AF$1,Data_filtered!$F$2:$F$461,$A11, Data_filtered!$D$2:$D$461,"mata",Data_filtered!$J$2:$J$461,"&lt;&gt;Incompleto"))
</f>
        <v>-</v>
      </c>
      <c r="AH11" s="109" t="str">
        <f>IF(SUMIFS(Data_filtered!$K$2:$K$461,Data_filtered!$A$2:$A$461,AH$1,Data_filtered!$F$2:$F$461,$A11, Data_filtered!$D$2:$D$461,"eucalipto",Data_filtered!$J$2:$J$461,"&lt;&gt;Incompleto")=0, "-", SUMIFS(Data_filtered!$K$2:$K$461,Data_filtered!$A$2:$A$461,AH$1,Data_filtered!$F$2:$F$461,$A11, Data_filtered!$D$2:$D$461,"eucalipto",Data_filtered!$J$2:$J$461,"&lt;&gt;Incompleto"))</f>
        <v>-</v>
      </c>
      <c r="AI11" s="110">
        <f>IF(SUMIFS(Data_filtered!$K$2:$K$461,Data_filtered!$A$2:$A$461,AH$1,Data_filtered!$F$2:$F$461,$A11, Data_filtered!$D$2:$D$461,"mata",Data_filtered!$J$2:$J$461,"&lt;&gt;Incompleto")=0, "-", SUMIFS(Data_filtered!$K$2:$K$461,Data_filtered!$A$2:$A$461,AH$1,Data_filtered!$F$2:$F$461,$A11, Data_filtered!$D$2:$D$461,"mata",Data_filtered!$J$2:$J$461,"&lt;&gt;Incompleto"))
</f>
        <v>41.88790205</v>
      </c>
      <c r="AJ11" s="109" t="str">
        <f>IF(SUMIFS(Data_filtered!$K$2:$K$461,Data_filtered!$A$2:$A$461,AJ$1,Data_filtered!$F$2:$F$461,$A11, Data_filtered!$D$2:$D$461,"eucalipto",Data_filtered!$J$2:$J$461,"&lt;&gt;Incompleto")=0, "-", SUMIFS(Data_filtered!$K$2:$K$461,Data_filtered!$A$2:$A$461,AJ$1,Data_filtered!$F$2:$F$461,$A11, Data_filtered!$D$2:$D$461,"eucalipto",Data_filtered!$J$2:$J$461,"&lt;&gt;Incompleto"))</f>
        <v>-</v>
      </c>
      <c r="AK11" s="110" t="str">
        <f>IF(SUMIFS(Data_filtered!$K$2:$K$461,Data_filtered!$A$2:$A$461,AJ$1,Data_filtered!$F$2:$F$461,$A11, Data_filtered!$D$2:$D$461,"mata",Data_filtered!$J$2:$J$461,"&lt;&gt;Incompleto")=0, "-", SUMIFS(Data_filtered!$K$2:$K$461,Data_filtered!$A$2:$A$461,AJ$1,Data_filtered!$F$2:$F$461,$A11, Data_filtered!$D$2:$D$461,"mata",Data_filtered!$J$2:$J$461,"&lt;&gt;Incompleto"))
</f>
        <v>-</v>
      </c>
      <c r="AL11" s="109" t="str">
        <f>IF(SUMIFS(Data_filtered!$K$2:$K$461,Data_filtered!$A$2:$A$461,AL$1,Data_filtered!$F$2:$F$461,$A11, Data_filtered!$D$2:$D$461,"eucalipto",Data_filtered!$J$2:$J$461,"&lt;&gt;Incompleto")=0, "-", SUMIFS(Data_filtered!$K$2:$K$461,Data_filtered!$A$2:$A$461,AL$1,Data_filtered!$F$2:$F$461,$A11, Data_filtered!$D$2:$D$461,"eucalipto",Data_filtered!$J$2:$J$461,"&lt;&gt;Incompleto"))</f>
        <v>-</v>
      </c>
      <c r="AM11" s="110">
        <f>IF(SUMIFS(Data_filtered!$K$2:$K$461,Data_filtered!$A$2:$A$461,AL$1,Data_filtered!$F$2:$F$461,$A11, Data_filtered!$D$2:$D$461,"mata",Data_filtered!$J$2:$J$461,"&lt;&gt;Incompleto")=0, "-", SUMIFS(Data_filtered!$K$2:$K$461,Data_filtered!$A$2:$A$461,AL$1,Data_filtered!$F$2:$F$461,$A11, Data_filtered!$D$2:$D$461,"mata",Data_filtered!$J$2:$J$461,"&lt;&gt;Incompleto"))
</f>
        <v>25643.77363</v>
      </c>
      <c r="AN11" s="109" t="str">
        <f>IF(SUMIFS(Data_filtered!$K$2:$K$461,Data_filtered!$A$2:$A$461,AN$1,Data_filtered!$F$2:$F$461,$A11, Data_filtered!$D$2:$D$461,"eucalipto",Data_filtered!$J$2:$J$461,"&lt;&gt;Incompleto")=0, "-", SUMIFS(Data_filtered!$K$2:$K$461,Data_filtered!$A$2:$A$461,AN$1,Data_filtered!$F$2:$F$461,$A11, Data_filtered!$D$2:$D$461,"eucalipto",Data_filtered!$J$2:$J$461,"&lt;&gt;Incompleto"))</f>
        <v>-</v>
      </c>
      <c r="AO11" s="110">
        <f>IF(SUMIFS(Data_filtered!$K$2:$K$461,Data_filtered!$A$2:$A$461,AN$1,Data_filtered!$F$2:$F$461,$A11, Data_filtered!$D$2:$D$461,"mata",Data_filtered!$J$2:$J$461,"&lt;&gt;Incompleto")=0, "-", SUMIFS(Data_filtered!$K$2:$K$461,Data_filtered!$A$2:$A$461,AN$1,Data_filtered!$F$2:$F$461,$A11, Data_filtered!$D$2:$D$461,"mata",Data_filtered!$J$2:$J$461,"&lt;&gt;Incompleto"))
</f>
        <v>1319.468915</v>
      </c>
      <c r="AP11" s="109" t="str">
        <f>IF(SUMIFS(Data_filtered!$K$2:$K$461,Data_filtered!$A$2:$A$461,AP$1,Data_filtered!$F$2:$F$461,$A11, Data_filtered!$D$2:$D$461,"eucalipto",Data_filtered!$J$2:$J$461,"&lt;&gt;Incompleto")=0, "-", SUMIFS(Data_filtered!$K$2:$K$461,Data_filtered!$A$2:$A$461,AP$1,Data_filtered!$F$2:$F$461,$A11, Data_filtered!$D$2:$D$461,"eucalipto",Data_filtered!$J$2:$J$461,"&lt;&gt;Incompleto"))</f>
        <v>-</v>
      </c>
      <c r="AQ11" s="110" t="str">
        <f>IF(SUMIFS(Data_filtered!$K$2:$K$461,Data_filtered!$A$2:$A$461,AP$1,Data_filtered!$F$2:$F$461,$A11, Data_filtered!$D$2:$D$461,"mata",Data_filtered!$J$2:$J$461,"&lt;&gt;Incompleto")=0, "-", SUMIFS(Data_filtered!$K$2:$K$461,Data_filtered!$A$2:$A$461,AP$1,Data_filtered!$F$2:$F$461,$A11, Data_filtered!$D$2:$D$461,"mata",Data_filtered!$J$2:$J$461,"&lt;&gt;Incompleto"))
</f>
        <v>-</v>
      </c>
      <c r="AR11" s="109" t="str">
        <f>IF(SUMIFS(Data_filtered!$K$2:$K$461,Data_filtered!$A$2:$A$461,AR$1,Data_filtered!$F$2:$F$461,$A11, Data_filtered!$D$2:$D$461,"eucalipto",Data_filtered!$J$2:$J$461,"&lt;&gt;Incompleto")=0, "-", SUMIFS(Data_filtered!$K$2:$K$461,Data_filtered!$A$2:$A$461,AR$1,Data_filtered!$F$2:$F$461,$A11, Data_filtered!$D$2:$D$461,"eucalipto",Data_filtered!$J$2:$J$461,"&lt;&gt;Incompleto"))</f>
        <v>-</v>
      </c>
      <c r="AS11" s="110" t="str">
        <f>IF(SUMIFS(Data_filtered!$K$2:$K$461,Data_filtered!$A$2:$A$461,AR$1,Data_filtered!$F$2:$F$461,$A11, Data_filtered!$D$2:$D$461,"mata",Data_filtered!$J$2:$J$461,"&lt;&gt;Incompleto")=0, "-", SUMIFS(Data_filtered!$K$2:$K$461,Data_filtered!$A$2:$A$461,AR$1,Data_filtered!$F$2:$F$461,$A11, Data_filtered!$D$2:$D$461,"mata",Data_filtered!$J$2:$J$461,"&lt;&gt;Incompleto"))
</f>
        <v>-</v>
      </c>
    </row>
    <row r="12">
      <c r="A12" s="68" t="str">
        <f>IFERROR(__xludf.DUMMYFUNCTION("""COMPUTED_VALUE"""),"Ensifera")</f>
        <v>Ensifera</v>
      </c>
      <c r="B12" s="109" t="str">
        <f>IF(SUMIFS(Data_filtered!$K$2:$K$461,Data_filtered!$A$2:$A$461,B$1,Data_filtered!$F$2:$F$461,$A12, Data_filtered!$D$2:$D$461,"eucalipto",Data_filtered!$J$2:$J$461,"&lt;&gt;Incompleto")=0, "-", SUMIFS(Data_filtered!$K$2:$K$461,Data_filtered!$A$2:$A$461,B$1,Data_filtered!$F$2:$F$461,$A12, Data_filtered!$D$2:$D$461,"eucalipto",Data_filtered!$J$2:$J$461,"&lt;&gt;Incompleto"))</f>
        <v>-</v>
      </c>
      <c r="C12" s="110" t="str">
        <f>IF(SUMIFS(Data_filtered!$K$2:$K$461,Data_filtered!$A$2:$A$461,B$1,Data_filtered!$F$2:$F$461,$A12, Data_filtered!$D$2:$D$461,"mata",Data_filtered!$J$2:$J$461,"&lt;&gt;Incompleto")=0, "-", SUMIFS(Data_filtered!$K$2:$K$461,Data_filtered!$A$2:$A$461,B$1,Data_filtered!$F$2:$F$461,$A12, Data_filtered!$D$2:$D$461,"mata",Data_filtered!$J$2:$J$461,"&lt;&gt;Incompleto"))
</f>
        <v>-</v>
      </c>
      <c r="D12" s="109" t="str">
        <f>IF(SUMIFS(Data_filtered!$K$2:$K$461,Data_filtered!$A$2:$A$461,D$1,Data_filtered!$F$2:$F$461,$A12, Data_filtered!$D$2:$D$461,"eucalipto",Data_filtered!$J$2:$J$461,"&lt;&gt;Incompleto")=0, "-", SUMIFS(Data_filtered!$K$2:$K$461,Data_filtered!$A$2:$A$461,D$1,Data_filtered!$F$2:$F$461,$A12, Data_filtered!$D$2:$D$461,"eucalipto",Data_filtered!$J$2:$J$461,"&lt;&gt;Incompleto"))</f>
        <v>-</v>
      </c>
      <c r="E12" s="110">
        <f>IF(SUMIFS(Data_filtered!$K$2:$K$461,Data_filtered!$A$2:$A$461,D$1,Data_filtered!$F$2:$F$461,$A12, Data_filtered!$D$2:$D$461,"mata",Data_filtered!$J$2:$J$461,"&lt;&gt;Incompleto")=0, "-", SUMIFS(Data_filtered!$K$2:$K$461,Data_filtered!$A$2:$A$461,D$1,Data_filtered!$F$2:$F$461,$A12, Data_filtered!$D$2:$D$461,"mata",Data_filtered!$J$2:$J$461,"&lt;&gt;Incompleto"))
</f>
        <v>7539.822369</v>
      </c>
      <c r="F12" s="109" t="str">
        <f>IF(SUMIFS(Data_filtered!$K$2:$K$461,Data_filtered!$A$2:$A$461,F$1,Data_filtered!$F$2:$F$461,$A12, Data_filtered!$D$2:$D$461,"eucalipto",Data_filtered!$J$2:$J$461,"&lt;&gt;Incompleto")=0, "-", SUMIFS(Data_filtered!$K$2:$K$461,Data_filtered!$A$2:$A$461,F$1,Data_filtered!$F$2:$F$461,$A12, Data_filtered!$D$2:$D$461,"eucalipto",Data_filtered!$J$2:$J$461,"&lt;&gt;Incompleto"))</f>
        <v>-</v>
      </c>
      <c r="G12" s="110" t="str">
        <f>IF(SUMIFS(Data_filtered!$K$2:$K$461,Data_filtered!$A$2:$A$461,F$1,Data_filtered!$F$2:$F$461,$A12, Data_filtered!$D$2:$D$461,"mata",Data_filtered!$J$2:$J$461,"&lt;&gt;Incompleto")=0, "-", SUMIFS(Data_filtered!$K$2:$K$461,Data_filtered!$A$2:$A$461,F$1,Data_filtered!$F$2:$F$461,$A12, Data_filtered!$D$2:$D$461,"mata",Data_filtered!$J$2:$J$461,"&lt;&gt;Incompleto"))
</f>
        <v>-</v>
      </c>
      <c r="H12" s="109" t="str">
        <f>IF(SUMIFS(Data_filtered!$K$2:$K$461,Data_filtered!$A$2:$A$461,H$1,Data_filtered!$F$2:$F$461,$A12, Data_filtered!$D$2:$D$461,"eucalipto",Data_filtered!$J$2:$J$461,"&lt;&gt;Incompleto")=0, "-", SUMIFS(Data_filtered!$K$2:$K$461,Data_filtered!$A$2:$A$461,H$1,Data_filtered!$F$2:$F$461,$A12, Data_filtered!$D$2:$D$461,"eucalipto",Data_filtered!$J$2:$J$461,"&lt;&gt;Incompleto"))</f>
        <v>-</v>
      </c>
      <c r="I12" s="110">
        <f>IF(SUMIFS(Data_filtered!$K$2:$K$461,Data_filtered!$A$2:$A$461,H$1,Data_filtered!$F$2:$F$461,$A12, Data_filtered!$D$2:$D$461,"mata",Data_filtered!$J$2:$J$461,"&lt;&gt;Incompleto")=0, "-", SUMIFS(Data_filtered!$K$2:$K$461,Data_filtered!$A$2:$A$461,H$1,Data_filtered!$F$2:$F$461,$A12, Data_filtered!$D$2:$D$461,"mata",Data_filtered!$J$2:$J$461,"&lt;&gt;Incompleto"))
</f>
        <v>804.2477193</v>
      </c>
      <c r="J12" s="109" t="str">
        <f>IF(SUMIFS(Data_filtered!$K$2:$K$461,Data_filtered!$A$2:$A$461,J$1,Data_filtered!$F$2:$F$461,$A12, Data_filtered!$D$2:$D$461,"eucalipto",Data_filtered!$J$2:$J$461,"&lt;&gt;Incompleto")=0, "-", SUMIFS(Data_filtered!$K$2:$K$461,Data_filtered!$A$2:$A$461,J$1,Data_filtered!$F$2:$F$461,$A12, Data_filtered!$D$2:$D$461,"eucalipto",Data_filtered!$J$2:$J$461,"&lt;&gt;Incompleto"))</f>
        <v>-</v>
      </c>
      <c r="K12" s="110" t="str">
        <f>IF(SUMIFS(Data_filtered!$K$2:$K$461,Data_filtered!$A$2:$A$461,J$1,Data_filtered!$F$2:$F$461,$A12, Data_filtered!$D$2:$D$461,"mata",Data_filtered!$J$2:$J$461,"&lt;&gt;Incompleto")=0, "-", SUMIFS(Data_filtered!$K$2:$K$461,Data_filtered!$A$2:$A$461,J$1,Data_filtered!$F$2:$F$461,$A12, Data_filtered!$D$2:$D$461,"mata",Data_filtered!$J$2:$J$461,"&lt;&gt;Incompleto"))
</f>
        <v>-</v>
      </c>
      <c r="L12" s="109" t="str">
        <f>IF(SUMIFS(Data_filtered!$K$2:$K$461,Data_filtered!$A$2:$A$461,L$1,Data_filtered!$F$2:$F$461,$A12, Data_filtered!$D$2:$D$461,"eucalipto",Data_filtered!$J$2:$J$461,"&lt;&gt;Incompleto")=0, "-", SUMIFS(Data_filtered!$K$2:$K$461,Data_filtered!$A$2:$A$461,L$1,Data_filtered!$F$2:$F$461,$A12, Data_filtered!$D$2:$D$461,"eucalipto",Data_filtered!$J$2:$J$461,"&lt;&gt;Incompleto"))</f>
        <v>-</v>
      </c>
      <c r="M12" s="110" t="str">
        <f>IF(SUMIFS(Data_filtered!$K$2:$K$461,Data_filtered!$A$2:$A$461,L$1,Data_filtered!$F$2:$F$461,$A12, Data_filtered!$D$2:$D$461,"mata",Data_filtered!$J$2:$J$461,"&lt;&gt;Incompleto")=0, "-", SUMIFS(Data_filtered!$K$2:$K$461,Data_filtered!$A$2:$A$461,L$1,Data_filtered!$F$2:$F$461,$A12, Data_filtered!$D$2:$D$461,"mata",Data_filtered!$J$2:$J$461,"&lt;&gt;Incompleto"))
</f>
        <v>-</v>
      </c>
      <c r="N12" s="109" t="str">
        <f>IF(SUMIFS(Data_filtered!$K$2:$K$461,Data_filtered!$A$2:$A$461,N$1,Data_filtered!$F$2:$F$461,$A12, Data_filtered!$D$2:$D$461,"eucalipto",Data_filtered!$J$2:$J$461,"&lt;&gt;Incompleto")=0, "-", SUMIFS(Data_filtered!$K$2:$K$461,Data_filtered!$A$2:$A$461,N$1,Data_filtered!$F$2:$F$461,$A12, Data_filtered!$D$2:$D$461,"eucalipto",Data_filtered!$J$2:$J$461,"&lt;&gt;Incompleto"))</f>
        <v>-</v>
      </c>
      <c r="O12" s="110" t="str">
        <f>IF(SUMIFS(Data_filtered!$K$2:$K$461,Data_filtered!$A$2:$A$461,N$1,Data_filtered!$F$2:$F$461,$A12, Data_filtered!$D$2:$D$461,"mata",Data_filtered!$J$2:$J$461,"&lt;&gt;Incompleto")=0, "-", SUMIFS(Data_filtered!$K$2:$K$461,Data_filtered!$A$2:$A$461,N$1,Data_filtered!$F$2:$F$461,$A12, Data_filtered!$D$2:$D$461,"mata",Data_filtered!$J$2:$J$461,"&lt;&gt;Incompleto"))
</f>
        <v>-</v>
      </c>
      <c r="P12" s="109" t="str">
        <f>IF(SUMIFS(Data_filtered!$K$2:$K$461,Data_filtered!$A$2:$A$461,P$1,Data_filtered!$F$2:$F$461,$A12, Data_filtered!$D$2:$D$461,"eucalipto",Data_filtered!$J$2:$J$461,"&lt;&gt;Incompleto")=0, "-", SUMIFS(Data_filtered!$K$2:$K$461,Data_filtered!$A$2:$A$461,P$1,Data_filtered!$F$2:$F$461,$A12, Data_filtered!$D$2:$D$461,"eucalipto",Data_filtered!$J$2:$J$461,"&lt;&gt;Incompleto"))</f>
        <v>-</v>
      </c>
      <c r="Q12" s="110" t="str">
        <f>IF(SUMIFS(Data_filtered!$K$2:$K$461,Data_filtered!$A$2:$A$461,P$1,Data_filtered!$F$2:$F$461,$A12, Data_filtered!$D$2:$D$461,"mata",Data_filtered!$J$2:$J$461,"&lt;&gt;Incompleto")=0, "-", SUMIFS(Data_filtered!$K$2:$K$461,Data_filtered!$A$2:$A$461,P$1,Data_filtered!$F$2:$F$461,$A12, Data_filtered!$D$2:$D$461,"mata",Data_filtered!$J$2:$J$461,"&lt;&gt;Incompleto"))
</f>
        <v>-</v>
      </c>
      <c r="R12" s="109" t="str">
        <f>IF(SUMIFS(Data_filtered!$K$2:$K$461,Data_filtered!$A$2:$A$461,R$1,Data_filtered!$F$2:$F$461,$A12, Data_filtered!$D$2:$D$461,"eucalipto",Data_filtered!$J$2:$J$461,"&lt;&gt;Incompleto")=0, "-", SUMIFS(Data_filtered!$K$2:$K$461,Data_filtered!$A$2:$A$461,R$1,Data_filtered!$F$2:$F$461,$A12, Data_filtered!$D$2:$D$461,"eucalipto",Data_filtered!$J$2:$J$461,"&lt;&gt;Incompleto"))</f>
        <v>-</v>
      </c>
      <c r="S12" s="110" t="str">
        <f>IF(SUMIFS(Data_filtered!$K$2:$K$461,Data_filtered!$A$2:$A$461,R$1,Data_filtered!$F$2:$F$461,$A12, Data_filtered!$D$2:$D$461,"mata",Data_filtered!$J$2:$J$461,"&lt;&gt;Incompleto")=0, "-", SUMIFS(Data_filtered!$K$2:$K$461,Data_filtered!$A$2:$A$461,R$1,Data_filtered!$F$2:$F$461,$A12, Data_filtered!$D$2:$D$461,"mata",Data_filtered!$J$2:$J$461,"&lt;&gt;Incompleto"))
</f>
        <v>-</v>
      </c>
      <c r="T12" s="109" t="str">
        <f>IF(SUMIFS(Data_filtered!$K$2:$K$461,Data_filtered!$A$2:$A$461,T$1,Data_filtered!$F$2:$F$461,$A12, Data_filtered!$D$2:$D$461,"eucalipto",Data_filtered!$J$2:$J$461,"&lt;&gt;Incompleto")=0, "-", SUMIFS(Data_filtered!$K$2:$K$461,Data_filtered!$A$2:$A$461,T$1,Data_filtered!$F$2:$F$461,$A12, Data_filtered!$D$2:$D$461,"eucalipto",Data_filtered!$J$2:$J$461,"&lt;&gt;Incompleto"))</f>
        <v>-</v>
      </c>
      <c r="U12" s="110" t="str">
        <f>IF(SUMIFS(Data_filtered!$K$2:$K$461,Data_filtered!$A$2:$A$461,T$1,Data_filtered!$F$2:$F$461,$A12, Data_filtered!$D$2:$D$461,"mata",Data_filtered!$J$2:$J$461,"&lt;&gt;Incompleto")=0, "-", SUMIFS(Data_filtered!$K$2:$K$461,Data_filtered!$A$2:$A$461,T$1,Data_filtered!$F$2:$F$461,$A12, Data_filtered!$D$2:$D$461,"mata",Data_filtered!$J$2:$J$461,"&lt;&gt;Incompleto"))
</f>
        <v>-</v>
      </c>
      <c r="V12" s="109" t="str">
        <f>IF(SUMIFS(Data_filtered!$K$2:$K$461,Data_filtered!$A$2:$A$461,V$1,Data_filtered!$F$2:$F$461,$A12, Data_filtered!$D$2:$D$461,"eucalipto",Data_filtered!$J$2:$J$461,"&lt;&gt;Incompleto")=0, "-", SUMIFS(Data_filtered!$K$2:$K$461,Data_filtered!$A$2:$A$461,V$1,Data_filtered!$F$2:$F$461,$A12, Data_filtered!$D$2:$D$461,"eucalipto",Data_filtered!$J$2:$J$461,"&lt;&gt;Incompleto"))</f>
        <v>-</v>
      </c>
      <c r="W12" s="110" t="str">
        <f>IF(SUMIFS(Data_filtered!$K$2:$K$461,Data_filtered!$A$2:$A$461,V$1,Data_filtered!$F$2:$F$461,$A12, Data_filtered!$D$2:$D$461,"mata",Data_filtered!$J$2:$J$461,"&lt;&gt;Incompleto")=0, "-", SUMIFS(Data_filtered!$K$2:$K$461,Data_filtered!$A$2:$A$461,V$1,Data_filtered!$F$2:$F$461,$A12, Data_filtered!$D$2:$D$461,"mata",Data_filtered!$J$2:$J$461,"&lt;&gt;Incompleto"))
</f>
        <v>-</v>
      </c>
      <c r="X12" s="109" t="str">
        <f>IF(SUMIFS(Data_filtered!$K$2:$K$461,Data_filtered!$A$2:$A$461,X$1,Data_filtered!$F$2:$F$461,$A12, Data_filtered!$D$2:$D$461,"eucalipto",Data_filtered!$J$2:$J$461,"&lt;&gt;Incompleto")=0, "-", SUMIFS(Data_filtered!$K$2:$K$461,Data_filtered!$A$2:$A$461,X$1,Data_filtered!$F$2:$F$461,$A12, Data_filtered!$D$2:$D$461,"eucalipto",Data_filtered!$J$2:$J$461,"&lt;&gt;Incompleto"))</f>
        <v>-</v>
      </c>
      <c r="Y12" s="110" t="str">
        <f>IF(SUMIFS(Data_filtered!$K$2:$K$461,Data_filtered!$A$2:$A$461,X$1,Data_filtered!$F$2:$F$461,$A12, Data_filtered!$D$2:$D$461,"mata",Data_filtered!$J$2:$J$461,"&lt;&gt;Incompleto")=0, "-", SUMIFS(Data_filtered!$K$2:$K$461,Data_filtered!$A$2:$A$461,X$1,Data_filtered!$F$2:$F$461,$A12, Data_filtered!$D$2:$D$461,"mata",Data_filtered!$J$2:$J$461,"&lt;&gt;Incompleto"))
</f>
        <v>-</v>
      </c>
      <c r="Z12" s="109" t="str">
        <f>IF(SUMIFS(Data_filtered!$K$2:$K$461,Data_filtered!$A$2:$A$461,Z$1,Data_filtered!$F$2:$F$461,$A12, Data_filtered!$D$2:$D$461,"eucalipto",Data_filtered!$J$2:$J$461,"&lt;&gt;Incompleto")=0, "-", SUMIFS(Data_filtered!$K$2:$K$461,Data_filtered!$A$2:$A$461,Z$1,Data_filtered!$F$2:$F$461,$A12, Data_filtered!$D$2:$D$461,"eucalipto",Data_filtered!$J$2:$J$461,"&lt;&gt;Incompleto"))</f>
        <v>-</v>
      </c>
      <c r="AA12" s="110" t="str">
        <f>IF(SUMIFS(Data_filtered!$K$2:$K$461,Data_filtered!$A$2:$A$461,Z$1,Data_filtered!$F$2:$F$461,$A12, Data_filtered!$D$2:$D$461,"mata",Data_filtered!$J$2:$J$461,"&lt;&gt;Incompleto")=0, "-", SUMIFS(Data_filtered!$K$2:$K$461,Data_filtered!$A$2:$A$461,Z$1,Data_filtered!$F$2:$F$461,$A12, Data_filtered!$D$2:$D$461,"mata",Data_filtered!$J$2:$J$461,"&lt;&gt;Incompleto"))
</f>
        <v>-</v>
      </c>
      <c r="AB12" s="109" t="str">
        <f>IF(SUMIFS(Data_filtered!$K$2:$K$461,Data_filtered!$A$2:$A$461,AB$1,Data_filtered!$F$2:$F$461,$A12, Data_filtered!$D$2:$D$461,"eucalipto",Data_filtered!$J$2:$J$461,"&lt;&gt;Incompleto")=0, "-", SUMIFS(Data_filtered!$K$2:$K$461,Data_filtered!$A$2:$A$461,AB$1,Data_filtered!$F$2:$F$461,$A12, Data_filtered!$D$2:$D$461,"eucalipto",Data_filtered!$J$2:$J$461,"&lt;&gt;Incompleto"))</f>
        <v>-</v>
      </c>
      <c r="AC12" s="110" t="str">
        <f>IF(SUMIFS(Data_filtered!$K$2:$K$461,Data_filtered!$A$2:$A$461,AB$1,Data_filtered!$F$2:$F$461,$A12, Data_filtered!$D$2:$D$461,"mata",Data_filtered!$J$2:$J$461,"&lt;&gt;Incompleto")=0, "-", SUMIFS(Data_filtered!$K$2:$K$461,Data_filtered!$A$2:$A$461,AB$1,Data_filtered!$F$2:$F$461,$A12, Data_filtered!$D$2:$D$461,"mata",Data_filtered!$J$2:$J$461,"&lt;&gt;Incompleto"))
</f>
        <v>-</v>
      </c>
      <c r="AD12" s="109" t="str">
        <f>IF(SUMIFS(Data_filtered!$K$2:$K$461,Data_filtered!$A$2:$A$461,AD$1,Data_filtered!$F$2:$F$461,$A12, Data_filtered!$D$2:$D$461,"eucalipto",Data_filtered!$J$2:$J$461,"&lt;&gt;Incompleto")=0, "-", SUMIFS(Data_filtered!$K$2:$K$461,Data_filtered!$A$2:$A$461,AD$1,Data_filtered!$F$2:$F$461,$A12, Data_filtered!$D$2:$D$461,"eucalipto",Data_filtered!$J$2:$J$461,"&lt;&gt;Incompleto"))</f>
        <v>-</v>
      </c>
      <c r="AE12" s="110" t="str">
        <f>IF(SUMIFS(Data_filtered!$K$2:$K$461,Data_filtered!$A$2:$A$461,AD$1,Data_filtered!$F$2:$F$461,$A12, Data_filtered!$D$2:$D$461,"mata",Data_filtered!$J$2:$J$461,"&lt;&gt;Incompleto")=0, "-", SUMIFS(Data_filtered!$K$2:$K$461,Data_filtered!$A$2:$A$461,AD$1,Data_filtered!$F$2:$F$461,$A12, Data_filtered!$D$2:$D$461,"mata",Data_filtered!$J$2:$J$461,"&lt;&gt;Incompleto"))
</f>
        <v>-</v>
      </c>
      <c r="AF12" s="109" t="str">
        <f>IF(SUMIFS(Data_filtered!$K$2:$K$461,Data_filtered!$A$2:$A$461,AF$1,Data_filtered!$F$2:$F$461,$A12, Data_filtered!$D$2:$D$461,"eucalipto",Data_filtered!$J$2:$J$461,"&lt;&gt;Incompleto")=0, "-", SUMIFS(Data_filtered!$K$2:$K$461,Data_filtered!$A$2:$A$461,AF$1,Data_filtered!$F$2:$F$461,$A12, Data_filtered!$D$2:$D$461,"eucalipto",Data_filtered!$J$2:$J$461,"&lt;&gt;Incompleto"))</f>
        <v>-</v>
      </c>
      <c r="AG12" s="110" t="str">
        <f>IF(SUMIFS(Data_filtered!$K$2:$K$461,Data_filtered!$A$2:$A$461,AF$1,Data_filtered!$F$2:$F$461,$A12, Data_filtered!$D$2:$D$461,"mata",Data_filtered!$J$2:$J$461,"&lt;&gt;Incompleto")=0, "-", SUMIFS(Data_filtered!$K$2:$K$461,Data_filtered!$A$2:$A$461,AF$1,Data_filtered!$F$2:$F$461,$A12, Data_filtered!$D$2:$D$461,"mata",Data_filtered!$J$2:$J$461,"&lt;&gt;Incompleto"))
</f>
        <v>-</v>
      </c>
      <c r="AH12" s="109" t="str">
        <f>IF(SUMIFS(Data_filtered!$K$2:$K$461,Data_filtered!$A$2:$A$461,AH$1,Data_filtered!$F$2:$F$461,$A12, Data_filtered!$D$2:$D$461,"eucalipto",Data_filtered!$J$2:$J$461,"&lt;&gt;Incompleto")=0, "-", SUMIFS(Data_filtered!$K$2:$K$461,Data_filtered!$A$2:$A$461,AH$1,Data_filtered!$F$2:$F$461,$A12, Data_filtered!$D$2:$D$461,"eucalipto",Data_filtered!$J$2:$J$461,"&lt;&gt;Incompleto"))</f>
        <v>-</v>
      </c>
      <c r="AI12" s="110">
        <f>IF(SUMIFS(Data_filtered!$K$2:$K$461,Data_filtered!$A$2:$A$461,AH$1,Data_filtered!$F$2:$F$461,$A12, Data_filtered!$D$2:$D$461,"mata",Data_filtered!$J$2:$J$461,"&lt;&gt;Incompleto")=0, "-", SUMIFS(Data_filtered!$K$2:$K$461,Data_filtered!$A$2:$A$461,AH$1,Data_filtered!$F$2:$F$461,$A12, Data_filtered!$D$2:$D$461,"mata",Data_filtered!$J$2:$J$461,"&lt;&gt;Incompleto"))
</f>
        <v>4105.014401</v>
      </c>
      <c r="AJ12" s="109" t="str">
        <f>IF(SUMIFS(Data_filtered!$K$2:$K$461,Data_filtered!$A$2:$A$461,AJ$1,Data_filtered!$F$2:$F$461,$A12, Data_filtered!$D$2:$D$461,"eucalipto",Data_filtered!$J$2:$J$461,"&lt;&gt;Incompleto")=0, "-", SUMIFS(Data_filtered!$K$2:$K$461,Data_filtered!$A$2:$A$461,AJ$1,Data_filtered!$F$2:$F$461,$A12, Data_filtered!$D$2:$D$461,"eucalipto",Data_filtered!$J$2:$J$461,"&lt;&gt;Incompleto"))</f>
        <v>-</v>
      </c>
      <c r="AK12" s="110" t="str">
        <f>IF(SUMIFS(Data_filtered!$K$2:$K$461,Data_filtered!$A$2:$A$461,AJ$1,Data_filtered!$F$2:$F$461,$A12, Data_filtered!$D$2:$D$461,"mata",Data_filtered!$J$2:$J$461,"&lt;&gt;Incompleto")=0, "-", SUMIFS(Data_filtered!$K$2:$K$461,Data_filtered!$A$2:$A$461,AJ$1,Data_filtered!$F$2:$F$461,$A12, Data_filtered!$D$2:$D$461,"mata",Data_filtered!$J$2:$J$461,"&lt;&gt;Incompleto"))
</f>
        <v>-</v>
      </c>
      <c r="AL12" s="109" t="str">
        <f>IF(SUMIFS(Data_filtered!$K$2:$K$461,Data_filtered!$A$2:$A$461,AL$1,Data_filtered!$F$2:$F$461,$A12, Data_filtered!$D$2:$D$461,"eucalipto",Data_filtered!$J$2:$J$461,"&lt;&gt;Incompleto")=0, "-", SUMIFS(Data_filtered!$K$2:$K$461,Data_filtered!$A$2:$A$461,AL$1,Data_filtered!$F$2:$F$461,$A12, Data_filtered!$D$2:$D$461,"eucalipto",Data_filtered!$J$2:$J$461,"&lt;&gt;Incompleto"))</f>
        <v>-</v>
      </c>
      <c r="AM12" s="110" t="str">
        <f>IF(SUMIFS(Data_filtered!$K$2:$K$461,Data_filtered!$A$2:$A$461,AL$1,Data_filtered!$F$2:$F$461,$A12, Data_filtered!$D$2:$D$461,"mata",Data_filtered!$J$2:$J$461,"&lt;&gt;Incompleto")=0, "-", SUMIFS(Data_filtered!$K$2:$K$461,Data_filtered!$A$2:$A$461,AL$1,Data_filtered!$F$2:$F$461,$A12, Data_filtered!$D$2:$D$461,"mata",Data_filtered!$J$2:$J$461,"&lt;&gt;Incompleto"))
</f>
        <v>-</v>
      </c>
      <c r="AN12" s="109" t="str">
        <f>IF(SUMIFS(Data_filtered!$K$2:$K$461,Data_filtered!$A$2:$A$461,AN$1,Data_filtered!$F$2:$F$461,$A12, Data_filtered!$D$2:$D$461,"eucalipto",Data_filtered!$J$2:$J$461,"&lt;&gt;Incompleto")=0, "-", SUMIFS(Data_filtered!$K$2:$K$461,Data_filtered!$A$2:$A$461,AN$1,Data_filtered!$F$2:$F$461,$A12, Data_filtered!$D$2:$D$461,"eucalipto",Data_filtered!$J$2:$J$461,"&lt;&gt;Incompleto"))</f>
        <v>-</v>
      </c>
      <c r="AO12" s="110" t="str">
        <f>IF(SUMIFS(Data_filtered!$K$2:$K$461,Data_filtered!$A$2:$A$461,AN$1,Data_filtered!$F$2:$F$461,$A12, Data_filtered!$D$2:$D$461,"mata",Data_filtered!$J$2:$J$461,"&lt;&gt;Incompleto")=0, "-", SUMIFS(Data_filtered!$K$2:$K$461,Data_filtered!$A$2:$A$461,AN$1,Data_filtered!$F$2:$F$461,$A12, Data_filtered!$D$2:$D$461,"mata",Data_filtered!$J$2:$J$461,"&lt;&gt;Incompleto"))
</f>
        <v>-</v>
      </c>
      <c r="AP12" s="109" t="str">
        <f>IF(SUMIFS(Data_filtered!$K$2:$K$461,Data_filtered!$A$2:$A$461,AP$1,Data_filtered!$F$2:$F$461,$A12, Data_filtered!$D$2:$D$461,"eucalipto",Data_filtered!$J$2:$J$461,"&lt;&gt;Incompleto")=0, "-", SUMIFS(Data_filtered!$K$2:$K$461,Data_filtered!$A$2:$A$461,AP$1,Data_filtered!$F$2:$F$461,$A12, Data_filtered!$D$2:$D$461,"eucalipto",Data_filtered!$J$2:$J$461,"&lt;&gt;Incompleto"))</f>
        <v>-</v>
      </c>
      <c r="AQ12" s="110" t="str">
        <f>IF(SUMIFS(Data_filtered!$K$2:$K$461,Data_filtered!$A$2:$A$461,AP$1,Data_filtered!$F$2:$F$461,$A12, Data_filtered!$D$2:$D$461,"mata",Data_filtered!$J$2:$J$461,"&lt;&gt;Incompleto")=0, "-", SUMIFS(Data_filtered!$K$2:$K$461,Data_filtered!$A$2:$A$461,AP$1,Data_filtered!$F$2:$F$461,$A12, Data_filtered!$D$2:$D$461,"mata",Data_filtered!$J$2:$J$461,"&lt;&gt;Incompleto"))
</f>
        <v>-</v>
      </c>
      <c r="AR12" s="109" t="str">
        <f>IF(SUMIFS(Data_filtered!$K$2:$K$461,Data_filtered!$A$2:$A$461,AR$1,Data_filtered!$F$2:$F$461,$A12, Data_filtered!$D$2:$D$461,"eucalipto",Data_filtered!$J$2:$J$461,"&lt;&gt;Incompleto")=0, "-", SUMIFS(Data_filtered!$K$2:$K$461,Data_filtered!$A$2:$A$461,AR$1,Data_filtered!$F$2:$F$461,$A12, Data_filtered!$D$2:$D$461,"eucalipto",Data_filtered!$J$2:$J$461,"&lt;&gt;Incompleto"))</f>
        <v>-</v>
      </c>
      <c r="AS12" s="110" t="str">
        <f>IF(SUMIFS(Data_filtered!$K$2:$K$461,Data_filtered!$A$2:$A$461,AR$1,Data_filtered!$F$2:$F$461,$A12, Data_filtered!$D$2:$D$461,"mata",Data_filtered!$J$2:$J$461,"&lt;&gt;Incompleto")=0, "-", SUMIFS(Data_filtered!$K$2:$K$461,Data_filtered!$A$2:$A$461,AR$1,Data_filtered!$F$2:$F$461,$A12, Data_filtered!$D$2:$D$461,"mata",Data_filtered!$J$2:$J$461,"&lt;&gt;Incompleto"))
</f>
        <v>-</v>
      </c>
    </row>
    <row r="13">
      <c r="A13" s="68" t="str">
        <f>IFERROR(__xludf.DUMMYFUNCTION("""COMPUTED_VALUE"""),"Formicidae")</f>
        <v>Formicidae</v>
      </c>
      <c r="B13" s="109" t="str">
        <f>IF(SUMIFS(Data_filtered!$K$2:$K$461,Data_filtered!$A$2:$A$461,B$1,Data_filtered!$F$2:$F$461,$A13, Data_filtered!$D$2:$D$461,"eucalipto",Data_filtered!$J$2:$J$461,"&lt;&gt;Incompleto")=0, "-", SUMIFS(Data_filtered!$K$2:$K$461,Data_filtered!$A$2:$A$461,B$1,Data_filtered!$F$2:$F$461,$A13, Data_filtered!$D$2:$D$461,"eucalipto",Data_filtered!$J$2:$J$461,"&lt;&gt;Incompleto"))</f>
        <v>-</v>
      </c>
      <c r="C13" s="110" t="str">
        <f>IF(SUMIFS(Data_filtered!$K$2:$K$461,Data_filtered!$A$2:$A$461,B$1,Data_filtered!$F$2:$F$461,$A13, Data_filtered!$D$2:$D$461,"mata",Data_filtered!$J$2:$J$461,"&lt;&gt;Incompleto")=0, "-", SUMIFS(Data_filtered!$K$2:$K$461,Data_filtered!$A$2:$A$461,B$1,Data_filtered!$F$2:$F$461,$A13, Data_filtered!$D$2:$D$461,"mata",Data_filtered!$J$2:$J$461,"&lt;&gt;Incompleto"))
</f>
        <v>-</v>
      </c>
      <c r="D13" s="109" t="str">
        <f>IF(SUMIFS(Data_filtered!$K$2:$K$461,Data_filtered!$A$2:$A$461,D$1,Data_filtered!$F$2:$F$461,$A13, Data_filtered!$D$2:$D$461,"eucalipto",Data_filtered!$J$2:$J$461,"&lt;&gt;Incompleto")=0, "-", SUMIFS(Data_filtered!$K$2:$K$461,Data_filtered!$A$2:$A$461,D$1,Data_filtered!$F$2:$F$461,$A13, Data_filtered!$D$2:$D$461,"eucalipto",Data_filtered!$J$2:$J$461,"&lt;&gt;Incompleto"))</f>
        <v>-</v>
      </c>
      <c r="E13" s="110" t="str">
        <f>IF(SUMIFS(Data_filtered!$K$2:$K$461,Data_filtered!$A$2:$A$461,D$1,Data_filtered!$F$2:$F$461,$A13, Data_filtered!$D$2:$D$461,"mata",Data_filtered!$J$2:$J$461,"&lt;&gt;Incompleto")=0, "-", SUMIFS(Data_filtered!$K$2:$K$461,Data_filtered!$A$2:$A$461,D$1,Data_filtered!$F$2:$F$461,$A13, Data_filtered!$D$2:$D$461,"mata",Data_filtered!$J$2:$J$461,"&lt;&gt;Incompleto"))
</f>
        <v>-</v>
      </c>
      <c r="F13" s="109" t="str">
        <f>IF(SUMIFS(Data_filtered!$K$2:$K$461,Data_filtered!$A$2:$A$461,F$1,Data_filtered!$F$2:$F$461,$A13, Data_filtered!$D$2:$D$461,"eucalipto",Data_filtered!$J$2:$J$461,"&lt;&gt;Incompleto")=0, "-", SUMIFS(Data_filtered!$K$2:$K$461,Data_filtered!$A$2:$A$461,F$1,Data_filtered!$F$2:$F$461,$A13, Data_filtered!$D$2:$D$461,"eucalipto",Data_filtered!$J$2:$J$461,"&lt;&gt;Incompleto"))</f>
        <v>-</v>
      </c>
      <c r="G13" s="110" t="str">
        <f>IF(SUMIFS(Data_filtered!$K$2:$K$461,Data_filtered!$A$2:$A$461,F$1,Data_filtered!$F$2:$F$461,$A13, Data_filtered!$D$2:$D$461,"mata",Data_filtered!$J$2:$J$461,"&lt;&gt;Incompleto")=0, "-", SUMIFS(Data_filtered!$K$2:$K$461,Data_filtered!$A$2:$A$461,F$1,Data_filtered!$F$2:$F$461,$A13, Data_filtered!$D$2:$D$461,"mata",Data_filtered!$J$2:$J$461,"&lt;&gt;Incompleto"))
</f>
        <v>-</v>
      </c>
      <c r="H13" s="109" t="str">
        <f>IF(SUMIFS(Data_filtered!$K$2:$K$461,Data_filtered!$A$2:$A$461,H$1,Data_filtered!$F$2:$F$461,$A13, Data_filtered!$D$2:$D$461,"eucalipto",Data_filtered!$J$2:$J$461,"&lt;&gt;Incompleto")=0, "-", SUMIFS(Data_filtered!$K$2:$K$461,Data_filtered!$A$2:$A$461,H$1,Data_filtered!$F$2:$F$461,$A13, Data_filtered!$D$2:$D$461,"eucalipto",Data_filtered!$J$2:$J$461,"&lt;&gt;Incompleto"))</f>
        <v>-</v>
      </c>
      <c r="I13" s="110" t="str">
        <f>IF(SUMIFS(Data_filtered!$K$2:$K$461,Data_filtered!$A$2:$A$461,H$1,Data_filtered!$F$2:$F$461,$A13, Data_filtered!$D$2:$D$461,"mata",Data_filtered!$J$2:$J$461,"&lt;&gt;Incompleto")=0, "-", SUMIFS(Data_filtered!$K$2:$K$461,Data_filtered!$A$2:$A$461,H$1,Data_filtered!$F$2:$F$461,$A13, Data_filtered!$D$2:$D$461,"mata",Data_filtered!$J$2:$J$461,"&lt;&gt;Incompleto"))
</f>
        <v>-</v>
      </c>
      <c r="J13" s="109">
        <f>IF(SUMIFS(Data_filtered!$K$2:$K$461,Data_filtered!$A$2:$A$461,J$1,Data_filtered!$F$2:$F$461,$A13, Data_filtered!$D$2:$D$461,"eucalipto",Data_filtered!$J$2:$J$461,"&lt;&gt;Incompleto")=0, "-", SUMIFS(Data_filtered!$K$2:$K$461,Data_filtered!$A$2:$A$461,J$1,Data_filtered!$F$2:$F$461,$A13, Data_filtered!$D$2:$D$461,"eucalipto",Data_filtered!$J$2:$J$461,"&lt;&gt;Incompleto"))</f>
        <v>756.076632</v>
      </c>
      <c r="K13" s="110">
        <f>IF(SUMIFS(Data_filtered!$K$2:$K$461,Data_filtered!$A$2:$A$461,J$1,Data_filtered!$F$2:$F$461,$A13, Data_filtered!$D$2:$D$461,"mata",Data_filtered!$J$2:$J$461,"&lt;&gt;Incompleto")=0, "-", SUMIFS(Data_filtered!$K$2:$K$461,Data_filtered!$A$2:$A$461,J$1,Data_filtered!$F$2:$F$461,$A13, Data_filtered!$D$2:$D$461,"mata",Data_filtered!$J$2:$J$461,"&lt;&gt;Incompleto"))
</f>
        <v>50.26548246</v>
      </c>
      <c r="L13" s="109" t="str">
        <f>IF(SUMIFS(Data_filtered!$K$2:$K$461,Data_filtered!$A$2:$A$461,L$1,Data_filtered!$F$2:$F$461,$A13, Data_filtered!$D$2:$D$461,"eucalipto",Data_filtered!$J$2:$J$461,"&lt;&gt;Incompleto")=0, "-", SUMIFS(Data_filtered!$K$2:$K$461,Data_filtered!$A$2:$A$461,L$1,Data_filtered!$F$2:$F$461,$A13, Data_filtered!$D$2:$D$461,"eucalipto",Data_filtered!$J$2:$J$461,"&lt;&gt;Incompleto"))</f>
        <v>-</v>
      </c>
      <c r="M13" s="110" t="str">
        <f>IF(SUMIFS(Data_filtered!$K$2:$K$461,Data_filtered!$A$2:$A$461,L$1,Data_filtered!$F$2:$F$461,$A13, Data_filtered!$D$2:$D$461,"mata",Data_filtered!$J$2:$J$461,"&lt;&gt;Incompleto")=0, "-", SUMIFS(Data_filtered!$K$2:$K$461,Data_filtered!$A$2:$A$461,L$1,Data_filtered!$F$2:$F$461,$A13, Data_filtered!$D$2:$D$461,"mata",Data_filtered!$J$2:$J$461,"&lt;&gt;Incompleto"))
</f>
        <v>-</v>
      </c>
      <c r="N13" s="109" t="str">
        <f>IF(SUMIFS(Data_filtered!$K$2:$K$461,Data_filtered!$A$2:$A$461,N$1,Data_filtered!$F$2:$F$461,$A13, Data_filtered!$D$2:$D$461,"eucalipto",Data_filtered!$J$2:$J$461,"&lt;&gt;Incompleto")=0, "-", SUMIFS(Data_filtered!$K$2:$K$461,Data_filtered!$A$2:$A$461,N$1,Data_filtered!$F$2:$F$461,$A13, Data_filtered!$D$2:$D$461,"eucalipto",Data_filtered!$J$2:$J$461,"&lt;&gt;Incompleto"))</f>
        <v>-</v>
      </c>
      <c r="O13" s="110" t="str">
        <f>IF(SUMIFS(Data_filtered!$K$2:$K$461,Data_filtered!$A$2:$A$461,N$1,Data_filtered!$F$2:$F$461,$A13, Data_filtered!$D$2:$D$461,"mata",Data_filtered!$J$2:$J$461,"&lt;&gt;Incompleto")=0, "-", SUMIFS(Data_filtered!$K$2:$K$461,Data_filtered!$A$2:$A$461,N$1,Data_filtered!$F$2:$F$461,$A13, Data_filtered!$D$2:$D$461,"mata",Data_filtered!$J$2:$J$461,"&lt;&gt;Incompleto"))
</f>
        <v>-</v>
      </c>
      <c r="P13" s="109" t="str">
        <f>IF(SUMIFS(Data_filtered!$K$2:$K$461,Data_filtered!$A$2:$A$461,P$1,Data_filtered!$F$2:$F$461,$A13, Data_filtered!$D$2:$D$461,"eucalipto",Data_filtered!$J$2:$J$461,"&lt;&gt;Incompleto")=0, "-", SUMIFS(Data_filtered!$K$2:$K$461,Data_filtered!$A$2:$A$461,P$1,Data_filtered!$F$2:$F$461,$A13, Data_filtered!$D$2:$D$461,"eucalipto",Data_filtered!$J$2:$J$461,"&lt;&gt;Incompleto"))</f>
        <v>-</v>
      </c>
      <c r="Q13" s="110" t="str">
        <f>IF(SUMIFS(Data_filtered!$K$2:$K$461,Data_filtered!$A$2:$A$461,P$1,Data_filtered!$F$2:$F$461,$A13, Data_filtered!$D$2:$D$461,"mata",Data_filtered!$J$2:$J$461,"&lt;&gt;Incompleto")=0, "-", SUMIFS(Data_filtered!$K$2:$K$461,Data_filtered!$A$2:$A$461,P$1,Data_filtered!$F$2:$F$461,$A13, Data_filtered!$D$2:$D$461,"mata",Data_filtered!$J$2:$J$461,"&lt;&gt;Incompleto"))
</f>
        <v>-</v>
      </c>
      <c r="R13" s="109" t="str">
        <f>IF(SUMIFS(Data_filtered!$K$2:$K$461,Data_filtered!$A$2:$A$461,R$1,Data_filtered!$F$2:$F$461,$A13, Data_filtered!$D$2:$D$461,"eucalipto",Data_filtered!$J$2:$J$461,"&lt;&gt;Incompleto")=0, "-", SUMIFS(Data_filtered!$K$2:$K$461,Data_filtered!$A$2:$A$461,R$1,Data_filtered!$F$2:$F$461,$A13, Data_filtered!$D$2:$D$461,"eucalipto",Data_filtered!$J$2:$J$461,"&lt;&gt;Incompleto"))</f>
        <v>-</v>
      </c>
      <c r="S13" s="110">
        <f>IF(SUMIFS(Data_filtered!$K$2:$K$461,Data_filtered!$A$2:$A$461,R$1,Data_filtered!$F$2:$F$461,$A13, Data_filtered!$D$2:$D$461,"mata",Data_filtered!$J$2:$J$461,"&lt;&gt;Incompleto")=0, "-", SUMIFS(Data_filtered!$K$2:$K$461,Data_filtered!$A$2:$A$461,R$1,Data_filtered!$F$2:$F$461,$A13, Data_filtered!$D$2:$D$461,"mata",Data_filtered!$J$2:$J$461,"&lt;&gt;Incompleto"))
</f>
        <v>83.7758041</v>
      </c>
      <c r="T13" s="109" t="str">
        <f>IF(SUMIFS(Data_filtered!$K$2:$K$461,Data_filtered!$A$2:$A$461,T$1,Data_filtered!$F$2:$F$461,$A13, Data_filtered!$D$2:$D$461,"eucalipto",Data_filtered!$J$2:$J$461,"&lt;&gt;Incompleto")=0, "-", SUMIFS(Data_filtered!$K$2:$K$461,Data_filtered!$A$2:$A$461,T$1,Data_filtered!$F$2:$F$461,$A13, Data_filtered!$D$2:$D$461,"eucalipto",Data_filtered!$J$2:$J$461,"&lt;&gt;Incompleto"))</f>
        <v>-</v>
      </c>
      <c r="U13" s="110" t="str">
        <f>IF(SUMIFS(Data_filtered!$K$2:$K$461,Data_filtered!$A$2:$A$461,T$1,Data_filtered!$F$2:$F$461,$A13, Data_filtered!$D$2:$D$461,"mata",Data_filtered!$J$2:$J$461,"&lt;&gt;Incompleto")=0, "-", SUMIFS(Data_filtered!$K$2:$K$461,Data_filtered!$A$2:$A$461,T$1,Data_filtered!$F$2:$F$461,$A13, Data_filtered!$D$2:$D$461,"mata",Data_filtered!$J$2:$J$461,"&lt;&gt;Incompleto"))
</f>
        <v>-</v>
      </c>
      <c r="V13" s="109">
        <f>IF(SUMIFS(Data_filtered!$K$2:$K$461,Data_filtered!$A$2:$A$461,V$1,Data_filtered!$F$2:$F$461,$A13, Data_filtered!$D$2:$D$461,"eucalipto",Data_filtered!$J$2:$J$461,"&lt;&gt;Incompleto")=0, "-", SUMIFS(Data_filtered!$K$2:$K$461,Data_filtered!$A$2:$A$461,V$1,Data_filtered!$F$2:$F$461,$A13, Data_filtered!$D$2:$D$461,"eucalipto",Data_filtered!$J$2:$J$461,"&lt;&gt;Incompleto"))</f>
        <v>4.188790205</v>
      </c>
      <c r="W13" s="110" t="str">
        <f>IF(SUMIFS(Data_filtered!$K$2:$K$461,Data_filtered!$A$2:$A$461,V$1,Data_filtered!$F$2:$F$461,$A13, Data_filtered!$D$2:$D$461,"mata",Data_filtered!$J$2:$J$461,"&lt;&gt;Incompleto")=0, "-", SUMIFS(Data_filtered!$K$2:$K$461,Data_filtered!$A$2:$A$461,V$1,Data_filtered!$F$2:$F$461,$A13, Data_filtered!$D$2:$D$461,"mata",Data_filtered!$J$2:$J$461,"&lt;&gt;Incompleto"))
</f>
        <v>-</v>
      </c>
      <c r="X13" s="109" t="str">
        <f>IF(SUMIFS(Data_filtered!$K$2:$K$461,Data_filtered!$A$2:$A$461,X$1,Data_filtered!$F$2:$F$461,$A13, Data_filtered!$D$2:$D$461,"eucalipto",Data_filtered!$J$2:$J$461,"&lt;&gt;Incompleto")=0, "-", SUMIFS(Data_filtered!$K$2:$K$461,Data_filtered!$A$2:$A$461,X$1,Data_filtered!$F$2:$F$461,$A13, Data_filtered!$D$2:$D$461,"eucalipto",Data_filtered!$J$2:$J$461,"&lt;&gt;Incompleto"))</f>
        <v>-</v>
      </c>
      <c r="Y13" s="110">
        <f>IF(SUMIFS(Data_filtered!$K$2:$K$461,Data_filtered!$A$2:$A$461,X$1,Data_filtered!$F$2:$F$461,$A13, Data_filtered!$D$2:$D$461,"mata",Data_filtered!$J$2:$J$461,"&lt;&gt;Incompleto")=0, "-", SUMIFS(Data_filtered!$K$2:$K$461,Data_filtered!$A$2:$A$461,X$1,Data_filtered!$F$2:$F$461,$A13, Data_filtered!$D$2:$D$461,"mata",Data_filtered!$J$2:$J$461,"&lt;&gt;Incompleto"))
</f>
        <v>3.141592654</v>
      </c>
      <c r="Z13" s="109" t="str">
        <f>IF(SUMIFS(Data_filtered!$K$2:$K$461,Data_filtered!$A$2:$A$461,Z$1,Data_filtered!$F$2:$F$461,$A13, Data_filtered!$D$2:$D$461,"eucalipto",Data_filtered!$J$2:$J$461,"&lt;&gt;Incompleto")=0, "-", SUMIFS(Data_filtered!$K$2:$K$461,Data_filtered!$A$2:$A$461,Z$1,Data_filtered!$F$2:$F$461,$A13, Data_filtered!$D$2:$D$461,"eucalipto",Data_filtered!$J$2:$J$461,"&lt;&gt;Incompleto"))</f>
        <v>-</v>
      </c>
      <c r="AA13" s="110" t="str">
        <f>IF(SUMIFS(Data_filtered!$K$2:$K$461,Data_filtered!$A$2:$A$461,Z$1,Data_filtered!$F$2:$F$461,$A13, Data_filtered!$D$2:$D$461,"mata",Data_filtered!$J$2:$J$461,"&lt;&gt;Incompleto")=0, "-", SUMIFS(Data_filtered!$K$2:$K$461,Data_filtered!$A$2:$A$461,Z$1,Data_filtered!$F$2:$F$461,$A13, Data_filtered!$D$2:$D$461,"mata",Data_filtered!$J$2:$J$461,"&lt;&gt;Incompleto"))
</f>
        <v>-</v>
      </c>
      <c r="AB13" s="109" t="str">
        <f>IF(SUMIFS(Data_filtered!$K$2:$K$461,Data_filtered!$A$2:$A$461,AB$1,Data_filtered!$F$2:$F$461,$A13, Data_filtered!$D$2:$D$461,"eucalipto",Data_filtered!$J$2:$J$461,"&lt;&gt;Incompleto")=0, "-", SUMIFS(Data_filtered!$K$2:$K$461,Data_filtered!$A$2:$A$461,AB$1,Data_filtered!$F$2:$F$461,$A13, Data_filtered!$D$2:$D$461,"eucalipto",Data_filtered!$J$2:$J$461,"&lt;&gt;Incompleto"))</f>
        <v>-</v>
      </c>
      <c r="AC13" s="110" t="str">
        <f>IF(SUMIFS(Data_filtered!$K$2:$K$461,Data_filtered!$A$2:$A$461,AB$1,Data_filtered!$F$2:$F$461,$A13, Data_filtered!$D$2:$D$461,"mata",Data_filtered!$J$2:$J$461,"&lt;&gt;Incompleto")=0, "-", SUMIFS(Data_filtered!$K$2:$K$461,Data_filtered!$A$2:$A$461,AB$1,Data_filtered!$F$2:$F$461,$A13, Data_filtered!$D$2:$D$461,"mata",Data_filtered!$J$2:$J$461,"&lt;&gt;Incompleto"))
</f>
        <v>-</v>
      </c>
      <c r="AD13" s="109" t="str">
        <f>IF(SUMIFS(Data_filtered!$K$2:$K$461,Data_filtered!$A$2:$A$461,AD$1,Data_filtered!$F$2:$F$461,$A13, Data_filtered!$D$2:$D$461,"eucalipto",Data_filtered!$J$2:$J$461,"&lt;&gt;Incompleto")=0, "-", SUMIFS(Data_filtered!$K$2:$K$461,Data_filtered!$A$2:$A$461,AD$1,Data_filtered!$F$2:$F$461,$A13, Data_filtered!$D$2:$D$461,"eucalipto",Data_filtered!$J$2:$J$461,"&lt;&gt;Incompleto"))</f>
        <v>-</v>
      </c>
      <c r="AE13" s="110">
        <f>IF(SUMIFS(Data_filtered!$K$2:$K$461,Data_filtered!$A$2:$A$461,AD$1,Data_filtered!$F$2:$F$461,$A13, Data_filtered!$D$2:$D$461,"mata",Data_filtered!$J$2:$J$461,"&lt;&gt;Incompleto")=0, "-", SUMIFS(Data_filtered!$K$2:$K$461,Data_filtered!$A$2:$A$461,AD$1,Data_filtered!$F$2:$F$461,$A13, Data_filtered!$D$2:$D$461,"mata",Data_filtered!$J$2:$J$461,"&lt;&gt;Incompleto"))
</f>
        <v>16.75516082</v>
      </c>
      <c r="AF13" s="109">
        <f>IF(SUMIFS(Data_filtered!$K$2:$K$461,Data_filtered!$A$2:$A$461,AF$1,Data_filtered!$F$2:$F$461,$A13, Data_filtered!$D$2:$D$461,"eucalipto",Data_filtered!$J$2:$J$461,"&lt;&gt;Incompleto")=0, "-", SUMIFS(Data_filtered!$K$2:$K$461,Data_filtered!$A$2:$A$461,AF$1,Data_filtered!$F$2:$F$461,$A13, Data_filtered!$D$2:$D$461,"eucalipto",Data_filtered!$J$2:$J$461,"&lt;&gt;Incompleto"))</f>
        <v>184.306769</v>
      </c>
      <c r="AG13" s="110">
        <f>IF(SUMIFS(Data_filtered!$K$2:$K$461,Data_filtered!$A$2:$A$461,AF$1,Data_filtered!$F$2:$F$461,$A13, Data_filtered!$D$2:$D$461,"mata",Data_filtered!$J$2:$J$461,"&lt;&gt;Incompleto")=0, "-", SUMIFS(Data_filtered!$K$2:$K$461,Data_filtered!$A$2:$A$461,AF$1,Data_filtered!$F$2:$F$461,$A13, Data_filtered!$D$2:$D$461,"mata",Data_filtered!$J$2:$J$461,"&lt;&gt;Incompleto"))
</f>
        <v>258.6577951</v>
      </c>
      <c r="AH13" s="109" t="str">
        <f>IF(SUMIFS(Data_filtered!$K$2:$K$461,Data_filtered!$A$2:$A$461,AH$1,Data_filtered!$F$2:$F$461,$A13, Data_filtered!$D$2:$D$461,"eucalipto",Data_filtered!$J$2:$J$461,"&lt;&gt;Incompleto")=0, "-", SUMIFS(Data_filtered!$K$2:$K$461,Data_filtered!$A$2:$A$461,AH$1,Data_filtered!$F$2:$F$461,$A13, Data_filtered!$D$2:$D$461,"eucalipto",Data_filtered!$J$2:$J$461,"&lt;&gt;Incompleto"))</f>
        <v>-</v>
      </c>
      <c r="AI13" s="110" t="str">
        <f>IF(SUMIFS(Data_filtered!$K$2:$K$461,Data_filtered!$A$2:$A$461,AH$1,Data_filtered!$F$2:$F$461,$A13, Data_filtered!$D$2:$D$461,"mata",Data_filtered!$J$2:$J$461,"&lt;&gt;Incompleto")=0, "-", SUMIFS(Data_filtered!$K$2:$K$461,Data_filtered!$A$2:$A$461,AH$1,Data_filtered!$F$2:$F$461,$A13, Data_filtered!$D$2:$D$461,"mata",Data_filtered!$J$2:$J$461,"&lt;&gt;Incompleto"))
</f>
        <v>-</v>
      </c>
      <c r="AJ13" s="109" t="str">
        <f>IF(SUMIFS(Data_filtered!$K$2:$K$461,Data_filtered!$A$2:$A$461,AJ$1,Data_filtered!$F$2:$F$461,$A13, Data_filtered!$D$2:$D$461,"eucalipto",Data_filtered!$J$2:$J$461,"&lt;&gt;Incompleto")=0, "-", SUMIFS(Data_filtered!$K$2:$K$461,Data_filtered!$A$2:$A$461,AJ$1,Data_filtered!$F$2:$F$461,$A13, Data_filtered!$D$2:$D$461,"eucalipto",Data_filtered!$J$2:$J$461,"&lt;&gt;Incompleto"))</f>
        <v>-</v>
      </c>
      <c r="AK13" s="110" t="str">
        <f>IF(SUMIFS(Data_filtered!$K$2:$K$461,Data_filtered!$A$2:$A$461,AJ$1,Data_filtered!$F$2:$F$461,$A13, Data_filtered!$D$2:$D$461,"mata",Data_filtered!$J$2:$J$461,"&lt;&gt;Incompleto")=0, "-", SUMIFS(Data_filtered!$K$2:$K$461,Data_filtered!$A$2:$A$461,AJ$1,Data_filtered!$F$2:$F$461,$A13, Data_filtered!$D$2:$D$461,"mata",Data_filtered!$J$2:$J$461,"&lt;&gt;Incompleto"))
</f>
        <v>-</v>
      </c>
      <c r="AL13" s="109" t="str">
        <f>IF(SUMIFS(Data_filtered!$K$2:$K$461,Data_filtered!$A$2:$A$461,AL$1,Data_filtered!$F$2:$F$461,$A13, Data_filtered!$D$2:$D$461,"eucalipto",Data_filtered!$J$2:$J$461,"&lt;&gt;Incompleto")=0, "-", SUMIFS(Data_filtered!$K$2:$K$461,Data_filtered!$A$2:$A$461,AL$1,Data_filtered!$F$2:$F$461,$A13, Data_filtered!$D$2:$D$461,"eucalipto",Data_filtered!$J$2:$J$461,"&lt;&gt;Incompleto"))</f>
        <v>-</v>
      </c>
      <c r="AM13" s="110">
        <f>IF(SUMIFS(Data_filtered!$K$2:$K$461,Data_filtered!$A$2:$A$461,AL$1,Data_filtered!$F$2:$F$461,$A13, Data_filtered!$D$2:$D$461,"mata",Data_filtered!$J$2:$J$461,"&lt;&gt;Incompleto")=0, "-", SUMIFS(Data_filtered!$K$2:$K$461,Data_filtered!$A$2:$A$461,AL$1,Data_filtered!$F$2:$F$461,$A13, Data_filtered!$D$2:$D$461,"mata",Data_filtered!$J$2:$J$461,"&lt;&gt;Incompleto"))
</f>
        <v>4117.580771</v>
      </c>
      <c r="AN13" s="109" t="str">
        <f>IF(SUMIFS(Data_filtered!$K$2:$K$461,Data_filtered!$A$2:$A$461,AN$1,Data_filtered!$F$2:$F$461,$A13, Data_filtered!$D$2:$D$461,"eucalipto",Data_filtered!$J$2:$J$461,"&lt;&gt;Incompleto")=0, "-", SUMIFS(Data_filtered!$K$2:$K$461,Data_filtered!$A$2:$A$461,AN$1,Data_filtered!$F$2:$F$461,$A13, Data_filtered!$D$2:$D$461,"eucalipto",Data_filtered!$J$2:$J$461,"&lt;&gt;Incompleto"))</f>
        <v>-</v>
      </c>
      <c r="AO13" s="110">
        <f>IF(SUMIFS(Data_filtered!$K$2:$K$461,Data_filtered!$A$2:$A$461,AN$1,Data_filtered!$F$2:$F$461,$A13, Data_filtered!$D$2:$D$461,"mata",Data_filtered!$J$2:$J$461,"&lt;&gt;Incompleto")=0, "-", SUMIFS(Data_filtered!$K$2:$K$461,Data_filtered!$A$2:$A$461,AN$1,Data_filtered!$F$2:$F$461,$A13, Data_filtered!$D$2:$D$461,"mata",Data_filtered!$J$2:$J$461,"&lt;&gt;Incompleto"))
</f>
        <v>2416.931948</v>
      </c>
      <c r="AP13" s="109" t="str">
        <f>IF(SUMIFS(Data_filtered!$K$2:$K$461,Data_filtered!$A$2:$A$461,AP$1,Data_filtered!$F$2:$F$461,$A13, Data_filtered!$D$2:$D$461,"eucalipto",Data_filtered!$J$2:$J$461,"&lt;&gt;Incompleto")=0, "-", SUMIFS(Data_filtered!$K$2:$K$461,Data_filtered!$A$2:$A$461,AP$1,Data_filtered!$F$2:$F$461,$A13, Data_filtered!$D$2:$D$461,"eucalipto",Data_filtered!$J$2:$J$461,"&lt;&gt;Incompleto"))</f>
        <v>-</v>
      </c>
      <c r="AQ13" s="110" t="str">
        <f>IF(SUMIFS(Data_filtered!$K$2:$K$461,Data_filtered!$A$2:$A$461,AP$1,Data_filtered!$F$2:$F$461,$A13, Data_filtered!$D$2:$D$461,"mata",Data_filtered!$J$2:$J$461,"&lt;&gt;Incompleto")=0, "-", SUMIFS(Data_filtered!$K$2:$K$461,Data_filtered!$A$2:$A$461,AP$1,Data_filtered!$F$2:$F$461,$A13, Data_filtered!$D$2:$D$461,"mata",Data_filtered!$J$2:$J$461,"&lt;&gt;Incompleto"))
</f>
        <v>-</v>
      </c>
      <c r="AR13" s="109" t="str">
        <f>IF(SUMIFS(Data_filtered!$K$2:$K$461,Data_filtered!$A$2:$A$461,AR$1,Data_filtered!$F$2:$F$461,$A13, Data_filtered!$D$2:$D$461,"eucalipto",Data_filtered!$J$2:$J$461,"&lt;&gt;Incompleto")=0, "-", SUMIFS(Data_filtered!$K$2:$K$461,Data_filtered!$A$2:$A$461,AR$1,Data_filtered!$F$2:$F$461,$A13, Data_filtered!$D$2:$D$461,"eucalipto",Data_filtered!$J$2:$J$461,"&lt;&gt;Incompleto"))</f>
        <v>-</v>
      </c>
      <c r="AS13" s="110" t="str">
        <f>IF(SUMIFS(Data_filtered!$K$2:$K$461,Data_filtered!$A$2:$A$461,AR$1,Data_filtered!$F$2:$F$461,$A13, Data_filtered!$D$2:$D$461,"mata",Data_filtered!$J$2:$J$461,"&lt;&gt;Incompleto")=0, "-", SUMIFS(Data_filtered!$K$2:$K$461,Data_filtered!$A$2:$A$461,AR$1,Data_filtered!$F$2:$F$461,$A13, Data_filtered!$D$2:$D$461,"mata",Data_filtered!$J$2:$J$461,"&lt;&gt;Incompleto"))
</f>
        <v>-</v>
      </c>
    </row>
    <row r="14">
      <c r="A14" s="68" t="str">
        <f>IFERROR(__xludf.DUMMYFUNCTION("""COMPUTED_VALUE"""),"Hemiptera")</f>
        <v>Hemiptera</v>
      </c>
      <c r="B14" s="109" t="str">
        <f>IF(SUMIFS(Data_filtered!$K$2:$K$461,Data_filtered!$A$2:$A$461,B$1,Data_filtered!$F$2:$F$461,$A14, Data_filtered!$D$2:$D$461,"eucalipto",Data_filtered!$J$2:$J$461,"&lt;&gt;Incompleto")=0, "-", SUMIFS(Data_filtered!$K$2:$K$461,Data_filtered!$A$2:$A$461,B$1,Data_filtered!$F$2:$F$461,$A14, Data_filtered!$D$2:$D$461,"eucalipto",Data_filtered!$J$2:$J$461,"&lt;&gt;Incompleto"))</f>
        <v>-</v>
      </c>
      <c r="C14" s="110" t="str">
        <f>IF(SUMIFS(Data_filtered!$K$2:$K$461,Data_filtered!$A$2:$A$461,B$1,Data_filtered!$F$2:$F$461,$A14, Data_filtered!$D$2:$D$461,"mata",Data_filtered!$J$2:$J$461,"&lt;&gt;Incompleto")=0, "-", SUMIFS(Data_filtered!$K$2:$K$461,Data_filtered!$A$2:$A$461,B$1,Data_filtered!$F$2:$F$461,$A14, Data_filtered!$D$2:$D$461,"mata",Data_filtered!$J$2:$J$461,"&lt;&gt;Incompleto"))
</f>
        <v>-</v>
      </c>
      <c r="D14" s="109" t="str">
        <f>IF(SUMIFS(Data_filtered!$K$2:$K$461,Data_filtered!$A$2:$A$461,D$1,Data_filtered!$F$2:$F$461,$A14, Data_filtered!$D$2:$D$461,"eucalipto",Data_filtered!$J$2:$J$461,"&lt;&gt;Incompleto")=0, "-", SUMIFS(Data_filtered!$K$2:$K$461,Data_filtered!$A$2:$A$461,D$1,Data_filtered!$F$2:$F$461,$A14, Data_filtered!$D$2:$D$461,"eucalipto",Data_filtered!$J$2:$J$461,"&lt;&gt;Incompleto"))</f>
        <v>-</v>
      </c>
      <c r="E14" s="110" t="str">
        <f>IF(SUMIFS(Data_filtered!$K$2:$K$461,Data_filtered!$A$2:$A$461,D$1,Data_filtered!$F$2:$F$461,$A14, Data_filtered!$D$2:$D$461,"mata",Data_filtered!$J$2:$J$461,"&lt;&gt;Incompleto")=0, "-", SUMIFS(Data_filtered!$K$2:$K$461,Data_filtered!$A$2:$A$461,D$1,Data_filtered!$F$2:$F$461,$A14, Data_filtered!$D$2:$D$461,"mata",Data_filtered!$J$2:$J$461,"&lt;&gt;Incompleto"))
</f>
        <v>-</v>
      </c>
      <c r="F14" s="109" t="str">
        <f>IF(SUMIFS(Data_filtered!$K$2:$K$461,Data_filtered!$A$2:$A$461,F$1,Data_filtered!$F$2:$F$461,$A14, Data_filtered!$D$2:$D$461,"eucalipto",Data_filtered!$J$2:$J$461,"&lt;&gt;Incompleto")=0, "-", SUMIFS(Data_filtered!$K$2:$K$461,Data_filtered!$A$2:$A$461,F$1,Data_filtered!$F$2:$F$461,$A14, Data_filtered!$D$2:$D$461,"eucalipto",Data_filtered!$J$2:$J$461,"&lt;&gt;Incompleto"))</f>
        <v>-</v>
      </c>
      <c r="G14" s="110" t="str">
        <f>IF(SUMIFS(Data_filtered!$K$2:$K$461,Data_filtered!$A$2:$A$461,F$1,Data_filtered!$F$2:$F$461,$A14, Data_filtered!$D$2:$D$461,"mata",Data_filtered!$J$2:$J$461,"&lt;&gt;Incompleto")=0, "-", SUMIFS(Data_filtered!$K$2:$K$461,Data_filtered!$A$2:$A$461,F$1,Data_filtered!$F$2:$F$461,$A14, Data_filtered!$D$2:$D$461,"mata",Data_filtered!$J$2:$J$461,"&lt;&gt;Incompleto"))
</f>
        <v>-</v>
      </c>
      <c r="H14" s="109" t="str">
        <f>IF(SUMIFS(Data_filtered!$K$2:$K$461,Data_filtered!$A$2:$A$461,H$1,Data_filtered!$F$2:$F$461,$A14, Data_filtered!$D$2:$D$461,"eucalipto",Data_filtered!$J$2:$J$461,"&lt;&gt;Incompleto")=0, "-", SUMIFS(Data_filtered!$K$2:$K$461,Data_filtered!$A$2:$A$461,H$1,Data_filtered!$F$2:$F$461,$A14, Data_filtered!$D$2:$D$461,"eucalipto",Data_filtered!$J$2:$J$461,"&lt;&gt;Incompleto"))</f>
        <v>-</v>
      </c>
      <c r="I14" s="110" t="str">
        <f>IF(SUMIFS(Data_filtered!$K$2:$K$461,Data_filtered!$A$2:$A$461,H$1,Data_filtered!$F$2:$F$461,$A14, Data_filtered!$D$2:$D$461,"mata",Data_filtered!$J$2:$J$461,"&lt;&gt;Incompleto")=0, "-", SUMIFS(Data_filtered!$K$2:$K$461,Data_filtered!$A$2:$A$461,H$1,Data_filtered!$F$2:$F$461,$A14, Data_filtered!$D$2:$D$461,"mata",Data_filtered!$J$2:$J$461,"&lt;&gt;Incompleto"))
</f>
        <v>-</v>
      </c>
      <c r="J14" s="109" t="str">
        <f>IF(SUMIFS(Data_filtered!$K$2:$K$461,Data_filtered!$A$2:$A$461,J$1,Data_filtered!$F$2:$F$461,$A14, Data_filtered!$D$2:$D$461,"eucalipto",Data_filtered!$J$2:$J$461,"&lt;&gt;Incompleto")=0, "-", SUMIFS(Data_filtered!$K$2:$K$461,Data_filtered!$A$2:$A$461,J$1,Data_filtered!$F$2:$F$461,$A14, Data_filtered!$D$2:$D$461,"eucalipto",Data_filtered!$J$2:$J$461,"&lt;&gt;Incompleto"))</f>
        <v>-</v>
      </c>
      <c r="K14" s="110" t="str">
        <f>IF(SUMIFS(Data_filtered!$K$2:$K$461,Data_filtered!$A$2:$A$461,J$1,Data_filtered!$F$2:$F$461,$A14, Data_filtered!$D$2:$D$461,"mata",Data_filtered!$J$2:$J$461,"&lt;&gt;Incompleto")=0, "-", SUMIFS(Data_filtered!$K$2:$K$461,Data_filtered!$A$2:$A$461,J$1,Data_filtered!$F$2:$F$461,$A14, Data_filtered!$D$2:$D$461,"mata",Data_filtered!$J$2:$J$461,"&lt;&gt;Incompleto"))
</f>
        <v>-</v>
      </c>
      <c r="L14" s="109" t="str">
        <f>IF(SUMIFS(Data_filtered!$K$2:$K$461,Data_filtered!$A$2:$A$461,L$1,Data_filtered!$F$2:$F$461,$A14, Data_filtered!$D$2:$D$461,"eucalipto",Data_filtered!$J$2:$J$461,"&lt;&gt;Incompleto")=0, "-", SUMIFS(Data_filtered!$K$2:$K$461,Data_filtered!$A$2:$A$461,L$1,Data_filtered!$F$2:$F$461,$A14, Data_filtered!$D$2:$D$461,"eucalipto",Data_filtered!$J$2:$J$461,"&lt;&gt;Incompleto"))</f>
        <v>-</v>
      </c>
      <c r="M14" s="110" t="str">
        <f>IF(SUMIFS(Data_filtered!$K$2:$K$461,Data_filtered!$A$2:$A$461,L$1,Data_filtered!$F$2:$F$461,$A14, Data_filtered!$D$2:$D$461,"mata",Data_filtered!$J$2:$J$461,"&lt;&gt;Incompleto")=0, "-", SUMIFS(Data_filtered!$K$2:$K$461,Data_filtered!$A$2:$A$461,L$1,Data_filtered!$F$2:$F$461,$A14, Data_filtered!$D$2:$D$461,"mata",Data_filtered!$J$2:$J$461,"&lt;&gt;Incompleto"))
</f>
        <v>-</v>
      </c>
      <c r="N14" s="109" t="str">
        <f>IF(SUMIFS(Data_filtered!$K$2:$K$461,Data_filtered!$A$2:$A$461,N$1,Data_filtered!$F$2:$F$461,$A14, Data_filtered!$D$2:$D$461,"eucalipto",Data_filtered!$J$2:$J$461,"&lt;&gt;Incompleto")=0, "-", SUMIFS(Data_filtered!$K$2:$K$461,Data_filtered!$A$2:$A$461,N$1,Data_filtered!$F$2:$F$461,$A14, Data_filtered!$D$2:$D$461,"eucalipto",Data_filtered!$J$2:$J$461,"&lt;&gt;Incompleto"))</f>
        <v>-</v>
      </c>
      <c r="O14" s="110" t="str">
        <f>IF(SUMIFS(Data_filtered!$K$2:$K$461,Data_filtered!$A$2:$A$461,N$1,Data_filtered!$F$2:$F$461,$A14, Data_filtered!$D$2:$D$461,"mata",Data_filtered!$J$2:$J$461,"&lt;&gt;Incompleto")=0, "-", SUMIFS(Data_filtered!$K$2:$K$461,Data_filtered!$A$2:$A$461,N$1,Data_filtered!$F$2:$F$461,$A14, Data_filtered!$D$2:$D$461,"mata",Data_filtered!$J$2:$J$461,"&lt;&gt;Incompleto"))
</f>
        <v>-</v>
      </c>
      <c r="P14" s="109" t="str">
        <f>IF(SUMIFS(Data_filtered!$K$2:$K$461,Data_filtered!$A$2:$A$461,P$1,Data_filtered!$F$2:$F$461,$A14, Data_filtered!$D$2:$D$461,"eucalipto",Data_filtered!$J$2:$J$461,"&lt;&gt;Incompleto")=0, "-", SUMIFS(Data_filtered!$K$2:$K$461,Data_filtered!$A$2:$A$461,P$1,Data_filtered!$F$2:$F$461,$A14, Data_filtered!$D$2:$D$461,"eucalipto",Data_filtered!$J$2:$J$461,"&lt;&gt;Incompleto"))</f>
        <v>-</v>
      </c>
      <c r="Q14" s="110" t="str">
        <f>IF(SUMIFS(Data_filtered!$K$2:$K$461,Data_filtered!$A$2:$A$461,P$1,Data_filtered!$F$2:$F$461,$A14, Data_filtered!$D$2:$D$461,"mata",Data_filtered!$J$2:$J$461,"&lt;&gt;Incompleto")=0, "-", SUMIFS(Data_filtered!$K$2:$K$461,Data_filtered!$A$2:$A$461,P$1,Data_filtered!$F$2:$F$461,$A14, Data_filtered!$D$2:$D$461,"mata",Data_filtered!$J$2:$J$461,"&lt;&gt;Incompleto"))
</f>
        <v>-</v>
      </c>
      <c r="R14" s="109" t="str">
        <f>IF(SUMIFS(Data_filtered!$K$2:$K$461,Data_filtered!$A$2:$A$461,R$1,Data_filtered!$F$2:$F$461,$A14, Data_filtered!$D$2:$D$461,"eucalipto",Data_filtered!$J$2:$J$461,"&lt;&gt;Incompleto")=0, "-", SUMIFS(Data_filtered!$K$2:$K$461,Data_filtered!$A$2:$A$461,R$1,Data_filtered!$F$2:$F$461,$A14, Data_filtered!$D$2:$D$461,"eucalipto",Data_filtered!$J$2:$J$461,"&lt;&gt;Incompleto"))</f>
        <v>-</v>
      </c>
      <c r="S14" s="110" t="str">
        <f>IF(SUMIFS(Data_filtered!$K$2:$K$461,Data_filtered!$A$2:$A$461,R$1,Data_filtered!$F$2:$F$461,$A14, Data_filtered!$D$2:$D$461,"mata",Data_filtered!$J$2:$J$461,"&lt;&gt;Incompleto")=0, "-", SUMIFS(Data_filtered!$K$2:$K$461,Data_filtered!$A$2:$A$461,R$1,Data_filtered!$F$2:$F$461,$A14, Data_filtered!$D$2:$D$461,"mata",Data_filtered!$J$2:$J$461,"&lt;&gt;Incompleto"))
</f>
        <v>-</v>
      </c>
      <c r="T14" s="109" t="str">
        <f>IF(SUMIFS(Data_filtered!$K$2:$K$461,Data_filtered!$A$2:$A$461,T$1,Data_filtered!$F$2:$F$461,$A14, Data_filtered!$D$2:$D$461,"eucalipto",Data_filtered!$J$2:$J$461,"&lt;&gt;Incompleto")=0, "-", SUMIFS(Data_filtered!$K$2:$K$461,Data_filtered!$A$2:$A$461,T$1,Data_filtered!$F$2:$F$461,$A14, Data_filtered!$D$2:$D$461,"eucalipto",Data_filtered!$J$2:$J$461,"&lt;&gt;Incompleto"))</f>
        <v>-</v>
      </c>
      <c r="U14" s="110" t="str">
        <f>IF(SUMIFS(Data_filtered!$K$2:$K$461,Data_filtered!$A$2:$A$461,T$1,Data_filtered!$F$2:$F$461,$A14, Data_filtered!$D$2:$D$461,"mata",Data_filtered!$J$2:$J$461,"&lt;&gt;Incompleto")=0, "-", SUMIFS(Data_filtered!$K$2:$K$461,Data_filtered!$A$2:$A$461,T$1,Data_filtered!$F$2:$F$461,$A14, Data_filtered!$D$2:$D$461,"mata",Data_filtered!$J$2:$J$461,"&lt;&gt;Incompleto"))
</f>
        <v>-</v>
      </c>
      <c r="V14" s="109" t="str">
        <f>IF(SUMIFS(Data_filtered!$K$2:$K$461,Data_filtered!$A$2:$A$461,V$1,Data_filtered!$F$2:$F$461,$A14, Data_filtered!$D$2:$D$461,"eucalipto",Data_filtered!$J$2:$J$461,"&lt;&gt;Incompleto")=0, "-", SUMIFS(Data_filtered!$K$2:$K$461,Data_filtered!$A$2:$A$461,V$1,Data_filtered!$F$2:$F$461,$A14, Data_filtered!$D$2:$D$461,"eucalipto",Data_filtered!$J$2:$J$461,"&lt;&gt;Incompleto"))</f>
        <v>-</v>
      </c>
      <c r="W14" s="110" t="str">
        <f>IF(SUMIFS(Data_filtered!$K$2:$K$461,Data_filtered!$A$2:$A$461,V$1,Data_filtered!$F$2:$F$461,$A14, Data_filtered!$D$2:$D$461,"mata",Data_filtered!$J$2:$J$461,"&lt;&gt;Incompleto")=0, "-", SUMIFS(Data_filtered!$K$2:$K$461,Data_filtered!$A$2:$A$461,V$1,Data_filtered!$F$2:$F$461,$A14, Data_filtered!$D$2:$D$461,"mata",Data_filtered!$J$2:$J$461,"&lt;&gt;Incompleto"))
</f>
        <v>-</v>
      </c>
      <c r="X14" s="109" t="str">
        <f>IF(SUMIFS(Data_filtered!$K$2:$K$461,Data_filtered!$A$2:$A$461,X$1,Data_filtered!$F$2:$F$461,$A14, Data_filtered!$D$2:$D$461,"eucalipto",Data_filtered!$J$2:$J$461,"&lt;&gt;Incompleto")=0, "-", SUMIFS(Data_filtered!$K$2:$K$461,Data_filtered!$A$2:$A$461,X$1,Data_filtered!$F$2:$F$461,$A14, Data_filtered!$D$2:$D$461,"eucalipto",Data_filtered!$J$2:$J$461,"&lt;&gt;Incompleto"))</f>
        <v>-</v>
      </c>
      <c r="Y14" s="110" t="str">
        <f>IF(SUMIFS(Data_filtered!$K$2:$K$461,Data_filtered!$A$2:$A$461,X$1,Data_filtered!$F$2:$F$461,$A14, Data_filtered!$D$2:$D$461,"mata",Data_filtered!$J$2:$J$461,"&lt;&gt;Incompleto")=0, "-", SUMIFS(Data_filtered!$K$2:$K$461,Data_filtered!$A$2:$A$461,X$1,Data_filtered!$F$2:$F$461,$A14, Data_filtered!$D$2:$D$461,"mata",Data_filtered!$J$2:$J$461,"&lt;&gt;Incompleto"))
</f>
        <v>-</v>
      </c>
      <c r="Z14" s="109" t="str">
        <f>IF(SUMIFS(Data_filtered!$K$2:$K$461,Data_filtered!$A$2:$A$461,Z$1,Data_filtered!$F$2:$F$461,$A14, Data_filtered!$D$2:$D$461,"eucalipto",Data_filtered!$J$2:$J$461,"&lt;&gt;Incompleto")=0, "-", SUMIFS(Data_filtered!$K$2:$K$461,Data_filtered!$A$2:$A$461,Z$1,Data_filtered!$F$2:$F$461,$A14, Data_filtered!$D$2:$D$461,"eucalipto",Data_filtered!$J$2:$J$461,"&lt;&gt;Incompleto"))</f>
        <v>-</v>
      </c>
      <c r="AA14" s="110" t="str">
        <f>IF(SUMIFS(Data_filtered!$K$2:$K$461,Data_filtered!$A$2:$A$461,Z$1,Data_filtered!$F$2:$F$461,$A14, Data_filtered!$D$2:$D$461,"mata",Data_filtered!$J$2:$J$461,"&lt;&gt;Incompleto")=0, "-", SUMIFS(Data_filtered!$K$2:$K$461,Data_filtered!$A$2:$A$461,Z$1,Data_filtered!$F$2:$F$461,$A14, Data_filtered!$D$2:$D$461,"mata",Data_filtered!$J$2:$J$461,"&lt;&gt;Incompleto"))
</f>
        <v>-</v>
      </c>
      <c r="AB14" s="109" t="str">
        <f>IF(SUMIFS(Data_filtered!$K$2:$K$461,Data_filtered!$A$2:$A$461,AB$1,Data_filtered!$F$2:$F$461,$A14, Data_filtered!$D$2:$D$461,"eucalipto",Data_filtered!$J$2:$J$461,"&lt;&gt;Incompleto")=0, "-", SUMIFS(Data_filtered!$K$2:$K$461,Data_filtered!$A$2:$A$461,AB$1,Data_filtered!$F$2:$F$461,$A14, Data_filtered!$D$2:$D$461,"eucalipto",Data_filtered!$J$2:$J$461,"&lt;&gt;Incompleto"))</f>
        <v>-</v>
      </c>
      <c r="AC14" s="110" t="str">
        <f>IF(SUMIFS(Data_filtered!$K$2:$K$461,Data_filtered!$A$2:$A$461,AB$1,Data_filtered!$F$2:$F$461,$A14, Data_filtered!$D$2:$D$461,"mata",Data_filtered!$J$2:$J$461,"&lt;&gt;Incompleto")=0, "-", SUMIFS(Data_filtered!$K$2:$K$461,Data_filtered!$A$2:$A$461,AB$1,Data_filtered!$F$2:$F$461,$A14, Data_filtered!$D$2:$D$461,"mata",Data_filtered!$J$2:$J$461,"&lt;&gt;Incompleto"))
</f>
        <v>-</v>
      </c>
      <c r="AD14" s="109" t="str">
        <f>IF(SUMIFS(Data_filtered!$K$2:$K$461,Data_filtered!$A$2:$A$461,AD$1,Data_filtered!$F$2:$F$461,$A14, Data_filtered!$D$2:$D$461,"eucalipto",Data_filtered!$J$2:$J$461,"&lt;&gt;Incompleto")=0, "-", SUMIFS(Data_filtered!$K$2:$K$461,Data_filtered!$A$2:$A$461,AD$1,Data_filtered!$F$2:$F$461,$A14, Data_filtered!$D$2:$D$461,"eucalipto",Data_filtered!$J$2:$J$461,"&lt;&gt;Incompleto"))</f>
        <v>-</v>
      </c>
      <c r="AE14" s="110" t="str">
        <f>IF(SUMIFS(Data_filtered!$K$2:$K$461,Data_filtered!$A$2:$A$461,AD$1,Data_filtered!$F$2:$F$461,$A14, Data_filtered!$D$2:$D$461,"mata",Data_filtered!$J$2:$J$461,"&lt;&gt;Incompleto")=0, "-", SUMIFS(Data_filtered!$K$2:$K$461,Data_filtered!$A$2:$A$461,AD$1,Data_filtered!$F$2:$F$461,$A14, Data_filtered!$D$2:$D$461,"mata",Data_filtered!$J$2:$J$461,"&lt;&gt;Incompleto"))
</f>
        <v>-</v>
      </c>
      <c r="AF14" s="109" t="str">
        <f>IF(SUMIFS(Data_filtered!$K$2:$K$461,Data_filtered!$A$2:$A$461,AF$1,Data_filtered!$F$2:$F$461,$A14, Data_filtered!$D$2:$D$461,"eucalipto",Data_filtered!$J$2:$J$461,"&lt;&gt;Incompleto")=0, "-", SUMIFS(Data_filtered!$K$2:$K$461,Data_filtered!$A$2:$A$461,AF$1,Data_filtered!$F$2:$F$461,$A14, Data_filtered!$D$2:$D$461,"eucalipto",Data_filtered!$J$2:$J$461,"&lt;&gt;Incompleto"))</f>
        <v>-</v>
      </c>
      <c r="AG14" s="110" t="str">
        <f>IF(SUMIFS(Data_filtered!$K$2:$K$461,Data_filtered!$A$2:$A$461,AF$1,Data_filtered!$F$2:$F$461,$A14, Data_filtered!$D$2:$D$461,"mata",Data_filtered!$J$2:$J$461,"&lt;&gt;Incompleto")=0, "-", SUMIFS(Data_filtered!$K$2:$K$461,Data_filtered!$A$2:$A$461,AF$1,Data_filtered!$F$2:$F$461,$A14, Data_filtered!$D$2:$D$461,"mata",Data_filtered!$J$2:$J$461,"&lt;&gt;Incompleto"))
</f>
        <v>-</v>
      </c>
      <c r="AH14" s="109" t="str">
        <f>IF(SUMIFS(Data_filtered!$K$2:$K$461,Data_filtered!$A$2:$A$461,AH$1,Data_filtered!$F$2:$F$461,$A14, Data_filtered!$D$2:$D$461,"eucalipto",Data_filtered!$J$2:$J$461,"&lt;&gt;Incompleto")=0, "-", SUMIFS(Data_filtered!$K$2:$K$461,Data_filtered!$A$2:$A$461,AH$1,Data_filtered!$F$2:$F$461,$A14, Data_filtered!$D$2:$D$461,"eucalipto",Data_filtered!$J$2:$J$461,"&lt;&gt;Incompleto"))</f>
        <v>-</v>
      </c>
      <c r="AI14" s="110" t="str">
        <f>IF(SUMIFS(Data_filtered!$K$2:$K$461,Data_filtered!$A$2:$A$461,AH$1,Data_filtered!$F$2:$F$461,$A14, Data_filtered!$D$2:$D$461,"mata",Data_filtered!$J$2:$J$461,"&lt;&gt;Incompleto")=0, "-", SUMIFS(Data_filtered!$K$2:$K$461,Data_filtered!$A$2:$A$461,AH$1,Data_filtered!$F$2:$F$461,$A14, Data_filtered!$D$2:$D$461,"mata",Data_filtered!$J$2:$J$461,"&lt;&gt;Incompleto"))
</f>
        <v>-</v>
      </c>
      <c r="AJ14" s="109" t="str">
        <f>IF(SUMIFS(Data_filtered!$K$2:$K$461,Data_filtered!$A$2:$A$461,AJ$1,Data_filtered!$F$2:$F$461,$A14, Data_filtered!$D$2:$D$461,"eucalipto",Data_filtered!$J$2:$J$461,"&lt;&gt;Incompleto")=0, "-", SUMIFS(Data_filtered!$K$2:$K$461,Data_filtered!$A$2:$A$461,AJ$1,Data_filtered!$F$2:$F$461,$A14, Data_filtered!$D$2:$D$461,"eucalipto",Data_filtered!$J$2:$J$461,"&lt;&gt;Incompleto"))</f>
        <v>-</v>
      </c>
      <c r="AK14" s="110" t="str">
        <f>IF(SUMIFS(Data_filtered!$K$2:$K$461,Data_filtered!$A$2:$A$461,AJ$1,Data_filtered!$F$2:$F$461,$A14, Data_filtered!$D$2:$D$461,"mata",Data_filtered!$J$2:$J$461,"&lt;&gt;Incompleto")=0, "-", SUMIFS(Data_filtered!$K$2:$K$461,Data_filtered!$A$2:$A$461,AJ$1,Data_filtered!$F$2:$F$461,$A14, Data_filtered!$D$2:$D$461,"mata",Data_filtered!$J$2:$J$461,"&lt;&gt;Incompleto"))
</f>
        <v>-</v>
      </c>
      <c r="AL14" s="109" t="str">
        <f>IF(SUMIFS(Data_filtered!$K$2:$K$461,Data_filtered!$A$2:$A$461,AL$1,Data_filtered!$F$2:$F$461,$A14, Data_filtered!$D$2:$D$461,"eucalipto",Data_filtered!$J$2:$J$461,"&lt;&gt;Incompleto")=0, "-", SUMIFS(Data_filtered!$K$2:$K$461,Data_filtered!$A$2:$A$461,AL$1,Data_filtered!$F$2:$F$461,$A14, Data_filtered!$D$2:$D$461,"eucalipto",Data_filtered!$J$2:$J$461,"&lt;&gt;Incompleto"))</f>
        <v>-</v>
      </c>
      <c r="AM14" s="110" t="str">
        <f>IF(SUMIFS(Data_filtered!$K$2:$K$461,Data_filtered!$A$2:$A$461,AL$1,Data_filtered!$F$2:$F$461,$A14, Data_filtered!$D$2:$D$461,"mata",Data_filtered!$J$2:$J$461,"&lt;&gt;Incompleto")=0, "-", SUMIFS(Data_filtered!$K$2:$K$461,Data_filtered!$A$2:$A$461,AL$1,Data_filtered!$F$2:$F$461,$A14, Data_filtered!$D$2:$D$461,"mata",Data_filtered!$J$2:$J$461,"&lt;&gt;Incompleto"))
</f>
        <v>-</v>
      </c>
      <c r="AN14" s="109" t="str">
        <f>IF(SUMIFS(Data_filtered!$K$2:$K$461,Data_filtered!$A$2:$A$461,AN$1,Data_filtered!$F$2:$F$461,$A14, Data_filtered!$D$2:$D$461,"eucalipto",Data_filtered!$J$2:$J$461,"&lt;&gt;Incompleto")=0, "-", SUMIFS(Data_filtered!$K$2:$K$461,Data_filtered!$A$2:$A$461,AN$1,Data_filtered!$F$2:$F$461,$A14, Data_filtered!$D$2:$D$461,"eucalipto",Data_filtered!$J$2:$J$461,"&lt;&gt;Incompleto"))</f>
        <v>-</v>
      </c>
      <c r="AO14" s="110">
        <f>IF(SUMIFS(Data_filtered!$K$2:$K$461,Data_filtered!$A$2:$A$461,AN$1,Data_filtered!$F$2:$F$461,$A14, Data_filtered!$D$2:$D$461,"mata",Data_filtered!$J$2:$J$461,"&lt;&gt;Incompleto")=0, "-", SUMIFS(Data_filtered!$K$2:$K$461,Data_filtered!$A$2:$A$461,AN$1,Data_filtered!$F$2:$F$461,$A14, Data_filtered!$D$2:$D$461,"mata",Data_filtered!$J$2:$J$461,"&lt;&gt;Incompleto"))
</f>
        <v>1256.637061</v>
      </c>
      <c r="AP14" s="109" t="str">
        <f>IF(SUMIFS(Data_filtered!$K$2:$K$461,Data_filtered!$A$2:$A$461,AP$1,Data_filtered!$F$2:$F$461,$A14, Data_filtered!$D$2:$D$461,"eucalipto",Data_filtered!$J$2:$J$461,"&lt;&gt;Incompleto")=0, "-", SUMIFS(Data_filtered!$K$2:$K$461,Data_filtered!$A$2:$A$461,AP$1,Data_filtered!$F$2:$F$461,$A14, Data_filtered!$D$2:$D$461,"eucalipto",Data_filtered!$J$2:$J$461,"&lt;&gt;Incompleto"))</f>
        <v>-</v>
      </c>
      <c r="AQ14" s="110" t="str">
        <f>IF(SUMIFS(Data_filtered!$K$2:$K$461,Data_filtered!$A$2:$A$461,AP$1,Data_filtered!$F$2:$F$461,$A14, Data_filtered!$D$2:$D$461,"mata",Data_filtered!$J$2:$J$461,"&lt;&gt;Incompleto")=0, "-", SUMIFS(Data_filtered!$K$2:$K$461,Data_filtered!$A$2:$A$461,AP$1,Data_filtered!$F$2:$F$461,$A14, Data_filtered!$D$2:$D$461,"mata",Data_filtered!$J$2:$J$461,"&lt;&gt;Incompleto"))
</f>
        <v>-</v>
      </c>
      <c r="AR14" s="109" t="str">
        <f>IF(SUMIFS(Data_filtered!$K$2:$K$461,Data_filtered!$A$2:$A$461,AR$1,Data_filtered!$F$2:$F$461,$A14, Data_filtered!$D$2:$D$461,"eucalipto",Data_filtered!$J$2:$J$461,"&lt;&gt;Incompleto")=0, "-", SUMIFS(Data_filtered!$K$2:$K$461,Data_filtered!$A$2:$A$461,AR$1,Data_filtered!$F$2:$F$461,$A14, Data_filtered!$D$2:$D$461,"eucalipto",Data_filtered!$J$2:$J$461,"&lt;&gt;Incompleto"))</f>
        <v>-</v>
      </c>
      <c r="AS14" s="110" t="str">
        <f>IF(SUMIFS(Data_filtered!$K$2:$K$461,Data_filtered!$A$2:$A$461,AR$1,Data_filtered!$F$2:$F$461,$A14, Data_filtered!$D$2:$D$461,"mata",Data_filtered!$J$2:$J$461,"&lt;&gt;Incompleto")=0, "-", SUMIFS(Data_filtered!$K$2:$K$461,Data_filtered!$A$2:$A$461,AR$1,Data_filtered!$F$2:$F$461,$A14, Data_filtered!$D$2:$D$461,"mata",Data_filtered!$J$2:$J$461,"&lt;&gt;Incompleto"))
</f>
        <v>-</v>
      </c>
    </row>
    <row r="15">
      <c r="A15" s="68" t="str">
        <f>IFERROR(__xludf.DUMMYFUNCTION("""COMPUTED_VALUE"""),"Heteroptera")</f>
        <v>Heteroptera</v>
      </c>
      <c r="B15" s="109" t="str">
        <f>IF(SUMIFS(Data_filtered!$K$2:$K$461,Data_filtered!$A$2:$A$461,B$1,Data_filtered!$F$2:$F$461,$A15, Data_filtered!$D$2:$D$461,"eucalipto",Data_filtered!$J$2:$J$461,"&lt;&gt;Incompleto")=0, "-", SUMIFS(Data_filtered!$K$2:$K$461,Data_filtered!$A$2:$A$461,B$1,Data_filtered!$F$2:$F$461,$A15, Data_filtered!$D$2:$D$461,"eucalipto",Data_filtered!$J$2:$J$461,"&lt;&gt;Incompleto"))</f>
        <v>-</v>
      </c>
      <c r="C15" s="110" t="str">
        <f>IF(SUMIFS(Data_filtered!$K$2:$K$461,Data_filtered!$A$2:$A$461,B$1,Data_filtered!$F$2:$F$461,$A15, Data_filtered!$D$2:$D$461,"mata",Data_filtered!$J$2:$J$461,"&lt;&gt;Incompleto")=0, "-", SUMIFS(Data_filtered!$K$2:$K$461,Data_filtered!$A$2:$A$461,B$1,Data_filtered!$F$2:$F$461,$A15, Data_filtered!$D$2:$D$461,"mata",Data_filtered!$J$2:$J$461,"&lt;&gt;Incompleto"))
</f>
        <v>-</v>
      </c>
      <c r="D15" s="109" t="str">
        <f>IF(SUMIFS(Data_filtered!$K$2:$K$461,Data_filtered!$A$2:$A$461,D$1,Data_filtered!$F$2:$F$461,$A15, Data_filtered!$D$2:$D$461,"eucalipto",Data_filtered!$J$2:$J$461,"&lt;&gt;Incompleto")=0, "-", SUMIFS(Data_filtered!$K$2:$K$461,Data_filtered!$A$2:$A$461,D$1,Data_filtered!$F$2:$F$461,$A15, Data_filtered!$D$2:$D$461,"eucalipto",Data_filtered!$J$2:$J$461,"&lt;&gt;Incompleto"))</f>
        <v>-</v>
      </c>
      <c r="E15" s="110" t="str">
        <f>IF(SUMIFS(Data_filtered!$K$2:$K$461,Data_filtered!$A$2:$A$461,D$1,Data_filtered!$F$2:$F$461,$A15, Data_filtered!$D$2:$D$461,"mata",Data_filtered!$J$2:$J$461,"&lt;&gt;Incompleto")=0, "-", SUMIFS(Data_filtered!$K$2:$K$461,Data_filtered!$A$2:$A$461,D$1,Data_filtered!$F$2:$F$461,$A15, Data_filtered!$D$2:$D$461,"mata",Data_filtered!$J$2:$J$461,"&lt;&gt;Incompleto"))
</f>
        <v>-</v>
      </c>
      <c r="F15" s="109" t="str">
        <f>IF(SUMIFS(Data_filtered!$K$2:$K$461,Data_filtered!$A$2:$A$461,F$1,Data_filtered!$F$2:$F$461,$A15, Data_filtered!$D$2:$D$461,"eucalipto",Data_filtered!$J$2:$J$461,"&lt;&gt;Incompleto")=0, "-", SUMIFS(Data_filtered!$K$2:$K$461,Data_filtered!$A$2:$A$461,F$1,Data_filtered!$F$2:$F$461,$A15, Data_filtered!$D$2:$D$461,"eucalipto",Data_filtered!$J$2:$J$461,"&lt;&gt;Incompleto"))</f>
        <v>-</v>
      </c>
      <c r="G15" s="110" t="str">
        <f>IF(SUMIFS(Data_filtered!$K$2:$K$461,Data_filtered!$A$2:$A$461,F$1,Data_filtered!$F$2:$F$461,$A15, Data_filtered!$D$2:$D$461,"mata",Data_filtered!$J$2:$J$461,"&lt;&gt;Incompleto")=0, "-", SUMIFS(Data_filtered!$K$2:$K$461,Data_filtered!$A$2:$A$461,F$1,Data_filtered!$F$2:$F$461,$A15, Data_filtered!$D$2:$D$461,"mata",Data_filtered!$J$2:$J$461,"&lt;&gt;Incompleto"))
</f>
        <v>-</v>
      </c>
      <c r="H15" s="109" t="str">
        <f>IF(SUMIFS(Data_filtered!$K$2:$K$461,Data_filtered!$A$2:$A$461,H$1,Data_filtered!$F$2:$F$461,$A15, Data_filtered!$D$2:$D$461,"eucalipto",Data_filtered!$J$2:$J$461,"&lt;&gt;Incompleto")=0, "-", SUMIFS(Data_filtered!$K$2:$K$461,Data_filtered!$A$2:$A$461,H$1,Data_filtered!$F$2:$F$461,$A15, Data_filtered!$D$2:$D$461,"eucalipto",Data_filtered!$J$2:$J$461,"&lt;&gt;Incompleto"))</f>
        <v>-</v>
      </c>
      <c r="I15" s="110">
        <f>IF(SUMIFS(Data_filtered!$K$2:$K$461,Data_filtered!$A$2:$A$461,H$1,Data_filtered!$F$2:$F$461,$A15, Data_filtered!$D$2:$D$461,"mata",Data_filtered!$J$2:$J$461,"&lt;&gt;Incompleto")=0, "-", SUMIFS(Data_filtered!$K$2:$K$461,Data_filtered!$A$2:$A$461,H$1,Data_filtered!$F$2:$F$461,$A15, Data_filtered!$D$2:$D$461,"mata",Data_filtered!$J$2:$J$461,"&lt;&gt;Incompleto"))
</f>
        <v>5390.972994</v>
      </c>
      <c r="J15" s="109" t="str">
        <f>IF(SUMIFS(Data_filtered!$K$2:$K$461,Data_filtered!$A$2:$A$461,J$1,Data_filtered!$F$2:$F$461,$A15, Data_filtered!$D$2:$D$461,"eucalipto",Data_filtered!$J$2:$J$461,"&lt;&gt;Incompleto")=0, "-", SUMIFS(Data_filtered!$K$2:$K$461,Data_filtered!$A$2:$A$461,J$1,Data_filtered!$F$2:$F$461,$A15, Data_filtered!$D$2:$D$461,"eucalipto",Data_filtered!$J$2:$J$461,"&lt;&gt;Incompleto"))</f>
        <v>-</v>
      </c>
      <c r="K15" s="110" t="str">
        <f>IF(SUMIFS(Data_filtered!$K$2:$K$461,Data_filtered!$A$2:$A$461,J$1,Data_filtered!$F$2:$F$461,$A15, Data_filtered!$D$2:$D$461,"mata",Data_filtered!$J$2:$J$461,"&lt;&gt;Incompleto")=0, "-", SUMIFS(Data_filtered!$K$2:$K$461,Data_filtered!$A$2:$A$461,J$1,Data_filtered!$F$2:$F$461,$A15, Data_filtered!$D$2:$D$461,"mata",Data_filtered!$J$2:$J$461,"&lt;&gt;Incompleto"))
</f>
        <v>-</v>
      </c>
      <c r="L15" s="109" t="str">
        <f>IF(SUMIFS(Data_filtered!$K$2:$K$461,Data_filtered!$A$2:$A$461,L$1,Data_filtered!$F$2:$F$461,$A15, Data_filtered!$D$2:$D$461,"eucalipto",Data_filtered!$J$2:$J$461,"&lt;&gt;Incompleto")=0, "-", SUMIFS(Data_filtered!$K$2:$K$461,Data_filtered!$A$2:$A$461,L$1,Data_filtered!$F$2:$F$461,$A15, Data_filtered!$D$2:$D$461,"eucalipto",Data_filtered!$J$2:$J$461,"&lt;&gt;Incompleto"))</f>
        <v>-</v>
      </c>
      <c r="M15" s="110" t="str">
        <f>IF(SUMIFS(Data_filtered!$K$2:$K$461,Data_filtered!$A$2:$A$461,L$1,Data_filtered!$F$2:$F$461,$A15, Data_filtered!$D$2:$D$461,"mata",Data_filtered!$J$2:$J$461,"&lt;&gt;Incompleto")=0, "-", SUMIFS(Data_filtered!$K$2:$K$461,Data_filtered!$A$2:$A$461,L$1,Data_filtered!$F$2:$F$461,$A15, Data_filtered!$D$2:$D$461,"mata",Data_filtered!$J$2:$J$461,"&lt;&gt;Incompleto"))
</f>
        <v>-</v>
      </c>
      <c r="N15" s="109" t="str">
        <f>IF(SUMIFS(Data_filtered!$K$2:$K$461,Data_filtered!$A$2:$A$461,N$1,Data_filtered!$F$2:$F$461,$A15, Data_filtered!$D$2:$D$461,"eucalipto",Data_filtered!$J$2:$J$461,"&lt;&gt;Incompleto")=0, "-", SUMIFS(Data_filtered!$K$2:$K$461,Data_filtered!$A$2:$A$461,N$1,Data_filtered!$F$2:$F$461,$A15, Data_filtered!$D$2:$D$461,"eucalipto",Data_filtered!$J$2:$J$461,"&lt;&gt;Incompleto"))</f>
        <v>-</v>
      </c>
      <c r="O15" s="110" t="str">
        <f>IF(SUMIFS(Data_filtered!$K$2:$K$461,Data_filtered!$A$2:$A$461,N$1,Data_filtered!$F$2:$F$461,$A15, Data_filtered!$D$2:$D$461,"mata",Data_filtered!$J$2:$J$461,"&lt;&gt;Incompleto")=0, "-", SUMIFS(Data_filtered!$K$2:$K$461,Data_filtered!$A$2:$A$461,N$1,Data_filtered!$F$2:$F$461,$A15, Data_filtered!$D$2:$D$461,"mata",Data_filtered!$J$2:$J$461,"&lt;&gt;Incompleto"))
</f>
        <v>-</v>
      </c>
      <c r="P15" s="109" t="str">
        <f>IF(SUMIFS(Data_filtered!$K$2:$K$461,Data_filtered!$A$2:$A$461,P$1,Data_filtered!$F$2:$F$461,$A15, Data_filtered!$D$2:$D$461,"eucalipto",Data_filtered!$J$2:$J$461,"&lt;&gt;Incompleto")=0, "-", SUMIFS(Data_filtered!$K$2:$K$461,Data_filtered!$A$2:$A$461,P$1,Data_filtered!$F$2:$F$461,$A15, Data_filtered!$D$2:$D$461,"eucalipto",Data_filtered!$J$2:$J$461,"&lt;&gt;Incompleto"))</f>
        <v>-</v>
      </c>
      <c r="Q15" s="110" t="str">
        <f>IF(SUMIFS(Data_filtered!$K$2:$K$461,Data_filtered!$A$2:$A$461,P$1,Data_filtered!$F$2:$F$461,$A15, Data_filtered!$D$2:$D$461,"mata",Data_filtered!$J$2:$J$461,"&lt;&gt;Incompleto")=0, "-", SUMIFS(Data_filtered!$K$2:$K$461,Data_filtered!$A$2:$A$461,P$1,Data_filtered!$F$2:$F$461,$A15, Data_filtered!$D$2:$D$461,"mata",Data_filtered!$J$2:$J$461,"&lt;&gt;Incompleto"))
</f>
        <v>-</v>
      </c>
      <c r="R15" s="109" t="str">
        <f>IF(SUMIFS(Data_filtered!$K$2:$K$461,Data_filtered!$A$2:$A$461,R$1,Data_filtered!$F$2:$F$461,$A15, Data_filtered!$D$2:$D$461,"eucalipto",Data_filtered!$J$2:$J$461,"&lt;&gt;Incompleto")=0, "-", SUMIFS(Data_filtered!$K$2:$K$461,Data_filtered!$A$2:$A$461,R$1,Data_filtered!$F$2:$F$461,$A15, Data_filtered!$D$2:$D$461,"eucalipto",Data_filtered!$J$2:$J$461,"&lt;&gt;Incompleto"))</f>
        <v>-</v>
      </c>
      <c r="S15" s="110" t="str">
        <f>IF(SUMIFS(Data_filtered!$K$2:$K$461,Data_filtered!$A$2:$A$461,R$1,Data_filtered!$F$2:$F$461,$A15, Data_filtered!$D$2:$D$461,"mata",Data_filtered!$J$2:$J$461,"&lt;&gt;Incompleto")=0, "-", SUMIFS(Data_filtered!$K$2:$K$461,Data_filtered!$A$2:$A$461,R$1,Data_filtered!$F$2:$F$461,$A15, Data_filtered!$D$2:$D$461,"mata",Data_filtered!$J$2:$J$461,"&lt;&gt;Incompleto"))
</f>
        <v>-</v>
      </c>
      <c r="T15" s="109" t="str">
        <f>IF(SUMIFS(Data_filtered!$K$2:$K$461,Data_filtered!$A$2:$A$461,T$1,Data_filtered!$F$2:$F$461,$A15, Data_filtered!$D$2:$D$461,"eucalipto",Data_filtered!$J$2:$J$461,"&lt;&gt;Incompleto")=0, "-", SUMIFS(Data_filtered!$K$2:$K$461,Data_filtered!$A$2:$A$461,T$1,Data_filtered!$F$2:$F$461,$A15, Data_filtered!$D$2:$D$461,"eucalipto",Data_filtered!$J$2:$J$461,"&lt;&gt;Incompleto"))</f>
        <v>-</v>
      </c>
      <c r="U15" s="110">
        <f>IF(SUMIFS(Data_filtered!$K$2:$K$461,Data_filtered!$A$2:$A$461,T$1,Data_filtered!$F$2:$F$461,$A15, Data_filtered!$D$2:$D$461,"mata",Data_filtered!$J$2:$J$461,"&lt;&gt;Incompleto")=0, "-", SUMIFS(Data_filtered!$K$2:$K$461,Data_filtered!$A$2:$A$461,T$1,Data_filtered!$F$2:$F$461,$A15, Data_filtered!$D$2:$D$461,"mata",Data_filtered!$J$2:$J$461,"&lt;&gt;Incompleto"))
</f>
        <v>8.37758041</v>
      </c>
      <c r="V15" s="109" t="str">
        <f>IF(SUMIFS(Data_filtered!$K$2:$K$461,Data_filtered!$A$2:$A$461,V$1,Data_filtered!$F$2:$F$461,$A15, Data_filtered!$D$2:$D$461,"eucalipto",Data_filtered!$J$2:$J$461,"&lt;&gt;Incompleto")=0, "-", SUMIFS(Data_filtered!$K$2:$K$461,Data_filtered!$A$2:$A$461,V$1,Data_filtered!$F$2:$F$461,$A15, Data_filtered!$D$2:$D$461,"eucalipto",Data_filtered!$J$2:$J$461,"&lt;&gt;Incompleto"))</f>
        <v>-</v>
      </c>
      <c r="W15" s="110" t="str">
        <f>IF(SUMIFS(Data_filtered!$K$2:$K$461,Data_filtered!$A$2:$A$461,V$1,Data_filtered!$F$2:$F$461,$A15, Data_filtered!$D$2:$D$461,"mata",Data_filtered!$J$2:$J$461,"&lt;&gt;Incompleto")=0, "-", SUMIFS(Data_filtered!$K$2:$K$461,Data_filtered!$A$2:$A$461,V$1,Data_filtered!$F$2:$F$461,$A15, Data_filtered!$D$2:$D$461,"mata",Data_filtered!$J$2:$J$461,"&lt;&gt;Incompleto"))
</f>
        <v>-</v>
      </c>
      <c r="X15" s="109" t="str">
        <f>IF(SUMIFS(Data_filtered!$K$2:$K$461,Data_filtered!$A$2:$A$461,X$1,Data_filtered!$F$2:$F$461,$A15, Data_filtered!$D$2:$D$461,"eucalipto",Data_filtered!$J$2:$J$461,"&lt;&gt;Incompleto")=0, "-", SUMIFS(Data_filtered!$K$2:$K$461,Data_filtered!$A$2:$A$461,X$1,Data_filtered!$F$2:$F$461,$A15, Data_filtered!$D$2:$D$461,"eucalipto",Data_filtered!$J$2:$J$461,"&lt;&gt;Incompleto"))</f>
        <v>-</v>
      </c>
      <c r="Y15" s="110">
        <f>IF(SUMIFS(Data_filtered!$K$2:$K$461,Data_filtered!$A$2:$A$461,X$1,Data_filtered!$F$2:$F$461,$A15, Data_filtered!$D$2:$D$461,"mata",Data_filtered!$J$2:$J$461,"&lt;&gt;Incompleto")=0, "-", SUMIFS(Data_filtered!$K$2:$K$461,Data_filtered!$A$2:$A$461,X$1,Data_filtered!$F$2:$F$461,$A15, Data_filtered!$D$2:$D$461,"mata",Data_filtered!$J$2:$J$461,"&lt;&gt;Incompleto"))
</f>
        <v>12.56637061</v>
      </c>
      <c r="Z15" s="109" t="str">
        <f>IF(SUMIFS(Data_filtered!$K$2:$K$461,Data_filtered!$A$2:$A$461,Z$1,Data_filtered!$F$2:$F$461,$A15, Data_filtered!$D$2:$D$461,"eucalipto",Data_filtered!$J$2:$J$461,"&lt;&gt;Incompleto")=0, "-", SUMIFS(Data_filtered!$K$2:$K$461,Data_filtered!$A$2:$A$461,Z$1,Data_filtered!$F$2:$F$461,$A15, Data_filtered!$D$2:$D$461,"eucalipto",Data_filtered!$J$2:$J$461,"&lt;&gt;Incompleto"))</f>
        <v>-</v>
      </c>
      <c r="AA15" s="110" t="str">
        <f>IF(SUMIFS(Data_filtered!$K$2:$K$461,Data_filtered!$A$2:$A$461,Z$1,Data_filtered!$F$2:$F$461,$A15, Data_filtered!$D$2:$D$461,"mata",Data_filtered!$J$2:$J$461,"&lt;&gt;Incompleto")=0, "-", SUMIFS(Data_filtered!$K$2:$K$461,Data_filtered!$A$2:$A$461,Z$1,Data_filtered!$F$2:$F$461,$A15, Data_filtered!$D$2:$D$461,"mata",Data_filtered!$J$2:$J$461,"&lt;&gt;Incompleto"))
</f>
        <v>-</v>
      </c>
      <c r="AB15" s="109" t="str">
        <f>IF(SUMIFS(Data_filtered!$K$2:$K$461,Data_filtered!$A$2:$A$461,AB$1,Data_filtered!$F$2:$F$461,$A15, Data_filtered!$D$2:$D$461,"eucalipto",Data_filtered!$J$2:$J$461,"&lt;&gt;Incompleto")=0, "-", SUMIFS(Data_filtered!$K$2:$K$461,Data_filtered!$A$2:$A$461,AB$1,Data_filtered!$F$2:$F$461,$A15, Data_filtered!$D$2:$D$461,"eucalipto",Data_filtered!$J$2:$J$461,"&lt;&gt;Incompleto"))</f>
        <v>-</v>
      </c>
      <c r="AC15" s="110" t="str">
        <f>IF(SUMIFS(Data_filtered!$K$2:$K$461,Data_filtered!$A$2:$A$461,AB$1,Data_filtered!$F$2:$F$461,$A15, Data_filtered!$D$2:$D$461,"mata",Data_filtered!$J$2:$J$461,"&lt;&gt;Incompleto")=0, "-", SUMIFS(Data_filtered!$K$2:$K$461,Data_filtered!$A$2:$A$461,AB$1,Data_filtered!$F$2:$F$461,$A15, Data_filtered!$D$2:$D$461,"mata",Data_filtered!$J$2:$J$461,"&lt;&gt;Incompleto"))
</f>
        <v>-</v>
      </c>
      <c r="AD15" s="109" t="str">
        <f>IF(SUMIFS(Data_filtered!$K$2:$K$461,Data_filtered!$A$2:$A$461,AD$1,Data_filtered!$F$2:$F$461,$A15, Data_filtered!$D$2:$D$461,"eucalipto",Data_filtered!$J$2:$J$461,"&lt;&gt;Incompleto")=0, "-", SUMIFS(Data_filtered!$K$2:$K$461,Data_filtered!$A$2:$A$461,AD$1,Data_filtered!$F$2:$F$461,$A15, Data_filtered!$D$2:$D$461,"eucalipto",Data_filtered!$J$2:$J$461,"&lt;&gt;Incompleto"))</f>
        <v>-</v>
      </c>
      <c r="AE15" s="110" t="str">
        <f>IF(SUMIFS(Data_filtered!$K$2:$K$461,Data_filtered!$A$2:$A$461,AD$1,Data_filtered!$F$2:$F$461,$A15, Data_filtered!$D$2:$D$461,"mata",Data_filtered!$J$2:$J$461,"&lt;&gt;Incompleto")=0, "-", SUMIFS(Data_filtered!$K$2:$K$461,Data_filtered!$A$2:$A$461,AD$1,Data_filtered!$F$2:$F$461,$A15, Data_filtered!$D$2:$D$461,"mata",Data_filtered!$J$2:$J$461,"&lt;&gt;Incompleto"))
</f>
        <v>-</v>
      </c>
      <c r="AF15" s="109" t="str">
        <f>IF(SUMIFS(Data_filtered!$K$2:$K$461,Data_filtered!$A$2:$A$461,AF$1,Data_filtered!$F$2:$F$461,$A15, Data_filtered!$D$2:$D$461,"eucalipto",Data_filtered!$J$2:$J$461,"&lt;&gt;Incompleto")=0, "-", SUMIFS(Data_filtered!$K$2:$K$461,Data_filtered!$A$2:$A$461,AF$1,Data_filtered!$F$2:$F$461,$A15, Data_filtered!$D$2:$D$461,"eucalipto",Data_filtered!$J$2:$J$461,"&lt;&gt;Incompleto"))</f>
        <v>-</v>
      </c>
      <c r="AG15" s="110" t="str">
        <f>IF(SUMIFS(Data_filtered!$K$2:$K$461,Data_filtered!$A$2:$A$461,AF$1,Data_filtered!$F$2:$F$461,$A15, Data_filtered!$D$2:$D$461,"mata",Data_filtered!$J$2:$J$461,"&lt;&gt;Incompleto")=0, "-", SUMIFS(Data_filtered!$K$2:$K$461,Data_filtered!$A$2:$A$461,AF$1,Data_filtered!$F$2:$F$461,$A15, Data_filtered!$D$2:$D$461,"mata",Data_filtered!$J$2:$J$461,"&lt;&gt;Incompleto"))
</f>
        <v>-</v>
      </c>
      <c r="AH15" s="109" t="str">
        <f>IF(SUMIFS(Data_filtered!$K$2:$K$461,Data_filtered!$A$2:$A$461,AH$1,Data_filtered!$F$2:$F$461,$A15, Data_filtered!$D$2:$D$461,"eucalipto",Data_filtered!$J$2:$J$461,"&lt;&gt;Incompleto")=0, "-", SUMIFS(Data_filtered!$K$2:$K$461,Data_filtered!$A$2:$A$461,AH$1,Data_filtered!$F$2:$F$461,$A15, Data_filtered!$D$2:$D$461,"eucalipto",Data_filtered!$J$2:$J$461,"&lt;&gt;Incompleto"))</f>
        <v>-</v>
      </c>
      <c r="AI15" s="110" t="str">
        <f>IF(SUMIFS(Data_filtered!$K$2:$K$461,Data_filtered!$A$2:$A$461,AH$1,Data_filtered!$F$2:$F$461,$A15, Data_filtered!$D$2:$D$461,"mata",Data_filtered!$J$2:$J$461,"&lt;&gt;Incompleto")=0, "-", SUMIFS(Data_filtered!$K$2:$K$461,Data_filtered!$A$2:$A$461,AH$1,Data_filtered!$F$2:$F$461,$A15, Data_filtered!$D$2:$D$461,"mata",Data_filtered!$J$2:$J$461,"&lt;&gt;Incompleto"))
</f>
        <v>-</v>
      </c>
      <c r="AJ15" s="109" t="str">
        <f>IF(SUMIFS(Data_filtered!$K$2:$K$461,Data_filtered!$A$2:$A$461,AJ$1,Data_filtered!$F$2:$F$461,$A15, Data_filtered!$D$2:$D$461,"eucalipto",Data_filtered!$J$2:$J$461,"&lt;&gt;Incompleto")=0, "-", SUMIFS(Data_filtered!$K$2:$K$461,Data_filtered!$A$2:$A$461,AJ$1,Data_filtered!$F$2:$F$461,$A15, Data_filtered!$D$2:$D$461,"eucalipto",Data_filtered!$J$2:$J$461,"&lt;&gt;Incompleto"))</f>
        <v>-</v>
      </c>
      <c r="AK15" s="110">
        <f>IF(SUMIFS(Data_filtered!$K$2:$K$461,Data_filtered!$A$2:$A$461,AJ$1,Data_filtered!$F$2:$F$461,$A15, Data_filtered!$D$2:$D$461,"mata",Data_filtered!$J$2:$J$461,"&lt;&gt;Incompleto")=0, "-", SUMIFS(Data_filtered!$K$2:$K$461,Data_filtered!$A$2:$A$461,AJ$1,Data_filtered!$F$2:$F$461,$A15, Data_filtered!$D$2:$D$461,"mata",Data_filtered!$J$2:$J$461,"&lt;&gt;Incompleto"))
</f>
        <v>83.7758041</v>
      </c>
      <c r="AL15" s="109" t="str">
        <f>IF(SUMIFS(Data_filtered!$K$2:$K$461,Data_filtered!$A$2:$A$461,AL$1,Data_filtered!$F$2:$F$461,$A15, Data_filtered!$D$2:$D$461,"eucalipto",Data_filtered!$J$2:$J$461,"&lt;&gt;Incompleto")=0, "-", SUMIFS(Data_filtered!$K$2:$K$461,Data_filtered!$A$2:$A$461,AL$1,Data_filtered!$F$2:$F$461,$A15, Data_filtered!$D$2:$D$461,"eucalipto",Data_filtered!$J$2:$J$461,"&lt;&gt;Incompleto"))</f>
        <v>-</v>
      </c>
      <c r="AM15" s="110">
        <f>IF(SUMIFS(Data_filtered!$K$2:$K$461,Data_filtered!$A$2:$A$461,AL$1,Data_filtered!$F$2:$F$461,$A15, Data_filtered!$D$2:$D$461,"mata",Data_filtered!$J$2:$J$461,"&lt;&gt;Incompleto")=0, "-", SUMIFS(Data_filtered!$K$2:$K$461,Data_filtered!$A$2:$A$461,AL$1,Data_filtered!$F$2:$F$461,$A15, Data_filtered!$D$2:$D$461,"mata",Data_filtered!$J$2:$J$461,"&lt;&gt;Incompleto"))
</f>
        <v>2714.336053</v>
      </c>
      <c r="AN15" s="109" t="str">
        <f>IF(SUMIFS(Data_filtered!$K$2:$K$461,Data_filtered!$A$2:$A$461,AN$1,Data_filtered!$F$2:$F$461,$A15, Data_filtered!$D$2:$D$461,"eucalipto",Data_filtered!$J$2:$J$461,"&lt;&gt;Incompleto")=0, "-", SUMIFS(Data_filtered!$K$2:$K$461,Data_filtered!$A$2:$A$461,AN$1,Data_filtered!$F$2:$F$461,$A15, Data_filtered!$D$2:$D$461,"eucalipto",Data_filtered!$J$2:$J$461,"&lt;&gt;Incompleto"))</f>
        <v>-</v>
      </c>
      <c r="AO15" s="110" t="str">
        <f>IF(SUMIFS(Data_filtered!$K$2:$K$461,Data_filtered!$A$2:$A$461,AN$1,Data_filtered!$F$2:$F$461,$A15, Data_filtered!$D$2:$D$461,"mata",Data_filtered!$J$2:$J$461,"&lt;&gt;Incompleto")=0, "-", SUMIFS(Data_filtered!$K$2:$K$461,Data_filtered!$A$2:$A$461,AN$1,Data_filtered!$F$2:$F$461,$A15, Data_filtered!$D$2:$D$461,"mata",Data_filtered!$J$2:$J$461,"&lt;&gt;Incompleto"))
</f>
        <v>-</v>
      </c>
      <c r="AP15" s="109" t="str">
        <f>IF(SUMIFS(Data_filtered!$K$2:$K$461,Data_filtered!$A$2:$A$461,AP$1,Data_filtered!$F$2:$F$461,$A15, Data_filtered!$D$2:$D$461,"eucalipto",Data_filtered!$J$2:$J$461,"&lt;&gt;Incompleto")=0, "-", SUMIFS(Data_filtered!$K$2:$K$461,Data_filtered!$A$2:$A$461,AP$1,Data_filtered!$F$2:$F$461,$A15, Data_filtered!$D$2:$D$461,"eucalipto",Data_filtered!$J$2:$J$461,"&lt;&gt;Incompleto"))</f>
        <v>-</v>
      </c>
      <c r="AQ15" s="110" t="str">
        <f>IF(SUMIFS(Data_filtered!$K$2:$K$461,Data_filtered!$A$2:$A$461,AP$1,Data_filtered!$F$2:$F$461,$A15, Data_filtered!$D$2:$D$461,"mata",Data_filtered!$J$2:$J$461,"&lt;&gt;Incompleto")=0, "-", SUMIFS(Data_filtered!$K$2:$K$461,Data_filtered!$A$2:$A$461,AP$1,Data_filtered!$F$2:$F$461,$A15, Data_filtered!$D$2:$D$461,"mata",Data_filtered!$J$2:$J$461,"&lt;&gt;Incompleto"))
</f>
        <v>-</v>
      </c>
      <c r="AR15" s="109" t="str">
        <f>IF(SUMIFS(Data_filtered!$K$2:$K$461,Data_filtered!$A$2:$A$461,AR$1,Data_filtered!$F$2:$F$461,$A15, Data_filtered!$D$2:$D$461,"eucalipto",Data_filtered!$J$2:$J$461,"&lt;&gt;Incompleto")=0, "-", SUMIFS(Data_filtered!$K$2:$K$461,Data_filtered!$A$2:$A$461,AR$1,Data_filtered!$F$2:$F$461,$A15, Data_filtered!$D$2:$D$461,"eucalipto",Data_filtered!$J$2:$J$461,"&lt;&gt;Incompleto"))</f>
        <v>-</v>
      </c>
      <c r="AS15" s="110" t="str">
        <f>IF(SUMIFS(Data_filtered!$K$2:$K$461,Data_filtered!$A$2:$A$461,AR$1,Data_filtered!$F$2:$F$461,$A15, Data_filtered!$D$2:$D$461,"mata",Data_filtered!$J$2:$J$461,"&lt;&gt;Incompleto")=0, "-", SUMIFS(Data_filtered!$K$2:$K$461,Data_filtered!$A$2:$A$461,AR$1,Data_filtered!$F$2:$F$461,$A15, Data_filtered!$D$2:$D$461,"mata",Data_filtered!$J$2:$J$461,"&lt;&gt;Incompleto"))
</f>
        <v>-</v>
      </c>
    </row>
    <row r="16">
      <c r="A16" s="68" t="str">
        <f>IFERROR(__xludf.DUMMYFUNCTION("""COMPUTED_VALUE"""),"Isópode")</f>
        <v>Isópode</v>
      </c>
      <c r="B16" s="109" t="str">
        <f>IF(SUMIFS(Data_filtered!$K$2:$K$461,Data_filtered!$A$2:$A$461,B$1,Data_filtered!$F$2:$F$461,$A16, Data_filtered!$D$2:$D$461,"eucalipto",Data_filtered!$J$2:$J$461,"&lt;&gt;Incompleto")=0, "-", SUMIFS(Data_filtered!$K$2:$K$461,Data_filtered!$A$2:$A$461,B$1,Data_filtered!$F$2:$F$461,$A16, Data_filtered!$D$2:$D$461,"eucalipto",Data_filtered!$J$2:$J$461,"&lt;&gt;Incompleto"))</f>
        <v>-</v>
      </c>
      <c r="C16" s="110" t="str">
        <f>IF(SUMIFS(Data_filtered!$K$2:$K$461,Data_filtered!$A$2:$A$461,B$1,Data_filtered!$F$2:$F$461,$A16, Data_filtered!$D$2:$D$461,"mata",Data_filtered!$J$2:$J$461,"&lt;&gt;Incompleto")=0, "-", SUMIFS(Data_filtered!$K$2:$K$461,Data_filtered!$A$2:$A$461,B$1,Data_filtered!$F$2:$F$461,$A16, Data_filtered!$D$2:$D$461,"mata",Data_filtered!$J$2:$J$461,"&lt;&gt;Incompleto"))
</f>
        <v>-</v>
      </c>
      <c r="D16" s="109" t="str">
        <f>IF(SUMIFS(Data_filtered!$K$2:$K$461,Data_filtered!$A$2:$A$461,D$1,Data_filtered!$F$2:$F$461,$A16, Data_filtered!$D$2:$D$461,"eucalipto",Data_filtered!$J$2:$J$461,"&lt;&gt;Incompleto")=0, "-", SUMIFS(Data_filtered!$K$2:$K$461,Data_filtered!$A$2:$A$461,D$1,Data_filtered!$F$2:$F$461,$A16, Data_filtered!$D$2:$D$461,"eucalipto",Data_filtered!$J$2:$J$461,"&lt;&gt;Incompleto"))</f>
        <v>-</v>
      </c>
      <c r="E16" s="110" t="str">
        <f>IF(SUMIFS(Data_filtered!$K$2:$K$461,Data_filtered!$A$2:$A$461,D$1,Data_filtered!$F$2:$F$461,$A16, Data_filtered!$D$2:$D$461,"mata",Data_filtered!$J$2:$J$461,"&lt;&gt;Incompleto")=0, "-", SUMIFS(Data_filtered!$K$2:$K$461,Data_filtered!$A$2:$A$461,D$1,Data_filtered!$F$2:$F$461,$A16, Data_filtered!$D$2:$D$461,"mata",Data_filtered!$J$2:$J$461,"&lt;&gt;Incompleto"))
</f>
        <v>-</v>
      </c>
      <c r="F16" s="109" t="str">
        <f>IF(SUMIFS(Data_filtered!$K$2:$K$461,Data_filtered!$A$2:$A$461,F$1,Data_filtered!$F$2:$F$461,$A16, Data_filtered!$D$2:$D$461,"eucalipto",Data_filtered!$J$2:$J$461,"&lt;&gt;Incompleto")=0, "-", SUMIFS(Data_filtered!$K$2:$K$461,Data_filtered!$A$2:$A$461,F$1,Data_filtered!$F$2:$F$461,$A16, Data_filtered!$D$2:$D$461,"eucalipto",Data_filtered!$J$2:$J$461,"&lt;&gt;Incompleto"))</f>
        <v>-</v>
      </c>
      <c r="G16" s="110" t="str">
        <f>IF(SUMIFS(Data_filtered!$K$2:$K$461,Data_filtered!$A$2:$A$461,F$1,Data_filtered!$F$2:$F$461,$A16, Data_filtered!$D$2:$D$461,"mata",Data_filtered!$J$2:$J$461,"&lt;&gt;Incompleto")=0, "-", SUMIFS(Data_filtered!$K$2:$K$461,Data_filtered!$A$2:$A$461,F$1,Data_filtered!$F$2:$F$461,$A16, Data_filtered!$D$2:$D$461,"mata",Data_filtered!$J$2:$J$461,"&lt;&gt;Incompleto"))
</f>
        <v>-</v>
      </c>
      <c r="H16" s="109" t="str">
        <f>IF(SUMIFS(Data_filtered!$K$2:$K$461,Data_filtered!$A$2:$A$461,H$1,Data_filtered!$F$2:$F$461,$A16, Data_filtered!$D$2:$D$461,"eucalipto",Data_filtered!$J$2:$J$461,"&lt;&gt;Incompleto")=0, "-", SUMIFS(Data_filtered!$K$2:$K$461,Data_filtered!$A$2:$A$461,H$1,Data_filtered!$F$2:$F$461,$A16, Data_filtered!$D$2:$D$461,"eucalipto",Data_filtered!$J$2:$J$461,"&lt;&gt;Incompleto"))</f>
        <v>-</v>
      </c>
      <c r="I16" s="110" t="str">
        <f>IF(SUMIFS(Data_filtered!$K$2:$K$461,Data_filtered!$A$2:$A$461,H$1,Data_filtered!$F$2:$F$461,$A16, Data_filtered!$D$2:$D$461,"mata",Data_filtered!$J$2:$J$461,"&lt;&gt;Incompleto")=0, "-", SUMIFS(Data_filtered!$K$2:$K$461,Data_filtered!$A$2:$A$461,H$1,Data_filtered!$F$2:$F$461,$A16, Data_filtered!$D$2:$D$461,"mata",Data_filtered!$J$2:$J$461,"&lt;&gt;Incompleto"))
</f>
        <v>-</v>
      </c>
      <c r="J16" s="109" t="str">
        <f>IF(SUMIFS(Data_filtered!$K$2:$K$461,Data_filtered!$A$2:$A$461,J$1,Data_filtered!$F$2:$F$461,$A16, Data_filtered!$D$2:$D$461,"eucalipto",Data_filtered!$J$2:$J$461,"&lt;&gt;Incompleto")=0, "-", SUMIFS(Data_filtered!$K$2:$K$461,Data_filtered!$A$2:$A$461,J$1,Data_filtered!$F$2:$F$461,$A16, Data_filtered!$D$2:$D$461,"eucalipto",Data_filtered!$J$2:$J$461,"&lt;&gt;Incompleto"))</f>
        <v>-</v>
      </c>
      <c r="K16" s="110" t="str">
        <f>IF(SUMIFS(Data_filtered!$K$2:$K$461,Data_filtered!$A$2:$A$461,J$1,Data_filtered!$F$2:$F$461,$A16, Data_filtered!$D$2:$D$461,"mata",Data_filtered!$J$2:$J$461,"&lt;&gt;Incompleto")=0, "-", SUMIFS(Data_filtered!$K$2:$K$461,Data_filtered!$A$2:$A$461,J$1,Data_filtered!$F$2:$F$461,$A16, Data_filtered!$D$2:$D$461,"mata",Data_filtered!$J$2:$J$461,"&lt;&gt;Incompleto"))
</f>
        <v>-</v>
      </c>
      <c r="L16" s="109" t="str">
        <f>IF(SUMIFS(Data_filtered!$K$2:$K$461,Data_filtered!$A$2:$A$461,L$1,Data_filtered!$F$2:$F$461,$A16, Data_filtered!$D$2:$D$461,"eucalipto",Data_filtered!$J$2:$J$461,"&lt;&gt;Incompleto")=0, "-", SUMIFS(Data_filtered!$K$2:$K$461,Data_filtered!$A$2:$A$461,L$1,Data_filtered!$F$2:$F$461,$A16, Data_filtered!$D$2:$D$461,"eucalipto",Data_filtered!$J$2:$J$461,"&lt;&gt;Incompleto"))</f>
        <v>-</v>
      </c>
      <c r="M16" s="110" t="str">
        <f>IF(SUMIFS(Data_filtered!$K$2:$K$461,Data_filtered!$A$2:$A$461,L$1,Data_filtered!$F$2:$F$461,$A16, Data_filtered!$D$2:$D$461,"mata",Data_filtered!$J$2:$J$461,"&lt;&gt;Incompleto")=0, "-", SUMIFS(Data_filtered!$K$2:$K$461,Data_filtered!$A$2:$A$461,L$1,Data_filtered!$F$2:$F$461,$A16, Data_filtered!$D$2:$D$461,"mata",Data_filtered!$J$2:$J$461,"&lt;&gt;Incompleto"))
</f>
        <v>-</v>
      </c>
      <c r="N16" s="109" t="str">
        <f>IF(SUMIFS(Data_filtered!$K$2:$K$461,Data_filtered!$A$2:$A$461,N$1,Data_filtered!$F$2:$F$461,$A16, Data_filtered!$D$2:$D$461,"eucalipto",Data_filtered!$J$2:$J$461,"&lt;&gt;Incompleto")=0, "-", SUMIFS(Data_filtered!$K$2:$K$461,Data_filtered!$A$2:$A$461,N$1,Data_filtered!$F$2:$F$461,$A16, Data_filtered!$D$2:$D$461,"eucalipto",Data_filtered!$J$2:$J$461,"&lt;&gt;Incompleto"))</f>
        <v>-</v>
      </c>
      <c r="O16" s="110" t="str">
        <f>IF(SUMIFS(Data_filtered!$K$2:$K$461,Data_filtered!$A$2:$A$461,N$1,Data_filtered!$F$2:$F$461,$A16, Data_filtered!$D$2:$D$461,"mata",Data_filtered!$J$2:$J$461,"&lt;&gt;Incompleto")=0, "-", SUMIFS(Data_filtered!$K$2:$K$461,Data_filtered!$A$2:$A$461,N$1,Data_filtered!$F$2:$F$461,$A16, Data_filtered!$D$2:$D$461,"mata",Data_filtered!$J$2:$J$461,"&lt;&gt;Incompleto"))
</f>
        <v>-</v>
      </c>
      <c r="P16" s="109" t="str">
        <f>IF(SUMIFS(Data_filtered!$K$2:$K$461,Data_filtered!$A$2:$A$461,P$1,Data_filtered!$F$2:$F$461,$A16, Data_filtered!$D$2:$D$461,"eucalipto",Data_filtered!$J$2:$J$461,"&lt;&gt;Incompleto")=0, "-", SUMIFS(Data_filtered!$K$2:$K$461,Data_filtered!$A$2:$A$461,P$1,Data_filtered!$F$2:$F$461,$A16, Data_filtered!$D$2:$D$461,"eucalipto",Data_filtered!$J$2:$J$461,"&lt;&gt;Incompleto"))</f>
        <v>-</v>
      </c>
      <c r="Q16" s="110" t="str">
        <f>IF(SUMIFS(Data_filtered!$K$2:$K$461,Data_filtered!$A$2:$A$461,P$1,Data_filtered!$F$2:$F$461,$A16, Data_filtered!$D$2:$D$461,"mata",Data_filtered!$J$2:$J$461,"&lt;&gt;Incompleto")=0, "-", SUMIFS(Data_filtered!$K$2:$K$461,Data_filtered!$A$2:$A$461,P$1,Data_filtered!$F$2:$F$461,$A16, Data_filtered!$D$2:$D$461,"mata",Data_filtered!$J$2:$J$461,"&lt;&gt;Incompleto"))
</f>
        <v>-</v>
      </c>
      <c r="R16" s="109" t="str">
        <f>IF(SUMIFS(Data_filtered!$K$2:$K$461,Data_filtered!$A$2:$A$461,R$1,Data_filtered!$F$2:$F$461,$A16, Data_filtered!$D$2:$D$461,"eucalipto",Data_filtered!$J$2:$J$461,"&lt;&gt;Incompleto")=0, "-", SUMIFS(Data_filtered!$K$2:$K$461,Data_filtered!$A$2:$A$461,R$1,Data_filtered!$F$2:$F$461,$A16, Data_filtered!$D$2:$D$461,"eucalipto",Data_filtered!$J$2:$J$461,"&lt;&gt;Incompleto"))</f>
        <v>-</v>
      </c>
      <c r="S16" s="110" t="str">
        <f>IF(SUMIFS(Data_filtered!$K$2:$K$461,Data_filtered!$A$2:$A$461,R$1,Data_filtered!$F$2:$F$461,$A16, Data_filtered!$D$2:$D$461,"mata",Data_filtered!$J$2:$J$461,"&lt;&gt;Incompleto")=0, "-", SUMIFS(Data_filtered!$K$2:$K$461,Data_filtered!$A$2:$A$461,R$1,Data_filtered!$F$2:$F$461,$A16, Data_filtered!$D$2:$D$461,"mata",Data_filtered!$J$2:$J$461,"&lt;&gt;Incompleto"))
</f>
        <v>-</v>
      </c>
      <c r="T16" s="109" t="str">
        <f>IF(SUMIFS(Data_filtered!$K$2:$K$461,Data_filtered!$A$2:$A$461,T$1,Data_filtered!$F$2:$F$461,$A16, Data_filtered!$D$2:$D$461,"eucalipto",Data_filtered!$J$2:$J$461,"&lt;&gt;Incompleto")=0, "-", SUMIFS(Data_filtered!$K$2:$K$461,Data_filtered!$A$2:$A$461,T$1,Data_filtered!$F$2:$F$461,$A16, Data_filtered!$D$2:$D$461,"eucalipto",Data_filtered!$J$2:$J$461,"&lt;&gt;Incompleto"))</f>
        <v>-</v>
      </c>
      <c r="U16" s="110" t="str">
        <f>IF(SUMIFS(Data_filtered!$K$2:$K$461,Data_filtered!$A$2:$A$461,T$1,Data_filtered!$F$2:$F$461,$A16, Data_filtered!$D$2:$D$461,"mata",Data_filtered!$J$2:$J$461,"&lt;&gt;Incompleto")=0, "-", SUMIFS(Data_filtered!$K$2:$K$461,Data_filtered!$A$2:$A$461,T$1,Data_filtered!$F$2:$F$461,$A16, Data_filtered!$D$2:$D$461,"mata",Data_filtered!$J$2:$J$461,"&lt;&gt;Incompleto"))
</f>
        <v>-</v>
      </c>
      <c r="V16" s="109" t="str">
        <f>IF(SUMIFS(Data_filtered!$K$2:$K$461,Data_filtered!$A$2:$A$461,V$1,Data_filtered!$F$2:$F$461,$A16, Data_filtered!$D$2:$D$461,"eucalipto",Data_filtered!$J$2:$J$461,"&lt;&gt;Incompleto")=0, "-", SUMIFS(Data_filtered!$K$2:$K$461,Data_filtered!$A$2:$A$461,V$1,Data_filtered!$F$2:$F$461,$A16, Data_filtered!$D$2:$D$461,"eucalipto",Data_filtered!$J$2:$J$461,"&lt;&gt;Incompleto"))</f>
        <v>-</v>
      </c>
      <c r="W16" s="110" t="str">
        <f>IF(SUMIFS(Data_filtered!$K$2:$K$461,Data_filtered!$A$2:$A$461,V$1,Data_filtered!$F$2:$F$461,$A16, Data_filtered!$D$2:$D$461,"mata",Data_filtered!$J$2:$J$461,"&lt;&gt;Incompleto")=0, "-", SUMIFS(Data_filtered!$K$2:$K$461,Data_filtered!$A$2:$A$461,V$1,Data_filtered!$F$2:$F$461,$A16, Data_filtered!$D$2:$D$461,"mata",Data_filtered!$J$2:$J$461,"&lt;&gt;Incompleto"))
</f>
        <v>-</v>
      </c>
      <c r="X16" s="109" t="str">
        <f>IF(SUMIFS(Data_filtered!$K$2:$K$461,Data_filtered!$A$2:$A$461,X$1,Data_filtered!$F$2:$F$461,$A16, Data_filtered!$D$2:$D$461,"eucalipto",Data_filtered!$J$2:$J$461,"&lt;&gt;Incompleto")=0, "-", SUMIFS(Data_filtered!$K$2:$K$461,Data_filtered!$A$2:$A$461,X$1,Data_filtered!$F$2:$F$461,$A16, Data_filtered!$D$2:$D$461,"eucalipto",Data_filtered!$J$2:$J$461,"&lt;&gt;Incompleto"))</f>
        <v>-</v>
      </c>
      <c r="Y16" s="110" t="str">
        <f>IF(SUMIFS(Data_filtered!$K$2:$K$461,Data_filtered!$A$2:$A$461,X$1,Data_filtered!$F$2:$F$461,$A16, Data_filtered!$D$2:$D$461,"mata",Data_filtered!$J$2:$J$461,"&lt;&gt;Incompleto")=0, "-", SUMIFS(Data_filtered!$K$2:$K$461,Data_filtered!$A$2:$A$461,X$1,Data_filtered!$F$2:$F$461,$A16, Data_filtered!$D$2:$D$461,"mata",Data_filtered!$J$2:$J$461,"&lt;&gt;Incompleto"))
</f>
        <v>-</v>
      </c>
      <c r="Z16" s="109" t="str">
        <f>IF(SUMIFS(Data_filtered!$K$2:$K$461,Data_filtered!$A$2:$A$461,Z$1,Data_filtered!$F$2:$F$461,$A16, Data_filtered!$D$2:$D$461,"eucalipto",Data_filtered!$J$2:$J$461,"&lt;&gt;Incompleto")=0, "-", SUMIFS(Data_filtered!$K$2:$K$461,Data_filtered!$A$2:$A$461,Z$1,Data_filtered!$F$2:$F$461,$A16, Data_filtered!$D$2:$D$461,"eucalipto",Data_filtered!$J$2:$J$461,"&lt;&gt;Incompleto"))</f>
        <v>-</v>
      </c>
      <c r="AA16" s="110" t="str">
        <f>IF(SUMIFS(Data_filtered!$K$2:$K$461,Data_filtered!$A$2:$A$461,Z$1,Data_filtered!$F$2:$F$461,$A16, Data_filtered!$D$2:$D$461,"mata",Data_filtered!$J$2:$J$461,"&lt;&gt;Incompleto")=0, "-", SUMIFS(Data_filtered!$K$2:$K$461,Data_filtered!$A$2:$A$461,Z$1,Data_filtered!$F$2:$F$461,$A16, Data_filtered!$D$2:$D$461,"mata",Data_filtered!$J$2:$J$461,"&lt;&gt;Incompleto"))
</f>
        <v>-</v>
      </c>
      <c r="AB16" s="109" t="str">
        <f>IF(SUMIFS(Data_filtered!$K$2:$K$461,Data_filtered!$A$2:$A$461,AB$1,Data_filtered!$F$2:$F$461,$A16, Data_filtered!$D$2:$D$461,"eucalipto",Data_filtered!$J$2:$J$461,"&lt;&gt;Incompleto")=0, "-", SUMIFS(Data_filtered!$K$2:$K$461,Data_filtered!$A$2:$A$461,AB$1,Data_filtered!$F$2:$F$461,$A16, Data_filtered!$D$2:$D$461,"eucalipto",Data_filtered!$J$2:$J$461,"&lt;&gt;Incompleto"))</f>
        <v>-</v>
      </c>
      <c r="AC16" s="110">
        <f>IF(SUMIFS(Data_filtered!$K$2:$K$461,Data_filtered!$A$2:$A$461,AB$1,Data_filtered!$F$2:$F$461,$A16, Data_filtered!$D$2:$D$461,"mata",Data_filtered!$J$2:$J$461,"&lt;&gt;Incompleto")=0, "-", SUMIFS(Data_filtered!$K$2:$K$461,Data_filtered!$A$2:$A$461,AB$1,Data_filtered!$F$2:$F$461,$A16, Data_filtered!$D$2:$D$461,"mata",Data_filtered!$J$2:$J$461,"&lt;&gt;Incompleto"))
</f>
        <v>92.15338451</v>
      </c>
      <c r="AD16" s="109" t="str">
        <f>IF(SUMIFS(Data_filtered!$K$2:$K$461,Data_filtered!$A$2:$A$461,AD$1,Data_filtered!$F$2:$F$461,$A16, Data_filtered!$D$2:$D$461,"eucalipto",Data_filtered!$J$2:$J$461,"&lt;&gt;Incompleto")=0, "-", SUMIFS(Data_filtered!$K$2:$K$461,Data_filtered!$A$2:$A$461,AD$1,Data_filtered!$F$2:$F$461,$A16, Data_filtered!$D$2:$D$461,"eucalipto",Data_filtered!$J$2:$J$461,"&lt;&gt;Incompleto"))</f>
        <v>-</v>
      </c>
      <c r="AE16" s="110" t="str">
        <f>IF(SUMIFS(Data_filtered!$K$2:$K$461,Data_filtered!$A$2:$A$461,AD$1,Data_filtered!$F$2:$F$461,$A16, Data_filtered!$D$2:$D$461,"mata",Data_filtered!$J$2:$J$461,"&lt;&gt;Incompleto")=0, "-", SUMIFS(Data_filtered!$K$2:$K$461,Data_filtered!$A$2:$A$461,AD$1,Data_filtered!$F$2:$F$461,$A16, Data_filtered!$D$2:$D$461,"mata",Data_filtered!$J$2:$J$461,"&lt;&gt;Incompleto"))
</f>
        <v>-</v>
      </c>
      <c r="AF16" s="109" t="str">
        <f>IF(SUMIFS(Data_filtered!$K$2:$K$461,Data_filtered!$A$2:$A$461,AF$1,Data_filtered!$F$2:$F$461,$A16, Data_filtered!$D$2:$D$461,"eucalipto",Data_filtered!$J$2:$J$461,"&lt;&gt;Incompleto")=0, "-", SUMIFS(Data_filtered!$K$2:$K$461,Data_filtered!$A$2:$A$461,AF$1,Data_filtered!$F$2:$F$461,$A16, Data_filtered!$D$2:$D$461,"eucalipto",Data_filtered!$J$2:$J$461,"&lt;&gt;Incompleto"))</f>
        <v>-</v>
      </c>
      <c r="AG16" s="110" t="str">
        <f>IF(SUMIFS(Data_filtered!$K$2:$K$461,Data_filtered!$A$2:$A$461,AF$1,Data_filtered!$F$2:$F$461,$A16, Data_filtered!$D$2:$D$461,"mata",Data_filtered!$J$2:$J$461,"&lt;&gt;Incompleto")=0, "-", SUMIFS(Data_filtered!$K$2:$K$461,Data_filtered!$A$2:$A$461,AF$1,Data_filtered!$F$2:$F$461,$A16, Data_filtered!$D$2:$D$461,"mata",Data_filtered!$J$2:$J$461,"&lt;&gt;Incompleto"))
</f>
        <v>-</v>
      </c>
      <c r="AH16" s="109" t="str">
        <f>IF(SUMIFS(Data_filtered!$K$2:$K$461,Data_filtered!$A$2:$A$461,AH$1,Data_filtered!$F$2:$F$461,$A16, Data_filtered!$D$2:$D$461,"eucalipto",Data_filtered!$J$2:$J$461,"&lt;&gt;Incompleto")=0, "-", SUMIFS(Data_filtered!$K$2:$K$461,Data_filtered!$A$2:$A$461,AH$1,Data_filtered!$F$2:$F$461,$A16, Data_filtered!$D$2:$D$461,"eucalipto",Data_filtered!$J$2:$J$461,"&lt;&gt;Incompleto"))</f>
        <v>-</v>
      </c>
      <c r="AI16" s="110">
        <f>IF(SUMIFS(Data_filtered!$K$2:$K$461,Data_filtered!$A$2:$A$461,AH$1,Data_filtered!$F$2:$F$461,$A16, Data_filtered!$D$2:$D$461,"mata",Data_filtered!$J$2:$J$461,"&lt;&gt;Incompleto")=0, "-", SUMIFS(Data_filtered!$K$2:$K$461,Data_filtered!$A$2:$A$461,AH$1,Data_filtered!$F$2:$F$461,$A16, Data_filtered!$D$2:$D$461,"mata",Data_filtered!$J$2:$J$461,"&lt;&gt;Incompleto"))
</f>
        <v>150.7964474</v>
      </c>
      <c r="AJ16" s="109" t="str">
        <f>IF(SUMIFS(Data_filtered!$K$2:$K$461,Data_filtered!$A$2:$A$461,AJ$1,Data_filtered!$F$2:$F$461,$A16, Data_filtered!$D$2:$D$461,"eucalipto",Data_filtered!$J$2:$J$461,"&lt;&gt;Incompleto")=0, "-", SUMIFS(Data_filtered!$K$2:$K$461,Data_filtered!$A$2:$A$461,AJ$1,Data_filtered!$F$2:$F$461,$A16, Data_filtered!$D$2:$D$461,"eucalipto",Data_filtered!$J$2:$J$461,"&lt;&gt;Incompleto"))</f>
        <v>-</v>
      </c>
      <c r="AK16" s="110">
        <f>IF(SUMIFS(Data_filtered!$K$2:$K$461,Data_filtered!$A$2:$A$461,AJ$1,Data_filtered!$F$2:$F$461,$A16, Data_filtered!$D$2:$D$461,"mata",Data_filtered!$J$2:$J$461,"&lt;&gt;Incompleto")=0, "-", SUMIFS(Data_filtered!$K$2:$K$461,Data_filtered!$A$2:$A$461,AJ$1,Data_filtered!$F$2:$F$461,$A16, Data_filtered!$D$2:$D$461,"mata",Data_filtered!$J$2:$J$461,"&lt;&gt;Incompleto"))
</f>
        <v>289.0265241</v>
      </c>
      <c r="AL16" s="109" t="str">
        <f>IF(SUMIFS(Data_filtered!$K$2:$K$461,Data_filtered!$A$2:$A$461,AL$1,Data_filtered!$F$2:$F$461,$A16, Data_filtered!$D$2:$D$461,"eucalipto",Data_filtered!$J$2:$J$461,"&lt;&gt;Incompleto")=0, "-", SUMIFS(Data_filtered!$K$2:$K$461,Data_filtered!$A$2:$A$461,AL$1,Data_filtered!$F$2:$F$461,$A16, Data_filtered!$D$2:$D$461,"eucalipto",Data_filtered!$J$2:$J$461,"&lt;&gt;Incompleto"))</f>
        <v>-</v>
      </c>
      <c r="AM16" s="110">
        <f>IF(SUMIFS(Data_filtered!$K$2:$K$461,Data_filtered!$A$2:$A$461,AL$1,Data_filtered!$F$2:$F$461,$A16, Data_filtered!$D$2:$D$461,"mata",Data_filtered!$J$2:$J$461,"&lt;&gt;Incompleto")=0, "-", SUMIFS(Data_filtered!$K$2:$K$461,Data_filtered!$A$2:$A$461,AL$1,Data_filtered!$F$2:$F$461,$A16, Data_filtered!$D$2:$D$461,"mata",Data_filtered!$J$2:$J$461,"&lt;&gt;Incompleto"))
</f>
        <v>113.0973355</v>
      </c>
      <c r="AN16" s="109" t="str">
        <f>IF(SUMIFS(Data_filtered!$K$2:$K$461,Data_filtered!$A$2:$A$461,AN$1,Data_filtered!$F$2:$F$461,$A16, Data_filtered!$D$2:$D$461,"eucalipto",Data_filtered!$J$2:$J$461,"&lt;&gt;Incompleto")=0, "-", SUMIFS(Data_filtered!$K$2:$K$461,Data_filtered!$A$2:$A$461,AN$1,Data_filtered!$F$2:$F$461,$A16, Data_filtered!$D$2:$D$461,"eucalipto",Data_filtered!$J$2:$J$461,"&lt;&gt;Incompleto"))</f>
        <v>-</v>
      </c>
      <c r="AO16" s="110" t="str">
        <f>IF(SUMIFS(Data_filtered!$K$2:$K$461,Data_filtered!$A$2:$A$461,AN$1,Data_filtered!$F$2:$F$461,$A16, Data_filtered!$D$2:$D$461,"mata",Data_filtered!$J$2:$J$461,"&lt;&gt;Incompleto")=0, "-", SUMIFS(Data_filtered!$K$2:$K$461,Data_filtered!$A$2:$A$461,AN$1,Data_filtered!$F$2:$F$461,$A16, Data_filtered!$D$2:$D$461,"mata",Data_filtered!$J$2:$J$461,"&lt;&gt;Incompleto"))
</f>
        <v>-</v>
      </c>
      <c r="AP16" s="109" t="str">
        <f>IF(SUMIFS(Data_filtered!$K$2:$K$461,Data_filtered!$A$2:$A$461,AP$1,Data_filtered!$F$2:$F$461,$A16, Data_filtered!$D$2:$D$461,"eucalipto",Data_filtered!$J$2:$J$461,"&lt;&gt;Incompleto")=0, "-", SUMIFS(Data_filtered!$K$2:$K$461,Data_filtered!$A$2:$A$461,AP$1,Data_filtered!$F$2:$F$461,$A16, Data_filtered!$D$2:$D$461,"eucalipto",Data_filtered!$J$2:$J$461,"&lt;&gt;Incompleto"))</f>
        <v>-</v>
      </c>
      <c r="AQ16" s="110" t="str">
        <f>IF(SUMIFS(Data_filtered!$K$2:$K$461,Data_filtered!$A$2:$A$461,AP$1,Data_filtered!$F$2:$F$461,$A16, Data_filtered!$D$2:$D$461,"mata",Data_filtered!$J$2:$J$461,"&lt;&gt;Incompleto")=0, "-", SUMIFS(Data_filtered!$K$2:$K$461,Data_filtered!$A$2:$A$461,AP$1,Data_filtered!$F$2:$F$461,$A16, Data_filtered!$D$2:$D$461,"mata",Data_filtered!$J$2:$J$461,"&lt;&gt;Incompleto"))
</f>
        <v>-</v>
      </c>
      <c r="AR16" s="109" t="str">
        <f>IF(SUMIFS(Data_filtered!$K$2:$K$461,Data_filtered!$A$2:$A$461,AR$1,Data_filtered!$F$2:$F$461,$A16, Data_filtered!$D$2:$D$461,"eucalipto",Data_filtered!$J$2:$J$461,"&lt;&gt;Incompleto")=0, "-", SUMIFS(Data_filtered!$K$2:$K$461,Data_filtered!$A$2:$A$461,AR$1,Data_filtered!$F$2:$F$461,$A16, Data_filtered!$D$2:$D$461,"eucalipto",Data_filtered!$J$2:$J$461,"&lt;&gt;Incompleto"))</f>
        <v>-</v>
      </c>
      <c r="AS16" s="110" t="str">
        <f>IF(SUMIFS(Data_filtered!$K$2:$K$461,Data_filtered!$A$2:$A$461,AR$1,Data_filtered!$F$2:$F$461,$A16, Data_filtered!$D$2:$D$461,"mata",Data_filtered!$J$2:$J$461,"&lt;&gt;Incompleto")=0, "-", SUMIFS(Data_filtered!$K$2:$K$461,Data_filtered!$A$2:$A$461,AR$1,Data_filtered!$F$2:$F$461,$A16, Data_filtered!$D$2:$D$461,"mata",Data_filtered!$J$2:$J$461,"&lt;&gt;Incompleto"))
</f>
        <v>-</v>
      </c>
    </row>
    <row r="17">
      <c r="A17" s="68" t="str">
        <f>IFERROR(__xludf.DUMMYFUNCTION("""COMPUTED_VALUE"""),"Isoptera")</f>
        <v>Isoptera</v>
      </c>
      <c r="B17" s="109" t="str">
        <f>IF(SUMIFS(Data_filtered!$K$2:$K$461,Data_filtered!$A$2:$A$461,B$1,Data_filtered!$F$2:$F$461,$A17, Data_filtered!$D$2:$D$461,"eucalipto",Data_filtered!$J$2:$J$461,"&lt;&gt;Incompleto")=0, "-", SUMIFS(Data_filtered!$K$2:$K$461,Data_filtered!$A$2:$A$461,B$1,Data_filtered!$F$2:$F$461,$A17, Data_filtered!$D$2:$D$461,"eucalipto",Data_filtered!$J$2:$J$461,"&lt;&gt;Incompleto"))</f>
        <v>-</v>
      </c>
      <c r="C17" s="110" t="str">
        <f>IF(SUMIFS(Data_filtered!$K$2:$K$461,Data_filtered!$A$2:$A$461,B$1,Data_filtered!$F$2:$F$461,$A17, Data_filtered!$D$2:$D$461,"mata",Data_filtered!$J$2:$J$461,"&lt;&gt;Incompleto")=0, "-", SUMIFS(Data_filtered!$K$2:$K$461,Data_filtered!$A$2:$A$461,B$1,Data_filtered!$F$2:$F$461,$A17, Data_filtered!$D$2:$D$461,"mata",Data_filtered!$J$2:$J$461,"&lt;&gt;Incompleto"))
</f>
        <v>-</v>
      </c>
      <c r="D17" s="109" t="str">
        <f>IF(SUMIFS(Data_filtered!$K$2:$K$461,Data_filtered!$A$2:$A$461,D$1,Data_filtered!$F$2:$F$461,$A17, Data_filtered!$D$2:$D$461,"eucalipto",Data_filtered!$J$2:$J$461,"&lt;&gt;Incompleto")=0, "-", SUMIFS(Data_filtered!$K$2:$K$461,Data_filtered!$A$2:$A$461,D$1,Data_filtered!$F$2:$F$461,$A17, Data_filtered!$D$2:$D$461,"eucalipto",Data_filtered!$J$2:$J$461,"&lt;&gt;Incompleto"))</f>
        <v>-</v>
      </c>
      <c r="E17" s="110" t="str">
        <f>IF(SUMIFS(Data_filtered!$K$2:$K$461,Data_filtered!$A$2:$A$461,D$1,Data_filtered!$F$2:$F$461,$A17, Data_filtered!$D$2:$D$461,"mata",Data_filtered!$J$2:$J$461,"&lt;&gt;Incompleto")=0, "-", SUMIFS(Data_filtered!$K$2:$K$461,Data_filtered!$A$2:$A$461,D$1,Data_filtered!$F$2:$F$461,$A17, Data_filtered!$D$2:$D$461,"mata",Data_filtered!$J$2:$J$461,"&lt;&gt;Incompleto"))
</f>
        <v>-</v>
      </c>
      <c r="F17" s="109" t="str">
        <f>IF(SUMIFS(Data_filtered!$K$2:$K$461,Data_filtered!$A$2:$A$461,F$1,Data_filtered!$F$2:$F$461,$A17, Data_filtered!$D$2:$D$461,"eucalipto",Data_filtered!$J$2:$J$461,"&lt;&gt;Incompleto")=0, "-", SUMIFS(Data_filtered!$K$2:$K$461,Data_filtered!$A$2:$A$461,F$1,Data_filtered!$F$2:$F$461,$A17, Data_filtered!$D$2:$D$461,"eucalipto",Data_filtered!$J$2:$J$461,"&lt;&gt;Incompleto"))</f>
        <v>-</v>
      </c>
      <c r="G17" s="110" t="str">
        <f>IF(SUMIFS(Data_filtered!$K$2:$K$461,Data_filtered!$A$2:$A$461,F$1,Data_filtered!$F$2:$F$461,$A17, Data_filtered!$D$2:$D$461,"mata",Data_filtered!$J$2:$J$461,"&lt;&gt;Incompleto")=0, "-", SUMIFS(Data_filtered!$K$2:$K$461,Data_filtered!$A$2:$A$461,F$1,Data_filtered!$F$2:$F$461,$A17, Data_filtered!$D$2:$D$461,"mata",Data_filtered!$J$2:$J$461,"&lt;&gt;Incompleto"))
</f>
        <v>-</v>
      </c>
      <c r="H17" s="109" t="str">
        <f>IF(SUMIFS(Data_filtered!$K$2:$K$461,Data_filtered!$A$2:$A$461,H$1,Data_filtered!$F$2:$F$461,$A17, Data_filtered!$D$2:$D$461,"eucalipto",Data_filtered!$J$2:$J$461,"&lt;&gt;Incompleto")=0, "-", SUMIFS(Data_filtered!$K$2:$K$461,Data_filtered!$A$2:$A$461,H$1,Data_filtered!$F$2:$F$461,$A17, Data_filtered!$D$2:$D$461,"eucalipto",Data_filtered!$J$2:$J$461,"&lt;&gt;Incompleto"))</f>
        <v>-</v>
      </c>
      <c r="I17" s="110" t="str">
        <f>IF(SUMIFS(Data_filtered!$K$2:$K$461,Data_filtered!$A$2:$A$461,H$1,Data_filtered!$F$2:$F$461,$A17, Data_filtered!$D$2:$D$461,"mata",Data_filtered!$J$2:$J$461,"&lt;&gt;Incompleto")=0, "-", SUMIFS(Data_filtered!$K$2:$K$461,Data_filtered!$A$2:$A$461,H$1,Data_filtered!$F$2:$F$461,$A17, Data_filtered!$D$2:$D$461,"mata",Data_filtered!$J$2:$J$461,"&lt;&gt;Incompleto"))
</f>
        <v>-</v>
      </c>
      <c r="J17" s="109" t="str">
        <f>IF(SUMIFS(Data_filtered!$K$2:$K$461,Data_filtered!$A$2:$A$461,J$1,Data_filtered!$F$2:$F$461,$A17, Data_filtered!$D$2:$D$461,"eucalipto",Data_filtered!$J$2:$J$461,"&lt;&gt;Incompleto")=0, "-", SUMIFS(Data_filtered!$K$2:$K$461,Data_filtered!$A$2:$A$461,J$1,Data_filtered!$F$2:$F$461,$A17, Data_filtered!$D$2:$D$461,"eucalipto",Data_filtered!$J$2:$J$461,"&lt;&gt;Incompleto"))</f>
        <v>-</v>
      </c>
      <c r="K17" s="110" t="str">
        <f>IF(SUMIFS(Data_filtered!$K$2:$K$461,Data_filtered!$A$2:$A$461,J$1,Data_filtered!$F$2:$F$461,$A17, Data_filtered!$D$2:$D$461,"mata",Data_filtered!$J$2:$J$461,"&lt;&gt;Incompleto")=0, "-", SUMIFS(Data_filtered!$K$2:$K$461,Data_filtered!$A$2:$A$461,J$1,Data_filtered!$F$2:$F$461,$A17, Data_filtered!$D$2:$D$461,"mata",Data_filtered!$J$2:$J$461,"&lt;&gt;Incompleto"))
</f>
        <v>-</v>
      </c>
      <c r="L17" s="109" t="str">
        <f>IF(SUMIFS(Data_filtered!$K$2:$K$461,Data_filtered!$A$2:$A$461,L$1,Data_filtered!$F$2:$F$461,$A17, Data_filtered!$D$2:$D$461,"eucalipto",Data_filtered!$J$2:$J$461,"&lt;&gt;Incompleto")=0, "-", SUMIFS(Data_filtered!$K$2:$K$461,Data_filtered!$A$2:$A$461,L$1,Data_filtered!$F$2:$F$461,$A17, Data_filtered!$D$2:$D$461,"eucalipto",Data_filtered!$J$2:$J$461,"&lt;&gt;Incompleto"))</f>
        <v>-</v>
      </c>
      <c r="M17" s="110">
        <f>IF(SUMIFS(Data_filtered!$K$2:$K$461,Data_filtered!$A$2:$A$461,L$1,Data_filtered!$F$2:$F$461,$A17, Data_filtered!$D$2:$D$461,"mata",Data_filtered!$J$2:$J$461,"&lt;&gt;Incompleto")=0, "-", SUMIFS(Data_filtered!$K$2:$K$461,Data_filtered!$A$2:$A$461,L$1,Data_filtered!$F$2:$F$461,$A17, Data_filtered!$D$2:$D$461,"mata",Data_filtered!$J$2:$J$461,"&lt;&gt;Incompleto"))
</f>
        <v>326.725636</v>
      </c>
      <c r="N17" s="109" t="str">
        <f>IF(SUMIFS(Data_filtered!$K$2:$K$461,Data_filtered!$A$2:$A$461,N$1,Data_filtered!$F$2:$F$461,$A17, Data_filtered!$D$2:$D$461,"eucalipto",Data_filtered!$J$2:$J$461,"&lt;&gt;Incompleto")=0, "-", SUMIFS(Data_filtered!$K$2:$K$461,Data_filtered!$A$2:$A$461,N$1,Data_filtered!$F$2:$F$461,$A17, Data_filtered!$D$2:$D$461,"eucalipto",Data_filtered!$J$2:$J$461,"&lt;&gt;Incompleto"))</f>
        <v>-</v>
      </c>
      <c r="O17" s="110" t="str">
        <f>IF(SUMIFS(Data_filtered!$K$2:$K$461,Data_filtered!$A$2:$A$461,N$1,Data_filtered!$F$2:$F$461,$A17, Data_filtered!$D$2:$D$461,"mata",Data_filtered!$J$2:$J$461,"&lt;&gt;Incompleto")=0, "-", SUMIFS(Data_filtered!$K$2:$K$461,Data_filtered!$A$2:$A$461,N$1,Data_filtered!$F$2:$F$461,$A17, Data_filtered!$D$2:$D$461,"mata",Data_filtered!$J$2:$J$461,"&lt;&gt;Incompleto"))
</f>
        <v>-</v>
      </c>
      <c r="P17" s="109" t="str">
        <f>IF(SUMIFS(Data_filtered!$K$2:$K$461,Data_filtered!$A$2:$A$461,P$1,Data_filtered!$F$2:$F$461,$A17, Data_filtered!$D$2:$D$461,"eucalipto",Data_filtered!$J$2:$J$461,"&lt;&gt;Incompleto")=0, "-", SUMIFS(Data_filtered!$K$2:$K$461,Data_filtered!$A$2:$A$461,P$1,Data_filtered!$F$2:$F$461,$A17, Data_filtered!$D$2:$D$461,"eucalipto",Data_filtered!$J$2:$J$461,"&lt;&gt;Incompleto"))</f>
        <v>-</v>
      </c>
      <c r="Q17" s="110" t="str">
        <f>IF(SUMIFS(Data_filtered!$K$2:$K$461,Data_filtered!$A$2:$A$461,P$1,Data_filtered!$F$2:$F$461,$A17, Data_filtered!$D$2:$D$461,"mata",Data_filtered!$J$2:$J$461,"&lt;&gt;Incompleto")=0, "-", SUMIFS(Data_filtered!$K$2:$K$461,Data_filtered!$A$2:$A$461,P$1,Data_filtered!$F$2:$F$461,$A17, Data_filtered!$D$2:$D$461,"mata",Data_filtered!$J$2:$J$461,"&lt;&gt;Incompleto"))
</f>
        <v>-</v>
      </c>
      <c r="R17" s="109" t="str">
        <f>IF(SUMIFS(Data_filtered!$K$2:$K$461,Data_filtered!$A$2:$A$461,R$1,Data_filtered!$F$2:$F$461,$A17, Data_filtered!$D$2:$D$461,"eucalipto",Data_filtered!$J$2:$J$461,"&lt;&gt;Incompleto")=0, "-", SUMIFS(Data_filtered!$K$2:$K$461,Data_filtered!$A$2:$A$461,R$1,Data_filtered!$F$2:$F$461,$A17, Data_filtered!$D$2:$D$461,"eucalipto",Data_filtered!$J$2:$J$461,"&lt;&gt;Incompleto"))</f>
        <v>-</v>
      </c>
      <c r="S17" s="110" t="str">
        <f>IF(SUMIFS(Data_filtered!$K$2:$K$461,Data_filtered!$A$2:$A$461,R$1,Data_filtered!$F$2:$F$461,$A17, Data_filtered!$D$2:$D$461,"mata",Data_filtered!$J$2:$J$461,"&lt;&gt;Incompleto")=0, "-", SUMIFS(Data_filtered!$K$2:$K$461,Data_filtered!$A$2:$A$461,R$1,Data_filtered!$F$2:$F$461,$A17, Data_filtered!$D$2:$D$461,"mata",Data_filtered!$J$2:$J$461,"&lt;&gt;Incompleto"))
</f>
        <v>-</v>
      </c>
      <c r="T17" s="109" t="str">
        <f>IF(SUMIFS(Data_filtered!$K$2:$K$461,Data_filtered!$A$2:$A$461,T$1,Data_filtered!$F$2:$F$461,$A17, Data_filtered!$D$2:$D$461,"eucalipto",Data_filtered!$J$2:$J$461,"&lt;&gt;Incompleto")=0, "-", SUMIFS(Data_filtered!$K$2:$K$461,Data_filtered!$A$2:$A$461,T$1,Data_filtered!$F$2:$F$461,$A17, Data_filtered!$D$2:$D$461,"eucalipto",Data_filtered!$J$2:$J$461,"&lt;&gt;Incompleto"))</f>
        <v>-</v>
      </c>
      <c r="U17" s="110" t="str">
        <f>IF(SUMIFS(Data_filtered!$K$2:$K$461,Data_filtered!$A$2:$A$461,T$1,Data_filtered!$F$2:$F$461,$A17, Data_filtered!$D$2:$D$461,"mata",Data_filtered!$J$2:$J$461,"&lt;&gt;Incompleto")=0, "-", SUMIFS(Data_filtered!$K$2:$K$461,Data_filtered!$A$2:$A$461,T$1,Data_filtered!$F$2:$F$461,$A17, Data_filtered!$D$2:$D$461,"mata",Data_filtered!$J$2:$J$461,"&lt;&gt;Incompleto"))
</f>
        <v>-</v>
      </c>
      <c r="V17" s="109" t="str">
        <f>IF(SUMIFS(Data_filtered!$K$2:$K$461,Data_filtered!$A$2:$A$461,V$1,Data_filtered!$F$2:$F$461,$A17, Data_filtered!$D$2:$D$461,"eucalipto",Data_filtered!$J$2:$J$461,"&lt;&gt;Incompleto")=0, "-", SUMIFS(Data_filtered!$K$2:$K$461,Data_filtered!$A$2:$A$461,V$1,Data_filtered!$F$2:$F$461,$A17, Data_filtered!$D$2:$D$461,"eucalipto",Data_filtered!$J$2:$J$461,"&lt;&gt;Incompleto"))</f>
        <v>-</v>
      </c>
      <c r="W17" s="110" t="str">
        <f>IF(SUMIFS(Data_filtered!$K$2:$K$461,Data_filtered!$A$2:$A$461,V$1,Data_filtered!$F$2:$F$461,$A17, Data_filtered!$D$2:$D$461,"mata",Data_filtered!$J$2:$J$461,"&lt;&gt;Incompleto")=0, "-", SUMIFS(Data_filtered!$K$2:$K$461,Data_filtered!$A$2:$A$461,V$1,Data_filtered!$F$2:$F$461,$A17, Data_filtered!$D$2:$D$461,"mata",Data_filtered!$J$2:$J$461,"&lt;&gt;Incompleto"))
</f>
        <v>-</v>
      </c>
      <c r="X17" s="109" t="str">
        <f>IF(SUMIFS(Data_filtered!$K$2:$K$461,Data_filtered!$A$2:$A$461,X$1,Data_filtered!$F$2:$F$461,$A17, Data_filtered!$D$2:$D$461,"eucalipto",Data_filtered!$J$2:$J$461,"&lt;&gt;Incompleto")=0, "-", SUMIFS(Data_filtered!$K$2:$K$461,Data_filtered!$A$2:$A$461,X$1,Data_filtered!$F$2:$F$461,$A17, Data_filtered!$D$2:$D$461,"eucalipto",Data_filtered!$J$2:$J$461,"&lt;&gt;Incompleto"))</f>
        <v>-</v>
      </c>
      <c r="Y17" s="110" t="str">
        <f>IF(SUMIFS(Data_filtered!$K$2:$K$461,Data_filtered!$A$2:$A$461,X$1,Data_filtered!$F$2:$F$461,$A17, Data_filtered!$D$2:$D$461,"mata",Data_filtered!$J$2:$J$461,"&lt;&gt;Incompleto")=0, "-", SUMIFS(Data_filtered!$K$2:$K$461,Data_filtered!$A$2:$A$461,X$1,Data_filtered!$F$2:$F$461,$A17, Data_filtered!$D$2:$D$461,"mata",Data_filtered!$J$2:$J$461,"&lt;&gt;Incompleto"))
</f>
        <v>-</v>
      </c>
      <c r="Z17" s="109" t="str">
        <f>IF(SUMIFS(Data_filtered!$K$2:$K$461,Data_filtered!$A$2:$A$461,Z$1,Data_filtered!$F$2:$F$461,$A17, Data_filtered!$D$2:$D$461,"eucalipto",Data_filtered!$J$2:$J$461,"&lt;&gt;Incompleto")=0, "-", SUMIFS(Data_filtered!$K$2:$K$461,Data_filtered!$A$2:$A$461,Z$1,Data_filtered!$F$2:$F$461,$A17, Data_filtered!$D$2:$D$461,"eucalipto",Data_filtered!$J$2:$J$461,"&lt;&gt;Incompleto"))</f>
        <v>-</v>
      </c>
      <c r="AA17" s="110" t="str">
        <f>IF(SUMIFS(Data_filtered!$K$2:$K$461,Data_filtered!$A$2:$A$461,Z$1,Data_filtered!$F$2:$F$461,$A17, Data_filtered!$D$2:$D$461,"mata",Data_filtered!$J$2:$J$461,"&lt;&gt;Incompleto")=0, "-", SUMIFS(Data_filtered!$K$2:$K$461,Data_filtered!$A$2:$A$461,Z$1,Data_filtered!$F$2:$F$461,$A17, Data_filtered!$D$2:$D$461,"mata",Data_filtered!$J$2:$J$461,"&lt;&gt;Incompleto"))
</f>
        <v>-</v>
      </c>
      <c r="AB17" s="109" t="str">
        <f>IF(SUMIFS(Data_filtered!$K$2:$K$461,Data_filtered!$A$2:$A$461,AB$1,Data_filtered!$F$2:$F$461,$A17, Data_filtered!$D$2:$D$461,"eucalipto",Data_filtered!$J$2:$J$461,"&lt;&gt;Incompleto")=0, "-", SUMIFS(Data_filtered!$K$2:$K$461,Data_filtered!$A$2:$A$461,AB$1,Data_filtered!$F$2:$F$461,$A17, Data_filtered!$D$2:$D$461,"eucalipto",Data_filtered!$J$2:$J$461,"&lt;&gt;Incompleto"))</f>
        <v>-</v>
      </c>
      <c r="AC17" s="110" t="str">
        <f>IF(SUMIFS(Data_filtered!$K$2:$K$461,Data_filtered!$A$2:$A$461,AB$1,Data_filtered!$F$2:$F$461,$A17, Data_filtered!$D$2:$D$461,"mata",Data_filtered!$J$2:$J$461,"&lt;&gt;Incompleto")=0, "-", SUMIFS(Data_filtered!$K$2:$K$461,Data_filtered!$A$2:$A$461,AB$1,Data_filtered!$F$2:$F$461,$A17, Data_filtered!$D$2:$D$461,"mata",Data_filtered!$J$2:$J$461,"&lt;&gt;Incompleto"))
</f>
        <v>-</v>
      </c>
      <c r="AD17" s="109" t="str">
        <f>IF(SUMIFS(Data_filtered!$K$2:$K$461,Data_filtered!$A$2:$A$461,AD$1,Data_filtered!$F$2:$F$461,$A17, Data_filtered!$D$2:$D$461,"eucalipto",Data_filtered!$J$2:$J$461,"&lt;&gt;Incompleto")=0, "-", SUMIFS(Data_filtered!$K$2:$K$461,Data_filtered!$A$2:$A$461,AD$1,Data_filtered!$F$2:$F$461,$A17, Data_filtered!$D$2:$D$461,"eucalipto",Data_filtered!$J$2:$J$461,"&lt;&gt;Incompleto"))</f>
        <v>-</v>
      </c>
      <c r="AE17" s="110" t="str">
        <f>IF(SUMIFS(Data_filtered!$K$2:$K$461,Data_filtered!$A$2:$A$461,AD$1,Data_filtered!$F$2:$F$461,$A17, Data_filtered!$D$2:$D$461,"mata",Data_filtered!$J$2:$J$461,"&lt;&gt;Incompleto")=0, "-", SUMIFS(Data_filtered!$K$2:$K$461,Data_filtered!$A$2:$A$461,AD$1,Data_filtered!$F$2:$F$461,$A17, Data_filtered!$D$2:$D$461,"mata",Data_filtered!$J$2:$J$461,"&lt;&gt;Incompleto"))
</f>
        <v>-</v>
      </c>
      <c r="AF17" s="109" t="str">
        <f>IF(SUMIFS(Data_filtered!$K$2:$K$461,Data_filtered!$A$2:$A$461,AF$1,Data_filtered!$F$2:$F$461,$A17, Data_filtered!$D$2:$D$461,"eucalipto",Data_filtered!$J$2:$J$461,"&lt;&gt;Incompleto")=0, "-", SUMIFS(Data_filtered!$K$2:$K$461,Data_filtered!$A$2:$A$461,AF$1,Data_filtered!$F$2:$F$461,$A17, Data_filtered!$D$2:$D$461,"eucalipto",Data_filtered!$J$2:$J$461,"&lt;&gt;Incompleto"))</f>
        <v>-</v>
      </c>
      <c r="AG17" s="110" t="str">
        <f>IF(SUMIFS(Data_filtered!$K$2:$K$461,Data_filtered!$A$2:$A$461,AF$1,Data_filtered!$F$2:$F$461,$A17, Data_filtered!$D$2:$D$461,"mata",Data_filtered!$J$2:$J$461,"&lt;&gt;Incompleto")=0, "-", SUMIFS(Data_filtered!$K$2:$K$461,Data_filtered!$A$2:$A$461,AF$1,Data_filtered!$F$2:$F$461,$A17, Data_filtered!$D$2:$D$461,"mata",Data_filtered!$J$2:$J$461,"&lt;&gt;Incompleto"))
</f>
        <v>-</v>
      </c>
      <c r="AH17" s="109" t="str">
        <f>IF(SUMIFS(Data_filtered!$K$2:$K$461,Data_filtered!$A$2:$A$461,AH$1,Data_filtered!$F$2:$F$461,$A17, Data_filtered!$D$2:$D$461,"eucalipto",Data_filtered!$J$2:$J$461,"&lt;&gt;Incompleto")=0, "-", SUMIFS(Data_filtered!$K$2:$K$461,Data_filtered!$A$2:$A$461,AH$1,Data_filtered!$F$2:$F$461,$A17, Data_filtered!$D$2:$D$461,"eucalipto",Data_filtered!$J$2:$J$461,"&lt;&gt;Incompleto"))</f>
        <v>-</v>
      </c>
      <c r="AI17" s="110" t="str">
        <f>IF(SUMIFS(Data_filtered!$K$2:$K$461,Data_filtered!$A$2:$A$461,AH$1,Data_filtered!$F$2:$F$461,$A17, Data_filtered!$D$2:$D$461,"mata",Data_filtered!$J$2:$J$461,"&lt;&gt;Incompleto")=0, "-", SUMIFS(Data_filtered!$K$2:$K$461,Data_filtered!$A$2:$A$461,AH$1,Data_filtered!$F$2:$F$461,$A17, Data_filtered!$D$2:$D$461,"mata",Data_filtered!$J$2:$J$461,"&lt;&gt;Incompleto"))
</f>
        <v>-</v>
      </c>
      <c r="AJ17" s="109" t="str">
        <f>IF(SUMIFS(Data_filtered!$K$2:$K$461,Data_filtered!$A$2:$A$461,AJ$1,Data_filtered!$F$2:$F$461,$A17, Data_filtered!$D$2:$D$461,"eucalipto",Data_filtered!$J$2:$J$461,"&lt;&gt;Incompleto")=0, "-", SUMIFS(Data_filtered!$K$2:$K$461,Data_filtered!$A$2:$A$461,AJ$1,Data_filtered!$F$2:$F$461,$A17, Data_filtered!$D$2:$D$461,"eucalipto",Data_filtered!$J$2:$J$461,"&lt;&gt;Incompleto"))</f>
        <v>-</v>
      </c>
      <c r="AK17" s="110" t="str">
        <f>IF(SUMIFS(Data_filtered!$K$2:$K$461,Data_filtered!$A$2:$A$461,AJ$1,Data_filtered!$F$2:$F$461,$A17, Data_filtered!$D$2:$D$461,"mata",Data_filtered!$J$2:$J$461,"&lt;&gt;Incompleto")=0, "-", SUMIFS(Data_filtered!$K$2:$K$461,Data_filtered!$A$2:$A$461,AJ$1,Data_filtered!$F$2:$F$461,$A17, Data_filtered!$D$2:$D$461,"mata",Data_filtered!$J$2:$J$461,"&lt;&gt;Incompleto"))
</f>
        <v>-</v>
      </c>
      <c r="AL17" s="109" t="str">
        <f>IF(SUMIFS(Data_filtered!$K$2:$K$461,Data_filtered!$A$2:$A$461,AL$1,Data_filtered!$F$2:$F$461,$A17, Data_filtered!$D$2:$D$461,"eucalipto",Data_filtered!$J$2:$J$461,"&lt;&gt;Incompleto")=0, "-", SUMIFS(Data_filtered!$K$2:$K$461,Data_filtered!$A$2:$A$461,AL$1,Data_filtered!$F$2:$F$461,$A17, Data_filtered!$D$2:$D$461,"eucalipto",Data_filtered!$J$2:$J$461,"&lt;&gt;Incompleto"))</f>
        <v>-</v>
      </c>
      <c r="AM17" s="110" t="str">
        <f>IF(SUMIFS(Data_filtered!$K$2:$K$461,Data_filtered!$A$2:$A$461,AL$1,Data_filtered!$F$2:$F$461,$A17, Data_filtered!$D$2:$D$461,"mata",Data_filtered!$J$2:$J$461,"&lt;&gt;Incompleto")=0, "-", SUMIFS(Data_filtered!$K$2:$K$461,Data_filtered!$A$2:$A$461,AL$1,Data_filtered!$F$2:$F$461,$A17, Data_filtered!$D$2:$D$461,"mata",Data_filtered!$J$2:$J$461,"&lt;&gt;Incompleto"))
</f>
        <v>-</v>
      </c>
      <c r="AN17" s="109" t="str">
        <f>IF(SUMIFS(Data_filtered!$K$2:$K$461,Data_filtered!$A$2:$A$461,AN$1,Data_filtered!$F$2:$F$461,$A17, Data_filtered!$D$2:$D$461,"eucalipto",Data_filtered!$J$2:$J$461,"&lt;&gt;Incompleto")=0, "-", SUMIFS(Data_filtered!$K$2:$K$461,Data_filtered!$A$2:$A$461,AN$1,Data_filtered!$F$2:$F$461,$A17, Data_filtered!$D$2:$D$461,"eucalipto",Data_filtered!$J$2:$J$461,"&lt;&gt;Incompleto"))</f>
        <v>-</v>
      </c>
      <c r="AO17" s="110" t="str">
        <f>IF(SUMIFS(Data_filtered!$K$2:$K$461,Data_filtered!$A$2:$A$461,AN$1,Data_filtered!$F$2:$F$461,$A17, Data_filtered!$D$2:$D$461,"mata",Data_filtered!$J$2:$J$461,"&lt;&gt;Incompleto")=0, "-", SUMIFS(Data_filtered!$K$2:$K$461,Data_filtered!$A$2:$A$461,AN$1,Data_filtered!$F$2:$F$461,$A17, Data_filtered!$D$2:$D$461,"mata",Data_filtered!$J$2:$J$461,"&lt;&gt;Incompleto"))
</f>
        <v>-</v>
      </c>
      <c r="AP17" s="109" t="str">
        <f>IF(SUMIFS(Data_filtered!$K$2:$K$461,Data_filtered!$A$2:$A$461,AP$1,Data_filtered!$F$2:$F$461,$A17, Data_filtered!$D$2:$D$461,"eucalipto",Data_filtered!$J$2:$J$461,"&lt;&gt;Incompleto")=0, "-", SUMIFS(Data_filtered!$K$2:$K$461,Data_filtered!$A$2:$A$461,AP$1,Data_filtered!$F$2:$F$461,$A17, Data_filtered!$D$2:$D$461,"eucalipto",Data_filtered!$J$2:$J$461,"&lt;&gt;Incompleto"))</f>
        <v>-</v>
      </c>
      <c r="AQ17" s="110" t="str">
        <f>IF(SUMIFS(Data_filtered!$K$2:$K$461,Data_filtered!$A$2:$A$461,AP$1,Data_filtered!$F$2:$F$461,$A17, Data_filtered!$D$2:$D$461,"mata",Data_filtered!$J$2:$J$461,"&lt;&gt;Incompleto")=0, "-", SUMIFS(Data_filtered!$K$2:$K$461,Data_filtered!$A$2:$A$461,AP$1,Data_filtered!$F$2:$F$461,$A17, Data_filtered!$D$2:$D$461,"mata",Data_filtered!$J$2:$J$461,"&lt;&gt;Incompleto"))
</f>
        <v>-</v>
      </c>
      <c r="AR17" s="109" t="str">
        <f>IF(SUMIFS(Data_filtered!$K$2:$K$461,Data_filtered!$A$2:$A$461,AR$1,Data_filtered!$F$2:$F$461,$A17, Data_filtered!$D$2:$D$461,"eucalipto",Data_filtered!$J$2:$J$461,"&lt;&gt;Incompleto")=0, "-", SUMIFS(Data_filtered!$K$2:$K$461,Data_filtered!$A$2:$A$461,AR$1,Data_filtered!$F$2:$F$461,$A17, Data_filtered!$D$2:$D$461,"eucalipto",Data_filtered!$J$2:$J$461,"&lt;&gt;Incompleto"))</f>
        <v>-</v>
      </c>
      <c r="AS17" s="110" t="str">
        <f>IF(SUMIFS(Data_filtered!$K$2:$K$461,Data_filtered!$A$2:$A$461,AR$1,Data_filtered!$F$2:$F$461,$A17, Data_filtered!$D$2:$D$461,"mata",Data_filtered!$J$2:$J$461,"&lt;&gt;Incompleto")=0, "-", SUMIFS(Data_filtered!$K$2:$K$461,Data_filtered!$A$2:$A$461,AR$1,Data_filtered!$F$2:$F$461,$A17, Data_filtered!$D$2:$D$461,"mata",Data_filtered!$J$2:$J$461,"&lt;&gt;Incompleto"))
</f>
        <v>-</v>
      </c>
    </row>
    <row r="18">
      <c r="A18" s="68" t="str">
        <f>IFERROR(__xludf.DUMMYFUNCTION("""COMPUTED_VALUE"""),"Larva")</f>
        <v>Larva</v>
      </c>
      <c r="B18" s="109" t="str">
        <f>IF(SUMIFS(Data_filtered!$K$2:$K$461,Data_filtered!$A$2:$A$461,B$1,Data_filtered!$F$2:$F$461,$A18, Data_filtered!$D$2:$D$461,"eucalipto",Data_filtered!$J$2:$J$461,"&lt;&gt;Incompleto")=0, "-", SUMIFS(Data_filtered!$K$2:$K$461,Data_filtered!$A$2:$A$461,B$1,Data_filtered!$F$2:$F$461,$A18, Data_filtered!$D$2:$D$461,"eucalipto",Data_filtered!$J$2:$J$461,"&lt;&gt;Incompleto"))</f>
        <v>-</v>
      </c>
      <c r="C18" s="110" t="str">
        <f>IF(SUMIFS(Data_filtered!$K$2:$K$461,Data_filtered!$A$2:$A$461,B$1,Data_filtered!$F$2:$F$461,$A18, Data_filtered!$D$2:$D$461,"mata",Data_filtered!$J$2:$J$461,"&lt;&gt;Incompleto")=0, "-", SUMIFS(Data_filtered!$K$2:$K$461,Data_filtered!$A$2:$A$461,B$1,Data_filtered!$F$2:$F$461,$A18, Data_filtered!$D$2:$D$461,"mata",Data_filtered!$J$2:$J$461,"&lt;&gt;Incompleto"))
</f>
        <v>-</v>
      </c>
      <c r="D18" s="109" t="str">
        <f>IF(SUMIFS(Data_filtered!$K$2:$K$461,Data_filtered!$A$2:$A$461,D$1,Data_filtered!$F$2:$F$461,$A18, Data_filtered!$D$2:$D$461,"eucalipto",Data_filtered!$J$2:$J$461,"&lt;&gt;Incompleto")=0, "-", SUMIFS(Data_filtered!$K$2:$K$461,Data_filtered!$A$2:$A$461,D$1,Data_filtered!$F$2:$F$461,$A18, Data_filtered!$D$2:$D$461,"eucalipto",Data_filtered!$J$2:$J$461,"&lt;&gt;Incompleto"))</f>
        <v>-</v>
      </c>
      <c r="E18" s="110" t="str">
        <f>IF(SUMIFS(Data_filtered!$K$2:$K$461,Data_filtered!$A$2:$A$461,D$1,Data_filtered!$F$2:$F$461,$A18, Data_filtered!$D$2:$D$461,"mata",Data_filtered!$J$2:$J$461,"&lt;&gt;Incompleto")=0, "-", SUMIFS(Data_filtered!$K$2:$K$461,Data_filtered!$A$2:$A$461,D$1,Data_filtered!$F$2:$F$461,$A18, Data_filtered!$D$2:$D$461,"mata",Data_filtered!$J$2:$J$461,"&lt;&gt;Incompleto"))
</f>
        <v>-</v>
      </c>
      <c r="F18" s="109" t="str">
        <f>IF(SUMIFS(Data_filtered!$K$2:$K$461,Data_filtered!$A$2:$A$461,F$1,Data_filtered!$F$2:$F$461,$A18, Data_filtered!$D$2:$D$461,"eucalipto",Data_filtered!$J$2:$J$461,"&lt;&gt;Incompleto")=0, "-", SUMIFS(Data_filtered!$K$2:$K$461,Data_filtered!$A$2:$A$461,F$1,Data_filtered!$F$2:$F$461,$A18, Data_filtered!$D$2:$D$461,"eucalipto",Data_filtered!$J$2:$J$461,"&lt;&gt;Incompleto"))</f>
        <v>-</v>
      </c>
      <c r="G18" s="110" t="str">
        <f>IF(SUMIFS(Data_filtered!$K$2:$K$461,Data_filtered!$A$2:$A$461,F$1,Data_filtered!$F$2:$F$461,$A18, Data_filtered!$D$2:$D$461,"mata",Data_filtered!$J$2:$J$461,"&lt;&gt;Incompleto")=0, "-", SUMIFS(Data_filtered!$K$2:$K$461,Data_filtered!$A$2:$A$461,F$1,Data_filtered!$F$2:$F$461,$A18, Data_filtered!$D$2:$D$461,"mata",Data_filtered!$J$2:$J$461,"&lt;&gt;Incompleto"))
</f>
        <v>-</v>
      </c>
      <c r="H18" s="109" t="str">
        <f>IF(SUMIFS(Data_filtered!$K$2:$K$461,Data_filtered!$A$2:$A$461,H$1,Data_filtered!$F$2:$F$461,$A18, Data_filtered!$D$2:$D$461,"eucalipto",Data_filtered!$J$2:$J$461,"&lt;&gt;Incompleto")=0, "-", SUMIFS(Data_filtered!$K$2:$K$461,Data_filtered!$A$2:$A$461,H$1,Data_filtered!$F$2:$F$461,$A18, Data_filtered!$D$2:$D$461,"eucalipto",Data_filtered!$J$2:$J$461,"&lt;&gt;Incompleto"))</f>
        <v>-</v>
      </c>
      <c r="I18" s="110" t="str">
        <f>IF(SUMIFS(Data_filtered!$K$2:$K$461,Data_filtered!$A$2:$A$461,H$1,Data_filtered!$F$2:$F$461,$A18, Data_filtered!$D$2:$D$461,"mata",Data_filtered!$J$2:$J$461,"&lt;&gt;Incompleto")=0, "-", SUMIFS(Data_filtered!$K$2:$K$461,Data_filtered!$A$2:$A$461,H$1,Data_filtered!$F$2:$F$461,$A18, Data_filtered!$D$2:$D$461,"mata",Data_filtered!$J$2:$J$461,"&lt;&gt;Incompleto"))
</f>
        <v>-</v>
      </c>
      <c r="J18" s="109" t="str">
        <f>IF(SUMIFS(Data_filtered!$K$2:$K$461,Data_filtered!$A$2:$A$461,J$1,Data_filtered!$F$2:$F$461,$A18, Data_filtered!$D$2:$D$461,"eucalipto",Data_filtered!$J$2:$J$461,"&lt;&gt;Incompleto")=0, "-", SUMIFS(Data_filtered!$K$2:$K$461,Data_filtered!$A$2:$A$461,J$1,Data_filtered!$F$2:$F$461,$A18, Data_filtered!$D$2:$D$461,"eucalipto",Data_filtered!$J$2:$J$461,"&lt;&gt;Incompleto"))</f>
        <v>-</v>
      </c>
      <c r="K18" s="110" t="str">
        <f>IF(SUMIFS(Data_filtered!$K$2:$K$461,Data_filtered!$A$2:$A$461,J$1,Data_filtered!$F$2:$F$461,$A18, Data_filtered!$D$2:$D$461,"mata",Data_filtered!$J$2:$J$461,"&lt;&gt;Incompleto")=0, "-", SUMIFS(Data_filtered!$K$2:$K$461,Data_filtered!$A$2:$A$461,J$1,Data_filtered!$F$2:$F$461,$A18, Data_filtered!$D$2:$D$461,"mata",Data_filtered!$J$2:$J$461,"&lt;&gt;Incompleto"))
</f>
        <v>-</v>
      </c>
      <c r="L18" s="109" t="str">
        <f>IF(SUMIFS(Data_filtered!$K$2:$K$461,Data_filtered!$A$2:$A$461,L$1,Data_filtered!$F$2:$F$461,$A18, Data_filtered!$D$2:$D$461,"eucalipto",Data_filtered!$J$2:$J$461,"&lt;&gt;Incompleto")=0, "-", SUMIFS(Data_filtered!$K$2:$K$461,Data_filtered!$A$2:$A$461,L$1,Data_filtered!$F$2:$F$461,$A18, Data_filtered!$D$2:$D$461,"eucalipto",Data_filtered!$J$2:$J$461,"&lt;&gt;Incompleto"))</f>
        <v>-</v>
      </c>
      <c r="M18" s="110" t="str">
        <f>IF(SUMIFS(Data_filtered!$K$2:$K$461,Data_filtered!$A$2:$A$461,L$1,Data_filtered!$F$2:$F$461,$A18, Data_filtered!$D$2:$D$461,"mata",Data_filtered!$J$2:$J$461,"&lt;&gt;Incompleto")=0, "-", SUMIFS(Data_filtered!$K$2:$K$461,Data_filtered!$A$2:$A$461,L$1,Data_filtered!$F$2:$F$461,$A18, Data_filtered!$D$2:$D$461,"mata",Data_filtered!$J$2:$J$461,"&lt;&gt;Incompleto"))
</f>
        <v>-</v>
      </c>
      <c r="N18" s="109" t="str">
        <f>IF(SUMIFS(Data_filtered!$K$2:$K$461,Data_filtered!$A$2:$A$461,N$1,Data_filtered!$F$2:$F$461,$A18, Data_filtered!$D$2:$D$461,"eucalipto",Data_filtered!$J$2:$J$461,"&lt;&gt;Incompleto")=0, "-", SUMIFS(Data_filtered!$K$2:$K$461,Data_filtered!$A$2:$A$461,N$1,Data_filtered!$F$2:$F$461,$A18, Data_filtered!$D$2:$D$461,"eucalipto",Data_filtered!$J$2:$J$461,"&lt;&gt;Incompleto"))</f>
        <v>-</v>
      </c>
      <c r="O18" s="110" t="str">
        <f>IF(SUMIFS(Data_filtered!$K$2:$K$461,Data_filtered!$A$2:$A$461,N$1,Data_filtered!$F$2:$F$461,$A18, Data_filtered!$D$2:$D$461,"mata",Data_filtered!$J$2:$J$461,"&lt;&gt;Incompleto")=0, "-", SUMIFS(Data_filtered!$K$2:$K$461,Data_filtered!$A$2:$A$461,N$1,Data_filtered!$F$2:$F$461,$A18, Data_filtered!$D$2:$D$461,"mata",Data_filtered!$J$2:$J$461,"&lt;&gt;Incompleto"))
</f>
        <v>-</v>
      </c>
      <c r="P18" s="109" t="str">
        <f>IF(SUMIFS(Data_filtered!$K$2:$K$461,Data_filtered!$A$2:$A$461,P$1,Data_filtered!$F$2:$F$461,$A18, Data_filtered!$D$2:$D$461,"eucalipto",Data_filtered!$J$2:$J$461,"&lt;&gt;Incompleto")=0, "-", SUMIFS(Data_filtered!$K$2:$K$461,Data_filtered!$A$2:$A$461,P$1,Data_filtered!$F$2:$F$461,$A18, Data_filtered!$D$2:$D$461,"eucalipto",Data_filtered!$J$2:$J$461,"&lt;&gt;Incompleto"))</f>
        <v>-</v>
      </c>
      <c r="Q18" s="110" t="str">
        <f>IF(SUMIFS(Data_filtered!$K$2:$K$461,Data_filtered!$A$2:$A$461,P$1,Data_filtered!$F$2:$F$461,$A18, Data_filtered!$D$2:$D$461,"mata",Data_filtered!$J$2:$J$461,"&lt;&gt;Incompleto")=0, "-", SUMIFS(Data_filtered!$K$2:$K$461,Data_filtered!$A$2:$A$461,P$1,Data_filtered!$F$2:$F$461,$A18, Data_filtered!$D$2:$D$461,"mata",Data_filtered!$J$2:$J$461,"&lt;&gt;Incompleto"))
</f>
        <v>-</v>
      </c>
      <c r="R18" s="109" t="str">
        <f>IF(SUMIFS(Data_filtered!$K$2:$K$461,Data_filtered!$A$2:$A$461,R$1,Data_filtered!$F$2:$F$461,$A18, Data_filtered!$D$2:$D$461,"eucalipto",Data_filtered!$J$2:$J$461,"&lt;&gt;Incompleto")=0, "-", SUMIFS(Data_filtered!$K$2:$K$461,Data_filtered!$A$2:$A$461,R$1,Data_filtered!$F$2:$F$461,$A18, Data_filtered!$D$2:$D$461,"eucalipto",Data_filtered!$J$2:$J$461,"&lt;&gt;Incompleto"))</f>
        <v>-</v>
      </c>
      <c r="S18" s="110" t="str">
        <f>IF(SUMIFS(Data_filtered!$K$2:$K$461,Data_filtered!$A$2:$A$461,R$1,Data_filtered!$F$2:$F$461,$A18, Data_filtered!$D$2:$D$461,"mata",Data_filtered!$J$2:$J$461,"&lt;&gt;Incompleto")=0, "-", SUMIFS(Data_filtered!$K$2:$K$461,Data_filtered!$A$2:$A$461,R$1,Data_filtered!$F$2:$F$461,$A18, Data_filtered!$D$2:$D$461,"mata",Data_filtered!$J$2:$J$461,"&lt;&gt;Incompleto"))
</f>
        <v>-</v>
      </c>
      <c r="T18" s="109" t="str">
        <f>IF(SUMIFS(Data_filtered!$K$2:$K$461,Data_filtered!$A$2:$A$461,T$1,Data_filtered!$F$2:$F$461,$A18, Data_filtered!$D$2:$D$461,"eucalipto",Data_filtered!$J$2:$J$461,"&lt;&gt;Incompleto")=0, "-", SUMIFS(Data_filtered!$K$2:$K$461,Data_filtered!$A$2:$A$461,T$1,Data_filtered!$F$2:$F$461,$A18, Data_filtered!$D$2:$D$461,"eucalipto",Data_filtered!$J$2:$J$461,"&lt;&gt;Incompleto"))</f>
        <v>-</v>
      </c>
      <c r="U18" s="110" t="str">
        <f>IF(SUMIFS(Data_filtered!$K$2:$K$461,Data_filtered!$A$2:$A$461,T$1,Data_filtered!$F$2:$F$461,$A18, Data_filtered!$D$2:$D$461,"mata",Data_filtered!$J$2:$J$461,"&lt;&gt;Incompleto")=0, "-", SUMIFS(Data_filtered!$K$2:$K$461,Data_filtered!$A$2:$A$461,T$1,Data_filtered!$F$2:$F$461,$A18, Data_filtered!$D$2:$D$461,"mata",Data_filtered!$J$2:$J$461,"&lt;&gt;Incompleto"))
</f>
        <v>-</v>
      </c>
      <c r="V18" s="109" t="str">
        <f>IF(SUMIFS(Data_filtered!$K$2:$K$461,Data_filtered!$A$2:$A$461,V$1,Data_filtered!$F$2:$F$461,$A18, Data_filtered!$D$2:$D$461,"eucalipto",Data_filtered!$J$2:$J$461,"&lt;&gt;Incompleto")=0, "-", SUMIFS(Data_filtered!$K$2:$K$461,Data_filtered!$A$2:$A$461,V$1,Data_filtered!$F$2:$F$461,$A18, Data_filtered!$D$2:$D$461,"eucalipto",Data_filtered!$J$2:$J$461,"&lt;&gt;Incompleto"))</f>
        <v>-</v>
      </c>
      <c r="W18" s="110" t="str">
        <f>IF(SUMIFS(Data_filtered!$K$2:$K$461,Data_filtered!$A$2:$A$461,V$1,Data_filtered!$F$2:$F$461,$A18, Data_filtered!$D$2:$D$461,"mata",Data_filtered!$J$2:$J$461,"&lt;&gt;Incompleto")=0, "-", SUMIFS(Data_filtered!$K$2:$K$461,Data_filtered!$A$2:$A$461,V$1,Data_filtered!$F$2:$F$461,$A18, Data_filtered!$D$2:$D$461,"mata",Data_filtered!$J$2:$J$461,"&lt;&gt;Incompleto"))
</f>
        <v>-</v>
      </c>
      <c r="X18" s="109" t="str">
        <f>IF(SUMIFS(Data_filtered!$K$2:$K$461,Data_filtered!$A$2:$A$461,X$1,Data_filtered!$F$2:$F$461,$A18, Data_filtered!$D$2:$D$461,"eucalipto",Data_filtered!$J$2:$J$461,"&lt;&gt;Incompleto")=0, "-", SUMIFS(Data_filtered!$K$2:$K$461,Data_filtered!$A$2:$A$461,X$1,Data_filtered!$F$2:$F$461,$A18, Data_filtered!$D$2:$D$461,"eucalipto",Data_filtered!$J$2:$J$461,"&lt;&gt;Incompleto"))</f>
        <v>-</v>
      </c>
      <c r="Y18" s="110" t="str">
        <f>IF(SUMIFS(Data_filtered!$K$2:$K$461,Data_filtered!$A$2:$A$461,X$1,Data_filtered!$F$2:$F$461,$A18, Data_filtered!$D$2:$D$461,"mata",Data_filtered!$J$2:$J$461,"&lt;&gt;Incompleto")=0, "-", SUMIFS(Data_filtered!$K$2:$K$461,Data_filtered!$A$2:$A$461,X$1,Data_filtered!$F$2:$F$461,$A18, Data_filtered!$D$2:$D$461,"mata",Data_filtered!$J$2:$J$461,"&lt;&gt;Incompleto"))
</f>
        <v>-</v>
      </c>
      <c r="Z18" s="109" t="str">
        <f>IF(SUMIFS(Data_filtered!$K$2:$K$461,Data_filtered!$A$2:$A$461,Z$1,Data_filtered!$F$2:$F$461,$A18, Data_filtered!$D$2:$D$461,"eucalipto",Data_filtered!$J$2:$J$461,"&lt;&gt;Incompleto")=0, "-", SUMIFS(Data_filtered!$K$2:$K$461,Data_filtered!$A$2:$A$461,Z$1,Data_filtered!$F$2:$F$461,$A18, Data_filtered!$D$2:$D$461,"eucalipto",Data_filtered!$J$2:$J$461,"&lt;&gt;Incompleto"))</f>
        <v>-</v>
      </c>
      <c r="AA18" s="110" t="str">
        <f>IF(SUMIFS(Data_filtered!$K$2:$K$461,Data_filtered!$A$2:$A$461,Z$1,Data_filtered!$F$2:$F$461,$A18, Data_filtered!$D$2:$D$461,"mata",Data_filtered!$J$2:$J$461,"&lt;&gt;Incompleto")=0, "-", SUMIFS(Data_filtered!$K$2:$K$461,Data_filtered!$A$2:$A$461,Z$1,Data_filtered!$F$2:$F$461,$A18, Data_filtered!$D$2:$D$461,"mata",Data_filtered!$J$2:$J$461,"&lt;&gt;Incompleto"))
</f>
        <v>-</v>
      </c>
      <c r="AB18" s="109" t="str">
        <f>IF(SUMIFS(Data_filtered!$K$2:$K$461,Data_filtered!$A$2:$A$461,AB$1,Data_filtered!$F$2:$F$461,$A18, Data_filtered!$D$2:$D$461,"eucalipto",Data_filtered!$J$2:$J$461,"&lt;&gt;Incompleto")=0, "-", SUMIFS(Data_filtered!$K$2:$K$461,Data_filtered!$A$2:$A$461,AB$1,Data_filtered!$F$2:$F$461,$A18, Data_filtered!$D$2:$D$461,"eucalipto",Data_filtered!$J$2:$J$461,"&lt;&gt;Incompleto"))</f>
        <v>-</v>
      </c>
      <c r="AC18" s="110" t="str">
        <f>IF(SUMIFS(Data_filtered!$K$2:$K$461,Data_filtered!$A$2:$A$461,AB$1,Data_filtered!$F$2:$F$461,$A18, Data_filtered!$D$2:$D$461,"mata",Data_filtered!$J$2:$J$461,"&lt;&gt;Incompleto")=0, "-", SUMIFS(Data_filtered!$K$2:$K$461,Data_filtered!$A$2:$A$461,AB$1,Data_filtered!$F$2:$F$461,$A18, Data_filtered!$D$2:$D$461,"mata",Data_filtered!$J$2:$J$461,"&lt;&gt;Incompleto"))
</f>
        <v>-</v>
      </c>
      <c r="AD18" s="109" t="str">
        <f>IF(SUMIFS(Data_filtered!$K$2:$K$461,Data_filtered!$A$2:$A$461,AD$1,Data_filtered!$F$2:$F$461,$A18, Data_filtered!$D$2:$D$461,"eucalipto",Data_filtered!$J$2:$J$461,"&lt;&gt;Incompleto")=0, "-", SUMIFS(Data_filtered!$K$2:$K$461,Data_filtered!$A$2:$A$461,AD$1,Data_filtered!$F$2:$F$461,$A18, Data_filtered!$D$2:$D$461,"eucalipto",Data_filtered!$J$2:$J$461,"&lt;&gt;Incompleto"))</f>
        <v>-</v>
      </c>
      <c r="AE18" s="110" t="str">
        <f>IF(SUMIFS(Data_filtered!$K$2:$K$461,Data_filtered!$A$2:$A$461,AD$1,Data_filtered!$F$2:$F$461,$A18, Data_filtered!$D$2:$D$461,"mata",Data_filtered!$J$2:$J$461,"&lt;&gt;Incompleto")=0, "-", SUMIFS(Data_filtered!$K$2:$K$461,Data_filtered!$A$2:$A$461,AD$1,Data_filtered!$F$2:$F$461,$A18, Data_filtered!$D$2:$D$461,"mata",Data_filtered!$J$2:$J$461,"&lt;&gt;Incompleto"))
</f>
        <v>-</v>
      </c>
      <c r="AF18" s="109" t="str">
        <f>IF(SUMIFS(Data_filtered!$K$2:$K$461,Data_filtered!$A$2:$A$461,AF$1,Data_filtered!$F$2:$F$461,$A18, Data_filtered!$D$2:$D$461,"eucalipto",Data_filtered!$J$2:$J$461,"&lt;&gt;Incompleto")=0, "-", SUMIFS(Data_filtered!$K$2:$K$461,Data_filtered!$A$2:$A$461,AF$1,Data_filtered!$F$2:$F$461,$A18, Data_filtered!$D$2:$D$461,"eucalipto",Data_filtered!$J$2:$J$461,"&lt;&gt;Incompleto"))</f>
        <v>-</v>
      </c>
      <c r="AG18" s="110" t="str">
        <f>IF(SUMIFS(Data_filtered!$K$2:$K$461,Data_filtered!$A$2:$A$461,AF$1,Data_filtered!$F$2:$F$461,$A18, Data_filtered!$D$2:$D$461,"mata",Data_filtered!$J$2:$J$461,"&lt;&gt;Incompleto")=0, "-", SUMIFS(Data_filtered!$K$2:$K$461,Data_filtered!$A$2:$A$461,AF$1,Data_filtered!$F$2:$F$461,$A18, Data_filtered!$D$2:$D$461,"mata",Data_filtered!$J$2:$J$461,"&lt;&gt;Incompleto"))
</f>
        <v>-</v>
      </c>
      <c r="AH18" s="109" t="str">
        <f>IF(SUMIFS(Data_filtered!$K$2:$K$461,Data_filtered!$A$2:$A$461,AH$1,Data_filtered!$F$2:$F$461,$A18, Data_filtered!$D$2:$D$461,"eucalipto",Data_filtered!$J$2:$J$461,"&lt;&gt;Incompleto")=0, "-", SUMIFS(Data_filtered!$K$2:$K$461,Data_filtered!$A$2:$A$461,AH$1,Data_filtered!$F$2:$F$461,$A18, Data_filtered!$D$2:$D$461,"eucalipto",Data_filtered!$J$2:$J$461,"&lt;&gt;Incompleto"))</f>
        <v>-</v>
      </c>
      <c r="AI18" s="110" t="str">
        <f>IF(SUMIFS(Data_filtered!$K$2:$K$461,Data_filtered!$A$2:$A$461,AH$1,Data_filtered!$F$2:$F$461,$A18, Data_filtered!$D$2:$D$461,"mata",Data_filtered!$J$2:$J$461,"&lt;&gt;Incompleto")=0, "-", SUMIFS(Data_filtered!$K$2:$K$461,Data_filtered!$A$2:$A$461,AH$1,Data_filtered!$F$2:$F$461,$A18, Data_filtered!$D$2:$D$461,"mata",Data_filtered!$J$2:$J$461,"&lt;&gt;Incompleto"))
</f>
        <v>-</v>
      </c>
      <c r="AJ18" s="109" t="str">
        <f>IF(SUMIFS(Data_filtered!$K$2:$K$461,Data_filtered!$A$2:$A$461,AJ$1,Data_filtered!$F$2:$F$461,$A18, Data_filtered!$D$2:$D$461,"eucalipto",Data_filtered!$J$2:$J$461,"&lt;&gt;Incompleto")=0, "-", SUMIFS(Data_filtered!$K$2:$K$461,Data_filtered!$A$2:$A$461,AJ$1,Data_filtered!$F$2:$F$461,$A18, Data_filtered!$D$2:$D$461,"eucalipto",Data_filtered!$J$2:$J$461,"&lt;&gt;Incompleto"))</f>
        <v>-</v>
      </c>
      <c r="AK18" s="110" t="str">
        <f>IF(SUMIFS(Data_filtered!$K$2:$K$461,Data_filtered!$A$2:$A$461,AJ$1,Data_filtered!$F$2:$F$461,$A18, Data_filtered!$D$2:$D$461,"mata",Data_filtered!$J$2:$J$461,"&lt;&gt;Incompleto")=0, "-", SUMIFS(Data_filtered!$K$2:$K$461,Data_filtered!$A$2:$A$461,AJ$1,Data_filtered!$F$2:$F$461,$A18, Data_filtered!$D$2:$D$461,"mata",Data_filtered!$J$2:$J$461,"&lt;&gt;Incompleto"))
</f>
        <v>-</v>
      </c>
      <c r="AL18" s="109" t="str">
        <f>IF(SUMIFS(Data_filtered!$K$2:$K$461,Data_filtered!$A$2:$A$461,AL$1,Data_filtered!$F$2:$F$461,$A18, Data_filtered!$D$2:$D$461,"eucalipto",Data_filtered!$J$2:$J$461,"&lt;&gt;Incompleto")=0, "-", SUMIFS(Data_filtered!$K$2:$K$461,Data_filtered!$A$2:$A$461,AL$1,Data_filtered!$F$2:$F$461,$A18, Data_filtered!$D$2:$D$461,"eucalipto",Data_filtered!$J$2:$J$461,"&lt;&gt;Incompleto"))</f>
        <v>-</v>
      </c>
      <c r="AM18" s="110">
        <f>IF(SUMIFS(Data_filtered!$K$2:$K$461,Data_filtered!$A$2:$A$461,AL$1,Data_filtered!$F$2:$F$461,$A18, Data_filtered!$D$2:$D$461,"mata",Data_filtered!$J$2:$J$461,"&lt;&gt;Incompleto")=0, "-", SUMIFS(Data_filtered!$K$2:$K$461,Data_filtered!$A$2:$A$461,AL$1,Data_filtered!$F$2:$F$461,$A18, Data_filtered!$D$2:$D$461,"mata",Data_filtered!$J$2:$J$461,"&lt;&gt;Incompleto"))
</f>
        <v>167.5516082</v>
      </c>
      <c r="AN18" s="109" t="str">
        <f>IF(SUMIFS(Data_filtered!$K$2:$K$461,Data_filtered!$A$2:$A$461,AN$1,Data_filtered!$F$2:$F$461,$A18, Data_filtered!$D$2:$D$461,"eucalipto",Data_filtered!$J$2:$J$461,"&lt;&gt;Incompleto")=0, "-", SUMIFS(Data_filtered!$K$2:$K$461,Data_filtered!$A$2:$A$461,AN$1,Data_filtered!$F$2:$F$461,$A18, Data_filtered!$D$2:$D$461,"eucalipto",Data_filtered!$J$2:$J$461,"&lt;&gt;Incompleto"))</f>
        <v>-</v>
      </c>
      <c r="AO18" s="110" t="str">
        <f>IF(SUMIFS(Data_filtered!$K$2:$K$461,Data_filtered!$A$2:$A$461,AN$1,Data_filtered!$F$2:$F$461,$A18, Data_filtered!$D$2:$D$461,"mata",Data_filtered!$J$2:$J$461,"&lt;&gt;Incompleto")=0, "-", SUMIFS(Data_filtered!$K$2:$K$461,Data_filtered!$A$2:$A$461,AN$1,Data_filtered!$F$2:$F$461,$A18, Data_filtered!$D$2:$D$461,"mata",Data_filtered!$J$2:$J$461,"&lt;&gt;Incompleto"))
</f>
        <v>-</v>
      </c>
      <c r="AP18" s="109" t="str">
        <f>IF(SUMIFS(Data_filtered!$K$2:$K$461,Data_filtered!$A$2:$A$461,AP$1,Data_filtered!$F$2:$F$461,$A18, Data_filtered!$D$2:$D$461,"eucalipto",Data_filtered!$J$2:$J$461,"&lt;&gt;Incompleto")=0, "-", SUMIFS(Data_filtered!$K$2:$K$461,Data_filtered!$A$2:$A$461,AP$1,Data_filtered!$F$2:$F$461,$A18, Data_filtered!$D$2:$D$461,"eucalipto",Data_filtered!$J$2:$J$461,"&lt;&gt;Incompleto"))</f>
        <v>-</v>
      </c>
      <c r="AQ18" s="110" t="str">
        <f>IF(SUMIFS(Data_filtered!$K$2:$K$461,Data_filtered!$A$2:$A$461,AP$1,Data_filtered!$F$2:$F$461,$A18, Data_filtered!$D$2:$D$461,"mata",Data_filtered!$J$2:$J$461,"&lt;&gt;Incompleto")=0, "-", SUMIFS(Data_filtered!$K$2:$K$461,Data_filtered!$A$2:$A$461,AP$1,Data_filtered!$F$2:$F$461,$A18, Data_filtered!$D$2:$D$461,"mata",Data_filtered!$J$2:$J$461,"&lt;&gt;Incompleto"))
</f>
        <v>-</v>
      </c>
      <c r="AR18" s="109" t="str">
        <f>IF(SUMIFS(Data_filtered!$K$2:$K$461,Data_filtered!$A$2:$A$461,AR$1,Data_filtered!$F$2:$F$461,$A18, Data_filtered!$D$2:$D$461,"eucalipto",Data_filtered!$J$2:$J$461,"&lt;&gt;Incompleto")=0, "-", SUMIFS(Data_filtered!$K$2:$K$461,Data_filtered!$A$2:$A$461,AR$1,Data_filtered!$F$2:$F$461,$A18, Data_filtered!$D$2:$D$461,"eucalipto",Data_filtered!$J$2:$J$461,"&lt;&gt;Incompleto"))</f>
        <v>-</v>
      </c>
      <c r="AS18" s="110" t="str">
        <f>IF(SUMIFS(Data_filtered!$K$2:$K$461,Data_filtered!$A$2:$A$461,AR$1,Data_filtered!$F$2:$F$461,$A18, Data_filtered!$D$2:$D$461,"mata",Data_filtered!$J$2:$J$461,"&lt;&gt;Incompleto")=0, "-", SUMIFS(Data_filtered!$K$2:$K$461,Data_filtered!$A$2:$A$461,AR$1,Data_filtered!$F$2:$F$461,$A18, Data_filtered!$D$2:$D$461,"mata",Data_filtered!$J$2:$J$461,"&lt;&gt;Incompleto"))
</f>
        <v>-</v>
      </c>
    </row>
    <row r="19">
      <c r="A19" s="68" t="str">
        <f>IFERROR(__xludf.DUMMYFUNCTION("""COMPUTED_VALUE"""),"Lepidoptera Larva")</f>
        <v>Lepidoptera Larva</v>
      </c>
      <c r="B19" s="109" t="str">
        <f>IF(SUMIFS(Data_filtered!$K$2:$K$461,Data_filtered!$A$2:$A$461,B$1,Data_filtered!$F$2:$F$461,$A19, Data_filtered!$D$2:$D$461,"eucalipto",Data_filtered!$J$2:$J$461,"&lt;&gt;Incompleto")=0, "-", SUMIFS(Data_filtered!$K$2:$K$461,Data_filtered!$A$2:$A$461,B$1,Data_filtered!$F$2:$F$461,$A19, Data_filtered!$D$2:$D$461,"eucalipto",Data_filtered!$J$2:$J$461,"&lt;&gt;Incompleto"))</f>
        <v>-</v>
      </c>
      <c r="C19" s="110" t="str">
        <f>IF(SUMIFS(Data_filtered!$K$2:$K$461,Data_filtered!$A$2:$A$461,B$1,Data_filtered!$F$2:$F$461,$A19, Data_filtered!$D$2:$D$461,"mata",Data_filtered!$J$2:$J$461,"&lt;&gt;Incompleto")=0, "-", SUMIFS(Data_filtered!$K$2:$K$461,Data_filtered!$A$2:$A$461,B$1,Data_filtered!$F$2:$F$461,$A19, Data_filtered!$D$2:$D$461,"mata",Data_filtered!$J$2:$J$461,"&lt;&gt;Incompleto"))
</f>
        <v>-</v>
      </c>
      <c r="D19" s="109" t="str">
        <f>IF(SUMIFS(Data_filtered!$K$2:$K$461,Data_filtered!$A$2:$A$461,D$1,Data_filtered!$F$2:$F$461,$A19, Data_filtered!$D$2:$D$461,"eucalipto",Data_filtered!$J$2:$J$461,"&lt;&gt;Incompleto")=0, "-", SUMIFS(Data_filtered!$K$2:$K$461,Data_filtered!$A$2:$A$461,D$1,Data_filtered!$F$2:$F$461,$A19, Data_filtered!$D$2:$D$461,"eucalipto",Data_filtered!$J$2:$J$461,"&lt;&gt;Incompleto"))</f>
        <v>-</v>
      </c>
      <c r="E19" s="110" t="str">
        <f>IF(SUMIFS(Data_filtered!$K$2:$K$461,Data_filtered!$A$2:$A$461,D$1,Data_filtered!$F$2:$F$461,$A19, Data_filtered!$D$2:$D$461,"mata",Data_filtered!$J$2:$J$461,"&lt;&gt;Incompleto")=0, "-", SUMIFS(Data_filtered!$K$2:$K$461,Data_filtered!$A$2:$A$461,D$1,Data_filtered!$F$2:$F$461,$A19, Data_filtered!$D$2:$D$461,"mata",Data_filtered!$J$2:$J$461,"&lt;&gt;Incompleto"))
</f>
        <v>-</v>
      </c>
      <c r="F19" s="109" t="str">
        <f>IF(SUMIFS(Data_filtered!$K$2:$K$461,Data_filtered!$A$2:$A$461,F$1,Data_filtered!$F$2:$F$461,$A19, Data_filtered!$D$2:$D$461,"eucalipto",Data_filtered!$J$2:$J$461,"&lt;&gt;Incompleto")=0, "-", SUMIFS(Data_filtered!$K$2:$K$461,Data_filtered!$A$2:$A$461,F$1,Data_filtered!$F$2:$F$461,$A19, Data_filtered!$D$2:$D$461,"eucalipto",Data_filtered!$J$2:$J$461,"&lt;&gt;Incompleto"))</f>
        <v>-</v>
      </c>
      <c r="G19" s="110" t="str">
        <f>IF(SUMIFS(Data_filtered!$K$2:$K$461,Data_filtered!$A$2:$A$461,F$1,Data_filtered!$F$2:$F$461,$A19, Data_filtered!$D$2:$D$461,"mata",Data_filtered!$J$2:$J$461,"&lt;&gt;Incompleto")=0, "-", SUMIFS(Data_filtered!$K$2:$K$461,Data_filtered!$A$2:$A$461,F$1,Data_filtered!$F$2:$F$461,$A19, Data_filtered!$D$2:$D$461,"mata",Data_filtered!$J$2:$J$461,"&lt;&gt;Incompleto"))
</f>
        <v>-</v>
      </c>
      <c r="H19" s="109" t="str">
        <f>IF(SUMIFS(Data_filtered!$K$2:$K$461,Data_filtered!$A$2:$A$461,H$1,Data_filtered!$F$2:$F$461,$A19, Data_filtered!$D$2:$D$461,"eucalipto",Data_filtered!$J$2:$J$461,"&lt;&gt;Incompleto")=0, "-", SUMIFS(Data_filtered!$K$2:$K$461,Data_filtered!$A$2:$A$461,H$1,Data_filtered!$F$2:$F$461,$A19, Data_filtered!$D$2:$D$461,"eucalipto",Data_filtered!$J$2:$J$461,"&lt;&gt;Incompleto"))</f>
        <v>-</v>
      </c>
      <c r="I19" s="110" t="str">
        <f>IF(SUMIFS(Data_filtered!$K$2:$K$461,Data_filtered!$A$2:$A$461,H$1,Data_filtered!$F$2:$F$461,$A19, Data_filtered!$D$2:$D$461,"mata",Data_filtered!$J$2:$J$461,"&lt;&gt;Incompleto")=0, "-", SUMIFS(Data_filtered!$K$2:$K$461,Data_filtered!$A$2:$A$461,H$1,Data_filtered!$F$2:$F$461,$A19, Data_filtered!$D$2:$D$461,"mata",Data_filtered!$J$2:$J$461,"&lt;&gt;Incompleto"))
</f>
        <v>-</v>
      </c>
      <c r="J19" s="109" t="str">
        <f>IF(SUMIFS(Data_filtered!$K$2:$K$461,Data_filtered!$A$2:$A$461,J$1,Data_filtered!$F$2:$F$461,$A19, Data_filtered!$D$2:$D$461,"eucalipto",Data_filtered!$J$2:$J$461,"&lt;&gt;Incompleto")=0, "-", SUMIFS(Data_filtered!$K$2:$K$461,Data_filtered!$A$2:$A$461,J$1,Data_filtered!$F$2:$F$461,$A19, Data_filtered!$D$2:$D$461,"eucalipto",Data_filtered!$J$2:$J$461,"&lt;&gt;Incompleto"))</f>
        <v>-</v>
      </c>
      <c r="K19" s="110" t="str">
        <f>IF(SUMIFS(Data_filtered!$K$2:$K$461,Data_filtered!$A$2:$A$461,J$1,Data_filtered!$F$2:$F$461,$A19, Data_filtered!$D$2:$D$461,"mata",Data_filtered!$J$2:$J$461,"&lt;&gt;Incompleto")=0, "-", SUMIFS(Data_filtered!$K$2:$K$461,Data_filtered!$A$2:$A$461,J$1,Data_filtered!$F$2:$F$461,$A19, Data_filtered!$D$2:$D$461,"mata",Data_filtered!$J$2:$J$461,"&lt;&gt;Incompleto"))
</f>
        <v>-</v>
      </c>
      <c r="L19" s="109" t="str">
        <f>IF(SUMIFS(Data_filtered!$K$2:$K$461,Data_filtered!$A$2:$A$461,L$1,Data_filtered!$F$2:$F$461,$A19, Data_filtered!$D$2:$D$461,"eucalipto",Data_filtered!$J$2:$J$461,"&lt;&gt;Incompleto")=0, "-", SUMIFS(Data_filtered!$K$2:$K$461,Data_filtered!$A$2:$A$461,L$1,Data_filtered!$F$2:$F$461,$A19, Data_filtered!$D$2:$D$461,"eucalipto",Data_filtered!$J$2:$J$461,"&lt;&gt;Incompleto"))</f>
        <v>-</v>
      </c>
      <c r="M19" s="110" t="str">
        <f>IF(SUMIFS(Data_filtered!$K$2:$K$461,Data_filtered!$A$2:$A$461,L$1,Data_filtered!$F$2:$F$461,$A19, Data_filtered!$D$2:$D$461,"mata",Data_filtered!$J$2:$J$461,"&lt;&gt;Incompleto")=0, "-", SUMIFS(Data_filtered!$K$2:$K$461,Data_filtered!$A$2:$A$461,L$1,Data_filtered!$F$2:$F$461,$A19, Data_filtered!$D$2:$D$461,"mata",Data_filtered!$J$2:$J$461,"&lt;&gt;Incompleto"))
</f>
        <v>-</v>
      </c>
      <c r="N19" s="109" t="str">
        <f>IF(SUMIFS(Data_filtered!$K$2:$K$461,Data_filtered!$A$2:$A$461,N$1,Data_filtered!$F$2:$F$461,$A19, Data_filtered!$D$2:$D$461,"eucalipto",Data_filtered!$J$2:$J$461,"&lt;&gt;Incompleto")=0, "-", SUMIFS(Data_filtered!$K$2:$K$461,Data_filtered!$A$2:$A$461,N$1,Data_filtered!$F$2:$F$461,$A19, Data_filtered!$D$2:$D$461,"eucalipto",Data_filtered!$J$2:$J$461,"&lt;&gt;Incompleto"))</f>
        <v>-</v>
      </c>
      <c r="O19" s="110" t="str">
        <f>IF(SUMIFS(Data_filtered!$K$2:$K$461,Data_filtered!$A$2:$A$461,N$1,Data_filtered!$F$2:$F$461,$A19, Data_filtered!$D$2:$D$461,"mata",Data_filtered!$J$2:$J$461,"&lt;&gt;Incompleto")=0, "-", SUMIFS(Data_filtered!$K$2:$K$461,Data_filtered!$A$2:$A$461,N$1,Data_filtered!$F$2:$F$461,$A19, Data_filtered!$D$2:$D$461,"mata",Data_filtered!$J$2:$J$461,"&lt;&gt;Incompleto"))
</f>
        <v>-</v>
      </c>
      <c r="P19" s="109" t="str">
        <f>IF(SUMIFS(Data_filtered!$K$2:$K$461,Data_filtered!$A$2:$A$461,P$1,Data_filtered!$F$2:$F$461,$A19, Data_filtered!$D$2:$D$461,"eucalipto",Data_filtered!$J$2:$J$461,"&lt;&gt;Incompleto")=0, "-", SUMIFS(Data_filtered!$K$2:$K$461,Data_filtered!$A$2:$A$461,P$1,Data_filtered!$F$2:$F$461,$A19, Data_filtered!$D$2:$D$461,"eucalipto",Data_filtered!$J$2:$J$461,"&lt;&gt;Incompleto"))</f>
        <v>-</v>
      </c>
      <c r="Q19" s="110" t="str">
        <f>IF(SUMIFS(Data_filtered!$K$2:$K$461,Data_filtered!$A$2:$A$461,P$1,Data_filtered!$F$2:$F$461,$A19, Data_filtered!$D$2:$D$461,"mata",Data_filtered!$J$2:$J$461,"&lt;&gt;Incompleto")=0, "-", SUMIFS(Data_filtered!$K$2:$K$461,Data_filtered!$A$2:$A$461,P$1,Data_filtered!$F$2:$F$461,$A19, Data_filtered!$D$2:$D$461,"mata",Data_filtered!$J$2:$J$461,"&lt;&gt;Incompleto"))
</f>
        <v>-</v>
      </c>
      <c r="R19" s="109" t="str">
        <f>IF(SUMIFS(Data_filtered!$K$2:$K$461,Data_filtered!$A$2:$A$461,R$1,Data_filtered!$F$2:$F$461,$A19, Data_filtered!$D$2:$D$461,"eucalipto",Data_filtered!$J$2:$J$461,"&lt;&gt;Incompleto")=0, "-", SUMIFS(Data_filtered!$K$2:$K$461,Data_filtered!$A$2:$A$461,R$1,Data_filtered!$F$2:$F$461,$A19, Data_filtered!$D$2:$D$461,"eucalipto",Data_filtered!$J$2:$J$461,"&lt;&gt;Incompleto"))</f>
        <v>-</v>
      </c>
      <c r="S19" s="110" t="str">
        <f>IF(SUMIFS(Data_filtered!$K$2:$K$461,Data_filtered!$A$2:$A$461,R$1,Data_filtered!$F$2:$F$461,$A19, Data_filtered!$D$2:$D$461,"mata",Data_filtered!$J$2:$J$461,"&lt;&gt;Incompleto")=0, "-", SUMIFS(Data_filtered!$K$2:$K$461,Data_filtered!$A$2:$A$461,R$1,Data_filtered!$F$2:$F$461,$A19, Data_filtered!$D$2:$D$461,"mata",Data_filtered!$J$2:$J$461,"&lt;&gt;Incompleto"))
</f>
        <v>-</v>
      </c>
      <c r="T19" s="109" t="str">
        <f>IF(SUMIFS(Data_filtered!$K$2:$K$461,Data_filtered!$A$2:$A$461,T$1,Data_filtered!$F$2:$F$461,$A19, Data_filtered!$D$2:$D$461,"eucalipto",Data_filtered!$J$2:$J$461,"&lt;&gt;Incompleto")=0, "-", SUMIFS(Data_filtered!$K$2:$K$461,Data_filtered!$A$2:$A$461,T$1,Data_filtered!$F$2:$F$461,$A19, Data_filtered!$D$2:$D$461,"eucalipto",Data_filtered!$J$2:$J$461,"&lt;&gt;Incompleto"))</f>
        <v>-</v>
      </c>
      <c r="U19" s="110" t="str">
        <f>IF(SUMIFS(Data_filtered!$K$2:$K$461,Data_filtered!$A$2:$A$461,T$1,Data_filtered!$F$2:$F$461,$A19, Data_filtered!$D$2:$D$461,"mata",Data_filtered!$J$2:$J$461,"&lt;&gt;Incompleto")=0, "-", SUMIFS(Data_filtered!$K$2:$K$461,Data_filtered!$A$2:$A$461,T$1,Data_filtered!$F$2:$F$461,$A19, Data_filtered!$D$2:$D$461,"mata",Data_filtered!$J$2:$J$461,"&lt;&gt;Incompleto"))
</f>
        <v>-</v>
      </c>
      <c r="V19" s="109">
        <f>IF(SUMIFS(Data_filtered!$K$2:$K$461,Data_filtered!$A$2:$A$461,V$1,Data_filtered!$F$2:$F$461,$A19, Data_filtered!$D$2:$D$461,"eucalipto",Data_filtered!$J$2:$J$461,"&lt;&gt;Incompleto")=0, "-", SUMIFS(Data_filtered!$K$2:$K$461,Data_filtered!$A$2:$A$461,V$1,Data_filtered!$F$2:$F$461,$A19, Data_filtered!$D$2:$D$461,"eucalipto",Data_filtered!$J$2:$J$461,"&lt;&gt;Incompleto"))</f>
        <v>242.9498319</v>
      </c>
      <c r="W19" s="110" t="str">
        <f>IF(SUMIFS(Data_filtered!$K$2:$K$461,Data_filtered!$A$2:$A$461,V$1,Data_filtered!$F$2:$F$461,$A19, Data_filtered!$D$2:$D$461,"mata",Data_filtered!$J$2:$J$461,"&lt;&gt;Incompleto")=0, "-", SUMIFS(Data_filtered!$K$2:$K$461,Data_filtered!$A$2:$A$461,V$1,Data_filtered!$F$2:$F$461,$A19, Data_filtered!$D$2:$D$461,"mata",Data_filtered!$J$2:$J$461,"&lt;&gt;Incompleto"))
</f>
        <v>-</v>
      </c>
      <c r="X19" s="109" t="str">
        <f>IF(SUMIFS(Data_filtered!$K$2:$K$461,Data_filtered!$A$2:$A$461,X$1,Data_filtered!$F$2:$F$461,$A19, Data_filtered!$D$2:$D$461,"eucalipto",Data_filtered!$J$2:$J$461,"&lt;&gt;Incompleto")=0, "-", SUMIFS(Data_filtered!$K$2:$K$461,Data_filtered!$A$2:$A$461,X$1,Data_filtered!$F$2:$F$461,$A19, Data_filtered!$D$2:$D$461,"eucalipto",Data_filtered!$J$2:$J$461,"&lt;&gt;Incompleto"))</f>
        <v>-</v>
      </c>
      <c r="Y19" s="110" t="str">
        <f>IF(SUMIFS(Data_filtered!$K$2:$K$461,Data_filtered!$A$2:$A$461,X$1,Data_filtered!$F$2:$F$461,$A19, Data_filtered!$D$2:$D$461,"mata",Data_filtered!$J$2:$J$461,"&lt;&gt;Incompleto")=0, "-", SUMIFS(Data_filtered!$K$2:$K$461,Data_filtered!$A$2:$A$461,X$1,Data_filtered!$F$2:$F$461,$A19, Data_filtered!$D$2:$D$461,"mata",Data_filtered!$J$2:$J$461,"&lt;&gt;Incompleto"))
</f>
        <v>-</v>
      </c>
      <c r="Z19" s="109" t="str">
        <f>IF(SUMIFS(Data_filtered!$K$2:$K$461,Data_filtered!$A$2:$A$461,Z$1,Data_filtered!$F$2:$F$461,$A19, Data_filtered!$D$2:$D$461,"eucalipto",Data_filtered!$J$2:$J$461,"&lt;&gt;Incompleto")=0, "-", SUMIFS(Data_filtered!$K$2:$K$461,Data_filtered!$A$2:$A$461,Z$1,Data_filtered!$F$2:$F$461,$A19, Data_filtered!$D$2:$D$461,"eucalipto",Data_filtered!$J$2:$J$461,"&lt;&gt;Incompleto"))</f>
        <v>-</v>
      </c>
      <c r="AA19" s="110" t="str">
        <f>IF(SUMIFS(Data_filtered!$K$2:$K$461,Data_filtered!$A$2:$A$461,Z$1,Data_filtered!$F$2:$F$461,$A19, Data_filtered!$D$2:$D$461,"mata",Data_filtered!$J$2:$J$461,"&lt;&gt;Incompleto")=0, "-", SUMIFS(Data_filtered!$K$2:$K$461,Data_filtered!$A$2:$A$461,Z$1,Data_filtered!$F$2:$F$461,$A19, Data_filtered!$D$2:$D$461,"mata",Data_filtered!$J$2:$J$461,"&lt;&gt;Incompleto"))
</f>
        <v>-</v>
      </c>
      <c r="AB19" s="109" t="str">
        <f>IF(SUMIFS(Data_filtered!$K$2:$K$461,Data_filtered!$A$2:$A$461,AB$1,Data_filtered!$F$2:$F$461,$A19, Data_filtered!$D$2:$D$461,"eucalipto",Data_filtered!$J$2:$J$461,"&lt;&gt;Incompleto")=0, "-", SUMIFS(Data_filtered!$K$2:$K$461,Data_filtered!$A$2:$A$461,AB$1,Data_filtered!$F$2:$F$461,$A19, Data_filtered!$D$2:$D$461,"eucalipto",Data_filtered!$J$2:$J$461,"&lt;&gt;Incompleto"))</f>
        <v>-</v>
      </c>
      <c r="AC19" s="110" t="str">
        <f>IF(SUMIFS(Data_filtered!$K$2:$K$461,Data_filtered!$A$2:$A$461,AB$1,Data_filtered!$F$2:$F$461,$A19, Data_filtered!$D$2:$D$461,"mata",Data_filtered!$J$2:$J$461,"&lt;&gt;Incompleto")=0, "-", SUMIFS(Data_filtered!$K$2:$K$461,Data_filtered!$A$2:$A$461,AB$1,Data_filtered!$F$2:$F$461,$A19, Data_filtered!$D$2:$D$461,"mata",Data_filtered!$J$2:$J$461,"&lt;&gt;Incompleto"))
</f>
        <v>-</v>
      </c>
      <c r="AD19" s="109" t="str">
        <f>IF(SUMIFS(Data_filtered!$K$2:$K$461,Data_filtered!$A$2:$A$461,AD$1,Data_filtered!$F$2:$F$461,$A19, Data_filtered!$D$2:$D$461,"eucalipto",Data_filtered!$J$2:$J$461,"&lt;&gt;Incompleto")=0, "-", SUMIFS(Data_filtered!$K$2:$K$461,Data_filtered!$A$2:$A$461,AD$1,Data_filtered!$F$2:$F$461,$A19, Data_filtered!$D$2:$D$461,"eucalipto",Data_filtered!$J$2:$J$461,"&lt;&gt;Incompleto"))</f>
        <v>-</v>
      </c>
      <c r="AE19" s="110" t="str">
        <f>IF(SUMIFS(Data_filtered!$K$2:$K$461,Data_filtered!$A$2:$A$461,AD$1,Data_filtered!$F$2:$F$461,$A19, Data_filtered!$D$2:$D$461,"mata",Data_filtered!$J$2:$J$461,"&lt;&gt;Incompleto")=0, "-", SUMIFS(Data_filtered!$K$2:$K$461,Data_filtered!$A$2:$A$461,AD$1,Data_filtered!$F$2:$F$461,$A19, Data_filtered!$D$2:$D$461,"mata",Data_filtered!$J$2:$J$461,"&lt;&gt;Incompleto"))
</f>
        <v>-</v>
      </c>
      <c r="AF19" s="109" t="str">
        <f>IF(SUMIFS(Data_filtered!$K$2:$K$461,Data_filtered!$A$2:$A$461,AF$1,Data_filtered!$F$2:$F$461,$A19, Data_filtered!$D$2:$D$461,"eucalipto",Data_filtered!$J$2:$J$461,"&lt;&gt;Incompleto")=0, "-", SUMIFS(Data_filtered!$K$2:$K$461,Data_filtered!$A$2:$A$461,AF$1,Data_filtered!$F$2:$F$461,$A19, Data_filtered!$D$2:$D$461,"eucalipto",Data_filtered!$J$2:$J$461,"&lt;&gt;Incompleto"))</f>
        <v>-</v>
      </c>
      <c r="AG19" s="110" t="str">
        <f>IF(SUMIFS(Data_filtered!$K$2:$K$461,Data_filtered!$A$2:$A$461,AF$1,Data_filtered!$F$2:$F$461,$A19, Data_filtered!$D$2:$D$461,"mata",Data_filtered!$J$2:$J$461,"&lt;&gt;Incompleto")=0, "-", SUMIFS(Data_filtered!$K$2:$K$461,Data_filtered!$A$2:$A$461,AF$1,Data_filtered!$F$2:$F$461,$A19, Data_filtered!$D$2:$D$461,"mata",Data_filtered!$J$2:$J$461,"&lt;&gt;Incompleto"))
</f>
        <v>-</v>
      </c>
      <c r="AH19" s="109" t="str">
        <f>IF(SUMIFS(Data_filtered!$K$2:$K$461,Data_filtered!$A$2:$A$461,AH$1,Data_filtered!$F$2:$F$461,$A19, Data_filtered!$D$2:$D$461,"eucalipto",Data_filtered!$J$2:$J$461,"&lt;&gt;Incompleto")=0, "-", SUMIFS(Data_filtered!$K$2:$K$461,Data_filtered!$A$2:$A$461,AH$1,Data_filtered!$F$2:$F$461,$A19, Data_filtered!$D$2:$D$461,"eucalipto",Data_filtered!$J$2:$J$461,"&lt;&gt;Incompleto"))</f>
        <v>-</v>
      </c>
      <c r="AI19" s="110" t="str">
        <f>IF(SUMIFS(Data_filtered!$K$2:$K$461,Data_filtered!$A$2:$A$461,AH$1,Data_filtered!$F$2:$F$461,$A19, Data_filtered!$D$2:$D$461,"mata",Data_filtered!$J$2:$J$461,"&lt;&gt;Incompleto")=0, "-", SUMIFS(Data_filtered!$K$2:$K$461,Data_filtered!$A$2:$A$461,AH$1,Data_filtered!$F$2:$F$461,$A19, Data_filtered!$D$2:$D$461,"mata",Data_filtered!$J$2:$J$461,"&lt;&gt;Incompleto"))
</f>
        <v>-</v>
      </c>
      <c r="AJ19" s="109" t="str">
        <f>IF(SUMIFS(Data_filtered!$K$2:$K$461,Data_filtered!$A$2:$A$461,AJ$1,Data_filtered!$F$2:$F$461,$A19, Data_filtered!$D$2:$D$461,"eucalipto",Data_filtered!$J$2:$J$461,"&lt;&gt;Incompleto")=0, "-", SUMIFS(Data_filtered!$K$2:$K$461,Data_filtered!$A$2:$A$461,AJ$1,Data_filtered!$F$2:$F$461,$A19, Data_filtered!$D$2:$D$461,"eucalipto",Data_filtered!$J$2:$J$461,"&lt;&gt;Incompleto"))</f>
        <v>-</v>
      </c>
      <c r="AK19" s="110" t="str">
        <f>IF(SUMIFS(Data_filtered!$K$2:$K$461,Data_filtered!$A$2:$A$461,AJ$1,Data_filtered!$F$2:$F$461,$A19, Data_filtered!$D$2:$D$461,"mata",Data_filtered!$J$2:$J$461,"&lt;&gt;Incompleto")=0, "-", SUMIFS(Data_filtered!$K$2:$K$461,Data_filtered!$A$2:$A$461,AJ$1,Data_filtered!$F$2:$F$461,$A19, Data_filtered!$D$2:$D$461,"mata",Data_filtered!$J$2:$J$461,"&lt;&gt;Incompleto"))
</f>
        <v>-</v>
      </c>
      <c r="AL19" s="109" t="str">
        <f>IF(SUMIFS(Data_filtered!$K$2:$K$461,Data_filtered!$A$2:$A$461,AL$1,Data_filtered!$F$2:$F$461,$A19, Data_filtered!$D$2:$D$461,"eucalipto",Data_filtered!$J$2:$J$461,"&lt;&gt;Incompleto")=0, "-", SUMIFS(Data_filtered!$K$2:$K$461,Data_filtered!$A$2:$A$461,AL$1,Data_filtered!$F$2:$F$461,$A19, Data_filtered!$D$2:$D$461,"eucalipto",Data_filtered!$J$2:$J$461,"&lt;&gt;Incompleto"))</f>
        <v>-</v>
      </c>
      <c r="AM19" s="110">
        <f>IF(SUMIFS(Data_filtered!$K$2:$K$461,Data_filtered!$A$2:$A$461,AL$1,Data_filtered!$F$2:$F$461,$A19, Data_filtered!$D$2:$D$461,"mata",Data_filtered!$J$2:$J$461,"&lt;&gt;Incompleto")=0, "-", SUMIFS(Data_filtered!$K$2:$K$461,Data_filtered!$A$2:$A$461,AL$1,Data_filtered!$F$2:$F$461,$A19, Data_filtered!$D$2:$D$461,"mata",Data_filtered!$J$2:$J$461,"&lt;&gt;Incompleto"))
</f>
        <v>2010.619298</v>
      </c>
      <c r="AN19" s="109" t="str">
        <f>IF(SUMIFS(Data_filtered!$K$2:$K$461,Data_filtered!$A$2:$A$461,AN$1,Data_filtered!$F$2:$F$461,$A19, Data_filtered!$D$2:$D$461,"eucalipto",Data_filtered!$J$2:$J$461,"&lt;&gt;Incompleto")=0, "-", SUMIFS(Data_filtered!$K$2:$K$461,Data_filtered!$A$2:$A$461,AN$1,Data_filtered!$F$2:$F$461,$A19, Data_filtered!$D$2:$D$461,"eucalipto",Data_filtered!$J$2:$J$461,"&lt;&gt;Incompleto"))</f>
        <v>-</v>
      </c>
      <c r="AO19" s="110" t="str">
        <f>IF(SUMIFS(Data_filtered!$K$2:$K$461,Data_filtered!$A$2:$A$461,AN$1,Data_filtered!$F$2:$F$461,$A19, Data_filtered!$D$2:$D$461,"mata",Data_filtered!$J$2:$J$461,"&lt;&gt;Incompleto")=0, "-", SUMIFS(Data_filtered!$K$2:$K$461,Data_filtered!$A$2:$A$461,AN$1,Data_filtered!$F$2:$F$461,$A19, Data_filtered!$D$2:$D$461,"mata",Data_filtered!$J$2:$J$461,"&lt;&gt;Incompleto"))
</f>
        <v>-</v>
      </c>
      <c r="AP19" s="109" t="str">
        <f>IF(SUMIFS(Data_filtered!$K$2:$K$461,Data_filtered!$A$2:$A$461,AP$1,Data_filtered!$F$2:$F$461,$A19, Data_filtered!$D$2:$D$461,"eucalipto",Data_filtered!$J$2:$J$461,"&lt;&gt;Incompleto")=0, "-", SUMIFS(Data_filtered!$K$2:$K$461,Data_filtered!$A$2:$A$461,AP$1,Data_filtered!$F$2:$F$461,$A19, Data_filtered!$D$2:$D$461,"eucalipto",Data_filtered!$J$2:$J$461,"&lt;&gt;Incompleto"))</f>
        <v>-</v>
      </c>
      <c r="AQ19" s="110" t="str">
        <f>IF(SUMIFS(Data_filtered!$K$2:$K$461,Data_filtered!$A$2:$A$461,AP$1,Data_filtered!$F$2:$F$461,$A19, Data_filtered!$D$2:$D$461,"mata",Data_filtered!$J$2:$J$461,"&lt;&gt;Incompleto")=0, "-", SUMIFS(Data_filtered!$K$2:$K$461,Data_filtered!$A$2:$A$461,AP$1,Data_filtered!$F$2:$F$461,$A19, Data_filtered!$D$2:$D$461,"mata",Data_filtered!$J$2:$J$461,"&lt;&gt;Incompleto"))
</f>
        <v>-</v>
      </c>
      <c r="AR19" s="109" t="str">
        <f>IF(SUMIFS(Data_filtered!$K$2:$K$461,Data_filtered!$A$2:$A$461,AR$1,Data_filtered!$F$2:$F$461,$A19, Data_filtered!$D$2:$D$461,"eucalipto",Data_filtered!$J$2:$J$461,"&lt;&gt;Incompleto")=0, "-", SUMIFS(Data_filtered!$K$2:$K$461,Data_filtered!$A$2:$A$461,AR$1,Data_filtered!$F$2:$F$461,$A19, Data_filtered!$D$2:$D$461,"eucalipto",Data_filtered!$J$2:$J$461,"&lt;&gt;Incompleto"))</f>
        <v>-</v>
      </c>
      <c r="AS19" s="110" t="str">
        <f>IF(SUMIFS(Data_filtered!$K$2:$K$461,Data_filtered!$A$2:$A$461,AR$1,Data_filtered!$F$2:$F$461,$A19, Data_filtered!$D$2:$D$461,"mata",Data_filtered!$J$2:$J$461,"&lt;&gt;Incompleto")=0, "-", SUMIFS(Data_filtered!$K$2:$K$461,Data_filtered!$A$2:$A$461,AR$1,Data_filtered!$F$2:$F$461,$A19, Data_filtered!$D$2:$D$461,"mata",Data_filtered!$J$2:$J$461,"&lt;&gt;Incompleto"))
</f>
        <v>-</v>
      </c>
    </row>
    <row r="20">
      <c r="A20" s="68" t="str">
        <f>IFERROR(__xludf.DUMMYFUNCTION("""COMPUTED_VALUE"""),"Mosca")</f>
        <v>Mosca</v>
      </c>
      <c r="B20" s="109" t="str">
        <f>IF(SUMIFS(Data_filtered!$K$2:$K$461,Data_filtered!$A$2:$A$461,B$1,Data_filtered!$F$2:$F$461,$A20, Data_filtered!$D$2:$D$461,"eucalipto",Data_filtered!$J$2:$J$461,"&lt;&gt;Incompleto")=0, "-", SUMIFS(Data_filtered!$K$2:$K$461,Data_filtered!$A$2:$A$461,B$1,Data_filtered!$F$2:$F$461,$A20, Data_filtered!$D$2:$D$461,"eucalipto",Data_filtered!$J$2:$J$461,"&lt;&gt;Incompleto"))</f>
        <v>-</v>
      </c>
      <c r="C20" s="110" t="str">
        <f>IF(SUMIFS(Data_filtered!$K$2:$K$461,Data_filtered!$A$2:$A$461,B$1,Data_filtered!$F$2:$F$461,$A20, Data_filtered!$D$2:$D$461,"mata",Data_filtered!$J$2:$J$461,"&lt;&gt;Incompleto")=0, "-", SUMIFS(Data_filtered!$K$2:$K$461,Data_filtered!$A$2:$A$461,B$1,Data_filtered!$F$2:$F$461,$A20, Data_filtered!$D$2:$D$461,"mata",Data_filtered!$J$2:$J$461,"&lt;&gt;Incompleto"))
</f>
        <v>-</v>
      </c>
      <c r="D20" s="109" t="str">
        <f>IF(SUMIFS(Data_filtered!$K$2:$K$461,Data_filtered!$A$2:$A$461,D$1,Data_filtered!$F$2:$F$461,$A20, Data_filtered!$D$2:$D$461,"eucalipto",Data_filtered!$J$2:$J$461,"&lt;&gt;Incompleto")=0, "-", SUMIFS(Data_filtered!$K$2:$K$461,Data_filtered!$A$2:$A$461,D$1,Data_filtered!$F$2:$F$461,$A20, Data_filtered!$D$2:$D$461,"eucalipto",Data_filtered!$J$2:$J$461,"&lt;&gt;Incompleto"))</f>
        <v>-</v>
      </c>
      <c r="E20" s="110" t="str">
        <f>IF(SUMIFS(Data_filtered!$K$2:$K$461,Data_filtered!$A$2:$A$461,D$1,Data_filtered!$F$2:$F$461,$A20, Data_filtered!$D$2:$D$461,"mata",Data_filtered!$J$2:$J$461,"&lt;&gt;Incompleto")=0, "-", SUMIFS(Data_filtered!$K$2:$K$461,Data_filtered!$A$2:$A$461,D$1,Data_filtered!$F$2:$F$461,$A20, Data_filtered!$D$2:$D$461,"mata",Data_filtered!$J$2:$J$461,"&lt;&gt;Incompleto"))
</f>
        <v>-</v>
      </c>
      <c r="F20" s="109" t="str">
        <f>IF(SUMIFS(Data_filtered!$K$2:$K$461,Data_filtered!$A$2:$A$461,F$1,Data_filtered!$F$2:$F$461,$A20, Data_filtered!$D$2:$D$461,"eucalipto",Data_filtered!$J$2:$J$461,"&lt;&gt;Incompleto")=0, "-", SUMIFS(Data_filtered!$K$2:$K$461,Data_filtered!$A$2:$A$461,F$1,Data_filtered!$F$2:$F$461,$A20, Data_filtered!$D$2:$D$461,"eucalipto",Data_filtered!$J$2:$J$461,"&lt;&gt;Incompleto"))</f>
        <v>-</v>
      </c>
      <c r="G20" s="110" t="str">
        <f>IF(SUMIFS(Data_filtered!$K$2:$K$461,Data_filtered!$A$2:$A$461,F$1,Data_filtered!$F$2:$F$461,$A20, Data_filtered!$D$2:$D$461,"mata",Data_filtered!$J$2:$J$461,"&lt;&gt;Incompleto")=0, "-", SUMIFS(Data_filtered!$K$2:$K$461,Data_filtered!$A$2:$A$461,F$1,Data_filtered!$F$2:$F$461,$A20, Data_filtered!$D$2:$D$461,"mata",Data_filtered!$J$2:$J$461,"&lt;&gt;Incompleto"))
</f>
        <v>-</v>
      </c>
      <c r="H20" s="109" t="str">
        <f>IF(SUMIFS(Data_filtered!$K$2:$K$461,Data_filtered!$A$2:$A$461,H$1,Data_filtered!$F$2:$F$461,$A20, Data_filtered!$D$2:$D$461,"eucalipto",Data_filtered!$J$2:$J$461,"&lt;&gt;Incompleto")=0, "-", SUMIFS(Data_filtered!$K$2:$K$461,Data_filtered!$A$2:$A$461,H$1,Data_filtered!$F$2:$F$461,$A20, Data_filtered!$D$2:$D$461,"eucalipto",Data_filtered!$J$2:$J$461,"&lt;&gt;Incompleto"))</f>
        <v>-</v>
      </c>
      <c r="I20" s="110" t="str">
        <f>IF(SUMIFS(Data_filtered!$K$2:$K$461,Data_filtered!$A$2:$A$461,H$1,Data_filtered!$F$2:$F$461,$A20, Data_filtered!$D$2:$D$461,"mata",Data_filtered!$J$2:$J$461,"&lt;&gt;Incompleto")=0, "-", SUMIFS(Data_filtered!$K$2:$K$461,Data_filtered!$A$2:$A$461,H$1,Data_filtered!$F$2:$F$461,$A20, Data_filtered!$D$2:$D$461,"mata",Data_filtered!$J$2:$J$461,"&lt;&gt;Incompleto"))
</f>
        <v>-</v>
      </c>
      <c r="J20" s="109" t="str">
        <f>IF(SUMIFS(Data_filtered!$K$2:$K$461,Data_filtered!$A$2:$A$461,J$1,Data_filtered!$F$2:$F$461,$A20, Data_filtered!$D$2:$D$461,"eucalipto",Data_filtered!$J$2:$J$461,"&lt;&gt;Incompleto")=0, "-", SUMIFS(Data_filtered!$K$2:$K$461,Data_filtered!$A$2:$A$461,J$1,Data_filtered!$F$2:$F$461,$A20, Data_filtered!$D$2:$D$461,"eucalipto",Data_filtered!$J$2:$J$461,"&lt;&gt;Incompleto"))</f>
        <v>-</v>
      </c>
      <c r="K20" s="110" t="str">
        <f>IF(SUMIFS(Data_filtered!$K$2:$K$461,Data_filtered!$A$2:$A$461,J$1,Data_filtered!$F$2:$F$461,$A20, Data_filtered!$D$2:$D$461,"mata",Data_filtered!$J$2:$J$461,"&lt;&gt;Incompleto")=0, "-", SUMIFS(Data_filtered!$K$2:$K$461,Data_filtered!$A$2:$A$461,J$1,Data_filtered!$F$2:$F$461,$A20, Data_filtered!$D$2:$D$461,"mata",Data_filtered!$J$2:$J$461,"&lt;&gt;Incompleto"))
</f>
        <v>-</v>
      </c>
      <c r="L20" s="109" t="str">
        <f>IF(SUMIFS(Data_filtered!$K$2:$K$461,Data_filtered!$A$2:$A$461,L$1,Data_filtered!$F$2:$F$461,$A20, Data_filtered!$D$2:$D$461,"eucalipto",Data_filtered!$J$2:$J$461,"&lt;&gt;Incompleto")=0, "-", SUMIFS(Data_filtered!$K$2:$K$461,Data_filtered!$A$2:$A$461,L$1,Data_filtered!$F$2:$F$461,$A20, Data_filtered!$D$2:$D$461,"eucalipto",Data_filtered!$J$2:$J$461,"&lt;&gt;Incompleto"))</f>
        <v>-</v>
      </c>
      <c r="M20" s="110">
        <f>IF(SUMIFS(Data_filtered!$K$2:$K$461,Data_filtered!$A$2:$A$461,L$1,Data_filtered!$F$2:$F$461,$A20, Data_filtered!$D$2:$D$461,"mata",Data_filtered!$J$2:$J$461,"&lt;&gt;Incompleto")=0, "-", SUMIFS(Data_filtered!$K$2:$K$461,Data_filtered!$A$2:$A$461,L$1,Data_filtered!$F$2:$F$461,$A20, Data_filtered!$D$2:$D$461,"mata",Data_filtered!$J$2:$J$461,"&lt;&gt;Incompleto"))
</f>
        <v>301.5928947</v>
      </c>
      <c r="N20" s="109" t="str">
        <f>IF(SUMIFS(Data_filtered!$K$2:$K$461,Data_filtered!$A$2:$A$461,N$1,Data_filtered!$F$2:$F$461,$A20, Data_filtered!$D$2:$D$461,"eucalipto",Data_filtered!$J$2:$J$461,"&lt;&gt;Incompleto")=0, "-", SUMIFS(Data_filtered!$K$2:$K$461,Data_filtered!$A$2:$A$461,N$1,Data_filtered!$F$2:$F$461,$A20, Data_filtered!$D$2:$D$461,"eucalipto",Data_filtered!$J$2:$J$461,"&lt;&gt;Incompleto"))</f>
        <v>-</v>
      </c>
      <c r="O20" s="110" t="str">
        <f>IF(SUMIFS(Data_filtered!$K$2:$K$461,Data_filtered!$A$2:$A$461,N$1,Data_filtered!$F$2:$F$461,$A20, Data_filtered!$D$2:$D$461,"mata",Data_filtered!$J$2:$J$461,"&lt;&gt;Incompleto")=0, "-", SUMIFS(Data_filtered!$K$2:$K$461,Data_filtered!$A$2:$A$461,N$1,Data_filtered!$F$2:$F$461,$A20, Data_filtered!$D$2:$D$461,"mata",Data_filtered!$J$2:$J$461,"&lt;&gt;Incompleto"))
</f>
        <v>-</v>
      </c>
      <c r="P20" s="109" t="str">
        <f>IF(SUMIFS(Data_filtered!$K$2:$K$461,Data_filtered!$A$2:$A$461,P$1,Data_filtered!$F$2:$F$461,$A20, Data_filtered!$D$2:$D$461,"eucalipto",Data_filtered!$J$2:$J$461,"&lt;&gt;Incompleto")=0, "-", SUMIFS(Data_filtered!$K$2:$K$461,Data_filtered!$A$2:$A$461,P$1,Data_filtered!$F$2:$F$461,$A20, Data_filtered!$D$2:$D$461,"eucalipto",Data_filtered!$J$2:$J$461,"&lt;&gt;Incompleto"))</f>
        <v>-</v>
      </c>
      <c r="Q20" s="110" t="str">
        <f>IF(SUMIFS(Data_filtered!$K$2:$K$461,Data_filtered!$A$2:$A$461,P$1,Data_filtered!$F$2:$F$461,$A20, Data_filtered!$D$2:$D$461,"mata",Data_filtered!$J$2:$J$461,"&lt;&gt;Incompleto")=0, "-", SUMIFS(Data_filtered!$K$2:$K$461,Data_filtered!$A$2:$A$461,P$1,Data_filtered!$F$2:$F$461,$A20, Data_filtered!$D$2:$D$461,"mata",Data_filtered!$J$2:$J$461,"&lt;&gt;Incompleto"))
</f>
        <v>-</v>
      </c>
      <c r="R20" s="109" t="str">
        <f>IF(SUMIFS(Data_filtered!$K$2:$K$461,Data_filtered!$A$2:$A$461,R$1,Data_filtered!$F$2:$F$461,$A20, Data_filtered!$D$2:$D$461,"eucalipto",Data_filtered!$J$2:$J$461,"&lt;&gt;Incompleto")=0, "-", SUMIFS(Data_filtered!$K$2:$K$461,Data_filtered!$A$2:$A$461,R$1,Data_filtered!$F$2:$F$461,$A20, Data_filtered!$D$2:$D$461,"eucalipto",Data_filtered!$J$2:$J$461,"&lt;&gt;Incompleto"))</f>
        <v>-</v>
      </c>
      <c r="S20" s="110" t="str">
        <f>IF(SUMIFS(Data_filtered!$K$2:$K$461,Data_filtered!$A$2:$A$461,R$1,Data_filtered!$F$2:$F$461,$A20, Data_filtered!$D$2:$D$461,"mata",Data_filtered!$J$2:$J$461,"&lt;&gt;Incompleto")=0, "-", SUMIFS(Data_filtered!$K$2:$K$461,Data_filtered!$A$2:$A$461,R$1,Data_filtered!$F$2:$F$461,$A20, Data_filtered!$D$2:$D$461,"mata",Data_filtered!$J$2:$J$461,"&lt;&gt;Incompleto"))
</f>
        <v>-</v>
      </c>
      <c r="T20" s="109" t="str">
        <f>IF(SUMIFS(Data_filtered!$K$2:$K$461,Data_filtered!$A$2:$A$461,T$1,Data_filtered!$F$2:$F$461,$A20, Data_filtered!$D$2:$D$461,"eucalipto",Data_filtered!$J$2:$J$461,"&lt;&gt;Incompleto")=0, "-", SUMIFS(Data_filtered!$K$2:$K$461,Data_filtered!$A$2:$A$461,T$1,Data_filtered!$F$2:$F$461,$A20, Data_filtered!$D$2:$D$461,"eucalipto",Data_filtered!$J$2:$J$461,"&lt;&gt;Incompleto"))</f>
        <v>-</v>
      </c>
      <c r="U20" s="110" t="str">
        <f>IF(SUMIFS(Data_filtered!$K$2:$K$461,Data_filtered!$A$2:$A$461,T$1,Data_filtered!$F$2:$F$461,$A20, Data_filtered!$D$2:$D$461,"mata",Data_filtered!$J$2:$J$461,"&lt;&gt;Incompleto")=0, "-", SUMIFS(Data_filtered!$K$2:$K$461,Data_filtered!$A$2:$A$461,T$1,Data_filtered!$F$2:$F$461,$A20, Data_filtered!$D$2:$D$461,"mata",Data_filtered!$J$2:$J$461,"&lt;&gt;Incompleto"))
</f>
        <v>-</v>
      </c>
      <c r="V20" s="109" t="str">
        <f>IF(SUMIFS(Data_filtered!$K$2:$K$461,Data_filtered!$A$2:$A$461,V$1,Data_filtered!$F$2:$F$461,$A20, Data_filtered!$D$2:$D$461,"eucalipto",Data_filtered!$J$2:$J$461,"&lt;&gt;Incompleto")=0, "-", SUMIFS(Data_filtered!$K$2:$K$461,Data_filtered!$A$2:$A$461,V$1,Data_filtered!$F$2:$F$461,$A20, Data_filtered!$D$2:$D$461,"eucalipto",Data_filtered!$J$2:$J$461,"&lt;&gt;Incompleto"))</f>
        <v>-</v>
      </c>
      <c r="W20" s="110" t="str">
        <f>IF(SUMIFS(Data_filtered!$K$2:$K$461,Data_filtered!$A$2:$A$461,V$1,Data_filtered!$F$2:$F$461,$A20, Data_filtered!$D$2:$D$461,"mata",Data_filtered!$J$2:$J$461,"&lt;&gt;Incompleto")=0, "-", SUMIFS(Data_filtered!$K$2:$K$461,Data_filtered!$A$2:$A$461,V$1,Data_filtered!$F$2:$F$461,$A20, Data_filtered!$D$2:$D$461,"mata",Data_filtered!$J$2:$J$461,"&lt;&gt;Incompleto"))
</f>
        <v>-</v>
      </c>
      <c r="X20" s="109" t="str">
        <f>IF(SUMIFS(Data_filtered!$K$2:$K$461,Data_filtered!$A$2:$A$461,X$1,Data_filtered!$F$2:$F$461,$A20, Data_filtered!$D$2:$D$461,"eucalipto",Data_filtered!$J$2:$J$461,"&lt;&gt;Incompleto")=0, "-", SUMIFS(Data_filtered!$K$2:$K$461,Data_filtered!$A$2:$A$461,X$1,Data_filtered!$F$2:$F$461,$A20, Data_filtered!$D$2:$D$461,"eucalipto",Data_filtered!$J$2:$J$461,"&lt;&gt;Incompleto"))</f>
        <v>-</v>
      </c>
      <c r="Y20" s="110" t="str">
        <f>IF(SUMIFS(Data_filtered!$K$2:$K$461,Data_filtered!$A$2:$A$461,X$1,Data_filtered!$F$2:$F$461,$A20, Data_filtered!$D$2:$D$461,"mata",Data_filtered!$J$2:$J$461,"&lt;&gt;Incompleto")=0, "-", SUMIFS(Data_filtered!$K$2:$K$461,Data_filtered!$A$2:$A$461,X$1,Data_filtered!$F$2:$F$461,$A20, Data_filtered!$D$2:$D$461,"mata",Data_filtered!$J$2:$J$461,"&lt;&gt;Incompleto"))
</f>
        <v>-</v>
      </c>
      <c r="Z20" s="109" t="str">
        <f>IF(SUMIFS(Data_filtered!$K$2:$K$461,Data_filtered!$A$2:$A$461,Z$1,Data_filtered!$F$2:$F$461,$A20, Data_filtered!$D$2:$D$461,"eucalipto",Data_filtered!$J$2:$J$461,"&lt;&gt;Incompleto")=0, "-", SUMIFS(Data_filtered!$K$2:$K$461,Data_filtered!$A$2:$A$461,Z$1,Data_filtered!$F$2:$F$461,$A20, Data_filtered!$D$2:$D$461,"eucalipto",Data_filtered!$J$2:$J$461,"&lt;&gt;Incompleto"))</f>
        <v>-</v>
      </c>
      <c r="AA20" s="110" t="str">
        <f>IF(SUMIFS(Data_filtered!$K$2:$K$461,Data_filtered!$A$2:$A$461,Z$1,Data_filtered!$F$2:$F$461,$A20, Data_filtered!$D$2:$D$461,"mata",Data_filtered!$J$2:$J$461,"&lt;&gt;Incompleto")=0, "-", SUMIFS(Data_filtered!$K$2:$K$461,Data_filtered!$A$2:$A$461,Z$1,Data_filtered!$F$2:$F$461,$A20, Data_filtered!$D$2:$D$461,"mata",Data_filtered!$J$2:$J$461,"&lt;&gt;Incompleto"))
</f>
        <v>-</v>
      </c>
      <c r="AB20" s="109" t="str">
        <f>IF(SUMIFS(Data_filtered!$K$2:$K$461,Data_filtered!$A$2:$A$461,AB$1,Data_filtered!$F$2:$F$461,$A20, Data_filtered!$D$2:$D$461,"eucalipto",Data_filtered!$J$2:$J$461,"&lt;&gt;Incompleto")=0, "-", SUMIFS(Data_filtered!$K$2:$K$461,Data_filtered!$A$2:$A$461,AB$1,Data_filtered!$F$2:$F$461,$A20, Data_filtered!$D$2:$D$461,"eucalipto",Data_filtered!$J$2:$J$461,"&lt;&gt;Incompleto"))</f>
        <v>-</v>
      </c>
      <c r="AC20" s="110" t="str">
        <f>IF(SUMIFS(Data_filtered!$K$2:$K$461,Data_filtered!$A$2:$A$461,AB$1,Data_filtered!$F$2:$F$461,$A20, Data_filtered!$D$2:$D$461,"mata",Data_filtered!$J$2:$J$461,"&lt;&gt;Incompleto")=0, "-", SUMIFS(Data_filtered!$K$2:$K$461,Data_filtered!$A$2:$A$461,AB$1,Data_filtered!$F$2:$F$461,$A20, Data_filtered!$D$2:$D$461,"mata",Data_filtered!$J$2:$J$461,"&lt;&gt;Incompleto"))
</f>
        <v>-</v>
      </c>
      <c r="AD20" s="109" t="str">
        <f>IF(SUMIFS(Data_filtered!$K$2:$K$461,Data_filtered!$A$2:$A$461,AD$1,Data_filtered!$F$2:$F$461,$A20, Data_filtered!$D$2:$D$461,"eucalipto",Data_filtered!$J$2:$J$461,"&lt;&gt;Incompleto")=0, "-", SUMIFS(Data_filtered!$K$2:$K$461,Data_filtered!$A$2:$A$461,AD$1,Data_filtered!$F$2:$F$461,$A20, Data_filtered!$D$2:$D$461,"eucalipto",Data_filtered!$J$2:$J$461,"&lt;&gt;Incompleto"))</f>
        <v>-</v>
      </c>
      <c r="AE20" s="110" t="str">
        <f>IF(SUMIFS(Data_filtered!$K$2:$K$461,Data_filtered!$A$2:$A$461,AD$1,Data_filtered!$F$2:$F$461,$A20, Data_filtered!$D$2:$D$461,"mata",Data_filtered!$J$2:$J$461,"&lt;&gt;Incompleto")=0, "-", SUMIFS(Data_filtered!$K$2:$K$461,Data_filtered!$A$2:$A$461,AD$1,Data_filtered!$F$2:$F$461,$A20, Data_filtered!$D$2:$D$461,"mata",Data_filtered!$J$2:$J$461,"&lt;&gt;Incompleto"))
</f>
        <v>-</v>
      </c>
      <c r="AF20" s="109" t="str">
        <f>IF(SUMIFS(Data_filtered!$K$2:$K$461,Data_filtered!$A$2:$A$461,AF$1,Data_filtered!$F$2:$F$461,$A20, Data_filtered!$D$2:$D$461,"eucalipto",Data_filtered!$J$2:$J$461,"&lt;&gt;Incompleto")=0, "-", SUMIFS(Data_filtered!$K$2:$K$461,Data_filtered!$A$2:$A$461,AF$1,Data_filtered!$F$2:$F$461,$A20, Data_filtered!$D$2:$D$461,"eucalipto",Data_filtered!$J$2:$J$461,"&lt;&gt;Incompleto"))</f>
        <v>-</v>
      </c>
      <c r="AG20" s="110" t="str">
        <f>IF(SUMIFS(Data_filtered!$K$2:$K$461,Data_filtered!$A$2:$A$461,AF$1,Data_filtered!$F$2:$F$461,$A20, Data_filtered!$D$2:$D$461,"mata",Data_filtered!$J$2:$J$461,"&lt;&gt;Incompleto")=0, "-", SUMIFS(Data_filtered!$K$2:$K$461,Data_filtered!$A$2:$A$461,AF$1,Data_filtered!$F$2:$F$461,$A20, Data_filtered!$D$2:$D$461,"mata",Data_filtered!$J$2:$J$461,"&lt;&gt;Incompleto"))
</f>
        <v>-</v>
      </c>
      <c r="AH20" s="109" t="str">
        <f>IF(SUMIFS(Data_filtered!$K$2:$K$461,Data_filtered!$A$2:$A$461,AH$1,Data_filtered!$F$2:$F$461,$A20, Data_filtered!$D$2:$D$461,"eucalipto",Data_filtered!$J$2:$J$461,"&lt;&gt;Incompleto")=0, "-", SUMIFS(Data_filtered!$K$2:$K$461,Data_filtered!$A$2:$A$461,AH$1,Data_filtered!$F$2:$F$461,$A20, Data_filtered!$D$2:$D$461,"eucalipto",Data_filtered!$J$2:$J$461,"&lt;&gt;Incompleto"))</f>
        <v>-</v>
      </c>
      <c r="AI20" s="110" t="str">
        <f>IF(SUMIFS(Data_filtered!$K$2:$K$461,Data_filtered!$A$2:$A$461,AH$1,Data_filtered!$F$2:$F$461,$A20, Data_filtered!$D$2:$D$461,"mata",Data_filtered!$J$2:$J$461,"&lt;&gt;Incompleto")=0, "-", SUMIFS(Data_filtered!$K$2:$K$461,Data_filtered!$A$2:$A$461,AH$1,Data_filtered!$F$2:$F$461,$A20, Data_filtered!$D$2:$D$461,"mata",Data_filtered!$J$2:$J$461,"&lt;&gt;Incompleto"))
</f>
        <v>-</v>
      </c>
      <c r="AJ20" s="109" t="str">
        <f>IF(SUMIFS(Data_filtered!$K$2:$K$461,Data_filtered!$A$2:$A$461,AJ$1,Data_filtered!$F$2:$F$461,$A20, Data_filtered!$D$2:$D$461,"eucalipto",Data_filtered!$J$2:$J$461,"&lt;&gt;Incompleto")=0, "-", SUMIFS(Data_filtered!$K$2:$K$461,Data_filtered!$A$2:$A$461,AJ$1,Data_filtered!$F$2:$F$461,$A20, Data_filtered!$D$2:$D$461,"eucalipto",Data_filtered!$J$2:$J$461,"&lt;&gt;Incompleto"))</f>
        <v>-</v>
      </c>
      <c r="AK20" s="110" t="str">
        <f>IF(SUMIFS(Data_filtered!$K$2:$K$461,Data_filtered!$A$2:$A$461,AJ$1,Data_filtered!$F$2:$F$461,$A20, Data_filtered!$D$2:$D$461,"mata",Data_filtered!$J$2:$J$461,"&lt;&gt;Incompleto")=0, "-", SUMIFS(Data_filtered!$K$2:$K$461,Data_filtered!$A$2:$A$461,AJ$1,Data_filtered!$F$2:$F$461,$A20, Data_filtered!$D$2:$D$461,"mata",Data_filtered!$J$2:$J$461,"&lt;&gt;Incompleto"))
</f>
        <v>-</v>
      </c>
      <c r="AL20" s="109" t="str">
        <f>IF(SUMIFS(Data_filtered!$K$2:$K$461,Data_filtered!$A$2:$A$461,AL$1,Data_filtered!$F$2:$F$461,$A20, Data_filtered!$D$2:$D$461,"eucalipto",Data_filtered!$J$2:$J$461,"&lt;&gt;Incompleto")=0, "-", SUMIFS(Data_filtered!$K$2:$K$461,Data_filtered!$A$2:$A$461,AL$1,Data_filtered!$F$2:$F$461,$A20, Data_filtered!$D$2:$D$461,"eucalipto",Data_filtered!$J$2:$J$461,"&lt;&gt;Incompleto"))</f>
        <v>-</v>
      </c>
      <c r="AM20" s="110" t="str">
        <f>IF(SUMIFS(Data_filtered!$K$2:$K$461,Data_filtered!$A$2:$A$461,AL$1,Data_filtered!$F$2:$F$461,$A20, Data_filtered!$D$2:$D$461,"mata",Data_filtered!$J$2:$J$461,"&lt;&gt;Incompleto")=0, "-", SUMIFS(Data_filtered!$K$2:$K$461,Data_filtered!$A$2:$A$461,AL$1,Data_filtered!$F$2:$F$461,$A20, Data_filtered!$D$2:$D$461,"mata",Data_filtered!$J$2:$J$461,"&lt;&gt;Incompleto"))
</f>
        <v>-</v>
      </c>
      <c r="AN20" s="109" t="str">
        <f>IF(SUMIFS(Data_filtered!$K$2:$K$461,Data_filtered!$A$2:$A$461,AN$1,Data_filtered!$F$2:$F$461,$A20, Data_filtered!$D$2:$D$461,"eucalipto",Data_filtered!$J$2:$J$461,"&lt;&gt;Incompleto")=0, "-", SUMIFS(Data_filtered!$K$2:$K$461,Data_filtered!$A$2:$A$461,AN$1,Data_filtered!$F$2:$F$461,$A20, Data_filtered!$D$2:$D$461,"eucalipto",Data_filtered!$J$2:$J$461,"&lt;&gt;Incompleto"))</f>
        <v>-</v>
      </c>
      <c r="AO20" s="110" t="str">
        <f>IF(SUMIFS(Data_filtered!$K$2:$K$461,Data_filtered!$A$2:$A$461,AN$1,Data_filtered!$F$2:$F$461,$A20, Data_filtered!$D$2:$D$461,"mata",Data_filtered!$J$2:$J$461,"&lt;&gt;Incompleto")=0, "-", SUMIFS(Data_filtered!$K$2:$K$461,Data_filtered!$A$2:$A$461,AN$1,Data_filtered!$F$2:$F$461,$A20, Data_filtered!$D$2:$D$461,"mata",Data_filtered!$J$2:$J$461,"&lt;&gt;Incompleto"))
</f>
        <v>-</v>
      </c>
      <c r="AP20" s="109" t="str">
        <f>IF(SUMIFS(Data_filtered!$K$2:$K$461,Data_filtered!$A$2:$A$461,AP$1,Data_filtered!$F$2:$F$461,$A20, Data_filtered!$D$2:$D$461,"eucalipto",Data_filtered!$J$2:$J$461,"&lt;&gt;Incompleto")=0, "-", SUMIFS(Data_filtered!$K$2:$K$461,Data_filtered!$A$2:$A$461,AP$1,Data_filtered!$F$2:$F$461,$A20, Data_filtered!$D$2:$D$461,"eucalipto",Data_filtered!$J$2:$J$461,"&lt;&gt;Incompleto"))</f>
        <v>-</v>
      </c>
      <c r="AQ20" s="110" t="str">
        <f>IF(SUMIFS(Data_filtered!$K$2:$K$461,Data_filtered!$A$2:$A$461,AP$1,Data_filtered!$F$2:$F$461,$A20, Data_filtered!$D$2:$D$461,"mata",Data_filtered!$J$2:$J$461,"&lt;&gt;Incompleto")=0, "-", SUMIFS(Data_filtered!$K$2:$K$461,Data_filtered!$A$2:$A$461,AP$1,Data_filtered!$F$2:$F$461,$A20, Data_filtered!$D$2:$D$461,"mata",Data_filtered!$J$2:$J$461,"&lt;&gt;Incompleto"))
</f>
        <v>-</v>
      </c>
      <c r="AR20" s="109" t="str">
        <f>IF(SUMIFS(Data_filtered!$K$2:$K$461,Data_filtered!$A$2:$A$461,AR$1,Data_filtered!$F$2:$F$461,$A20, Data_filtered!$D$2:$D$461,"eucalipto",Data_filtered!$J$2:$J$461,"&lt;&gt;Incompleto")=0, "-", SUMIFS(Data_filtered!$K$2:$K$461,Data_filtered!$A$2:$A$461,AR$1,Data_filtered!$F$2:$F$461,$A20, Data_filtered!$D$2:$D$461,"eucalipto",Data_filtered!$J$2:$J$461,"&lt;&gt;Incompleto"))</f>
        <v>-</v>
      </c>
      <c r="AS20" s="110" t="str">
        <f>IF(SUMIFS(Data_filtered!$K$2:$K$461,Data_filtered!$A$2:$A$461,AR$1,Data_filtered!$F$2:$F$461,$A20, Data_filtered!$D$2:$D$461,"mata",Data_filtered!$J$2:$J$461,"&lt;&gt;Incompleto")=0, "-", SUMIFS(Data_filtered!$K$2:$K$461,Data_filtered!$A$2:$A$461,AR$1,Data_filtered!$F$2:$F$461,$A20, Data_filtered!$D$2:$D$461,"mata",Data_filtered!$J$2:$J$461,"&lt;&gt;Incompleto"))
</f>
        <v>-</v>
      </c>
    </row>
    <row r="21">
      <c r="A21" s="68" t="str">
        <f>IFERROR(__xludf.DUMMYFUNCTION("""COMPUTED_VALUE"""),"Opiliones")</f>
        <v>Opiliones</v>
      </c>
      <c r="B21" s="109" t="str">
        <f>IF(SUMIFS(Data_filtered!$K$2:$K$461,Data_filtered!$A$2:$A$461,B$1,Data_filtered!$F$2:$F$461,$A21, Data_filtered!$D$2:$D$461,"eucalipto",Data_filtered!$J$2:$J$461,"&lt;&gt;Incompleto")=0, "-", SUMIFS(Data_filtered!$K$2:$K$461,Data_filtered!$A$2:$A$461,B$1,Data_filtered!$F$2:$F$461,$A21, Data_filtered!$D$2:$D$461,"eucalipto",Data_filtered!$J$2:$J$461,"&lt;&gt;Incompleto"))</f>
        <v>-</v>
      </c>
      <c r="C21" s="110" t="str">
        <f>IF(SUMIFS(Data_filtered!$K$2:$K$461,Data_filtered!$A$2:$A$461,B$1,Data_filtered!$F$2:$F$461,$A21, Data_filtered!$D$2:$D$461,"mata",Data_filtered!$J$2:$J$461,"&lt;&gt;Incompleto")=0, "-", SUMIFS(Data_filtered!$K$2:$K$461,Data_filtered!$A$2:$A$461,B$1,Data_filtered!$F$2:$F$461,$A21, Data_filtered!$D$2:$D$461,"mata",Data_filtered!$J$2:$J$461,"&lt;&gt;Incompleto"))
</f>
        <v>-</v>
      </c>
      <c r="D21" s="109" t="str">
        <f>IF(SUMIFS(Data_filtered!$K$2:$K$461,Data_filtered!$A$2:$A$461,D$1,Data_filtered!$F$2:$F$461,$A21, Data_filtered!$D$2:$D$461,"eucalipto",Data_filtered!$J$2:$J$461,"&lt;&gt;Incompleto")=0, "-", SUMIFS(Data_filtered!$K$2:$K$461,Data_filtered!$A$2:$A$461,D$1,Data_filtered!$F$2:$F$461,$A21, Data_filtered!$D$2:$D$461,"eucalipto",Data_filtered!$J$2:$J$461,"&lt;&gt;Incompleto"))</f>
        <v>-</v>
      </c>
      <c r="E21" s="110" t="str">
        <f>IF(SUMIFS(Data_filtered!$K$2:$K$461,Data_filtered!$A$2:$A$461,D$1,Data_filtered!$F$2:$F$461,$A21, Data_filtered!$D$2:$D$461,"mata",Data_filtered!$J$2:$J$461,"&lt;&gt;Incompleto")=0, "-", SUMIFS(Data_filtered!$K$2:$K$461,Data_filtered!$A$2:$A$461,D$1,Data_filtered!$F$2:$F$461,$A21, Data_filtered!$D$2:$D$461,"mata",Data_filtered!$J$2:$J$461,"&lt;&gt;Incompleto"))
</f>
        <v>-</v>
      </c>
      <c r="F21" s="109" t="str">
        <f>IF(SUMIFS(Data_filtered!$K$2:$K$461,Data_filtered!$A$2:$A$461,F$1,Data_filtered!$F$2:$F$461,$A21, Data_filtered!$D$2:$D$461,"eucalipto",Data_filtered!$J$2:$J$461,"&lt;&gt;Incompleto")=0, "-", SUMIFS(Data_filtered!$K$2:$K$461,Data_filtered!$A$2:$A$461,F$1,Data_filtered!$F$2:$F$461,$A21, Data_filtered!$D$2:$D$461,"eucalipto",Data_filtered!$J$2:$J$461,"&lt;&gt;Incompleto"))</f>
        <v>-</v>
      </c>
      <c r="G21" s="110" t="str">
        <f>IF(SUMIFS(Data_filtered!$K$2:$K$461,Data_filtered!$A$2:$A$461,F$1,Data_filtered!$F$2:$F$461,$A21, Data_filtered!$D$2:$D$461,"mata",Data_filtered!$J$2:$J$461,"&lt;&gt;Incompleto")=0, "-", SUMIFS(Data_filtered!$K$2:$K$461,Data_filtered!$A$2:$A$461,F$1,Data_filtered!$F$2:$F$461,$A21, Data_filtered!$D$2:$D$461,"mata",Data_filtered!$J$2:$J$461,"&lt;&gt;Incompleto"))
</f>
        <v>-</v>
      </c>
      <c r="H21" s="109" t="str">
        <f>IF(SUMIFS(Data_filtered!$K$2:$K$461,Data_filtered!$A$2:$A$461,H$1,Data_filtered!$F$2:$F$461,$A21, Data_filtered!$D$2:$D$461,"eucalipto",Data_filtered!$J$2:$J$461,"&lt;&gt;Incompleto")=0, "-", SUMIFS(Data_filtered!$K$2:$K$461,Data_filtered!$A$2:$A$461,H$1,Data_filtered!$F$2:$F$461,$A21, Data_filtered!$D$2:$D$461,"eucalipto",Data_filtered!$J$2:$J$461,"&lt;&gt;Incompleto"))</f>
        <v>-</v>
      </c>
      <c r="I21" s="110">
        <f>IF(SUMIFS(Data_filtered!$K$2:$K$461,Data_filtered!$A$2:$A$461,H$1,Data_filtered!$F$2:$F$461,$A21, Data_filtered!$D$2:$D$461,"mata",Data_filtered!$J$2:$J$461,"&lt;&gt;Incompleto")=0, "-", SUMIFS(Data_filtered!$K$2:$K$461,Data_filtered!$A$2:$A$461,H$1,Data_filtered!$F$2:$F$461,$A21, Data_filtered!$D$2:$D$461,"mata",Data_filtered!$J$2:$J$461,"&lt;&gt;Incompleto"))
</f>
        <v>628.3185307</v>
      </c>
      <c r="J21" s="109" t="str">
        <f>IF(SUMIFS(Data_filtered!$K$2:$K$461,Data_filtered!$A$2:$A$461,J$1,Data_filtered!$F$2:$F$461,$A21, Data_filtered!$D$2:$D$461,"eucalipto",Data_filtered!$J$2:$J$461,"&lt;&gt;Incompleto")=0, "-", SUMIFS(Data_filtered!$K$2:$K$461,Data_filtered!$A$2:$A$461,J$1,Data_filtered!$F$2:$F$461,$A21, Data_filtered!$D$2:$D$461,"eucalipto",Data_filtered!$J$2:$J$461,"&lt;&gt;Incompleto"))</f>
        <v>-</v>
      </c>
      <c r="K21" s="110" t="str">
        <f>IF(SUMIFS(Data_filtered!$K$2:$K$461,Data_filtered!$A$2:$A$461,J$1,Data_filtered!$F$2:$F$461,$A21, Data_filtered!$D$2:$D$461,"mata",Data_filtered!$J$2:$J$461,"&lt;&gt;Incompleto")=0, "-", SUMIFS(Data_filtered!$K$2:$K$461,Data_filtered!$A$2:$A$461,J$1,Data_filtered!$F$2:$F$461,$A21, Data_filtered!$D$2:$D$461,"mata",Data_filtered!$J$2:$J$461,"&lt;&gt;Incompleto"))
</f>
        <v>-</v>
      </c>
      <c r="L21" s="109" t="str">
        <f>IF(SUMIFS(Data_filtered!$K$2:$K$461,Data_filtered!$A$2:$A$461,L$1,Data_filtered!$F$2:$F$461,$A21, Data_filtered!$D$2:$D$461,"eucalipto",Data_filtered!$J$2:$J$461,"&lt;&gt;Incompleto")=0, "-", SUMIFS(Data_filtered!$K$2:$K$461,Data_filtered!$A$2:$A$461,L$1,Data_filtered!$F$2:$F$461,$A21, Data_filtered!$D$2:$D$461,"eucalipto",Data_filtered!$J$2:$J$461,"&lt;&gt;Incompleto"))</f>
        <v>-</v>
      </c>
      <c r="M21" s="110" t="str">
        <f>IF(SUMIFS(Data_filtered!$K$2:$K$461,Data_filtered!$A$2:$A$461,L$1,Data_filtered!$F$2:$F$461,$A21, Data_filtered!$D$2:$D$461,"mata",Data_filtered!$J$2:$J$461,"&lt;&gt;Incompleto")=0, "-", SUMIFS(Data_filtered!$K$2:$K$461,Data_filtered!$A$2:$A$461,L$1,Data_filtered!$F$2:$F$461,$A21, Data_filtered!$D$2:$D$461,"mata",Data_filtered!$J$2:$J$461,"&lt;&gt;Incompleto"))
</f>
        <v>-</v>
      </c>
      <c r="N21" s="109" t="str">
        <f>IF(SUMIFS(Data_filtered!$K$2:$K$461,Data_filtered!$A$2:$A$461,N$1,Data_filtered!$F$2:$F$461,$A21, Data_filtered!$D$2:$D$461,"eucalipto",Data_filtered!$J$2:$J$461,"&lt;&gt;Incompleto")=0, "-", SUMIFS(Data_filtered!$K$2:$K$461,Data_filtered!$A$2:$A$461,N$1,Data_filtered!$F$2:$F$461,$A21, Data_filtered!$D$2:$D$461,"eucalipto",Data_filtered!$J$2:$J$461,"&lt;&gt;Incompleto"))</f>
        <v>-</v>
      </c>
      <c r="O21" s="110" t="str">
        <f>IF(SUMIFS(Data_filtered!$K$2:$K$461,Data_filtered!$A$2:$A$461,N$1,Data_filtered!$F$2:$F$461,$A21, Data_filtered!$D$2:$D$461,"mata",Data_filtered!$J$2:$J$461,"&lt;&gt;Incompleto")=0, "-", SUMIFS(Data_filtered!$K$2:$K$461,Data_filtered!$A$2:$A$461,N$1,Data_filtered!$F$2:$F$461,$A21, Data_filtered!$D$2:$D$461,"mata",Data_filtered!$J$2:$J$461,"&lt;&gt;Incompleto"))
</f>
        <v>-</v>
      </c>
      <c r="P21" s="109" t="str">
        <f>IF(SUMIFS(Data_filtered!$K$2:$K$461,Data_filtered!$A$2:$A$461,P$1,Data_filtered!$F$2:$F$461,$A21, Data_filtered!$D$2:$D$461,"eucalipto",Data_filtered!$J$2:$J$461,"&lt;&gt;Incompleto")=0, "-", SUMIFS(Data_filtered!$K$2:$K$461,Data_filtered!$A$2:$A$461,P$1,Data_filtered!$F$2:$F$461,$A21, Data_filtered!$D$2:$D$461,"eucalipto",Data_filtered!$J$2:$J$461,"&lt;&gt;Incompleto"))</f>
        <v>-</v>
      </c>
      <c r="Q21" s="110" t="str">
        <f>IF(SUMIFS(Data_filtered!$K$2:$K$461,Data_filtered!$A$2:$A$461,P$1,Data_filtered!$F$2:$F$461,$A21, Data_filtered!$D$2:$D$461,"mata",Data_filtered!$J$2:$J$461,"&lt;&gt;Incompleto")=0, "-", SUMIFS(Data_filtered!$K$2:$K$461,Data_filtered!$A$2:$A$461,P$1,Data_filtered!$F$2:$F$461,$A21, Data_filtered!$D$2:$D$461,"mata",Data_filtered!$J$2:$J$461,"&lt;&gt;Incompleto"))
</f>
        <v>-</v>
      </c>
      <c r="R21" s="109">
        <f>IF(SUMIFS(Data_filtered!$K$2:$K$461,Data_filtered!$A$2:$A$461,R$1,Data_filtered!$F$2:$F$461,$A21, Data_filtered!$D$2:$D$461,"eucalipto",Data_filtered!$J$2:$J$461,"&lt;&gt;Incompleto")=0, "-", SUMIFS(Data_filtered!$K$2:$K$461,Data_filtered!$A$2:$A$461,R$1,Data_filtered!$F$2:$F$461,$A21, Data_filtered!$D$2:$D$461,"eucalipto",Data_filtered!$J$2:$J$461,"&lt;&gt;Incompleto"))</f>
        <v>737.227076</v>
      </c>
      <c r="S21" s="110" t="str">
        <f>IF(SUMIFS(Data_filtered!$K$2:$K$461,Data_filtered!$A$2:$A$461,R$1,Data_filtered!$F$2:$F$461,$A21, Data_filtered!$D$2:$D$461,"mata",Data_filtered!$J$2:$J$461,"&lt;&gt;Incompleto")=0, "-", SUMIFS(Data_filtered!$K$2:$K$461,Data_filtered!$A$2:$A$461,R$1,Data_filtered!$F$2:$F$461,$A21, Data_filtered!$D$2:$D$461,"mata",Data_filtered!$J$2:$J$461,"&lt;&gt;Incompleto"))
</f>
        <v>-</v>
      </c>
      <c r="T21" s="109" t="str">
        <f>IF(SUMIFS(Data_filtered!$K$2:$K$461,Data_filtered!$A$2:$A$461,T$1,Data_filtered!$F$2:$F$461,$A21, Data_filtered!$D$2:$D$461,"eucalipto",Data_filtered!$J$2:$J$461,"&lt;&gt;Incompleto")=0, "-", SUMIFS(Data_filtered!$K$2:$K$461,Data_filtered!$A$2:$A$461,T$1,Data_filtered!$F$2:$F$461,$A21, Data_filtered!$D$2:$D$461,"eucalipto",Data_filtered!$J$2:$J$461,"&lt;&gt;Incompleto"))</f>
        <v>-</v>
      </c>
      <c r="U21" s="110" t="str">
        <f>IF(SUMIFS(Data_filtered!$K$2:$K$461,Data_filtered!$A$2:$A$461,T$1,Data_filtered!$F$2:$F$461,$A21, Data_filtered!$D$2:$D$461,"mata",Data_filtered!$J$2:$J$461,"&lt;&gt;Incompleto")=0, "-", SUMIFS(Data_filtered!$K$2:$K$461,Data_filtered!$A$2:$A$461,T$1,Data_filtered!$F$2:$F$461,$A21, Data_filtered!$D$2:$D$461,"mata",Data_filtered!$J$2:$J$461,"&lt;&gt;Incompleto"))
</f>
        <v>-</v>
      </c>
      <c r="V21" s="109" t="str">
        <f>IF(SUMIFS(Data_filtered!$K$2:$K$461,Data_filtered!$A$2:$A$461,V$1,Data_filtered!$F$2:$F$461,$A21, Data_filtered!$D$2:$D$461,"eucalipto",Data_filtered!$J$2:$J$461,"&lt;&gt;Incompleto")=0, "-", SUMIFS(Data_filtered!$K$2:$K$461,Data_filtered!$A$2:$A$461,V$1,Data_filtered!$F$2:$F$461,$A21, Data_filtered!$D$2:$D$461,"eucalipto",Data_filtered!$J$2:$J$461,"&lt;&gt;Incompleto"))</f>
        <v>-</v>
      </c>
      <c r="W21" s="110" t="str">
        <f>IF(SUMIFS(Data_filtered!$K$2:$K$461,Data_filtered!$A$2:$A$461,V$1,Data_filtered!$F$2:$F$461,$A21, Data_filtered!$D$2:$D$461,"mata",Data_filtered!$J$2:$J$461,"&lt;&gt;Incompleto")=0, "-", SUMIFS(Data_filtered!$K$2:$K$461,Data_filtered!$A$2:$A$461,V$1,Data_filtered!$F$2:$F$461,$A21, Data_filtered!$D$2:$D$461,"mata",Data_filtered!$J$2:$J$461,"&lt;&gt;Incompleto"))
</f>
        <v>-</v>
      </c>
      <c r="X21" s="109" t="str">
        <f>IF(SUMIFS(Data_filtered!$K$2:$K$461,Data_filtered!$A$2:$A$461,X$1,Data_filtered!$F$2:$F$461,$A21, Data_filtered!$D$2:$D$461,"eucalipto",Data_filtered!$J$2:$J$461,"&lt;&gt;Incompleto")=0, "-", SUMIFS(Data_filtered!$K$2:$K$461,Data_filtered!$A$2:$A$461,X$1,Data_filtered!$F$2:$F$461,$A21, Data_filtered!$D$2:$D$461,"eucalipto",Data_filtered!$J$2:$J$461,"&lt;&gt;Incompleto"))</f>
        <v>-</v>
      </c>
      <c r="Y21" s="110" t="str">
        <f>IF(SUMIFS(Data_filtered!$K$2:$K$461,Data_filtered!$A$2:$A$461,X$1,Data_filtered!$F$2:$F$461,$A21, Data_filtered!$D$2:$D$461,"mata",Data_filtered!$J$2:$J$461,"&lt;&gt;Incompleto")=0, "-", SUMIFS(Data_filtered!$K$2:$K$461,Data_filtered!$A$2:$A$461,X$1,Data_filtered!$F$2:$F$461,$A21, Data_filtered!$D$2:$D$461,"mata",Data_filtered!$J$2:$J$461,"&lt;&gt;Incompleto"))
</f>
        <v>-</v>
      </c>
      <c r="Z21" s="109" t="str">
        <f>IF(SUMIFS(Data_filtered!$K$2:$K$461,Data_filtered!$A$2:$A$461,Z$1,Data_filtered!$F$2:$F$461,$A21, Data_filtered!$D$2:$D$461,"eucalipto",Data_filtered!$J$2:$J$461,"&lt;&gt;Incompleto")=0, "-", SUMIFS(Data_filtered!$K$2:$K$461,Data_filtered!$A$2:$A$461,Z$1,Data_filtered!$F$2:$F$461,$A21, Data_filtered!$D$2:$D$461,"eucalipto",Data_filtered!$J$2:$J$461,"&lt;&gt;Incompleto"))</f>
        <v>-</v>
      </c>
      <c r="AA21" s="110" t="str">
        <f>IF(SUMIFS(Data_filtered!$K$2:$K$461,Data_filtered!$A$2:$A$461,Z$1,Data_filtered!$F$2:$F$461,$A21, Data_filtered!$D$2:$D$461,"mata",Data_filtered!$J$2:$J$461,"&lt;&gt;Incompleto")=0, "-", SUMIFS(Data_filtered!$K$2:$K$461,Data_filtered!$A$2:$A$461,Z$1,Data_filtered!$F$2:$F$461,$A21, Data_filtered!$D$2:$D$461,"mata",Data_filtered!$J$2:$J$461,"&lt;&gt;Incompleto"))
</f>
        <v>-</v>
      </c>
      <c r="AB21" s="109" t="str">
        <f>IF(SUMIFS(Data_filtered!$K$2:$K$461,Data_filtered!$A$2:$A$461,AB$1,Data_filtered!$F$2:$F$461,$A21, Data_filtered!$D$2:$D$461,"eucalipto",Data_filtered!$J$2:$J$461,"&lt;&gt;Incompleto")=0, "-", SUMIFS(Data_filtered!$K$2:$K$461,Data_filtered!$A$2:$A$461,AB$1,Data_filtered!$F$2:$F$461,$A21, Data_filtered!$D$2:$D$461,"eucalipto",Data_filtered!$J$2:$J$461,"&lt;&gt;Incompleto"))</f>
        <v>-</v>
      </c>
      <c r="AC21" s="110" t="str">
        <f>IF(SUMIFS(Data_filtered!$K$2:$K$461,Data_filtered!$A$2:$A$461,AB$1,Data_filtered!$F$2:$F$461,$A21, Data_filtered!$D$2:$D$461,"mata",Data_filtered!$J$2:$J$461,"&lt;&gt;Incompleto")=0, "-", SUMIFS(Data_filtered!$K$2:$K$461,Data_filtered!$A$2:$A$461,AB$1,Data_filtered!$F$2:$F$461,$A21, Data_filtered!$D$2:$D$461,"mata",Data_filtered!$J$2:$J$461,"&lt;&gt;Incompleto"))
</f>
        <v>-</v>
      </c>
      <c r="AD21" s="109" t="str">
        <f>IF(SUMIFS(Data_filtered!$K$2:$K$461,Data_filtered!$A$2:$A$461,AD$1,Data_filtered!$F$2:$F$461,$A21, Data_filtered!$D$2:$D$461,"eucalipto",Data_filtered!$J$2:$J$461,"&lt;&gt;Incompleto")=0, "-", SUMIFS(Data_filtered!$K$2:$K$461,Data_filtered!$A$2:$A$461,AD$1,Data_filtered!$F$2:$F$461,$A21, Data_filtered!$D$2:$D$461,"eucalipto",Data_filtered!$J$2:$J$461,"&lt;&gt;Incompleto"))</f>
        <v>-</v>
      </c>
      <c r="AE21" s="110" t="str">
        <f>IF(SUMIFS(Data_filtered!$K$2:$K$461,Data_filtered!$A$2:$A$461,AD$1,Data_filtered!$F$2:$F$461,$A21, Data_filtered!$D$2:$D$461,"mata",Data_filtered!$J$2:$J$461,"&lt;&gt;Incompleto")=0, "-", SUMIFS(Data_filtered!$K$2:$K$461,Data_filtered!$A$2:$A$461,AD$1,Data_filtered!$F$2:$F$461,$A21, Data_filtered!$D$2:$D$461,"mata",Data_filtered!$J$2:$J$461,"&lt;&gt;Incompleto"))
</f>
        <v>-</v>
      </c>
      <c r="AF21" s="109" t="str">
        <f>IF(SUMIFS(Data_filtered!$K$2:$K$461,Data_filtered!$A$2:$A$461,AF$1,Data_filtered!$F$2:$F$461,$A21, Data_filtered!$D$2:$D$461,"eucalipto",Data_filtered!$J$2:$J$461,"&lt;&gt;Incompleto")=0, "-", SUMIFS(Data_filtered!$K$2:$K$461,Data_filtered!$A$2:$A$461,AF$1,Data_filtered!$F$2:$F$461,$A21, Data_filtered!$D$2:$D$461,"eucalipto",Data_filtered!$J$2:$J$461,"&lt;&gt;Incompleto"))</f>
        <v>-</v>
      </c>
      <c r="AG21" s="110" t="str">
        <f>IF(SUMIFS(Data_filtered!$K$2:$K$461,Data_filtered!$A$2:$A$461,AF$1,Data_filtered!$F$2:$F$461,$A21, Data_filtered!$D$2:$D$461,"mata",Data_filtered!$J$2:$J$461,"&lt;&gt;Incompleto")=0, "-", SUMIFS(Data_filtered!$K$2:$K$461,Data_filtered!$A$2:$A$461,AF$1,Data_filtered!$F$2:$F$461,$A21, Data_filtered!$D$2:$D$461,"mata",Data_filtered!$J$2:$J$461,"&lt;&gt;Incompleto"))
</f>
        <v>-</v>
      </c>
      <c r="AH21" s="109" t="str">
        <f>IF(SUMIFS(Data_filtered!$K$2:$K$461,Data_filtered!$A$2:$A$461,AH$1,Data_filtered!$F$2:$F$461,$A21, Data_filtered!$D$2:$D$461,"eucalipto",Data_filtered!$J$2:$J$461,"&lt;&gt;Incompleto")=0, "-", SUMIFS(Data_filtered!$K$2:$K$461,Data_filtered!$A$2:$A$461,AH$1,Data_filtered!$F$2:$F$461,$A21, Data_filtered!$D$2:$D$461,"eucalipto",Data_filtered!$J$2:$J$461,"&lt;&gt;Incompleto"))</f>
        <v>-</v>
      </c>
      <c r="AI21" s="110" t="str">
        <f>IF(SUMIFS(Data_filtered!$K$2:$K$461,Data_filtered!$A$2:$A$461,AH$1,Data_filtered!$F$2:$F$461,$A21, Data_filtered!$D$2:$D$461,"mata",Data_filtered!$J$2:$J$461,"&lt;&gt;Incompleto")=0, "-", SUMIFS(Data_filtered!$K$2:$K$461,Data_filtered!$A$2:$A$461,AH$1,Data_filtered!$F$2:$F$461,$A21, Data_filtered!$D$2:$D$461,"mata",Data_filtered!$J$2:$J$461,"&lt;&gt;Incompleto"))
</f>
        <v>-</v>
      </c>
      <c r="AJ21" s="109" t="str">
        <f>IF(SUMIFS(Data_filtered!$K$2:$K$461,Data_filtered!$A$2:$A$461,AJ$1,Data_filtered!$F$2:$F$461,$A21, Data_filtered!$D$2:$D$461,"eucalipto",Data_filtered!$J$2:$J$461,"&lt;&gt;Incompleto")=0, "-", SUMIFS(Data_filtered!$K$2:$K$461,Data_filtered!$A$2:$A$461,AJ$1,Data_filtered!$F$2:$F$461,$A21, Data_filtered!$D$2:$D$461,"eucalipto",Data_filtered!$J$2:$J$461,"&lt;&gt;Incompleto"))</f>
        <v>-</v>
      </c>
      <c r="AK21" s="110" t="str">
        <f>IF(SUMIFS(Data_filtered!$K$2:$K$461,Data_filtered!$A$2:$A$461,AJ$1,Data_filtered!$F$2:$F$461,$A21, Data_filtered!$D$2:$D$461,"mata",Data_filtered!$J$2:$J$461,"&lt;&gt;Incompleto")=0, "-", SUMIFS(Data_filtered!$K$2:$K$461,Data_filtered!$A$2:$A$461,AJ$1,Data_filtered!$F$2:$F$461,$A21, Data_filtered!$D$2:$D$461,"mata",Data_filtered!$J$2:$J$461,"&lt;&gt;Incompleto"))
</f>
        <v>-</v>
      </c>
      <c r="AL21" s="109" t="str">
        <f>IF(SUMIFS(Data_filtered!$K$2:$K$461,Data_filtered!$A$2:$A$461,AL$1,Data_filtered!$F$2:$F$461,$A21, Data_filtered!$D$2:$D$461,"eucalipto",Data_filtered!$J$2:$J$461,"&lt;&gt;Incompleto")=0, "-", SUMIFS(Data_filtered!$K$2:$K$461,Data_filtered!$A$2:$A$461,AL$1,Data_filtered!$F$2:$F$461,$A21, Data_filtered!$D$2:$D$461,"eucalipto",Data_filtered!$J$2:$J$461,"&lt;&gt;Incompleto"))</f>
        <v>-</v>
      </c>
      <c r="AM21" s="110">
        <f>IF(SUMIFS(Data_filtered!$K$2:$K$461,Data_filtered!$A$2:$A$461,AL$1,Data_filtered!$F$2:$F$461,$A21, Data_filtered!$D$2:$D$461,"mata",Data_filtered!$J$2:$J$461,"&lt;&gt;Incompleto")=0, "-", SUMIFS(Data_filtered!$K$2:$K$461,Data_filtered!$A$2:$A$461,AL$1,Data_filtered!$F$2:$F$461,$A21, Data_filtered!$D$2:$D$461,"mata",Data_filtered!$J$2:$J$461,"&lt;&gt;Incompleto"))
</f>
        <v>15205.30844</v>
      </c>
      <c r="AN21" s="109" t="str">
        <f>IF(SUMIFS(Data_filtered!$K$2:$K$461,Data_filtered!$A$2:$A$461,AN$1,Data_filtered!$F$2:$F$461,$A21, Data_filtered!$D$2:$D$461,"eucalipto",Data_filtered!$J$2:$J$461,"&lt;&gt;Incompleto")=0, "-", SUMIFS(Data_filtered!$K$2:$K$461,Data_filtered!$A$2:$A$461,AN$1,Data_filtered!$F$2:$F$461,$A21, Data_filtered!$D$2:$D$461,"eucalipto",Data_filtered!$J$2:$J$461,"&lt;&gt;Incompleto"))</f>
        <v>-</v>
      </c>
      <c r="AO21" s="110">
        <f>IF(SUMIFS(Data_filtered!$K$2:$K$461,Data_filtered!$A$2:$A$461,AN$1,Data_filtered!$F$2:$F$461,$A21, Data_filtered!$D$2:$D$461,"mata",Data_filtered!$J$2:$J$461,"&lt;&gt;Incompleto")=0, "-", SUMIFS(Data_filtered!$K$2:$K$461,Data_filtered!$A$2:$A$461,AN$1,Data_filtered!$F$2:$F$461,$A21, Data_filtered!$D$2:$D$461,"mata",Data_filtered!$J$2:$J$461,"&lt;&gt;Incompleto"))
</f>
        <v>150.7964474</v>
      </c>
      <c r="AP21" s="109" t="str">
        <f>IF(SUMIFS(Data_filtered!$K$2:$K$461,Data_filtered!$A$2:$A$461,AP$1,Data_filtered!$F$2:$F$461,$A21, Data_filtered!$D$2:$D$461,"eucalipto",Data_filtered!$J$2:$J$461,"&lt;&gt;Incompleto")=0, "-", SUMIFS(Data_filtered!$K$2:$K$461,Data_filtered!$A$2:$A$461,AP$1,Data_filtered!$F$2:$F$461,$A21, Data_filtered!$D$2:$D$461,"eucalipto",Data_filtered!$J$2:$J$461,"&lt;&gt;Incompleto"))</f>
        <v>-</v>
      </c>
      <c r="AQ21" s="110" t="str">
        <f>IF(SUMIFS(Data_filtered!$K$2:$K$461,Data_filtered!$A$2:$A$461,AP$1,Data_filtered!$F$2:$F$461,$A21, Data_filtered!$D$2:$D$461,"mata",Data_filtered!$J$2:$J$461,"&lt;&gt;Incompleto")=0, "-", SUMIFS(Data_filtered!$K$2:$K$461,Data_filtered!$A$2:$A$461,AP$1,Data_filtered!$F$2:$F$461,$A21, Data_filtered!$D$2:$D$461,"mata",Data_filtered!$J$2:$J$461,"&lt;&gt;Incompleto"))
</f>
        <v>-</v>
      </c>
      <c r="AR21" s="109" t="str">
        <f>IF(SUMIFS(Data_filtered!$K$2:$K$461,Data_filtered!$A$2:$A$461,AR$1,Data_filtered!$F$2:$F$461,$A21, Data_filtered!$D$2:$D$461,"eucalipto",Data_filtered!$J$2:$J$461,"&lt;&gt;Incompleto")=0, "-", SUMIFS(Data_filtered!$K$2:$K$461,Data_filtered!$A$2:$A$461,AR$1,Data_filtered!$F$2:$F$461,$A21, Data_filtered!$D$2:$D$461,"eucalipto",Data_filtered!$J$2:$J$461,"&lt;&gt;Incompleto"))</f>
        <v>-</v>
      </c>
      <c r="AS21" s="110" t="str">
        <f>IF(SUMIFS(Data_filtered!$K$2:$K$461,Data_filtered!$A$2:$A$461,AR$1,Data_filtered!$F$2:$F$461,$A21, Data_filtered!$D$2:$D$461,"mata",Data_filtered!$J$2:$J$461,"&lt;&gt;Incompleto")=0, "-", SUMIFS(Data_filtered!$K$2:$K$461,Data_filtered!$A$2:$A$461,AR$1,Data_filtered!$F$2:$F$461,$A21, Data_filtered!$D$2:$D$461,"mata",Data_filtered!$J$2:$J$461,"&lt;&gt;Incompleto"))
</f>
        <v>-</v>
      </c>
    </row>
    <row r="22">
      <c r="A22" s="68" t="str">
        <f>IFERROR(__xludf.DUMMYFUNCTION("""COMPUTED_VALUE"""),"Orthoptera")</f>
        <v>Orthoptera</v>
      </c>
      <c r="B22" s="109" t="str">
        <f>IF(SUMIFS(Data_filtered!$K$2:$K$461,Data_filtered!$A$2:$A$461,B$1,Data_filtered!$F$2:$F$461,$A22, Data_filtered!$D$2:$D$461,"eucalipto",Data_filtered!$J$2:$J$461,"&lt;&gt;Incompleto")=0, "-", SUMIFS(Data_filtered!$K$2:$K$461,Data_filtered!$A$2:$A$461,B$1,Data_filtered!$F$2:$F$461,$A22, Data_filtered!$D$2:$D$461,"eucalipto",Data_filtered!$J$2:$J$461,"&lt;&gt;Incompleto"))</f>
        <v>-</v>
      </c>
      <c r="C22" s="110" t="str">
        <f>IF(SUMIFS(Data_filtered!$K$2:$K$461,Data_filtered!$A$2:$A$461,B$1,Data_filtered!$F$2:$F$461,$A22, Data_filtered!$D$2:$D$461,"mata",Data_filtered!$J$2:$J$461,"&lt;&gt;Incompleto")=0, "-", SUMIFS(Data_filtered!$K$2:$K$461,Data_filtered!$A$2:$A$461,B$1,Data_filtered!$F$2:$F$461,$A22, Data_filtered!$D$2:$D$461,"mata",Data_filtered!$J$2:$J$461,"&lt;&gt;Incompleto"))
</f>
        <v>-</v>
      </c>
      <c r="D22" s="109" t="str">
        <f>IF(SUMIFS(Data_filtered!$K$2:$K$461,Data_filtered!$A$2:$A$461,D$1,Data_filtered!$F$2:$F$461,$A22, Data_filtered!$D$2:$D$461,"eucalipto",Data_filtered!$J$2:$J$461,"&lt;&gt;Incompleto")=0, "-", SUMIFS(Data_filtered!$K$2:$K$461,Data_filtered!$A$2:$A$461,D$1,Data_filtered!$F$2:$F$461,$A22, Data_filtered!$D$2:$D$461,"eucalipto",Data_filtered!$J$2:$J$461,"&lt;&gt;Incompleto"))</f>
        <v>-</v>
      </c>
      <c r="E22" s="110" t="str">
        <f>IF(SUMIFS(Data_filtered!$K$2:$K$461,Data_filtered!$A$2:$A$461,D$1,Data_filtered!$F$2:$F$461,$A22, Data_filtered!$D$2:$D$461,"mata",Data_filtered!$J$2:$J$461,"&lt;&gt;Incompleto")=0, "-", SUMIFS(Data_filtered!$K$2:$K$461,Data_filtered!$A$2:$A$461,D$1,Data_filtered!$F$2:$F$461,$A22, Data_filtered!$D$2:$D$461,"mata",Data_filtered!$J$2:$J$461,"&lt;&gt;Incompleto"))
</f>
        <v>-</v>
      </c>
      <c r="F22" s="109" t="str">
        <f>IF(SUMIFS(Data_filtered!$K$2:$K$461,Data_filtered!$A$2:$A$461,F$1,Data_filtered!$F$2:$F$461,$A22, Data_filtered!$D$2:$D$461,"eucalipto",Data_filtered!$J$2:$J$461,"&lt;&gt;Incompleto")=0, "-", SUMIFS(Data_filtered!$K$2:$K$461,Data_filtered!$A$2:$A$461,F$1,Data_filtered!$F$2:$F$461,$A22, Data_filtered!$D$2:$D$461,"eucalipto",Data_filtered!$J$2:$J$461,"&lt;&gt;Incompleto"))</f>
        <v>-</v>
      </c>
      <c r="G22" s="110" t="str">
        <f>IF(SUMIFS(Data_filtered!$K$2:$K$461,Data_filtered!$A$2:$A$461,F$1,Data_filtered!$F$2:$F$461,$A22, Data_filtered!$D$2:$D$461,"mata",Data_filtered!$J$2:$J$461,"&lt;&gt;Incompleto")=0, "-", SUMIFS(Data_filtered!$K$2:$K$461,Data_filtered!$A$2:$A$461,F$1,Data_filtered!$F$2:$F$461,$A22, Data_filtered!$D$2:$D$461,"mata",Data_filtered!$J$2:$J$461,"&lt;&gt;Incompleto"))
</f>
        <v>-</v>
      </c>
      <c r="H22" s="109" t="str">
        <f>IF(SUMIFS(Data_filtered!$K$2:$K$461,Data_filtered!$A$2:$A$461,H$1,Data_filtered!$F$2:$F$461,$A22, Data_filtered!$D$2:$D$461,"eucalipto",Data_filtered!$J$2:$J$461,"&lt;&gt;Incompleto")=0, "-", SUMIFS(Data_filtered!$K$2:$K$461,Data_filtered!$A$2:$A$461,H$1,Data_filtered!$F$2:$F$461,$A22, Data_filtered!$D$2:$D$461,"eucalipto",Data_filtered!$J$2:$J$461,"&lt;&gt;Incompleto"))</f>
        <v>-</v>
      </c>
      <c r="I22" s="110" t="str">
        <f>IF(SUMIFS(Data_filtered!$K$2:$K$461,Data_filtered!$A$2:$A$461,H$1,Data_filtered!$F$2:$F$461,$A22, Data_filtered!$D$2:$D$461,"mata",Data_filtered!$J$2:$J$461,"&lt;&gt;Incompleto")=0, "-", SUMIFS(Data_filtered!$K$2:$K$461,Data_filtered!$A$2:$A$461,H$1,Data_filtered!$F$2:$F$461,$A22, Data_filtered!$D$2:$D$461,"mata",Data_filtered!$J$2:$J$461,"&lt;&gt;Incompleto"))
</f>
        <v>-</v>
      </c>
      <c r="J22" s="109" t="str">
        <f>IF(SUMIFS(Data_filtered!$K$2:$K$461,Data_filtered!$A$2:$A$461,J$1,Data_filtered!$F$2:$F$461,$A22, Data_filtered!$D$2:$D$461,"eucalipto",Data_filtered!$J$2:$J$461,"&lt;&gt;Incompleto")=0, "-", SUMIFS(Data_filtered!$K$2:$K$461,Data_filtered!$A$2:$A$461,J$1,Data_filtered!$F$2:$F$461,$A22, Data_filtered!$D$2:$D$461,"eucalipto",Data_filtered!$J$2:$J$461,"&lt;&gt;Incompleto"))</f>
        <v>-</v>
      </c>
      <c r="K22" s="110" t="str">
        <f>IF(SUMIFS(Data_filtered!$K$2:$K$461,Data_filtered!$A$2:$A$461,J$1,Data_filtered!$F$2:$F$461,$A22, Data_filtered!$D$2:$D$461,"mata",Data_filtered!$J$2:$J$461,"&lt;&gt;Incompleto")=0, "-", SUMIFS(Data_filtered!$K$2:$K$461,Data_filtered!$A$2:$A$461,J$1,Data_filtered!$F$2:$F$461,$A22, Data_filtered!$D$2:$D$461,"mata",Data_filtered!$J$2:$J$461,"&lt;&gt;Incompleto"))
</f>
        <v>-</v>
      </c>
      <c r="L22" s="109" t="str">
        <f>IF(SUMIFS(Data_filtered!$K$2:$K$461,Data_filtered!$A$2:$A$461,L$1,Data_filtered!$F$2:$F$461,$A22, Data_filtered!$D$2:$D$461,"eucalipto",Data_filtered!$J$2:$J$461,"&lt;&gt;Incompleto")=0, "-", SUMIFS(Data_filtered!$K$2:$K$461,Data_filtered!$A$2:$A$461,L$1,Data_filtered!$F$2:$F$461,$A22, Data_filtered!$D$2:$D$461,"eucalipto",Data_filtered!$J$2:$J$461,"&lt;&gt;Incompleto"))</f>
        <v>-</v>
      </c>
      <c r="M22" s="110" t="str">
        <f>IF(SUMIFS(Data_filtered!$K$2:$K$461,Data_filtered!$A$2:$A$461,L$1,Data_filtered!$F$2:$F$461,$A22, Data_filtered!$D$2:$D$461,"mata",Data_filtered!$J$2:$J$461,"&lt;&gt;Incompleto")=0, "-", SUMIFS(Data_filtered!$K$2:$K$461,Data_filtered!$A$2:$A$461,L$1,Data_filtered!$F$2:$F$461,$A22, Data_filtered!$D$2:$D$461,"mata",Data_filtered!$J$2:$J$461,"&lt;&gt;Incompleto"))
</f>
        <v>-</v>
      </c>
      <c r="N22" s="109" t="str">
        <f>IF(SUMIFS(Data_filtered!$K$2:$K$461,Data_filtered!$A$2:$A$461,N$1,Data_filtered!$F$2:$F$461,$A22, Data_filtered!$D$2:$D$461,"eucalipto",Data_filtered!$J$2:$J$461,"&lt;&gt;Incompleto")=0, "-", SUMIFS(Data_filtered!$K$2:$K$461,Data_filtered!$A$2:$A$461,N$1,Data_filtered!$F$2:$F$461,$A22, Data_filtered!$D$2:$D$461,"eucalipto",Data_filtered!$J$2:$J$461,"&lt;&gt;Incompleto"))</f>
        <v>-</v>
      </c>
      <c r="O22" s="110" t="str">
        <f>IF(SUMIFS(Data_filtered!$K$2:$K$461,Data_filtered!$A$2:$A$461,N$1,Data_filtered!$F$2:$F$461,$A22, Data_filtered!$D$2:$D$461,"mata",Data_filtered!$J$2:$J$461,"&lt;&gt;Incompleto")=0, "-", SUMIFS(Data_filtered!$K$2:$K$461,Data_filtered!$A$2:$A$461,N$1,Data_filtered!$F$2:$F$461,$A22, Data_filtered!$D$2:$D$461,"mata",Data_filtered!$J$2:$J$461,"&lt;&gt;Incompleto"))
</f>
        <v>-</v>
      </c>
      <c r="P22" s="109" t="str">
        <f>IF(SUMIFS(Data_filtered!$K$2:$K$461,Data_filtered!$A$2:$A$461,P$1,Data_filtered!$F$2:$F$461,$A22, Data_filtered!$D$2:$D$461,"eucalipto",Data_filtered!$J$2:$J$461,"&lt;&gt;Incompleto")=0, "-", SUMIFS(Data_filtered!$K$2:$K$461,Data_filtered!$A$2:$A$461,P$1,Data_filtered!$F$2:$F$461,$A22, Data_filtered!$D$2:$D$461,"eucalipto",Data_filtered!$J$2:$J$461,"&lt;&gt;Incompleto"))</f>
        <v>-</v>
      </c>
      <c r="Q22" s="110" t="str">
        <f>IF(SUMIFS(Data_filtered!$K$2:$K$461,Data_filtered!$A$2:$A$461,P$1,Data_filtered!$F$2:$F$461,$A22, Data_filtered!$D$2:$D$461,"mata",Data_filtered!$J$2:$J$461,"&lt;&gt;Incompleto")=0, "-", SUMIFS(Data_filtered!$K$2:$K$461,Data_filtered!$A$2:$A$461,P$1,Data_filtered!$F$2:$F$461,$A22, Data_filtered!$D$2:$D$461,"mata",Data_filtered!$J$2:$J$461,"&lt;&gt;Incompleto"))
</f>
        <v>-</v>
      </c>
      <c r="R22" s="109" t="str">
        <f>IF(SUMIFS(Data_filtered!$K$2:$K$461,Data_filtered!$A$2:$A$461,R$1,Data_filtered!$F$2:$F$461,$A22, Data_filtered!$D$2:$D$461,"eucalipto",Data_filtered!$J$2:$J$461,"&lt;&gt;Incompleto")=0, "-", SUMIFS(Data_filtered!$K$2:$K$461,Data_filtered!$A$2:$A$461,R$1,Data_filtered!$F$2:$F$461,$A22, Data_filtered!$D$2:$D$461,"eucalipto",Data_filtered!$J$2:$J$461,"&lt;&gt;Incompleto"))</f>
        <v>-</v>
      </c>
      <c r="S22" s="110" t="str">
        <f>IF(SUMIFS(Data_filtered!$K$2:$K$461,Data_filtered!$A$2:$A$461,R$1,Data_filtered!$F$2:$F$461,$A22, Data_filtered!$D$2:$D$461,"mata",Data_filtered!$J$2:$J$461,"&lt;&gt;Incompleto")=0, "-", SUMIFS(Data_filtered!$K$2:$K$461,Data_filtered!$A$2:$A$461,R$1,Data_filtered!$F$2:$F$461,$A22, Data_filtered!$D$2:$D$461,"mata",Data_filtered!$J$2:$J$461,"&lt;&gt;Incompleto"))
</f>
        <v>-</v>
      </c>
      <c r="T22" s="109" t="str">
        <f>IF(SUMIFS(Data_filtered!$K$2:$K$461,Data_filtered!$A$2:$A$461,T$1,Data_filtered!$F$2:$F$461,$A22, Data_filtered!$D$2:$D$461,"eucalipto",Data_filtered!$J$2:$J$461,"&lt;&gt;Incompleto")=0, "-", SUMIFS(Data_filtered!$K$2:$K$461,Data_filtered!$A$2:$A$461,T$1,Data_filtered!$F$2:$F$461,$A22, Data_filtered!$D$2:$D$461,"eucalipto",Data_filtered!$J$2:$J$461,"&lt;&gt;Incompleto"))</f>
        <v>-</v>
      </c>
      <c r="U22" s="110" t="str">
        <f>IF(SUMIFS(Data_filtered!$K$2:$K$461,Data_filtered!$A$2:$A$461,T$1,Data_filtered!$F$2:$F$461,$A22, Data_filtered!$D$2:$D$461,"mata",Data_filtered!$J$2:$J$461,"&lt;&gt;Incompleto")=0, "-", SUMIFS(Data_filtered!$K$2:$K$461,Data_filtered!$A$2:$A$461,T$1,Data_filtered!$F$2:$F$461,$A22, Data_filtered!$D$2:$D$461,"mata",Data_filtered!$J$2:$J$461,"&lt;&gt;Incompleto"))
</f>
        <v>-</v>
      </c>
      <c r="V22" s="109" t="str">
        <f>IF(SUMIFS(Data_filtered!$K$2:$K$461,Data_filtered!$A$2:$A$461,V$1,Data_filtered!$F$2:$F$461,$A22, Data_filtered!$D$2:$D$461,"eucalipto",Data_filtered!$J$2:$J$461,"&lt;&gt;Incompleto")=0, "-", SUMIFS(Data_filtered!$K$2:$K$461,Data_filtered!$A$2:$A$461,V$1,Data_filtered!$F$2:$F$461,$A22, Data_filtered!$D$2:$D$461,"eucalipto",Data_filtered!$J$2:$J$461,"&lt;&gt;Incompleto"))</f>
        <v>-</v>
      </c>
      <c r="W22" s="110" t="str">
        <f>IF(SUMIFS(Data_filtered!$K$2:$K$461,Data_filtered!$A$2:$A$461,V$1,Data_filtered!$F$2:$F$461,$A22, Data_filtered!$D$2:$D$461,"mata",Data_filtered!$J$2:$J$461,"&lt;&gt;Incompleto")=0, "-", SUMIFS(Data_filtered!$K$2:$K$461,Data_filtered!$A$2:$A$461,V$1,Data_filtered!$F$2:$F$461,$A22, Data_filtered!$D$2:$D$461,"mata",Data_filtered!$J$2:$J$461,"&lt;&gt;Incompleto"))
</f>
        <v>-</v>
      </c>
      <c r="X22" s="109" t="str">
        <f>IF(SUMIFS(Data_filtered!$K$2:$K$461,Data_filtered!$A$2:$A$461,X$1,Data_filtered!$F$2:$F$461,$A22, Data_filtered!$D$2:$D$461,"eucalipto",Data_filtered!$J$2:$J$461,"&lt;&gt;Incompleto")=0, "-", SUMIFS(Data_filtered!$K$2:$K$461,Data_filtered!$A$2:$A$461,X$1,Data_filtered!$F$2:$F$461,$A22, Data_filtered!$D$2:$D$461,"eucalipto",Data_filtered!$J$2:$J$461,"&lt;&gt;Incompleto"))</f>
        <v>-</v>
      </c>
      <c r="Y22" s="110" t="str">
        <f>IF(SUMIFS(Data_filtered!$K$2:$K$461,Data_filtered!$A$2:$A$461,X$1,Data_filtered!$F$2:$F$461,$A22, Data_filtered!$D$2:$D$461,"mata",Data_filtered!$J$2:$J$461,"&lt;&gt;Incompleto")=0, "-", SUMIFS(Data_filtered!$K$2:$K$461,Data_filtered!$A$2:$A$461,X$1,Data_filtered!$F$2:$F$461,$A22, Data_filtered!$D$2:$D$461,"mata",Data_filtered!$J$2:$J$461,"&lt;&gt;Incompleto"))
</f>
        <v>-</v>
      </c>
      <c r="Z22" s="109" t="str">
        <f>IF(SUMIFS(Data_filtered!$K$2:$K$461,Data_filtered!$A$2:$A$461,Z$1,Data_filtered!$F$2:$F$461,$A22, Data_filtered!$D$2:$D$461,"eucalipto",Data_filtered!$J$2:$J$461,"&lt;&gt;Incompleto")=0, "-", SUMIFS(Data_filtered!$K$2:$K$461,Data_filtered!$A$2:$A$461,Z$1,Data_filtered!$F$2:$F$461,$A22, Data_filtered!$D$2:$D$461,"eucalipto",Data_filtered!$J$2:$J$461,"&lt;&gt;Incompleto"))</f>
        <v>-</v>
      </c>
      <c r="AA22" s="110" t="str">
        <f>IF(SUMIFS(Data_filtered!$K$2:$K$461,Data_filtered!$A$2:$A$461,Z$1,Data_filtered!$F$2:$F$461,$A22, Data_filtered!$D$2:$D$461,"mata",Data_filtered!$J$2:$J$461,"&lt;&gt;Incompleto")=0, "-", SUMIFS(Data_filtered!$K$2:$K$461,Data_filtered!$A$2:$A$461,Z$1,Data_filtered!$F$2:$F$461,$A22, Data_filtered!$D$2:$D$461,"mata",Data_filtered!$J$2:$J$461,"&lt;&gt;Incompleto"))
</f>
        <v>-</v>
      </c>
      <c r="AB22" s="109" t="str">
        <f>IF(SUMIFS(Data_filtered!$K$2:$K$461,Data_filtered!$A$2:$A$461,AB$1,Data_filtered!$F$2:$F$461,$A22, Data_filtered!$D$2:$D$461,"eucalipto",Data_filtered!$J$2:$J$461,"&lt;&gt;Incompleto")=0, "-", SUMIFS(Data_filtered!$K$2:$K$461,Data_filtered!$A$2:$A$461,AB$1,Data_filtered!$F$2:$F$461,$A22, Data_filtered!$D$2:$D$461,"eucalipto",Data_filtered!$J$2:$J$461,"&lt;&gt;Incompleto"))</f>
        <v>-</v>
      </c>
      <c r="AC22" s="110" t="str">
        <f>IF(SUMIFS(Data_filtered!$K$2:$K$461,Data_filtered!$A$2:$A$461,AB$1,Data_filtered!$F$2:$F$461,$A22, Data_filtered!$D$2:$D$461,"mata",Data_filtered!$J$2:$J$461,"&lt;&gt;Incompleto")=0, "-", SUMIFS(Data_filtered!$K$2:$K$461,Data_filtered!$A$2:$A$461,AB$1,Data_filtered!$F$2:$F$461,$A22, Data_filtered!$D$2:$D$461,"mata",Data_filtered!$J$2:$J$461,"&lt;&gt;Incompleto"))
</f>
        <v>-</v>
      </c>
      <c r="AD22" s="109" t="str">
        <f>IF(SUMIFS(Data_filtered!$K$2:$K$461,Data_filtered!$A$2:$A$461,AD$1,Data_filtered!$F$2:$F$461,$A22, Data_filtered!$D$2:$D$461,"eucalipto",Data_filtered!$J$2:$J$461,"&lt;&gt;Incompleto")=0, "-", SUMIFS(Data_filtered!$K$2:$K$461,Data_filtered!$A$2:$A$461,AD$1,Data_filtered!$F$2:$F$461,$A22, Data_filtered!$D$2:$D$461,"eucalipto",Data_filtered!$J$2:$J$461,"&lt;&gt;Incompleto"))</f>
        <v>-</v>
      </c>
      <c r="AE22" s="110" t="str">
        <f>IF(SUMIFS(Data_filtered!$K$2:$K$461,Data_filtered!$A$2:$A$461,AD$1,Data_filtered!$F$2:$F$461,$A22, Data_filtered!$D$2:$D$461,"mata",Data_filtered!$J$2:$J$461,"&lt;&gt;Incompleto")=0, "-", SUMIFS(Data_filtered!$K$2:$K$461,Data_filtered!$A$2:$A$461,AD$1,Data_filtered!$F$2:$F$461,$A22, Data_filtered!$D$2:$D$461,"mata",Data_filtered!$J$2:$J$461,"&lt;&gt;Incompleto"))
</f>
        <v>-</v>
      </c>
      <c r="AF22" s="109" t="str">
        <f>IF(SUMIFS(Data_filtered!$K$2:$K$461,Data_filtered!$A$2:$A$461,AF$1,Data_filtered!$F$2:$F$461,$A22, Data_filtered!$D$2:$D$461,"eucalipto",Data_filtered!$J$2:$J$461,"&lt;&gt;Incompleto")=0, "-", SUMIFS(Data_filtered!$K$2:$K$461,Data_filtered!$A$2:$A$461,AF$1,Data_filtered!$F$2:$F$461,$A22, Data_filtered!$D$2:$D$461,"eucalipto",Data_filtered!$J$2:$J$461,"&lt;&gt;Incompleto"))</f>
        <v>-</v>
      </c>
      <c r="AG22" s="110" t="str">
        <f>IF(SUMIFS(Data_filtered!$K$2:$K$461,Data_filtered!$A$2:$A$461,AF$1,Data_filtered!$F$2:$F$461,$A22, Data_filtered!$D$2:$D$461,"mata",Data_filtered!$J$2:$J$461,"&lt;&gt;Incompleto")=0, "-", SUMIFS(Data_filtered!$K$2:$K$461,Data_filtered!$A$2:$A$461,AF$1,Data_filtered!$F$2:$F$461,$A22, Data_filtered!$D$2:$D$461,"mata",Data_filtered!$J$2:$J$461,"&lt;&gt;Incompleto"))
</f>
        <v>-</v>
      </c>
      <c r="AH22" s="109" t="str">
        <f>IF(SUMIFS(Data_filtered!$K$2:$K$461,Data_filtered!$A$2:$A$461,AH$1,Data_filtered!$F$2:$F$461,$A22, Data_filtered!$D$2:$D$461,"eucalipto",Data_filtered!$J$2:$J$461,"&lt;&gt;Incompleto")=0, "-", SUMIFS(Data_filtered!$K$2:$K$461,Data_filtered!$A$2:$A$461,AH$1,Data_filtered!$F$2:$F$461,$A22, Data_filtered!$D$2:$D$461,"eucalipto",Data_filtered!$J$2:$J$461,"&lt;&gt;Incompleto"))</f>
        <v>-</v>
      </c>
      <c r="AI22" s="110" t="str">
        <f>IF(SUMIFS(Data_filtered!$K$2:$K$461,Data_filtered!$A$2:$A$461,AH$1,Data_filtered!$F$2:$F$461,$A22, Data_filtered!$D$2:$D$461,"mata",Data_filtered!$J$2:$J$461,"&lt;&gt;Incompleto")=0, "-", SUMIFS(Data_filtered!$K$2:$K$461,Data_filtered!$A$2:$A$461,AH$1,Data_filtered!$F$2:$F$461,$A22, Data_filtered!$D$2:$D$461,"mata",Data_filtered!$J$2:$J$461,"&lt;&gt;Incompleto"))
</f>
        <v>-</v>
      </c>
      <c r="AJ22" s="109" t="str">
        <f>IF(SUMIFS(Data_filtered!$K$2:$K$461,Data_filtered!$A$2:$A$461,AJ$1,Data_filtered!$F$2:$F$461,$A22, Data_filtered!$D$2:$D$461,"eucalipto",Data_filtered!$J$2:$J$461,"&lt;&gt;Incompleto")=0, "-", SUMIFS(Data_filtered!$K$2:$K$461,Data_filtered!$A$2:$A$461,AJ$1,Data_filtered!$F$2:$F$461,$A22, Data_filtered!$D$2:$D$461,"eucalipto",Data_filtered!$J$2:$J$461,"&lt;&gt;Incompleto"))</f>
        <v>-</v>
      </c>
      <c r="AK22" s="110" t="str">
        <f>IF(SUMIFS(Data_filtered!$K$2:$K$461,Data_filtered!$A$2:$A$461,AJ$1,Data_filtered!$F$2:$F$461,$A22, Data_filtered!$D$2:$D$461,"mata",Data_filtered!$J$2:$J$461,"&lt;&gt;Incompleto")=0, "-", SUMIFS(Data_filtered!$K$2:$K$461,Data_filtered!$A$2:$A$461,AJ$1,Data_filtered!$F$2:$F$461,$A22, Data_filtered!$D$2:$D$461,"mata",Data_filtered!$J$2:$J$461,"&lt;&gt;Incompleto"))
</f>
        <v>-</v>
      </c>
      <c r="AL22" s="109" t="str">
        <f>IF(SUMIFS(Data_filtered!$K$2:$K$461,Data_filtered!$A$2:$A$461,AL$1,Data_filtered!$F$2:$F$461,$A22, Data_filtered!$D$2:$D$461,"eucalipto",Data_filtered!$J$2:$J$461,"&lt;&gt;Incompleto")=0, "-", SUMIFS(Data_filtered!$K$2:$K$461,Data_filtered!$A$2:$A$461,AL$1,Data_filtered!$F$2:$F$461,$A22, Data_filtered!$D$2:$D$461,"eucalipto",Data_filtered!$J$2:$J$461,"&lt;&gt;Incompleto"))</f>
        <v>-</v>
      </c>
      <c r="AM22" s="110" t="str">
        <f>IF(SUMIFS(Data_filtered!$K$2:$K$461,Data_filtered!$A$2:$A$461,AL$1,Data_filtered!$F$2:$F$461,$A22, Data_filtered!$D$2:$D$461,"mata",Data_filtered!$J$2:$J$461,"&lt;&gt;Incompleto")=0, "-", SUMIFS(Data_filtered!$K$2:$K$461,Data_filtered!$A$2:$A$461,AL$1,Data_filtered!$F$2:$F$461,$A22, Data_filtered!$D$2:$D$461,"mata",Data_filtered!$J$2:$J$461,"&lt;&gt;Incompleto"))
</f>
        <v>-</v>
      </c>
      <c r="AN22" s="109" t="str">
        <f>IF(SUMIFS(Data_filtered!$K$2:$K$461,Data_filtered!$A$2:$A$461,AN$1,Data_filtered!$F$2:$F$461,$A22, Data_filtered!$D$2:$D$461,"eucalipto",Data_filtered!$J$2:$J$461,"&lt;&gt;Incompleto")=0, "-", SUMIFS(Data_filtered!$K$2:$K$461,Data_filtered!$A$2:$A$461,AN$1,Data_filtered!$F$2:$F$461,$A22, Data_filtered!$D$2:$D$461,"eucalipto",Data_filtered!$J$2:$J$461,"&lt;&gt;Incompleto"))</f>
        <v>-</v>
      </c>
      <c r="AO22" s="110" t="str">
        <f>IF(SUMIFS(Data_filtered!$K$2:$K$461,Data_filtered!$A$2:$A$461,AN$1,Data_filtered!$F$2:$F$461,$A22, Data_filtered!$D$2:$D$461,"mata",Data_filtered!$J$2:$J$461,"&lt;&gt;Incompleto")=0, "-", SUMIFS(Data_filtered!$K$2:$K$461,Data_filtered!$A$2:$A$461,AN$1,Data_filtered!$F$2:$F$461,$A22, Data_filtered!$D$2:$D$461,"mata",Data_filtered!$J$2:$J$461,"&lt;&gt;Incompleto"))
</f>
        <v>-</v>
      </c>
      <c r="AP22" s="109" t="str">
        <f>IF(SUMIFS(Data_filtered!$K$2:$K$461,Data_filtered!$A$2:$A$461,AP$1,Data_filtered!$F$2:$F$461,$A22, Data_filtered!$D$2:$D$461,"eucalipto",Data_filtered!$J$2:$J$461,"&lt;&gt;Incompleto")=0, "-", SUMIFS(Data_filtered!$K$2:$K$461,Data_filtered!$A$2:$A$461,AP$1,Data_filtered!$F$2:$F$461,$A22, Data_filtered!$D$2:$D$461,"eucalipto",Data_filtered!$J$2:$J$461,"&lt;&gt;Incompleto"))</f>
        <v>-</v>
      </c>
      <c r="AQ22" s="110" t="str">
        <f>IF(SUMIFS(Data_filtered!$K$2:$K$461,Data_filtered!$A$2:$A$461,AP$1,Data_filtered!$F$2:$F$461,$A22, Data_filtered!$D$2:$D$461,"mata",Data_filtered!$J$2:$J$461,"&lt;&gt;Incompleto")=0, "-", SUMIFS(Data_filtered!$K$2:$K$461,Data_filtered!$A$2:$A$461,AP$1,Data_filtered!$F$2:$F$461,$A22, Data_filtered!$D$2:$D$461,"mata",Data_filtered!$J$2:$J$461,"&lt;&gt;Incompleto"))
</f>
        <v>-</v>
      </c>
      <c r="AR22" s="109" t="str">
        <f>IF(SUMIFS(Data_filtered!$K$2:$K$461,Data_filtered!$A$2:$A$461,AR$1,Data_filtered!$F$2:$F$461,$A22, Data_filtered!$D$2:$D$461,"eucalipto",Data_filtered!$J$2:$J$461,"&lt;&gt;Incompleto")=0, "-", SUMIFS(Data_filtered!$K$2:$K$461,Data_filtered!$A$2:$A$461,AR$1,Data_filtered!$F$2:$F$461,$A22, Data_filtered!$D$2:$D$461,"eucalipto",Data_filtered!$J$2:$J$461,"&lt;&gt;Incompleto"))</f>
        <v>-</v>
      </c>
      <c r="AS22" s="110" t="str">
        <f>IF(SUMIFS(Data_filtered!$K$2:$K$461,Data_filtered!$A$2:$A$461,AR$1,Data_filtered!$F$2:$F$461,$A22, Data_filtered!$D$2:$D$461,"mata",Data_filtered!$J$2:$J$461,"&lt;&gt;Incompleto")=0, "-", SUMIFS(Data_filtered!$K$2:$K$461,Data_filtered!$A$2:$A$461,AR$1,Data_filtered!$F$2:$F$461,$A22, Data_filtered!$D$2:$D$461,"mata",Data_filtered!$J$2:$J$461,"&lt;&gt;Incompleto"))
</f>
        <v>-</v>
      </c>
    </row>
    <row r="23">
      <c r="A23" s="68" t="str">
        <f>IFERROR(__xludf.DUMMYFUNCTION("""COMPUTED_VALUE"""),"Pterygota")</f>
        <v>Pterygota</v>
      </c>
      <c r="B23" s="109" t="str">
        <f>IF(SUMIFS(Data_filtered!$K$2:$K$461,Data_filtered!$A$2:$A$461,B$1,Data_filtered!$F$2:$F$461,$A23, Data_filtered!$D$2:$D$461,"eucalipto",Data_filtered!$J$2:$J$461,"&lt;&gt;Incompleto")=0, "-", SUMIFS(Data_filtered!$K$2:$K$461,Data_filtered!$A$2:$A$461,B$1,Data_filtered!$F$2:$F$461,$A23, Data_filtered!$D$2:$D$461,"eucalipto",Data_filtered!$J$2:$J$461,"&lt;&gt;Incompleto"))</f>
        <v>-</v>
      </c>
      <c r="C23" s="110" t="str">
        <f>IF(SUMIFS(Data_filtered!$K$2:$K$461,Data_filtered!$A$2:$A$461,B$1,Data_filtered!$F$2:$F$461,$A23, Data_filtered!$D$2:$D$461,"mata",Data_filtered!$J$2:$J$461,"&lt;&gt;Incompleto")=0, "-", SUMIFS(Data_filtered!$K$2:$K$461,Data_filtered!$A$2:$A$461,B$1,Data_filtered!$F$2:$F$461,$A23, Data_filtered!$D$2:$D$461,"mata",Data_filtered!$J$2:$J$461,"&lt;&gt;Incompleto"))
</f>
        <v>-</v>
      </c>
      <c r="D23" s="109" t="str">
        <f>IF(SUMIFS(Data_filtered!$K$2:$K$461,Data_filtered!$A$2:$A$461,D$1,Data_filtered!$F$2:$F$461,$A23, Data_filtered!$D$2:$D$461,"eucalipto",Data_filtered!$J$2:$J$461,"&lt;&gt;Incompleto")=0, "-", SUMIFS(Data_filtered!$K$2:$K$461,Data_filtered!$A$2:$A$461,D$1,Data_filtered!$F$2:$F$461,$A23, Data_filtered!$D$2:$D$461,"eucalipto",Data_filtered!$J$2:$J$461,"&lt;&gt;Incompleto"))</f>
        <v>-</v>
      </c>
      <c r="E23" s="110" t="str">
        <f>IF(SUMIFS(Data_filtered!$K$2:$K$461,Data_filtered!$A$2:$A$461,D$1,Data_filtered!$F$2:$F$461,$A23, Data_filtered!$D$2:$D$461,"mata",Data_filtered!$J$2:$J$461,"&lt;&gt;Incompleto")=0, "-", SUMIFS(Data_filtered!$K$2:$K$461,Data_filtered!$A$2:$A$461,D$1,Data_filtered!$F$2:$F$461,$A23, Data_filtered!$D$2:$D$461,"mata",Data_filtered!$J$2:$J$461,"&lt;&gt;Incompleto"))
</f>
        <v>-</v>
      </c>
      <c r="F23" s="109" t="str">
        <f>IF(SUMIFS(Data_filtered!$K$2:$K$461,Data_filtered!$A$2:$A$461,F$1,Data_filtered!$F$2:$F$461,$A23, Data_filtered!$D$2:$D$461,"eucalipto",Data_filtered!$J$2:$J$461,"&lt;&gt;Incompleto")=0, "-", SUMIFS(Data_filtered!$K$2:$K$461,Data_filtered!$A$2:$A$461,F$1,Data_filtered!$F$2:$F$461,$A23, Data_filtered!$D$2:$D$461,"eucalipto",Data_filtered!$J$2:$J$461,"&lt;&gt;Incompleto"))</f>
        <v>-</v>
      </c>
      <c r="G23" s="110" t="str">
        <f>IF(SUMIFS(Data_filtered!$K$2:$K$461,Data_filtered!$A$2:$A$461,F$1,Data_filtered!$F$2:$F$461,$A23, Data_filtered!$D$2:$D$461,"mata",Data_filtered!$J$2:$J$461,"&lt;&gt;Incompleto")=0, "-", SUMIFS(Data_filtered!$K$2:$K$461,Data_filtered!$A$2:$A$461,F$1,Data_filtered!$F$2:$F$461,$A23, Data_filtered!$D$2:$D$461,"mata",Data_filtered!$J$2:$J$461,"&lt;&gt;Incompleto"))
</f>
        <v>-</v>
      </c>
      <c r="H23" s="109" t="str">
        <f>IF(SUMIFS(Data_filtered!$K$2:$K$461,Data_filtered!$A$2:$A$461,H$1,Data_filtered!$F$2:$F$461,$A23, Data_filtered!$D$2:$D$461,"eucalipto",Data_filtered!$J$2:$J$461,"&lt;&gt;Incompleto")=0, "-", SUMIFS(Data_filtered!$K$2:$K$461,Data_filtered!$A$2:$A$461,H$1,Data_filtered!$F$2:$F$461,$A23, Data_filtered!$D$2:$D$461,"eucalipto",Data_filtered!$J$2:$J$461,"&lt;&gt;Incompleto"))</f>
        <v>-</v>
      </c>
      <c r="I23" s="110" t="str">
        <f>IF(SUMIFS(Data_filtered!$K$2:$K$461,Data_filtered!$A$2:$A$461,H$1,Data_filtered!$F$2:$F$461,$A23, Data_filtered!$D$2:$D$461,"mata",Data_filtered!$J$2:$J$461,"&lt;&gt;Incompleto")=0, "-", SUMIFS(Data_filtered!$K$2:$K$461,Data_filtered!$A$2:$A$461,H$1,Data_filtered!$F$2:$F$461,$A23, Data_filtered!$D$2:$D$461,"mata",Data_filtered!$J$2:$J$461,"&lt;&gt;Incompleto"))
</f>
        <v>-</v>
      </c>
      <c r="J23" s="109" t="str">
        <f>IF(SUMIFS(Data_filtered!$K$2:$K$461,Data_filtered!$A$2:$A$461,J$1,Data_filtered!$F$2:$F$461,$A23, Data_filtered!$D$2:$D$461,"eucalipto",Data_filtered!$J$2:$J$461,"&lt;&gt;Incompleto")=0, "-", SUMIFS(Data_filtered!$K$2:$K$461,Data_filtered!$A$2:$A$461,J$1,Data_filtered!$F$2:$F$461,$A23, Data_filtered!$D$2:$D$461,"eucalipto",Data_filtered!$J$2:$J$461,"&lt;&gt;Incompleto"))</f>
        <v>-</v>
      </c>
      <c r="K23" s="110" t="str">
        <f>IF(SUMIFS(Data_filtered!$K$2:$K$461,Data_filtered!$A$2:$A$461,J$1,Data_filtered!$F$2:$F$461,$A23, Data_filtered!$D$2:$D$461,"mata",Data_filtered!$J$2:$J$461,"&lt;&gt;Incompleto")=0, "-", SUMIFS(Data_filtered!$K$2:$K$461,Data_filtered!$A$2:$A$461,J$1,Data_filtered!$F$2:$F$461,$A23, Data_filtered!$D$2:$D$461,"mata",Data_filtered!$J$2:$J$461,"&lt;&gt;Incompleto"))
</f>
        <v>-</v>
      </c>
      <c r="L23" s="109" t="str">
        <f>IF(SUMIFS(Data_filtered!$K$2:$K$461,Data_filtered!$A$2:$A$461,L$1,Data_filtered!$F$2:$F$461,$A23, Data_filtered!$D$2:$D$461,"eucalipto",Data_filtered!$J$2:$J$461,"&lt;&gt;Incompleto")=0, "-", SUMIFS(Data_filtered!$K$2:$K$461,Data_filtered!$A$2:$A$461,L$1,Data_filtered!$F$2:$F$461,$A23, Data_filtered!$D$2:$D$461,"eucalipto",Data_filtered!$J$2:$J$461,"&lt;&gt;Incompleto"))</f>
        <v>-</v>
      </c>
      <c r="M23" s="110" t="str">
        <f>IF(SUMIFS(Data_filtered!$K$2:$K$461,Data_filtered!$A$2:$A$461,L$1,Data_filtered!$F$2:$F$461,$A23, Data_filtered!$D$2:$D$461,"mata",Data_filtered!$J$2:$J$461,"&lt;&gt;Incompleto")=0, "-", SUMIFS(Data_filtered!$K$2:$K$461,Data_filtered!$A$2:$A$461,L$1,Data_filtered!$F$2:$F$461,$A23, Data_filtered!$D$2:$D$461,"mata",Data_filtered!$J$2:$J$461,"&lt;&gt;Incompleto"))
</f>
        <v>-</v>
      </c>
      <c r="N23" s="109" t="str">
        <f>IF(SUMIFS(Data_filtered!$K$2:$K$461,Data_filtered!$A$2:$A$461,N$1,Data_filtered!$F$2:$F$461,$A23, Data_filtered!$D$2:$D$461,"eucalipto",Data_filtered!$J$2:$J$461,"&lt;&gt;Incompleto")=0, "-", SUMIFS(Data_filtered!$K$2:$K$461,Data_filtered!$A$2:$A$461,N$1,Data_filtered!$F$2:$F$461,$A23, Data_filtered!$D$2:$D$461,"eucalipto",Data_filtered!$J$2:$J$461,"&lt;&gt;Incompleto"))</f>
        <v>-</v>
      </c>
      <c r="O23" s="110" t="str">
        <f>IF(SUMIFS(Data_filtered!$K$2:$K$461,Data_filtered!$A$2:$A$461,N$1,Data_filtered!$F$2:$F$461,$A23, Data_filtered!$D$2:$D$461,"mata",Data_filtered!$J$2:$J$461,"&lt;&gt;Incompleto")=0, "-", SUMIFS(Data_filtered!$K$2:$K$461,Data_filtered!$A$2:$A$461,N$1,Data_filtered!$F$2:$F$461,$A23, Data_filtered!$D$2:$D$461,"mata",Data_filtered!$J$2:$J$461,"&lt;&gt;Incompleto"))
</f>
        <v>-</v>
      </c>
      <c r="P23" s="109" t="str">
        <f>IF(SUMIFS(Data_filtered!$K$2:$K$461,Data_filtered!$A$2:$A$461,P$1,Data_filtered!$F$2:$F$461,$A23, Data_filtered!$D$2:$D$461,"eucalipto",Data_filtered!$J$2:$J$461,"&lt;&gt;Incompleto")=0, "-", SUMIFS(Data_filtered!$K$2:$K$461,Data_filtered!$A$2:$A$461,P$1,Data_filtered!$F$2:$F$461,$A23, Data_filtered!$D$2:$D$461,"eucalipto",Data_filtered!$J$2:$J$461,"&lt;&gt;Incompleto"))</f>
        <v>-</v>
      </c>
      <c r="Q23" s="110" t="str">
        <f>IF(SUMIFS(Data_filtered!$K$2:$K$461,Data_filtered!$A$2:$A$461,P$1,Data_filtered!$F$2:$F$461,$A23, Data_filtered!$D$2:$D$461,"mata",Data_filtered!$J$2:$J$461,"&lt;&gt;Incompleto")=0, "-", SUMIFS(Data_filtered!$K$2:$K$461,Data_filtered!$A$2:$A$461,P$1,Data_filtered!$F$2:$F$461,$A23, Data_filtered!$D$2:$D$461,"mata",Data_filtered!$J$2:$J$461,"&lt;&gt;Incompleto"))
</f>
        <v>-</v>
      </c>
      <c r="R23" s="109" t="str">
        <f>IF(SUMIFS(Data_filtered!$K$2:$K$461,Data_filtered!$A$2:$A$461,R$1,Data_filtered!$F$2:$F$461,$A23, Data_filtered!$D$2:$D$461,"eucalipto",Data_filtered!$J$2:$J$461,"&lt;&gt;Incompleto")=0, "-", SUMIFS(Data_filtered!$K$2:$K$461,Data_filtered!$A$2:$A$461,R$1,Data_filtered!$F$2:$F$461,$A23, Data_filtered!$D$2:$D$461,"eucalipto",Data_filtered!$J$2:$J$461,"&lt;&gt;Incompleto"))</f>
        <v>-</v>
      </c>
      <c r="S23" s="110" t="str">
        <f>IF(SUMIFS(Data_filtered!$K$2:$K$461,Data_filtered!$A$2:$A$461,R$1,Data_filtered!$F$2:$F$461,$A23, Data_filtered!$D$2:$D$461,"mata",Data_filtered!$J$2:$J$461,"&lt;&gt;Incompleto")=0, "-", SUMIFS(Data_filtered!$K$2:$K$461,Data_filtered!$A$2:$A$461,R$1,Data_filtered!$F$2:$F$461,$A23, Data_filtered!$D$2:$D$461,"mata",Data_filtered!$J$2:$J$461,"&lt;&gt;Incompleto"))
</f>
        <v>-</v>
      </c>
      <c r="T23" s="109" t="str">
        <f>IF(SUMIFS(Data_filtered!$K$2:$K$461,Data_filtered!$A$2:$A$461,T$1,Data_filtered!$F$2:$F$461,$A23, Data_filtered!$D$2:$D$461,"eucalipto",Data_filtered!$J$2:$J$461,"&lt;&gt;Incompleto")=0, "-", SUMIFS(Data_filtered!$K$2:$K$461,Data_filtered!$A$2:$A$461,T$1,Data_filtered!$F$2:$F$461,$A23, Data_filtered!$D$2:$D$461,"eucalipto",Data_filtered!$J$2:$J$461,"&lt;&gt;Incompleto"))</f>
        <v>-</v>
      </c>
      <c r="U23" s="110" t="str">
        <f>IF(SUMIFS(Data_filtered!$K$2:$K$461,Data_filtered!$A$2:$A$461,T$1,Data_filtered!$F$2:$F$461,$A23, Data_filtered!$D$2:$D$461,"mata",Data_filtered!$J$2:$J$461,"&lt;&gt;Incompleto")=0, "-", SUMIFS(Data_filtered!$K$2:$K$461,Data_filtered!$A$2:$A$461,T$1,Data_filtered!$F$2:$F$461,$A23, Data_filtered!$D$2:$D$461,"mata",Data_filtered!$J$2:$J$461,"&lt;&gt;Incompleto"))
</f>
        <v>-</v>
      </c>
      <c r="V23" s="109" t="str">
        <f>IF(SUMIFS(Data_filtered!$K$2:$K$461,Data_filtered!$A$2:$A$461,V$1,Data_filtered!$F$2:$F$461,$A23, Data_filtered!$D$2:$D$461,"eucalipto",Data_filtered!$J$2:$J$461,"&lt;&gt;Incompleto")=0, "-", SUMIFS(Data_filtered!$K$2:$K$461,Data_filtered!$A$2:$A$461,V$1,Data_filtered!$F$2:$F$461,$A23, Data_filtered!$D$2:$D$461,"eucalipto",Data_filtered!$J$2:$J$461,"&lt;&gt;Incompleto"))</f>
        <v>-</v>
      </c>
      <c r="W23" s="110" t="str">
        <f>IF(SUMIFS(Data_filtered!$K$2:$K$461,Data_filtered!$A$2:$A$461,V$1,Data_filtered!$F$2:$F$461,$A23, Data_filtered!$D$2:$D$461,"mata",Data_filtered!$J$2:$J$461,"&lt;&gt;Incompleto")=0, "-", SUMIFS(Data_filtered!$K$2:$K$461,Data_filtered!$A$2:$A$461,V$1,Data_filtered!$F$2:$F$461,$A23, Data_filtered!$D$2:$D$461,"mata",Data_filtered!$J$2:$J$461,"&lt;&gt;Incompleto"))
</f>
        <v>-</v>
      </c>
      <c r="X23" s="109" t="str">
        <f>IF(SUMIFS(Data_filtered!$K$2:$K$461,Data_filtered!$A$2:$A$461,X$1,Data_filtered!$F$2:$F$461,$A23, Data_filtered!$D$2:$D$461,"eucalipto",Data_filtered!$J$2:$J$461,"&lt;&gt;Incompleto")=0, "-", SUMIFS(Data_filtered!$K$2:$K$461,Data_filtered!$A$2:$A$461,X$1,Data_filtered!$F$2:$F$461,$A23, Data_filtered!$D$2:$D$461,"eucalipto",Data_filtered!$J$2:$J$461,"&lt;&gt;Incompleto"))</f>
        <v>-</v>
      </c>
      <c r="Y23" s="110" t="str">
        <f>IF(SUMIFS(Data_filtered!$K$2:$K$461,Data_filtered!$A$2:$A$461,X$1,Data_filtered!$F$2:$F$461,$A23, Data_filtered!$D$2:$D$461,"mata",Data_filtered!$J$2:$J$461,"&lt;&gt;Incompleto")=0, "-", SUMIFS(Data_filtered!$K$2:$K$461,Data_filtered!$A$2:$A$461,X$1,Data_filtered!$F$2:$F$461,$A23, Data_filtered!$D$2:$D$461,"mata",Data_filtered!$J$2:$J$461,"&lt;&gt;Incompleto"))
</f>
        <v>-</v>
      </c>
      <c r="Z23" s="109" t="str">
        <f>IF(SUMIFS(Data_filtered!$K$2:$K$461,Data_filtered!$A$2:$A$461,Z$1,Data_filtered!$F$2:$F$461,$A23, Data_filtered!$D$2:$D$461,"eucalipto",Data_filtered!$J$2:$J$461,"&lt;&gt;Incompleto")=0, "-", SUMIFS(Data_filtered!$K$2:$K$461,Data_filtered!$A$2:$A$461,Z$1,Data_filtered!$F$2:$F$461,$A23, Data_filtered!$D$2:$D$461,"eucalipto",Data_filtered!$J$2:$J$461,"&lt;&gt;Incompleto"))</f>
        <v>-</v>
      </c>
      <c r="AA23" s="110">
        <f>IF(SUMIFS(Data_filtered!$K$2:$K$461,Data_filtered!$A$2:$A$461,Z$1,Data_filtered!$F$2:$F$461,$A23, Data_filtered!$D$2:$D$461,"mata",Data_filtered!$J$2:$J$461,"&lt;&gt;Incompleto")=0, "-", SUMIFS(Data_filtered!$K$2:$K$461,Data_filtered!$A$2:$A$461,Z$1,Data_filtered!$F$2:$F$461,$A23, Data_filtered!$D$2:$D$461,"mata",Data_filtered!$J$2:$J$461,"&lt;&gt;Incompleto"))
</f>
        <v>50.26548246</v>
      </c>
      <c r="AB23" s="109" t="str">
        <f>IF(SUMIFS(Data_filtered!$K$2:$K$461,Data_filtered!$A$2:$A$461,AB$1,Data_filtered!$F$2:$F$461,$A23, Data_filtered!$D$2:$D$461,"eucalipto",Data_filtered!$J$2:$J$461,"&lt;&gt;Incompleto")=0, "-", SUMIFS(Data_filtered!$K$2:$K$461,Data_filtered!$A$2:$A$461,AB$1,Data_filtered!$F$2:$F$461,$A23, Data_filtered!$D$2:$D$461,"eucalipto",Data_filtered!$J$2:$J$461,"&lt;&gt;Incompleto"))</f>
        <v>-</v>
      </c>
      <c r="AC23" s="110" t="str">
        <f>IF(SUMIFS(Data_filtered!$K$2:$K$461,Data_filtered!$A$2:$A$461,AB$1,Data_filtered!$F$2:$F$461,$A23, Data_filtered!$D$2:$D$461,"mata",Data_filtered!$J$2:$J$461,"&lt;&gt;Incompleto")=0, "-", SUMIFS(Data_filtered!$K$2:$K$461,Data_filtered!$A$2:$A$461,AB$1,Data_filtered!$F$2:$F$461,$A23, Data_filtered!$D$2:$D$461,"mata",Data_filtered!$J$2:$J$461,"&lt;&gt;Incompleto"))
</f>
        <v>-</v>
      </c>
      <c r="AD23" s="109" t="str">
        <f>IF(SUMIFS(Data_filtered!$K$2:$K$461,Data_filtered!$A$2:$A$461,AD$1,Data_filtered!$F$2:$F$461,$A23, Data_filtered!$D$2:$D$461,"eucalipto",Data_filtered!$J$2:$J$461,"&lt;&gt;Incompleto")=0, "-", SUMIFS(Data_filtered!$K$2:$K$461,Data_filtered!$A$2:$A$461,AD$1,Data_filtered!$F$2:$F$461,$A23, Data_filtered!$D$2:$D$461,"eucalipto",Data_filtered!$J$2:$J$461,"&lt;&gt;Incompleto"))</f>
        <v>-</v>
      </c>
      <c r="AE23" s="110" t="str">
        <f>IF(SUMIFS(Data_filtered!$K$2:$K$461,Data_filtered!$A$2:$A$461,AD$1,Data_filtered!$F$2:$F$461,$A23, Data_filtered!$D$2:$D$461,"mata",Data_filtered!$J$2:$J$461,"&lt;&gt;Incompleto")=0, "-", SUMIFS(Data_filtered!$K$2:$K$461,Data_filtered!$A$2:$A$461,AD$1,Data_filtered!$F$2:$F$461,$A23, Data_filtered!$D$2:$D$461,"mata",Data_filtered!$J$2:$J$461,"&lt;&gt;Incompleto"))
</f>
        <v>-</v>
      </c>
      <c r="AF23" s="109" t="str">
        <f>IF(SUMIFS(Data_filtered!$K$2:$K$461,Data_filtered!$A$2:$A$461,AF$1,Data_filtered!$F$2:$F$461,$A23, Data_filtered!$D$2:$D$461,"eucalipto",Data_filtered!$J$2:$J$461,"&lt;&gt;Incompleto")=0, "-", SUMIFS(Data_filtered!$K$2:$K$461,Data_filtered!$A$2:$A$461,AF$1,Data_filtered!$F$2:$F$461,$A23, Data_filtered!$D$2:$D$461,"eucalipto",Data_filtered!$J$2:$J$461,"&lt;&gt;Incompleto"))</f>
        <v>-</v>
      </c>
      <c r="AG23" s="110" t="str">
        <f>IF(SUMIFS(Data_filtered!$K$2:$K$461,Data_filtered!$A$2:$A$461,AF$1,Data_filtered!$F$2:$F$461,$A23, Data_filtered!$D$2:$D$461,"mata",Data_filtered!$J$2:$J$461,"&lt;&gt;Incompleto")=0, "-", SUMIFS(Data_filtered!$K$2:$K$461,Data_filtered!$A$2:$A$461,AF$1,Data_filtered!$F$2:$F$461,$A23, Data_filtered!$D$2:$D$461,"mata",Data_filtered!$J$2:$J$461,"&lt;&gt;Incompleto"))
</f>
        <v>-</v>
      </c>
      <c r="AH23" s="109" t="str">
        <f>IF(SUMIFS(Data_filtered!$K$2:$K$461,Data_filtered!$A$2:$A$461,AH$1,Data_filtered!$F$2:$F$461,$A23, Data_filtered!$D$2:$D$461,"eucalipto",Data_filtered!$J$2:$J$461,"&lt;&gt;Incompleto")=0, "-", SUMIFS(Data_filtered!$K$2:$K$461,Data_filtered!$A$2:$A$461,AH$1,Data_filtered!$F$2:$F$461,$A23, Data_filtered!$D$2:$D$461,"eucalipto",Data_filtered!$J$2:$J$461,"&lt;&gt;Incompleto"))</f>
        <v>-</v>
      </c>
      <c r="AI23" s="110" t="str">
        <f>IF(SUMIFS(Data_filtered!$K$2:$K$461,Data_filtered!$A$2:$A$461,AH$1,Data_filtered!$F$2:$F$461,$A23, Data_filtered!$D$2:$D$461,"mata",Data_filtered!$J$2:$J$461,"&lt;&gt;Incompleto")=0, "-", SUMIFS(Data_filtered!$K$2:$K$461,Data_filtered!$A$2:$A$461,AH$1,Data_filtered!$F$2:$F$461,$A23, Data_filtered!$D$2:$D$461,"mata",Data_filtered!$J$2:$J$461,"&lt;&gt;Incompleto"))
</f>
        <v>-</v>
      </c>
      <c r="AJ23" s="109" t="str">
        <f>IF(SUMIFS(Data_filtered!$K$2:$K$461,Data_filtered!$A$2:$A$461,AJ$1,Data_filtered!$F$2:$F$461,$A23, Data_filtered!$D$2:$D$461,"eucalipto",Data_filtered!$J$2:$J$461,"&lt;&gt;Incompleto")=0, "-", SUMIFS(Data_filtered!$K$2:$K$461,Data_filtered!$A$2:$A$461,AJ$1,Data_filtered!$F$2:$F$461,$A23, Data_filtered!$D$2:$D$461,"eucalipto",Data_filtered!$J$2:$J$461,"&lt;&gt;Incompleto"))</f>
        <v>-</v>
      </c>
      <c r="AK23" s="110" t="str">
        <f>IF(SUMIFS(Data_filtered!$K$2:$K$461,Data_filtered!$A$2:$A$461,AJ$1,Data_filtered!$F$2:$F$461,$A23, Data_filtered!$D$2:$D$461,"mata",Data_filtered!$J$2:$J$461,"&lt;&gt;Incompleto")=0, "-", SUMIFS(Data_filtered!$K$2:$K$461,Data_filtered!$A$2:$A$461,AJ$1,Data_filtered!$F$2:$F$461,$A23, Data_filtered!$D$2:$D$461,"mata",Data_filtered!$J$2:$J$461,"&lt;&gt;Incompleto"))
</f>
        <v>-</v>
      </c>
      <c r="AL23" s="109" t="str">
        <f>IF(SUMIFS(Data_filtered!$K$2:$K$461,Data_filtered!$A$2:$A$461,AL$1,Data_filtered!$F$2:$F$461,$A23, Data_filtered!$D$2:$D$461,"eucalipto",Data_filtered!$J$2:$J$461,"&lt;&gt;Incompleto")=0, "-", SUMIFS(Data_filtered!$K$2:$K$461,Data_filtered!$A$2:$A$461,AL$1,Data_filtered!$F$2:$F$461,$A23, Data_filtered!$D$2:$D$461,"eucalipto",Data_filtered!$J$2:$J$461,"&lt;&gt;Incompleto"))</f>
        <v>-</v>
      </c>
      <c r="AM23" s="110" t="str">
        <f>IF(SUMIFS(Data_filtered!$K$2:$K$461,Data_filtered!$A$2:$A$461,AL$1,Data_filtered!$F$2:$F$461,$A23, Data_filtered!$D$2:$D$461,"mata",Data_filtered!$J$2:$J$461,"&lt;&gt;Incompleto")=0, "-", SUMIFS(Data_filtered!$K$2:$K$461,Data_filtered!$A$2:$A$461,AL$1,Data_filtered!$F$2:$F$461,$A23, Data_filtered!$D$2:$D$461,"mata",Data_filtered!$J$2:$J$461,"&lt;&gt;Incompleto"))
</f>
        <v>-</v>
      </c>
      <c r="AN23" s="109" t="str">
        <f>IF(SUMIFS(Data_filtered!$K$2:$K$461,Data_filtered!$A$2:$A$461,AN$1,Data_filtered!$F$2:$F$461,$A23, Data_filtered!$D$2:$D$461,"eucalipto",Data_filtered!$J$2:$J$461,"&lt;&gt;Incompleto")=0, "-", SUMIFS(Data_filtered!$K$2:$K$461,Data_filtered!$A$2:$A$461,AN$1,Data_filtered!$F$2:$F$461,$A23, Data_filtered!$D$2:$D$461,"eucalipto",Data_filtered!$J$2:$J$461,"&lt;&gt;Incompleto"))</f>
        <v>-</v>
      </c>
      <c r="AO23" s="110" t="str">
        <f>IF(SUMIFS(Data_filtered!$K$2:$K$461,Data_filtered!$A$2:$A$461,AN$1,Data_filtered!$F$2:$F$461,$A23, Data_filtered!$D$2:$D$461,"mata",Data_filtered!$J$2:$J$461,"&lt;&gt;Incompleto")=0, "-", SUMIFS(Data_filtered!$K$2:$K$461,Data_filtered!$A$2:$A$461,AN$1,Data_filtered!$F$2:$F$461,$A23, Data_filtered!$D$2:$D$461,"mata",Data_filtered!$J$2:$J$461,"&lt;&gt;Incompleto"))
</f>
        <v>-</v>
      </c>
      <c r="AP23" s="109" t="str">
        <f>IF(SUMIFS(Data_filtered!$K$2:$K$461,Data_filtered!$A$2:$A$461,AP$1,Data_filtered!$F$2:$F$461,$A23, Data_filtered!$D$2:$D$461,"eucalipto",Data_filtered!$J$2:$J$461,"&lt;&gt;Incompleto")=0, "-", SUMIFS(Data_filtered!$K$2:$K$461,Data_filtered!$A$2:$A$461,AP$1,Data_filtered!$F$2:$F$461,$A23, Data_filtered!$D$2:$D$461,"eucalipto",Data_filtered!$J$2:$J$461,"&lt;&gt;Incompleto"))</f>
        <v>-</v>
      </c>
      <c r="AQ23" s="110" t="str">
        <f>IF(SUMIFS(Data_filtered!$K$2:$K$461,Data_filtered!$A$2:$A$461,AP$1,Data_filtered!$F$2:$F$461,$A23, Data_filtered!$D$2:$D$461,"mata",Data_filtered!$J$2:$J$461,"&lt;&gt;Incompleto")=0, "-", SUMIFS(Data_filtered!$K$2:$K$461,Data_filtered!$A$2:$A$461,AP$1,Data_filtered!$F$2:$F$461,$A23, Data_filtered!$D$2:$D$461,"mata",Data_filtered!$J$2:$J$461,"&lt;&gt;Incompleto"))
</f>
        <v>-</v>
      </c>
      <c r="AR23" s="109" t="str">
        <f>IF(SUMIFS(Data_filtered!$K$2:$K$461,Data_filtered!$A$2:$A$461,AR$1,Data_filtered!$F$2:$F$461,$A23, Data_filtered!$D$2:$D$461,"eucalipto",Data_filtered!$J$2:$J$461,"&lt;&gt;Incompleto")=0, "-", SUMIFS(Data_filtered!$K$2:$K$461,Data_filtered!$A$2:$A$461,AR$1,Data_filtered!$F$2:$F$461,$A23, Data_filtered!$D$2:$D$461,"eucalipto",Data_filtered!$J$2:$J$461,"&lt;&gt;Incompleto"))</f>
        <v>-</v>
      </c>
      <c r="AS23" s="110" t="str">
        <f>IF(SUMIFS(Data_filtered!$K$2:$K$461,Data_filtered!$A$2:$A$461,AR$1,Data_filtered!$F$2:$F$461,$A23, Data_filtered!$D$2:$D$461,"mata",Data_filtered!$J$2:$J$461,"&lt;&gt;Incompleto")=0, "-", SUMIFS(Data_filtered!$K$2:$K$461,Data_filtered!$A$2:$A$461,AR$1,Data_filtered!$F$2:$F$461,$A23, Data_filtered!$D$2:$D$461,"mata",Data_filtered!$J$2:$J$461,"&lt;&gt;Incompleto"))
</f>
        <v>-</v>
      </c>
    </row>
    <row r="24">
      <c r="A24" s="68" t="str">
        <f>IFERROR(__xludf.DUMMYFUNCTION("""COMPUTED_VALUE"""),"Staphylinidae")</f>
        <v>Staphylinidae</v>
      </c>
      <c r="B24" s="109" t="str">
        <f>IF(SUMIFS(Data_filtered!$K$2:$K$461,Data_filtered!$A$2:$A$461,B$1,Data_filtered!$F$2:$F$461,$A24, Data_filtered!$D$2:$D$461,"eucalipto",Data_filtered!$J$2:$J$461,"&lt;&gt;Incompleto")=0, "-", SUMIFS(Data_filtered!$K$2:$K$461,Data_filtered!$A$2:$A$461,B$1,Data_filtered!$F$2:$F$461,$A24, Data_filtered!$D$2:$D$461,"eucalipto",Data_filtered!$J$2:$J$461,"&lt;&gt;Incompleto"))</f>
        <v>-</v>
      </c>
      <c r="C24" s="110" t="str">
        <f>IF(SUMIFS(Data_filtered!$K$2:$K$461,Data_filtered!$A$2:$A$461,B$1,Data_filtered!$F$2:$F$461,$A24, Data_filtered!$D$2:$D$461,"mata",Data_filtered!$J$2:$J$461,"&lt;&gt;Incompleto")=0, "-", SUMIFS(Data_filtered!$K$2:$K$461,Data_filtered!$A$2:$A$461,B$1,Data_filtered!$F$2:$F$461,$A24, Data_filtered!$D$2:$D$461,"mata",Data_filtered!$J$2:$J$461,"&lt;&gt;Incompleto"))
</f>
        <v>-</v>
      </c>
      <c r="D24" s="109" t="str">
        <f>IF(SUMIFS(Data_filtered!$K$2:$K$461,Data_filtered!$A$2:$A$461,D$1,Data_filtered!$F$2:$F$461,$A24, Data_filtered!$D$2:$D$461,"eucalipto",Data_filtered!$J$2:$J$461,"&lt;&gt;Incompleto")=0, "-", SUMIFS(Data_filtered!$K$2:$K$461,Data_filtered!$A$2:$A$461,D$1,Data_filtered!$F$2:$F$461,$A24, Data_filtered!$D$2:$D$461,"eucalipto",Data_filtered!$J$2:$J$461,"&lt;&gt;Incompleto"))</f>
        <v>-</v>
      </c>
      <c r="E24" s="110" t="str">
        <f>IF(SUMIFS(Data_filtered!$K$2:$K$461,Data_filtered!$A$2:$A$461,D$1,Data_filtered!$F$2:$F$461,$A24, Data_filtered!$D$2:$D$461,"mata",Data_filtered!$J$2:$J$461,"&lt;&gt;Incompleto")=0, "-", SUMIFS(Data_filtered!$K$2:$K$461,Data_filtered!$A$2:$A$461,D$1,Data_filtered!$F$2:$F$461,$A24, Data_filtered!$D$2:$D$461,"mata",Data_filtered!$J$2:$J$461,"&lt;&gt;Incompleto"))
</f>
        <v>-</v>
      </c>
      <c r="F24" s="109" t="str">
        <f>IF(SUMIFS(Data_filtered!$K$2:$K$461,Data_filtered!$A$2:$A$461,F$1,Data_filtered!$F$2:$F$461,$A24, Data_filtered!$D$2:$D$461,"eucalipto",Data_filtered!$J$2:$J$461,"&lt;&gt;Incompleto")=0, "-", SUMIFS(Data_filtered!$K$2:$K$461,Data_filtered!$A$2:$A$461,F$1,Data_filtered!$F$2:$F$461,$A24, Data_filtered!$D$2:$D$461,"eucalipto",Data_filtered!$J$2:$J$461,"&lt;&gt;Incompleto"))</f>
        <v>-</v>
      </c>
      <c r="G24" s="110" t="str">
        <f>IF(SUMIFS(Data_filtered!$K$2:$K$461,Data_filtered!$A$2:$A$461,F$1,Data_filtered!$F$2:$F$461,$A24, Data_filtered!$D$2:$D$461,"mata",Data_filtered!$J$2:$J$461,"&lt;&gt;Incompleto")=0, "-", SUMIFS(Data_filtered!$K$2:$K$461,Data_filtered!$A$2:$A$461,F$1,Data_filtered!$F$2:$F$461,$A24, Data_filtered!$D$2:$D$461,"mata",Data_filtered!$J$2:$J$461,"&lt;&gt;Incompleto"))
</f>
        <v>-</v>
      </c>
      <c r="H24" s="109" t="str">
        <f>IF(SUMIFS(Data_filtered!$K$2:$K$461,Data_filtered!$A$2:$A$461,H$1,Data_filtered!$F$2:$F$461,$A24, Data_filtered!$D$2:$D$461,"eucalipto",Data_filtered!$J$2:$J$461,"&lt;&gt;Incompleto")=0, "-", SUMIFS(Data_filtered!$K$2:$K$461,Data_filtered!$A$2:$A$461,H$1,Data_filtered!$F$2:$F$461,$A24, Data_filtered!$D$2:$D$461,"eucalipto",Data_filtered!$J$2:$J$461,"&lt;&gt;Incompleto"))</f>
        <v>-</v>
      </c>
      <c r="I24" s="110" t="str">
        <f>IF(SUMIFS(Data_filtered!$K$2:$K$461,Data_filtered!$A$2:$A$461,H$1,Data_filtered!$F$2:$F$461,$A24, Data_filtered!$D$2:$D$461,"mata",Data_filtered!$J$2:$J$461,"&lt;&gt;Incompleto")=0, "-", SUMIFS(Data_filtered!$K$2:$K$461,Data_filtered!$A$2:$A$461,H$1,Data_filtered!$F$2:$F$461,$A24, Data_filtered!$D$2:$D$461,"mata",Data_filtered!$J$2:$J$461,"&lt;&gt;Incompleto"))
</f>
        <v>-</v>
      </c>
      <c r="J24" s="109" t="str">
        <f>IF(SUMIFS(Data_filtered!$K$2:$K$461,Data_filtered!$A$2:$A$461,J$1,Data_filtered!$F$2:$F$461,$A24, Data_filtered!$D$2:$D$461,"eucalipto",Data_filtered!$J$2:$J$461,"&lt;&gt;Incompleto")=0, "-", SUMIFS(Data_filtered!$K$2:$K$461,Data_filtered!$A$2:$A$461,J$1,Data_filtered!$F$2:$F$461,$A24, Data_filtered!$D$2:$D$461,"eucalipto",Data_filtered!$J$2:$J$461,"&lt;&gt;Incompleto"))</f>
        <v>-</v>
      </c>
      <c r="K24" s="110" t="str">
        <f>IF(SUMIFS(Data_filtered!$K$2:$K$461,Data_filtered!$A$2:$A$461,J$1,Data_filtered!$F$2:$F$461,$A24, Data_filtered!$D$2:$D$461,"mata",Data_filtered!$J$2:$J$461,"&lt;&gt;Incompleto")=0, "-", SUMIFS(Data_filtered!$K$2:$K$461,Data_filtered!$A$2:$A$461,J$1,Data_filtered!$F$2:$F$461,$A24, Data_filtered!$D$2:$D$461,"mata",Data_filtered!$J$2:$J$461,"&lt;&gt;Incompleto"))
</f>
        <v>-</v>
      </c>
      <c r="L24" s="109" t="str">
        <f>IF(SUMIFS(Data_filtered!$K$2:$K$461,Data_filtered!$A$2:$A$461,L$1,Data_filtered!$F$2:$F$461,$A24, Data_filtered!$D$2:$D$461,"eucalipto",Data_filtered!$J$2:$J$461,"&lt;&gt;Incompleto")=0, "-", SUMIFS(Data_filtered!$K$2:$K$461,Data_filtered!$A$2:$A$461,L$1,Data_filtered!$F$2:$F$461,$A24, Data_filtered!$D$2:$D$461,"eucalipto",Data_filtered!$J$2:$J$461,"&lt;&gt;Incompleto"))</f>
        <v>-</v>
      </c>
      <c r="M24" s="110" t="str">
        <f>IF(SUMIFS(Data_filtered!$K$2:$K$461,Data_filtered!$A$2:$A$461,L$1,Data_filtered!$F$2:$F$461,$A24, Data_filtered!$D$2:$D$461,"mata",Data_filtered!$J$2:$J$461,"&lt;&gt;Incompleto")=0, "-", SUMIFS(Data_filtered!$K$2:$K$461,Data_filtered!$A$2:$A$461,L$1,Data_filtered!$F$2:$F$461,$A24, Data_filtered!$D$2:$D$461,"mata",Data_filtered!$J$2:$J$461,"&lt;&gt;Incompleto"))
</f>
        <v>-</v>
      </c>
      <c r="N24" s="109" t="str">
        <f>IF(SUMIFS(Data_filtered!$K$2:$K$461,Data_filtered!$A$2:$A$461,N$1,Data_filtered!$F$2:$F$461,$A24, Data_filtered!$D$2:$D$461,"eucalipto",Data_filtered!$J$2:$J$461,"&lt;&gt;Incompleto")=0, "-", SUMIFS(Data_filtered!$K$2:$K$461,Data_filtered!$A$2:$A$461,N$1,Data_filtered!$F$2:$F$461,$A24, Data_filtered!$D$2:$D$461,"eucalipto",Data_filtered!$J$2:$J$461,"&lt;&gt;Incompleto"))</f>
        <v>-</v>
      </c>
      <c r="O24" s="110" t="str">
        <f>IF(SUMIFS(Data_filtered!$K$2:$K$461,Data_filtered!$A$2:$A$461,N$1,Data_filtered!$F$2:$F$461,$A24, Data_filtered!$D$2:$D$461,"mata",Data_filtered!$J$2:$J$461,"&lt;&gt;Incompleto")=0, "-", SUMIFS(Data_filtered!$K$2:$K$461,Data_filtered!$A$2:$A$461,N$1,Data_filtered!$F$2:$F$461,$A24, Data_filtered!$D$2:$D$461,"mata",Data_filtered!$J$2:$J$461,"&lt;&gt;Incompleto"))
</f>
        <v>-</v>
      </c>
      <c r="P24" s="109" t="str">
        <f>IF(SUMIFS(Data_filtered!$K$2:$K$461,Data_filtered!$A$2:$A$461,P$1,Data_filtered!$F$2:$F$461,$A24, Data_filtered!$D$2:$D$461,"eucalipto",Data_filtered!$J$2:$J$461,"&lt;&gt;Incompleto")=0, "-", SUMIFS(Data_filtered!$K$2:$K$461,Data_filtered!$A$2:$A$461,P$1,Data_filtered!$F$2:$F$461,$A24, Data_filtered!$D$2:$D$461,"eucalipto",Data_filtered!$J$2:$J$461,"&lt;&gt;Incompleto"))</f>
        <v>-</v>
      </c>
      <c r="Q24" s="110" t="str">
        <f>IF(SUMIFS(Data_filtered!$K$2:$K$461,Data_filtered!$A$2:$A$461,P$1,Data_filtered!$F$2:$F$461,$A24, Data_filtered!$D$2:$D$461,"mata",Data_filtered!$J$2:$J$461,"&lt;&gt;Incompleto")=0, "-", SUMIFS(Data_filtered!$K$2:$K$461,Data_filtered!$A$2:$A$461,P$1,Data_filtered!$F$2:$F$461,$A24, Data_filtered!$D$2:$D$461,"mata",Data_filtered!$J$2:$J$461,"&lt;&gt;Incompleto"))
</f>
        <v>-</v>
      </c>
      <c r="R24" s="109">
        <f>IF(SUMIFS(Data_filtered!$K$2:$K$461,Data_filtered!$A$2:$A$461,R$1,Data_filtered!$F$2:$F$461,$A24, Data_filtered!$D$2:$D$461,"eucalipto",Data_filtered!$J$2:$J$461,"&lt;&gt;Incompleto")=0, "-", SUMIFS(Data_filtered!$K$2:$K$461,Data_filtered!$A$2:$A$461,R$1,Data_filtered!$F$2:$F$461,$A24, Data_filtered!$D$2:$D$461,"eucalipto",Data_filtered!$J$2:$J$461,"&lt;&gt;Incompleto"))</f>
        <v>134.0412866</v>
      </c>
      <c r="S24" s="110" t="str">
        <f>IF(SUMIFS(Data_filtered!$K$2:$K$461,Data_filtered!$A$2:$A$461,R$1,Data_filtered!$F$2:$F$461,$A24, Data_filtered!$D$2:$D$461,"mata",Data_filtered!$J$2:$J$461,"&lt;&gt;Incompleto")=0, "-", SUMIFS(Data_filtered!$K$2:$K$461,Data_filtered!$A$2:$A$461,R$1,Data_filtered!$F$2:$F$461,$A24, Data_filtered!$D$2:$D$461,"mata",Data_filtered!$J$2:$J$461,"&lt;&gt;Incompleto"))
</f>
        <v>-</v>
      </c>
      <c r="T24" s="109" t="str">
        <f>IF(SUMIFS(Data_filtered!$K$2:$K$461,Data_filtered!$A$2:$A$461,T$1,Data_filtered!$F$2:$F$461,$A24, Data_filtered!$D$2:$D$461,"eucalipto",Data_filtered!$J$2:$J$461,"&lt;&gt;Incompleto")=0, "-", SUMIFS(Data_filtered!$K$2:$K$461,Data_filtered!$A$2:$A$461,T$1,Data_filtered!$F$2:$F$461,$A24, Data_filtered!$D$2:$D$461,"eucalipto",Data_filtered!$J$2:$J$461,"&lt;&gt;Incompleto"))</f>
        <v>-</v>
      </c>
      <c r="U24" s="110" t="str">
        <f>IF(SUMIFS(Data_filtered!$K$2:$K$461,Data_filtered!$A$2:$A$461,T$1,Data_filtered!$F$2:$F$461,$A24, Data_filtered!$D$2:$D$461,"mata",Data_filtered!$J$2:$J$461,"&lt;&gt;Incompleto")=0, "-", SUMIFS(Data_filtered!$K$2:$K$461,Data_filtered!$A$2:$A$461,T$1,Data_filtered!$F$2:$F$461,$A24, Data_filtered!$D$2:$D$461,"mata",Data_filtered!$J$2:$J$461,"&lt;&gt;Incompleto"))
</f>
        <v>-</v>
      </c>
      <c r="V24" s="109">
        <f>IF(SUMIFS(Data_filtered!$K$2:$K$461,Data_filtered!$A$2:$A$461,V$1,Data_filtered!$F$2:$F$461,$A24, Data_filtered!$D$2:$D$461,"eucalipto",Data_filtered!$J$2:$J$461,"&lt;&gt;Incompleto")=0, "-", SUMIFS(Data_filtered!$K$2:$K$461,Data_filtered!$A$2:$A$461,V$1,Data_filtered!$F$2:$F$461,$A24, Data_filtered!$D$2:$D$461,"eucalipto",Data_filtered!$J$2:$J$461,"&lt;&gt;Incompleto"))</f>
        <v>20.94395102</v>
      </c>
      <c r="W24" s="110" t="str">
        <f>IF(SUMIFS(Data_filtered!$K$2:$K$461,Data_filtered!$A$2:$A$461,V$1,Data_filtered!$F$2:$F$461,$A24, Data_filtered!$D$2:$D$461,"mata",Data_filtered!$J$2:$J$461,"&lt;&gt;Incompleto")=0, "-", SUMIFS(Data_filtered!$K$2:$K$461,Data_filtered!$A$2:$A$461,V$1,Data_filtered!$F$2:$F$461,$A24, Data_filtered!$D$2:$D$461,"mata",Data_filtered!$J$2:$J$461,"&lt;&gt;Incompleto"))
</f>
        <v>-</v>
      </c>
      <c r="X24" s="109" t="str">
        <f>IF(SUMIFS(Data_filtered!$K$2:$K$461,Data_filtered!$A$2:$A$461,X$1,Data_filtered!$F$2:$F$461,$A24, Data_filtered!$D$2:$D$461,"eucalipto",Data_filtered!$J$2:$J$461,"&lt;&gt;Incompleto")=0, "-", SUMIFS(Data_filtered!$K$2:$K$461,Data_filtered!$A$2:$A$461,X$1,Data_filtered!$F$2:$F$461,$A24, Data_filtered!$D$2:$D$461,"eucalipto",Data_filtered!$J$2:$J$461,"&lt;&gt;Incompleto"))</f>
        <v>-</v>
      </c>
      <c r="Y24" s="110" t="str">
        <f>IF(SUMIFS(Data_filtered!$K$2:$K$461,Data_filtered!$A$2:$A$461,X$1,Data_filtered!$F$2:$F$461,$A24, Data_filtered!$D$2:$D$461,"mata",Data_filtered!$J$2:$J$461,"&lt;&gt;Incompleto")=0, "-", SUMIFS(Data_filtered!$K$2:$K$461,Data_filtered!$A$2:$A$461,X$1,Data_filtered!$F$2:$F$461,$A24, Data_filtered!$D$2:$D$461,"mata",Data_filtered!$J$2:$J$461,"&lt;&gt;Incompleto"))
</f>
        <v>-</v>
      </c>
      <c r="Z24" s="109" t="str">
        <f>IF(SUMIFS(Data_filtered!$K$2:$K$461,Data_filtered!$A$2:$A$461,Z$1,Data_filtered!$F$2:$F$461,$A24, Data_filtered!$D$2:$D$461,"eucalipto",Data_filtered!$J$2:$J$461,"&lt;&gt;Incompleto")=0, "-", SUMIFS(Data_filtered!$K$2:$K$461,Data_filtered!$A$2:$A$461,Z$1,Data_filtered!$F$2:$F$461,$A24, Data_filtered!$D$2:$D$461,"eucalipto",Data_filtered!$J$2:$J$461,"&lt;&gt;Incompleto"))</f>
        <v>-</v>
      </c>
      <c r="AA24" s="110" t="str">
        <f>IF(SUMIFS(Data_filtered!$K$2:$K$461,Data_filtered!$A$2:$A$461,Z$1,Data_filtered!$F$2:$F$461,$A24, Data_filtered!$D$2:$D$461,"mata",Data_filtered!$J$2:$J$461,"&lt;&gt;Incompleto")=0, "-", SUMIFS(Data_filtered!$K$2:$K$461,Data_filtered!$A$2:$A$461,Z$1,Data_filtered!$F$2:$F$461,$A24, Data_filtered!$D$2:$D$461,"mata",Data_filtered!$J$2:$J$461,"&lt;&gt;Incompleto"))
</f>
        <v>-</v>
      </c>
      <c r="AB24" s="109" t="str">
        <f>IF(SUMIFS(Data_filtered!$K$2:$K$461,Data_filtered!$A$2:$A$461,AB$1,Data_filtered!$F$2:$F$461,$A24, Data_filtered!$D$2:$D$461,"eucalipto",Data_filtered!$J$2:$J$461,"&lt;&gt;Incompleto")=0, "-", SUMIFS(Data_filtered!$K$2:$K$461,Data_filtered!$A$2:$A$461,AB$1,Data_filtered!$F$2:$F$461,$A24, Data_filtered!$D$2:$D$461,"eucalipto",Data_filtered!$J$2:$J$461,"&lt;&gt;Incompleto"))</f>
        <v>-</v>
      </c>
      <c r="AC24" s="110" t="str">
        <f>IF(SUMIFS(Data_filtered!$K$2:$K$461,Data_filtered!$A$2:$A$461,AB$1,Data_filtered!$F$2:$F$461,$A24, Data_filtered!$D$2:$D$461,"mata",Data_filtered!$J$2:$J$461,"&lt;&gt;Incompleto")=0, "-", SUMIFS(Data_filtered!$K$2:$K$461,Data_filtered!$A$2:$A$461,AB$1,Data_filtered!$F$2:$F$461,$A24, Data_filtered!$D$2:$D$461,"mata",Data_filtered!$J$2:$J$461,"&lt;&gt;Incompleto"))
</f>
        <v>-</v>
      </c>
      <c r="AD24" s="109" t="str">
        <f>IF(SUMIFS(Data_filtered!$K$2:$K$461,Data_filtered!$A$2:$A$461,AD$1,Data_filtered!$F$2:$F$461,$A24, Data_filtered!$D$2:$D$461,"eucalipto",Data_filtered!$J$2:$J$461,"&lt;&gt;Incompleto")=0, "-", SUMIFS(Data_filtered!$K$2:$K$461,Data_filtered!$A$2:$A$461,AD$1,Data_filtered!$F$2:$F$461,$A24, Data_filtered!$D$2:$D$461,"eucalipto",Data_filtered!$J$2:$J$461,"&lt;&gt;Incompleto"))</f>
        <v>-</v>
      </c>
      <c r="AE24" s="110" t="str">
        <f>IF(SUMIFS(Data_filtered!$K$2:$K$461,Data_filtered!$A$2:$A$461,AD$1,Data_filtered!$F$2:$F$461,$A24, Data_filtered!$D$2:$D$461,"mata",Data_filtered!$J$2:$J$461,"&lt;&gt;Incompleto")=0, "-", SUMIFS(Data_filtered!$K$2:$K$461,Data_filtered!$A$2:$A$461,AD$1,Data_filtered!$F$2:$F$461,$A24, Data_filtered!$D$2:$D$461,"mata",Data_filtered!$J$2:$J$461,"&lt;&gt;Incompleto"))
</f>
        <v>-</v>
      </c>
      <c r="AF24" s="109" t="str">
        <f>IF(SUMIFS(Data_filtered!$K$2:$K$461,Data_filtered!$A$2:$A$461,AF$1,Data_filtered!$F$2:$F$461,$A24, Data_filtered!$D$2:$D$461,"eucalipto",Data_filtered!$J$2:$J$461,"&lt;&gt;Incompleto")=0, "-", SUMIFS(Data_filtered!$K$2:$K$461,Data_filtered!$A$2:$A$461,AF$1,Data_filtered!$F$2:$F$461,$A24, Data_filtered!$D$2:$D$461,"eucalipto",Data_filtered!$J$2:$J$461,"&lt;&gt;Incompleto"))</f>
        <v>-</v>
      </c>
      <c r="AG24" s="110">
        <f>IF(SUMIFS(Data_filtered!$K$2:$K$461,Data_filtered!$A$2:$A$461,AF$1,Data_filtered!$F$2:$F$461,$A24, Data_filtered!$D$2:$D$461,"mata",Data_filtered!$J$2:$J$461,"&lt;&gt;Incompleto")=0, "-", SUMIFS(Data_filtered!$K$2:$K$461,Data_filtered!$A$2:$A$461,AF$1,Data_filtered!$F$2:$F$461,$A24, Data_filtered!$D$2:$D$461,"mata",Data_filtered!$J$2:$J$461,"&lt;&gt;Incompleto"))
</f>
        <v>201.0619298</v>
      </c>
      <c r="AH24" s="109" t="str">
        <f>IF(SUMIFS(Data_filtered!$K$2:$K$461,Data_filtered!$A$2:$A$461,AH$1,Data_filtered!$F$2:$F$461,$A24, Data_filtered!$D$2:$D$461,"eucalipto",Data_filtered!$J$2:$J$461,"&lt;&gt;Incompleto")=0, "-", SUMIFS(Data_filtered!$K$2:$K$461,Data_filtered!$A$2:$A$461,AH$1,Data_filtered!$F$2:$F$461,$A24, Data_filtered!$D$2:$D$461,"eucalipto",Data_filtered!$J$2:$J$461,"&lt;&gt;Incompleto"))</f>
        <v>-</v>
      </c>
      <c r="AI24" s="110">
        <f>IF(SUMIFS(Data_filtered!$K$2:$K$461,Data_filtered!$A$2:$A$461,AH$1,Data_filtered!$F$2:$F$461,$A24, Data_filtered!$D$2:$D$461,"mata",Data_filtered!$J$2:$J$461,"&lt;&gt;Incompleto")=0, "-", SUMIFS(Data_filtered!$K$2:$K$461,Data_filtered!$A$2:$A$461,AH$1,Data_filtered!$F$2:$F$461,$A24, Data_filtered!$D$2:$D$461,"mata",Data_filtered!$J$2:$J$461,"&lt;&gt;Incompleto"))
</f>
        <v>603.1857895</v>
      </c>
      <c r="AJ24" s="109" t="str">
        <f>IF(SUMIFS(Data_filtered!$K$2:$K$461,Data_filtered!$A$2:$A$461,AJ$1,Data_filtered!$F$2:$F$461,$A24, Data_filtered!$D$2:$D$461,"eucalipto",Data_filtered!$J$2:$J$461,"&lt;&gt;Incompleto")=0, "-", SUMIFS(Data_filtered!$K$2:$K$461,Data_filtered!$A$2:$A$461,AJ$1,Data_filtered!$F$2:$F$461,$A24, Data_filtered!$D$2:$D$461,"eucalipto",Data_filtered!$J$2:$J$461,"&lt;&gt;Incompleto"))</f>
        <v>-</v>
      </c>
      <c r="AK24" s="110" t="str">
        <f>IF(SUMIFS(Data_filtered!$K$2:$K$461,Data_filtered!$A$2:$A$461,AJ$1,Data_filtered!$F$2:$F$461,$A24, Data_filtered!$D$2:$D$461,"mata",Data_filtered!$J$2:$J$461,"&lt;&gt;Incompleto")=0, "-", SUMIFS(Data_filtered!$K$2:$K$461,Data_filtered!$A$2:$A$461,AJ$1,Data_filtered!$F$2:$F$461,$A24, Data_filtered!$D$2:$D$461,"mata",Data_filtered!$J$2:$J$461,"&lt;&gt;Incompleto"))
</f>
        <v>-</v>
      </c>
      <c r="AL24" s="109" t="str">
        <f>IF(SUMIFS(Data_filtered!$K$2:$K$461,Data_filtered!$A$2:$A$461,AL$1,Data_filtered!$F$2:$F$461,$A24, Data_filtered!$D$2:$D$461,"eucalipto",Data_filtered!$J$2:$J$461,"&lt;&gt;Incompleto")=0, "-", SUMIFS(Data_filtered!$K$2:$K$461,Data_filtered!$A$2:$A$461,AL$1,Data_filtered!$F$2:$F$461,$A24, Data_filtered!$D$2:$D$461,"eucalipto",Data_filtered!$J$2:$J$461,"&lt;&gt;Incompleto"))</f>
        <v>-</v>
      </c>
      <c r="AM24" s="110">
        <f>IF(SUMIFS(Data_filtered!$K$2:$K$461,Data_filtered!$A$2:$A$461,AL$1,Data_filtered!$F$2:$F$461,$A24, Data_filtered!$D$2:$D$461,"mata",Data_filtered!$J$2:$J$461,"&lt;&gt;Incompleto")=0, "-", SUMIFS(Data_filtered!$K$2:$K$461,Data_filtered!$A$2:$A$461,AL$1,Data_filtered!$F$2:$F$461,$A24, Data_filtered!$D$2:$D$461,"mata",Data_filtered!$J$2:$J$461,"&lt;&gt;Incompleto"))
</f>
        <v>917.3450548</v>
      </c>
      <c r="AN24" s="109" t="str">
        <f>IF(SUMIFS(Data_filtered!$K$2:$K$461,Data_filtered!$A$2:$A$461,AN$1,Data_filtered!$F$2:$F$461,$A24, Data_filtered!$D$2:$D$461,"eucalipto",Data_filtered!$J$2:$J$461,"&lt;&gt;Incompleto")=0, "-", SUMIFS(Data_filtered!$K$2:$K$461,Data_filtered!$A$2:$A$461,AN$1,Data_filtered!$F$2:$F$461,$A24, Data_filtered!$D$2:$D$461,"eucalipto",Data_filtered!$J$2:$J$461,"&lt;&gt;Incompleto"))</f>
        <v>-</v>
      </c>
      <c r="AO24" s="110" t="str">
        <f>IF(SUMIFS(Data_filtered!$K$2:$K$461,Data_filtered!$A$2:$A$461,AN$1,Data_filtered!$F$2:$F$461,$A24, Data_filtered!$D$2:$D$461,"mata",Data_filtered!$J$2:$J$461,"&lt;&gt;Incompleto")=0, "-", SUMIFS(Data_filtered!$K$2:$K$461,Data_filtered!$A$2:$A$461,AN$1,Data_filtered!$F$2:$F$461,$A24, Data_filtered!$D$2:$D$461,"mata",Data_filtered!$J$2:$J$461,"&lt;&gt;Incompleto"))
</f>
        <v>-</v>
      </c>
      <c r="AP24" s="109" t="str">
        <f>IF(SUMIFS(Data_filtered!$K$2:$K$461,Data_filtered!$A$2:$A$461,AP$1,Data_filtered!$F$2:$F$461,$A24, Data_filtered!$D$2:$D$461,"eucalipto",Data_filtered!$J$2:$J$461,"&lt;&gt;Incompleto")=0, "-", SUMIFS(Data_filtered!$K$2:$K$461,Data_filtered!$A$2:$A$461,AP$1,Data_filtered!$F$2:$F$461,$A24, Data_filtered!$D$2:$D$461,"eucalipto",Data_filtered!$J$2:$J$461,"&lt;&gt;Incompleto"))</f>
        <v>-</v>
      </c>
      <c r="AQ24" s="110" t="str">
        <f>IF(SUMIFS(Data_filtered!$K$2:$K$461,Data_filtered!$A$2:$A$461,AP$1,Data_filtered!$F$2:$F$461,$A24, Data_filtered!$D$2:$D$461,"mata",Data_filtered!$J$2:$J$461,"&lt;&gt;Incompleto")=0, "-", SUMIFS(Data_filtered!$K$2:$K$461,Data_filtered!$A$2:$A$461,AP$1,Data_filtered!$F$2:$F$461,$A24, Data_filtered!$D$2:$D$461,"mata",Data_filtered!$J$2:$J$461,"&lt;&gt;Incompleto"))
</f>
        <v>-</v>
      </c>
      <c r="AR24" s="109" t="str">
        <f>IF(SUMIFS(Data_filtered!$K$2:$K$461,Data_filtered!$A$2:$A$461,AR$1,Data_filtered!$F$2:$F$461,$A24, Data_filtered!$D$2:$D$461,"eucalipto",Data_filtered!$J$2:$J$461,"&lt;&gt;Incompleto")=0, "-", SUMIFS(Data_filtered!$K$2:$K$461,Data_filtered!$A$2:$A$461,AR$1,Data_filtered!$F$2:$F$461,$A24, Data_filtered!$D$2:$D$461,"eucalipto",Data_filtered!$J$2:$J$461,"&lt;&gt;Incompleto"))</f>
        <v>-</v>
      </c>
      <c r="AS24" s="110" t="str">
        <f>IF(SUMIFS(Data_filtered!$K$2:$K$461,Data_filtered!$A$2:$A$461,AR$1,Data_filtered!$F$2:$F$461,$A24, Data_filtered!$D$2:$D$461,"mata",Data_filtered!$J$2:$J$461,"&lt;&gt;Incompleto")=0, "-", SUMIFS(Data_filtered!$K$2:$K$461,Data_filtered!$A$2:$A$461,AR$1,Data_filtered!$F$2:$F$461,$A24, Data_filtered!$D$2:$D$461,"mata",Data_filtered!$J$2:$J$461,"&lt;&gt;Incompleto"))
</f>
        <v>-</v>
      </c>
    </row>
    <row r="25">
      <c r="A25" s="68" t="str">
        <f>IFERROR(__xludf.DUMMYFUNCTION("""COMPUTED_VALUE"""),"Thysanoptera")</f>
        <v>Thysanoptera</v>
      </c>
      <c r="B25" s="109" t="str">
        <f>IF(SUMIFS(Data_filtered!$K$2:$K$461,Data_filtered!$A$2:$A$461,B$1,Data_filtered!$F$2:$F$461,$A25, Data_filtered!$D$2:$D$461,"eucalipto",Data_filtered!$J$2:$J$461,"&lt;&gt;Incompleto")=0, "-", SUMIFS(Data_filtered!$K$2:$K$461,Data_filtered!$A$2:$A$461,B$1,Data_filtered!$F$2:$F$461,$A25, Data_filtered!$D$2:$D$461,"eucalipto",Data_filtered!$J$2:$J$461,"&lt;&gt;Incompleto"))</f>
        <v>-</v>
      </c>
      <c r="C25" s="110" t="str">
        <f>IF(SUMIFS(Data_filtered!$K$2:$K$461,Data_filtered!$A$2:$A$461,B$1,Data_filtered!$F$2:$F$461,$A25, Data_filtered!$D$2:$D$461,"mata",Data_filtered!$J$2:$J$461,"&lt;&gt;Incompleto")=0, "-", SUMIFS(Data_filtered!$K$2:$K$461,Data_filtered!$A$2:$A$461,B$1,Data_filtered!$F$2:$F$461,$A25, Data_filtered!$D$2:$D$461,"mata",Data_filtered!$J$2:$J$461,"&lt;&gt;Incompleto"))
</f>
        <v>-</v>
      </c>
      <c r="D25" s="109" t="str">
        <f>IF(SUMIFS(Data_filtered!$K$2:$K$461,Data_filtered!$A$2:$A$461,D$1,Data_filtered!$F$2:$F$461,$A25, Data_filtered!$D$2:$D$461,"eucalipto",Data_filtered!$J$2:$J$461,"&lt;&gt;Incompleto")=0, "-", SUMIFS(Data_filtered!$K$2:$K$461,Data_filtered!$A$2:$A$461,D$1,Data_filtered!$F$2:$F$461,$A25, Data_filtered!$D$2:$D$461,"eucalipto",Data_filtered!$J$2:$J$461,"&lt;&gt;Incompleto"))</f>
        <v>-</v>
      </c>
      <c r="E25" s="110" t="str">
        <f>IF(SUMIFS(Data_filtered!$K$2:$K$461,Data_filtered!$A$2:$A$461,D$1,Data_filtered!$F$2:$F$461,$A25, Data_filtered!$D$2:$D$461,"mata",Data_filtered!$J$2:$J$461,"&lt;&gt;Incompleto")=0, "-", SUMIFS(Data_filtered!$K$2:$K$461,Data_filtered!$A$2:$A$461,D$1,Data_filtered!$F$2:$F$461,$A25, Data_filtered!$D$2:$D$461,"mata",Data_filtered!$J$2:$J$461,"&lt;&gt;Incompleto"))
</f>
        <v>-</v>
      </c>
      <c r="F25" s="109" t="str">
        <f>IF(SUMIFS(Data_filtered!$K$2:$K$461,Data_filtered!$A$2:$A$461,F$1,Data_filtered!$F$2:$F$461,$A25, Data_filtered!$D$2:$D$461,"eucalipto",Data_filtered!$J$2:$J$461,"&lt;&gt;Incompleto")=0, "-", SUMIFS(Data_filtered!$K$2:$K$461,Data_filtered!$A$2:$A$461,F$1,Data_filtered!$F$2:$F$461,$A25, Data_filtered!$D$2:$D$461,"eucalipto",Data_filtered!$J$2:$J$461,"&lt;&gt;Incompleto"))</f>
        <v>-</v>
      </c>
      <c r="G25" s="110" t="str">
        <f>IF(SUMIFS(Data_filtered!$K$2:$K$461,Data_filtered!$A$2:$A$461,F$1,Data_filtered!$F$2:$F$461,$A25, Data_filtered!$D$2:$D$461,"mata",Data_filtered!$J$2:$J$461,"&lt;&gt;Incompleto")=0, "-", SUMIFS(Data_filtered!$K$2:$K$461,Data_filtered!$A$2:$A$461,F$1,Data_filtered!$F$2:$F$461,$A25, Data_filtered!$D$2:$D$461,"mata",Data_filtered!$J$2:$J$461,"&lt;&gt;Incompleto"))
</f>
        <v>-</v>
      </c>
      <c r="H25" s="109" t="str">
        <f>IF(SUMIFS(Data_filtered!$K$2:$K$461,Data_filtered!$A$2:$A$461,H$1,Data_filtered!$F$2:$F$461,$A25, Data_filtered!$D$2:$D$461,"eucalipto",Data_filtered!$J$2:$J$461,"&lt;&gt;Incompleto")=0, "-", SUMIFS(Data_filtered!$K$2:$K$461,Data_filtered!$A$2:$A$461,H$1,Data_filtered!$F$2:$F$461,$A25, Data_filtered!$D$2:$D$461,"eucalipto",Data_filtered!$J$2:$J$461,"&lt;&gt;Incompleto"))</f>
        <v>-</v>
      </c>
      <c r="I25" s="110" t="str">
        <f>IF(SUMIFS(Data_filtered!$K$2:$K$461,Data_filtered!$A$2:$A$461,H$1,Data_filtered!$F$2:$F$461,$A25, Data_filtered!$D$2:$D$461,"mata",Data_filtered!$J$2:$J$461,"&lt;&gt;Incompleto")=0, "-", SUMIFS(Data_filtered!$K$2:$K$461,Data_filtered!$A$2:$A$461,H$1,Data_filtered!$F$2:$F$461,$A25, Data_filtered!$D$2:$D$461,"mata",Data_filtered!$J$2:$J$461,"&lt;&gt;Incompleto"))
</f>
        <v>-</v>
      </c>
      <c r="J25" s="109" t="str">
        <f>IF(SUMIFS(Data_filtered!$K$2:$K$461,Data_filtered!$A$2:$A$461,J$1,Data_filtered!$F$2:$F$461,$A25, Data_filtered!$D$2:$D$461,"eucalipto",Data_filtered!$J$2:$J$461,"&lt;&gt;Incompleto")=0, "-", SUMIFS(Data_filtered!$K$2:$K$461,Data_filtered!$A$2:$A$461,J$1,Data_filtered!$F$2:$F$461,$A25, Data_filtered!$D$2:$D$461,"eucalipto",Data_filtered!$J$2:$J$461,"&lt;&gt;Incompleto"))</f>
        <v>-</v>
      </c>
      <c r="K25" s="110" t="str">
        <f>IF(SUMIFS(Data_filtered!$K$2:$K$461,Data_filtered!$A$2:$A$461,J$1,Data_filtered!$F$2:$F$461,$A25, Data_filtered!$D$2:$D$461,"mata",Data_filtered!$J$2:$J$461,"&lt;&gt;Incompleto")=0, "-", SUMIFS(Data_filtered!$K$2:$K$461,Data_filtered!$A$2:$A$461,J$1,Data_filtered!$F$2:$F$461,$A25, Data_filtered!$D$2:$D$461,"mata",Data_filtered!$J$2:$J$461,"&lt;&gt;Incompleto"))
</f>
        <v>-</v>
      </c>
      <c r="L25" s="109" t="str">
        <f>IF(SUMIFS(Data_filtered!$K$2:$K$461,Data_filtered!$A$2:$A$461,L$1,Data_filtered!$F$2:$F$461,$A25, Data_filtered!$D$2:$D$461,"eucalipto",Data_filtered!$J$2:$J$461,"&lt;&gt;Incompleto")=0, "-", SUMIFS(Data_filtered!$K$2:$K$461,Data_filtered!$A$2:$A$461,L$1,Data_filtered!$F$2:$F$461,$A25, Data_filtered!$D$2:$D$461,"eucalipto",Data_filtered!$J$2:$J$461,"&lt;&gt;Incompleto"))</f>
        <v>-</v>
      </c>
      <c r="M25" s="110" t="str">
        <f>IF(SUMIFS(Data_filtered!$K$2:$K$461,Data_filtered!$A$2:$A$461,L$1,Data_filtered!$F$2:$F$461,$A25, Data_filtered!$D$2:$D$461,"mata",Data_filtered!$J$2:$J$461,"&lt;&gt;Incompleto")=0, "-", SUMIFS(Data_filtered!$K$2:$K$461,Data_filtered!$A$2:$A$461,L$1,Data_filtered!$F$2:$F$461,$A25, Data_filtered!$D$2:$D$461,"mata",Data_filtered!$J$2:$J$461,"&lt;&gt;Incompleto"))
</f>
        <v>-</v>
      </c>
      <c r="N25" s="109" t="str">
        <f>IF(SUMIFS(Data_filtered!$K$2:$K$461,Data_filtered!$A$2:$A$461,N$1,Data_filtered!$F$2:$F$461,$A25, Data_filtered!$D$2:$D$461,"eucalipto",Data_filtered!$J$2:$J$461,"&lt;&gt;Incompleto")=0, "-", SUMIFS(Data_filtered!$K$2:$K$461,Data_filtered!$A$2:$A$461,N$1,Data_filtered!$F$2:$F$461,$A25, Data_filtered!$D$2:$D$461,"eucalipto",Data_filtered!$J$2:$J$461,"&lt;&gt;Incompleto"))</f>
        <v>-</v>
      </c>
      <c r="O25" s="110">
        <f>IF(SUMIFS(Data_filtered!$K$2:$K$461,Data_filtered!$A$2:$A$461,N$1,Data_filtered!$F$2:$F$461,$A25, Data_filtered!$D$2:$D$461,"mata",Data_filtered!$J$2:$J$461,"&lt;&gt;Incompleto")=0, "-", SUMIFS(Data_filtered!$K$2:$K$461,Data_filtered!$A$2:$A$461,N$1,Data_filtered!$F$2:$F$461,$A25, Data_filtered!$D$2:$D$461,"mata",Data_filtered!$J$2:$J$461,"&lt;&gt;Incompleto"))
</f>
        <v>1.047197551</v>
      </c>
      <c r="P25" s="109" t="str">
        <f>IF(SUMIFS(Data_filtered!$K$2:$K$461,Data_filtered!$A$2:$A$461,P$1,Data_filtered!$F$2:$F$461,$A25, Data_filtered!$D$2:$D$461,"eucalipto",Data_filtered!$J$2:$J$461,"&lt;&gt;Incompleto")=0, "-", SUMIFS(Data_filtered!$K$2:$K$461,Data_filtered!$A$2:$A$461,P$1,Data_filtered!$F$2:$F$461,$A25, Data_filtered!$D$2:$D$461,"eucalipto",Data_filtered!$J$2:$J$461,"&lt;&gt;Incompleto"))</f>
        <v>-</v>
      </c>
      <c r="Q25" s="110" t="str">
        <f>IF(SUMIFS(Data_filtered!$K$2:$K$461,Data_filtered!$A$2:$A$461,P$1,Data_filtered!$F$2:$F$461,$A25, Data_filtered!$D$2:$D$461,"mata",Data_filtered!$J$2:$J$461,"&lt;&gt;Incompleto")=0, "-", SUMIFS(Data_filtered!$K$2:$K$461,Data_filtered!$A$2:$A$461,P$1,Data_filtered!$F$2:$F$461,$A25, Data_filtered!$D$2:$D$461,"mata",Data_filtered!$J$2:$J$461,"&lt;&gt;Incompleto"))
</f>
        <v>-</v>
      </c>
      <c r="R25" s="109" t="str">
        <f>IF(SUMIFS(Data_filtered!$K$2:$K$461,Data_filtered!$A$2:$A$461,R$1,Data_filtered!$F$2:$F$461,$A25, Data_filtered!$D$2:$D$461,"eucalipto",Data_filtered!$J$2:$J$461,"&lt;&gt;Incompleto")=0, "-", SUMIFS(Data_filtered!$K$2:$K$461,Data_filtered!$A$2:$A$461,R$1,Data_filtered!$F$2:$F$461,$A25, Data_filtered!$D$2:$D$461,"eucalipto",Data_filtered!$J$2:$J$461,"&lt;&gt;Incompleto"))</f>
        <v>-</v>
      </c>
      <c r="S25" s="110" t="str">
        <f>IF(SUMIFS(Data_filtered!$K$2:$K$461,Data_filtered!$A$2:$A$461,R$1,Data_filtered!$F$2:$F$461,$A25, Data_filtered!$D$2:$D$461,"mata",Data_filtered!$J$2:$J$461,"&lt;&gt;Incompleto")=0, "-", SUMIFS(Data_filtered!$K$2:$K$461,Data_filtered!$A$2:$A$461,R$1,Data_filtered!$F$2:$F$461,$A25, Data_filtered!$D$2:$D$461,"mata",Data_filtered!$J$2:$J$461,"&lt;&gt;Incompleto"))
</f>
        <v>-</v>
      </c>
      <c r="T25" s="109" t="str">
        <f>IF(SUMIFS(Data_filtered!$K$2:$K$461,Data_filtered!$A$2:$A$461,T$1,Data_filtered!$F$2:$F$461,$A25, Data_filtered!$D$2:$D$461,"eucalipto",Data_filtered!$J$2:$J$461,"&lt;&gt;Incompleto")=0, "-", SUMIFS(Data_filtered!$K$2:$K$461,Data_filtered!$A$2:$A$461,T$1,Data_filtered!$F$2:$F$461,$A25, Data_filtered!$D$2:$D$461,"eucalipto",Data_filtered!$J$2:$J$461,"&lt;&gt;Incompleto"))</f>
        <v>-</v>
      </c>
      <c r="U25" s="110" t="str">
        <f>IF(SUMIFS(Data_filtered!$K$2:$K$461,Data_filtered!$A$2:$A$461,T$1,Data_filtered!$F$2:$F$461,$A25, Data_filtered!$D$2:$D$461,"mata",Data_filtered!$J$2:$J$461,"&lt;&gt;Incompleto")=0, "-", SUMIFS(Data_filtered!$K$2:$K$461,Data_filtered!$A$2:$A$461,T$1,Data_filtered!$F$2:$F$461,$A25, Data_filtered!$D$2:$D$461,"mata",Data_filtered!$J$2:$J$461,"&lt;&gt;Incompleto"))
</f>
        <v>-</v>
      </c>
      <c r="V25" s="109" t="str">
        <f>IF(SUMIFS(Data_filtered!$K$2:$K$461,Data_filtered!$A$2:$A$461,V$1,Data_filtered!$F$2:$F$461,$A25, Data_filtered!$D$2:$D$461,"eucalipto",Data_filtered!$J$2:$J$461,"&lt;&gt;Incompleto")=0, "-", SUMIFS(Data_filtered!$K$2:$K$461,Data_filtered!$A$2:$A$461,V$1,Data_filtered!$F$2:$F$461,$A25, Data_filtered!$D$2:$D$461,"eucalipto",Data_filtered!$J$2:$J$461,"&lt;&gt;Incompleto"))</f>
        <v>-</v>
      </c>
      <c r="W25" s="110" t="str">
        <f>IF(SUMIFS(Data_filtered!$K$2:$K$461,Data_filtered!$A$2:$A$461,V$1,Data_filtered!$F$2:$F$461,$A25, Data_filtered!$D$2:$D$461,"mata",Data_filtered!$J$2:$J$461,"&lt;&gt;Incompleto")=0, "-", SUMIFS(Data_filtered!$K$2:$K$461,Data_filtered!$A$2:$A$461,V$1,Data_filtered!$F$2:$F$461,$A25, Data_filtered!$D$2:$D$461,"mata",Data_filtered!$J$2:$J$461,"&lt;&gt;Incompleto"))
</f>
        <v>-</v>
      </c>
      <c r="X25" s="109" t="str">
        <f>IF(SUMIFS(Data_filtered!$K$2:$K$461,Data_filtered!$A$2:$A$461,X$1,Data_filtered!$F$2:$F$461,$A25, Data_filtered!$D$2:$D$461,"eucalipto",Data_filtered!$J$2:$J$461,"&lt;&gt;Incompleto")=0, "-", SUMIFS(Data_filtered!$K$2:$K$461,Data_filtered!$A$2:$A$461,X$1,Data_filtered!$F$2:$F$461,$A25, Data_filtered!$D$2:$D$461,"eucalipto",Data_filtered!$J$2:$J$461,"&lt;&gt;Incompleto"))</f>
        <v>-</v>
      </c>
      <c r="Y25" s="110" t="str">
        <f>IF(SUMIFS(Data_filtered!$K$2:$K$461,Data_filtered!$A$2:$A$461,X$1,Data_filtered!$F$2:$F$461,$A25, Data_filtered!$D$2:$D$461,"mata",Data_filtered!$J$2:$J$461,"&lt;&gt;Incompleto")=0, "-", SUMIFS(Data_filtered!$K$2:$K$461,Data_filtered!$A$2:$A$461,X$1,Data_filtered!$F$2:$F$461,$A25, Data_filtered!$D$2:$D$461,"mata",Data_filtered!$J$2:$J$461,"&lt;&gt;Incompleto"))
</f>
        <v>-</v>
      </c>
      <c r="Z25" s="109" t="str">
        <f>IF(SUMIFS(Data_filtered!$K$2:$K$461,Data_filtered!$A$2:$A$461,Z$1,Data_filtered!$F$2:$F$461,$A25, Data_filtered!$D$2:$D$461,"eucalipto",Data_filtered!$J$2:$J$461,"&lt;&gt;Incompleto")=0, "-", SUMIFS(Data_filtered!$K$2:$K$461,Data_filtered!$A$2:$A$461,Z$1,Data_filtered!$F$2:$F$461,$A25, Data_filtered!$D$2:$D$461,"eucalipto",Data_filtered!$J$2:$J$461,"&lt;&gt;Incompleto"))</f>
        <v>-</v>
      </c>
      <c r="AA25" s="110" t="str">
        <f>IF(SUMIFS(Data_filtered!$K$2:$K$461,Data_filtered!$A$2:$A$461,Z$1,Data_filtered!$F$2:$F$461,$A25, Data_filtered!$D$2:$D$461,"mata",Data_filtered!$J$2:$J$461,"&lt;&gt;Incompleto")=0, "-", SUMIFS(Data_filtered!$K$2:$K$461,Data_filtered!$A$2:$A$461,Z$1,Data_filtered!$F$2:$F$461,$A25, Data_filtered!$D$2:$D$461,"mata",Data_filtered!$J$2:$J$461,"&lt;&gt;Incompleto"))
</f>
        <v>-</v>
      </c>
      <c r="AB25" s="109" t="str">
        <f>IF(SUMIFS(Data_filtered!$K$2:$K$461,Data_filtered!$A$2:$A$461,AB$1,Data_filtered!$F$2:$F$461,$A25, Data_filtered!$D$2:$D$461,"eucalipto",Data_filtered!$J$2:$J$461,"&lt;&gt;Incompleto")=0, "-", SUMIFS(Data_filtered!$K$2:$K$461,Data_filtered!$A$2:$A$461,AB$1,Data_filtered!$F$2:$F$461,$A25, Data_filtered!$D$2:$D$461,"eucalipto",Data_filtered!$J$2:$J$461,"&lt;&gt;Incompleto"))</f>
        <v>-</v>
      </c>
      <c r="AC25" s="110" t="str">
        <f>IF(SUMIFS(Data_filtered!$K$2:$K$461,Data_filtered!$A$2:$A$461,AB$1,Data_filtered!$F$2:$F$461,$A25, Data_filtered!$D$2:$D$461,"mata",Data_filtered!$J$2:$J$461,"&lt;&gt;Incompleto")=0, "-", SUMIFS(Data_filtered!$K$2:$K$461,Data_filtered!$A$2:$A$461,AB$1,Data_filtered!$F$2:$F$461,$A25, Data_filtered!$D$2:$D$461,"mata",Data_filtered!$J$2:$J$461,"&lt;&gt;Incompleto"))
</f>
        <v>-</v>
      </c>
      <c r="AD25" s="109" t="str">
        <f>IF(SUMIFS(Data_filtered!$K$2:$K$461,Data_filtered!$A$2:$A$461,AD$1,Data_filtered!$F$2:$F$461,$A25, Data_filtered!$D$2:$D$461,"eucalipto",Data_filtered!$J$2:$J$461,"&lt;&gt;Incompleto")=0, "-", SUMIFS(Data_filtered!$K$2:$K$461,Data_filtered!$A$2:$A$461,AD$1,Data_filtered!$F$2:$F$461,$A25, Data_filtered!$D$2:$D$461,"eucalipto",Data_filtered!$J$2:$J$461,"&lt;&gt;Incompleto"))</f>
        <v>-</v>
      </c>
      <c r="AE25" s="110" t="str">
        <f>IF(SUMIFS(Data_filtered!$K$2:$K$461,Data_filtered!$A$2:$A$461,AD$1,Data_filtered!$F$2:$F$461,$A25, Data_filtered!$D$2:$D$461,"mata",Data_filtered!$J$2:$J$461,"&lt;&gt;Incompleto")=0, "-", SUMIFS(Data_filtered!$K$2:$K$461,Data_filtered!$A$2:$A$461,AD$1,Data_filtered!$F$2:$F$461,$A25, Data_filtered!$D$2:$D$461,"mata",Data_filtered!$J$2:$J$461,"&lt;&gt;Incompleto"))
</f>
        <v>-</v>
      </c>
      <c r="AF25" s="109" t="str">
        <f>IF(SUMIFS(Data_filtered!$K$2:$K$461,Data_filtered!$A$2:$A$461,AF$1,Data_filtered!$F$2:$F$461,$A25, Data_filtered!$D$2:$D$461,"eucalipto",Data_filtered!$J$2:$J$461,"&lt;&gt;Incompleto")=0, "-", SUMIFS(Data_filtered!$K$2:$K$461,Data_filtered!$A$2:$A$461,AF$1,Data_filtered!$F$2:$F$461,$A25, Data_filtered!$D$2:$D$461,"eucalipto",Data_filtered!$J$2:$J$461,"&lt;&gt;Incompleto"))</f>
        <v>-</v>
      </c>
      <c r="AG25" s="110" t="str">
        <f>IF(SUMIFS(Data_filtered!$K$2:$K$461,Data_filtered!$A$2:$A$461,AF$1,Data_filtered!$F$2:$F$461,$A25, Data_filtered!$D$2:$D$461,"mata",Data_filtered!$J$2:$J$461,"&lt;&gt;Incompleto")=0, "-", SUMIFS(Data_filtered!$K$2:$K$461,Data_filtered!$A$2:$A$461,AF$1,Data_filtered!$F$2:$F$461,$A25, Data_filtered!$D$2:$D$461,"mata",Data_filtered!$J$2:$J$461,"&lt;&gt;Incompleto"))
</f>
        <v>-</v>
      </c>
      <c r="AH25" s="109" t="str">
        <f>IF(SUMIFS(Data_filtered!$K$2:$K$461,Data_filtered!$A$2:$A$461,AH$1,Data_filtered!$F$2:$F$461,$A25, Data_filtered!$D$2:$D$461,"eucalipto",Data_filtered!$J$2:$J$461,"&lt;&gt;Incompleto")=0, "-", SUMIFS(Data_filtered!$K$2:$K$461,Data_filtered!$A$2:$A$461,AH$1,Data_filtered!$F$2:$F$461,$A25, Data_filtered!$D$2:$D$461,"eucalipto",Data_filtered!$J$2:$J$461,"&lt;&gt;Incompleto"))</f>
        <v>-</v>
      </c>
      <c r="AI25" s="110" t="str">
        <f>IF(SUMIFS(Data_filtered!$K$2:$K$461,Data_filtered!$A$2:$A$461,AH$1,Data_filtered!$F$2:$F$461,$A25, Data_filtered!$D$2:$D$461,"mata",Data_filtered!$J$2:$J$461,"&lt;&gt;Incompleto")=0, "-", SUMIFS(Data_filtered!$K$2:$K$461,Data_filtered!$A$2:$A$461,AH$1,Data_filtered!$F$2:$F$461,$A25, Data_filtered!$D$2:$D$461,"mata",Data_filtered!$J$2:$J$461,"&lt;&gt;Incompleto"))
</f>
        <v>-</v>
      </c>
      <c r="AJ25" s="109" t="str">
        <f>IF(SUMIFS(Data_filtered!$K$2:$K$461,Data_filtered!$A$2:$A$461,AJ$1,Data_filtered!$F$2:$F$461,$A25, Data_filtered!$D$2:$D$461,"eucalipto",Data_filtered!$J$2:$J$461,"&lt;&gt;Incompleto")=0, "-", SUMIFS(Data_filtered!$K$2:$K$461,Data_filtered!$A$2:$A$461,AJ$1,Data_filtered!$F$2:$F$461,$A25, Data_filtered!$D$2:$D$461,"eucalipto",Data_filtered!$J$2:$J$461,"&lt;&gt;Incompleto"))</f>
        <v>-</v>
      </c>
      <c r="AK25" s="110" t="str">
        <f>IF(SUMIFS(Data_filtered!$K$2:$K$461,Data_filtered!$A$2:$A$461,AJ$1,Data_filtered!$F$2:$F$461,$A25, Data_filtered!$D$2:$D$461,"mata",Data_filtered!$J$2:$J$461,"&lt;&gt;Incompleto")=0, "-", SUMIFS(Data_filtered!$K$2:$K$461,Data_filtered!$A$2:$A$461,AJ$1,Data_filtered!$F$2:$F$461,$A25, Data_filtered!$D$2:$D$461,"mata",Data_filtered!$J$2:$J$461,"&lt;&gt;Incompleto"))
</f>
        <v>-</v>
      </c>
      <c r="AL25" s="109" t="str">
        <f>IF(SUMIFS(Data_filtered!$K$2:$K$461,Data_filtered!$A$2:$A$461,AL$1,Data_filtered!$F$2:$F$461,$A25, Data_filtered!$D$2:$D$461,"eucalipto",Data_filtered!$J$2:$J$461,"&lt;&gt;Incompleto")=0, "-", SUMIFS(Data_filtered!$K$2:$K$461,Data_filtered!$A$2:$A$461,AL$1,Data_filtered!$F$2:$F$461,$A25, Data_filtered!$D$2:$D$461,"eucalipto",Data_filtered!$J$2:$J$461,"&lt;&gt;Incompleto"))</f>
        <v>-</v>
      </c>
      <c r="AM25" s="110" t="str">
        <f>IF(SUMIFS(Data_filtered!$K$2:$K$461,Data_filtered!$A$2:$A$461,AL$1,Data_filtered!$F$2:$F$461,$A25, Data_filtered!$D$2:$D$461,"mata",Data_filtered!$J$2:$J$461,"&lt;&gt;Incompleto")=0, "-", SUMIFS(Data_filtered!$K$2:$K$461,Data_filtered!$A$2:$A$461,AL$1,Data_filtered!$F$2:$F$461,$A25, Data_filtered!$D$2:$D$461,"mata",Data_filtered!$J$2:$J$461,"&lt;&gt;Incompleto"))
</f>
        <v>-</v>
      </c>
      <c r="AN25" s="109" t="str">
        <f>IF(SUMIFS(Data_filtered!$K$2:$K$461,Data_filtered!$A$2:$A$461,AN$1,Data_filtered!$F$2:$F$461,$A25, Data_filtered!$D$2:$D$461,"eucalipto",Data_filtered!$J$2:$J$461,"&lt;&gt;Incompleto")=0, "-", SUMIFS(Data_filtered!$K$2:$K$461,Data_filtered!$A$2:$A$461,AN$1,Data_filtered!$F$2:$F$461,$A25, Data_filtered!$D$2:$D$461,"eucalipto",Data_filtered!$J$2:$J$461,"&lt;&gt;Incompleto"))</f>
        <v>-</v>
      </c>
      <c r="AO25" s="110" t="str">
        <f>IF(SUMIFS(Data_filtered!$K$2:$K$461,Data_filtered!$A$2:$A$461,AN$1,Data_filtered!$F$2:$F$461,$A25, Data_filtered!$D$2:$D$461,"mata",Data_filtered!$J$2:$J$461,"&lt;&gt;Incompleto")=0, "-", SUMIFS(Data_filtered!$K$2:$K$461,Data_filtered!$A$2:$A$461,AN$1,Data_filtered!$F$2:$F$461,$A25, Data_filtered!$D$2:$D$461,"mata",Data_filtered!$J$2:$J$461,"&lt;&gt;Incompleto"))
</f>
        <v>-</v>
      </c>
      <c r="AP25" s="109" t="str">
        <f>IF(SUMIFS(Data_filtered!$K$2:$K$461,Data_filtered!$A$2:$A$461,AP$1,Data_filtered!$F$2:$F$461,$A25, Data_filtered!$D$2:$D$461,"eucalipto",Data_filtered!$J$2:$J$461,"&lt;&gt;Incompleto")=0, "-", SUMIFS(Data_filtered!$K$2:$K$461,Data_filtered!$A$2:$A$461,AP$1,Data_filtered!$F$2:$F$461,$A25, Data_filtered!$D$2:$D$461,"eucalipto",Data_filtered!$J$2:$J$461,"&lt;&gt;Incompleto"))</f>
        <v>-</v>
      </c>
      <c r="AQ25" s="110" t="str">
        <f>IF(SUMIFS(Data_filtered!$K$2:$K$461,Data_filtered!$A$2:$A$461,AP$1,Data_filtered!$F$2:$F$461,$A25, Data_filtered!$D$2:$D$461,"mata",Data_filtered!$J$2:$J$461,"&lt;&gt;Incompleto")=0, "-", SUMIFS(Data_filtered!$K$2:$K$461,Data_filtered!$A$2:$A$461,AP$1,Data_filtered!$F$2:$F$461,$A25, Data_filtered!$D$2:$D$461,"mata",Data_filtered!$J$2:$J$461,"&lt;&gt;Incompleto"))
</f>
        <v>-</v>
      </c>
      <c r="AR25" s="109" t="str">
        <f>IF(SUMIFS(Data_filtered!$K$2:$K$461,Data_filtered!$A$2:$A$461,AR$1,Data_filtered!$F$2:$F$461,$A25, Data_filtered!$D$2:$D$461,"eucalipto",Data_filtered!$J$2:$J$461,"&lt;&gt;Incompleto")=0, "-", SUMIFS(Data_filtered!$K$2:$K$461,Data_filtered!$A$2:$A$461,AR$1,Data_filtered!$F$2:$F$461,$A25, Data_filtered!$D$2:$D$461,"eucalipto",Data_filtered!$J$2:$J$461,"&lt;&gt;Incompleto"))</f>
        <v>-</v>
      </c>
      <c r="AS25" s="110" t="str">
        <f>IF(SUMIFS(Data_filtered!$K$2:$K$461,Data_filtered!$A$2:$A$461,AR$1,Data_filtered!$F$2:$F$461,$A25, Data_filtered!$D$2:$D$461,"mata",Data_filtered!$J$2:$J$461,"&lt;&gt;Incompleto")=0, "-", SUMIFS(Data_filtered!$K$2:$K$461,Data_filtered!$A$2:$A$461,AR$1,Data_filtered!$F$2:$F$461,$A25, Data_filtered!$D$2:$D$461,"mata",Data_filtered!$J$2:$J$461,"&lt;&gt;Incompleto"))
</f>
        <v>-</v>
      </c>
    </row>
    <row r="26">
      <c r="A26" s="68" t="str">
        <f>IFERROR(__xludf.DUMMYFUNCTION("""COMPUTED_VALUE"""),"Vespa")</f>
        <v>Vespa</v>
      </c>
      <c r="B26" s="109" t="str">
        <f>IF(SUMIFS(Data_filtered!$K$2:$K$461,Data_filtered!$A$2:$A$461,B$1,Data_filtered!$F$2:$F$461,$A26, Data_filtered!$D$2:$D$461,"eucalipto",Data_filtered!$J$2:$J$461,"&lt;&gt;Incompleto")=0, "-", SUMIFS(Data_filtered!$K$2:$K$461,Data_filtered!$A$2:$A$461,B$1,Data_filtered!$F$2:$F$461,$A26, Data_filtered!$D$2:$D$461,"eucalipto",Data_filtered!$J$2:$J$461,"&lt;&gt;Incompleto"))</f>
        <v>-</v>
      </c>
      <c r="C26" s="110" t="str">
        <f>IF(SUMIFS(Data_filtered!$K$2:$K$461,Data_filtered!$A$2:$A$461,B$1,Data_filtered!$F$2:$F$461,$A26, Data_filtered!$D$2:$D$461,"mata",Data_filtered!$J$2:$J$461,"&lt;&gt;Incompleto")=0, "-", SUMIFS(Data_filtered!$K$2:$K$461,Data_filtered!$A$2:$A$461,B$1,Data_filtered!$F$2:$F$461,$A26, Data_filtered!$D$2:$D$461,"mata",Data_filtered!$J$2:$J$461,"&lt;&gt;Incompleto"))
</f>
        <v>-</v>
      </c>
      <c r="D26" s="109" t="str">
        <f>IF(SUMIFS(Data_filtered!$K$2:$K$461,Data_filtered!$A$2:$A$461,D$1,Data_filtered!$F$2:$F$461,$A26, Data_filtered!$D$2:$D$461,"eucalipto",Data_filtered!$J$2:$J$461,"&lt;&gt;Incompleto")=0, "-", SUMIFS(Data_filtered!$K$2:$K$461,Data_filtered!$A$2:$A$461,D$1,Data_filtered!$F$2:$F$461,$A26, Data_filtered!$D$2:$D$461,"eucalipto",Data_filtered!$J$2:$J$461,"&lt;&gt;Incompleto"))</f>
        <v>-</v>
      </c>
      <c r="E26" s="110" t="str">
        <f>IF(SUMIFS(Data_filtered!$K$2:$K$461,Data_filtered!$A$2:$A$461,D$1,Data_filtered!$F$2:$F$461,$A26, Data_filtered!$D$2:$D$461,"mata",Data_filtered!$J$2:$J$461,"&lt;&gt;Incompleto")=0, "-", SUMIFS(Data_filtered!$K$2:$K$461,Data_filtered!$A$2:$A$461,D$1,Data_filtered!$F$2:$F$461,$A26, Data_filtered!$D$2:$D$461,"mata",Data_filtered!$J$2:$J$461,"&lt;&gt;Incompleto"))
</f>
        <v>-</v>
      </c>
      <c r="F26" s="109" t="str">
        <f>IF(SUMIFS(Data_filtered!$K$2:$K$461,Data_filtered!$A$2:$A$461,F$1,Data_filtered!$F$2:$F$461,$A26, Data_filtered!$D$2:$D$461,"eucalipto",Data_filtered!$J$2:$J$461,"&lt;&gt;Incompleto")=0, "-", SUMIFS(Data_filtered!$K$2:$K$461,Data_filtered!$A$2:$A$461,F$1,Data_filtered!$F$2:$F$461,$A26, Data_filtered!$D$2:$D$461,"eucalipto",Data_filtered!$J$2:$J$461,"&lt;&gt;Incompleto"))</f>
        <v>-</v>
      </c>
      <c r="G26" s="110" t="str">
        <f>IF(SUMIFS(Data_filtered!$K$2:$K$461,Data_filtered!$A$2:$A$461,F$1,Data_filtered!$F$2:$F$461,$A26, Data_filtered!$D$2:$D$461,"mata",Data_filtered!$J$2:$J$461,"&lt;&gt;Incompleto")=0, "-", SUMIFS(Data_filtered!$K$2:$K$461,Data_filtered!$A$2:$A$461,F$1,Data_filtered!$F$2:$F$461,$A26, Data_filtered!$D$2:$D$461,"mata",Data_filtered!$J$2:$J$461,"&lt;&gt;Incompleto"))
</f>
        <v>-</v>
      </c>
      <c r="H26" s="109" t="str">
        <f>IF(SUMIFS(Data_filtered!$K$2:$K$461,Data_filtered!$A$2:$A$461,H$1,Data_filtered!$F$2:$F$461,$A26, Data_filtered!$D$2:$D$461,"eucalipto",Data_filtered!$J$2:$J$461,"&lt;&gt;Incompleto")=0, "-", SUMIFS(Data_filtered!$K$2:$K$461,Data_filtered!$A$2:$A$461,H$1,Data_filtered!$F$2:$F$461,$A26, Data_filtered!$D$2:$D$461,"eucalipto",Data_filtered!$J$2:$J$461,"&lt;&gt;Incompleto"))</f>
        <v>-</v>
      </c>
      <c r="I26" s="110" t="str">
        <f>IF(SUMIFS(Data_filtered!$K$2:$K$461,Data_filtered!$A$2:$A$461,H$1,Data_filtered!$F$2:$F$461,$A26, Data_filtered!$D$2:$D$461,"mata",Data_filtered!$J$2:$J$461,"&lt;&gt;Incompleto")=0, "-", SUMIFS(Data_filtered!$K$2:$K$461,Data_filtered!$A$2:$A$461,H$1,Data_filtered!$F$2:$F$461,$A26, Data_filtered!$D$2:$D$461,"mata",Data_filtered!$J$2:$J$461,"&lt;&gt;Incompleto"))
</f>
        <v>-</v>
      </c>
      <c r="J26" s="109" t="str">
        <f>IF(SUMIFS(Data_filtered!$K$2:$K$461,Data_filtered!$A$2:$A$461,J$1,Data_filtered!$F$2:$F$461,$A26, Data_filtered!$D$2:$D$461,"eucalipto",Data_filtered!$J$2:$J$461,"&lt;&gt;Incompleto")=0, "-", SUMIFS(Data_filtered!$K$2:$K$461,Data_filtered!$A$2:$A$461,J$1,Data_filtered!$F$2:$F$461,$A26, Data_filtered!$D$2:$D$461,"eucalipto",Data_filtered!$J$2:$J$461,"&lt;&gt;Incompleto"))</f>
        <v>-</v>
      </c>
      <c r="K26" s="110" t="str">
        <f>IF(SUMIFS(Data_filtered!$K$2:$K$461,Data_filtered!$A$2:$A$461,J$1,Data_filtered!$F$2:$F$461,$A26, Data_filtered!$D$2:$D$461,"mata",Data_filtered!$J$2:$J$461,"&lt;&gt;Incompleto")=0, "-", SUMIFS(Data_filtered!$K$2:$K$461,Data_filtered!$A$2:$A$461,J$1,Data_filtered!$F$2:$F$461,$A26, Data_filtered!$D$2:$D$461,"mata",Data_filtered!$J$2:$J$461,"&lt;&gt;Incompleto"))
</f>
        <v>-</v>
      </c>
      <c r="L26" s="109" t="str">
        <f>IF(SUMIFS(Data_filtered!$K$2:$K$461,Data_filtered!$A$2:$A$461,L$1,Data_filtered!$F$2:$F$461,$A26, Data_filtered!$D$2:$D$461,"eucalipto",Data_filtered!$J$2:$J$461,"&lt;&gt;Incompleto")=0, "-", SUMIFS(Data_filtered!$K$2:$K$461,Data_filtered!$A$2:$A$461,L$1,Data_filtered!$F$2:$F$461,$A26, Data_filtered!$D$2:$D$461,"eucalipto",Data_filtered!$J$2:$J$461,"&lt;&gt;Incompleto"))</f>
        <v>-</v>
      </c>
      <c r="M26" s="110" t="str">
        <f>IF(SUMIFS(Data_filtered!$K$2:$K$461,Data_filtered!$A$2:$A$461,L$1,Data_filtered!$F$2:$F$461,$A26, Data_filtered!$D$2:$D$461,"mata",Data_filtered!$J$2:$J$461,"&lt;&gt;Incompleto")=0, "-", SUMIFS(Data_filtered!$K$2:$K$461,Data_filtered!$A$2:$A$461,L$1,Data_filtered!$F$2:$F$461,$A26, Data_filtered!$D$2:$D$461,"mata",Data_filtered!$J$2:$J$461,"&lt;&gt;Incompleto"))
</f>
        <v>-</v>
      </c>
      <c r="N26" s="109" t="str">
        <f>IF(SUMIFS(Data_filtered!$K$2:$K$461,Data_filtered!$A$2:$A$461,N$1,Data_filtered!$F$2:$F$461,$A26, Data_filtered!$D$2:$D$461,"eucalipto",Data_filtered!$J$2:$J$461,"&lt;&gt;Incompleto")=0, "-", SUMIFS(Data_filtered!$K$2:$K$461,Data_filtered!$A$2:$A$461,N$1,Data_filtered!$F$2:$F$461,$A26, Data_filtered!$D$2:$D$461,"eucalipto",Data_filtered!$J$2:$J$461,"&lt;&gt;Incompleto"))</f>
        <v>-</v>
      </c>
      <c r="O26" s="110" t="str">
        <f>IF(SUMIFS(Data_filtered!$K$2:$K$461,Data_filtered!$A$2:$A$461,N$1,Data_filtered!$F$2:$F$461,$A26, Data_filtered!$D$2:$D$461,"mata",Data_filtered!$J$2:$J$461,"&lt;&gt;Incompleto")=0, "-", SUMIFS(Data_filtered!$K$2:$K$461,Data_filtered!$A$2:$A$461,N$1,Data_filtered!$F$2:$F$461,$A26, Data_filtered!$D$2:$D$461,"mata",Data_filtered!$J$2:$J$461,"&lt;&gt;Incompleto"))
</f>
        <v>-</v>
      </c>
      <c r="P26" s="109" t="str">
        <f>IF(SUMIFS(Data_filtered!$K$2:$K$461,Data_filtered!$A$2:$A$461,P$1,Data_filtered!$F$2:$F$461,$A26, Data_filtered!$D$2:$D$461,"eucalipto",Data_filtered!$J$2:$J$461,"&lt;&gt;Incompleto")=0, "-", SUMIFS(Data_filtered!$K$2:$K$461,Data_filtered!$A$2:$A$461,P$1,Data_filtered!$F$2:$F$461,$A26, Data_filtered!$D$2:$D$461,"eucalipto",Data_filtered!$J$2:$J$461,"&lt;&gt;Incompleto"))</f>
        <v>-</v>
      </c>
      <c r="Q26" s="110">
        <f>IF(SUMIFS(Data_filtered!$K$2:$K$461,Data_filtered!$A$2:$A$461,P$1,Data_filtered!$F$2:$F$461,$A26, Data_filtered!$D$2:$D$461,"mata",Data_filtered!$J$2:$J$461,"&lt;&gt;Incompleto")=0, "-", SUMIFS(Data_filtered!$K$2:$K$461,Data_filtered!$A$2:$A$461,P$1,Data_filtered!$F$2:$F$461,$A26, Data_filtered!$D$2:$D$461,"mata",Data_filtered!$J$2:$J$461,"&lt;&gt;Incompleto"))
</f>
        <v>100.5309649</v>
      </c>
      <c r="R26" s="109" t="str">
        <f>IF(SUMIFS(Data_filtered!$K$2:$K$461,Data_filtered!$A$2:$A$461,R$1,Data_filtered!$F$2:$F$461,$A26, Data_filtered!$D$2:$D$461,"eucalipto",Data_filtered!$J$2:$J$461,"&lt;&gt;Incompleto")=0, "-", SUMIFS(Data_filtered!$K$2:$K$461,Data_filtered!$A$2:$A$461,R$1,Data_filtered!$F$2:$F$461,$A26, Data_filtered!$D$2:$D$461,"eucalipto",Data_filtered!$J$2:$J$461,"&lt;&gt;Incompleto"))</f>
        <v>-</v>
      </c>
      <c r="S26" s="110" t="str">
        <f>IF(SUMIFS(Data_filtered!$K$2:$K$461,Data_filtered!$A$2:$A$461,R$1,Data_filtered!$F$2:$F$461,$A26, Data_filtered!$D$2:$D$461,"mata",Data_filtered!$J$2:$J$461,"&lt;&gt;Incompleto")=0, "-", SUMIFS(Data_filtered!$K$2:$K$461,Data_filtered!$A$2:$A$461,R$1,Data_filtered!$F$2:$F$461,$A26, Data_filtered!$D$2:$D$461,"mata",Data_filtered!$J$2:$J$461,"&lt;&gt;Incompleto"))
</f>
        <v>-</v>
      </c>
      <c r="T26" s="109" t="str">
        <f>IF(SUMIFS(Data_filtered!$K$2:$K$461,Data_filtered!$A$2:$A$461,T$1,Data_filtered!$F$2:$F$461,$A26, Data_filtered!$D$2:$D$461,"eucalipto",Data_filtered!$J$2:$J$461,"&lt;&gt;Incompleto")=0, "-", SUMIFS(Data_filtered!$K$2:$K$461,Data_filtered!$A$2:$A$461,T$1,Data_filtered!$F$2:$F$461,$A26, Data_filtered!$D$2:$D$461,"eucalipto",Data_filtered!$J$2:$J$461,"&lt;&gt;Incompleto"))</f>
        <v>-</v>
      </c>
      <c r="U26" s="110">
        <f>IF(SUMIFS(Data_filtered!$K$2:$K$461,Data_filtered!$A$2:$A$461,T$1,Data_filtered!$F$2:$F$461,$A26, Data_filtered!$D$2:$D$461,"mata",Data_filtered!$J$2:$J$461,"&lt;&gt;Incompleto")=0, "-", SUMIFS(Data_filtered!$K$2:$K$461,Data_filtered!$A$2:$A$461,T$1,Data_filtered!$F$2:$F$461,$A26, Data_filtered!$D$2:$D$461,"mata",Data_filtered!$J$2:$J$461,"&lt;&gt;Incompleto"))
</f>
        <v>12.56637061</v>
      </c>
      <c r="V26" s="109">
        <f>IF(SUMIFS(Data_filtered!$K$2:$K$461,Data_filtered!$A$2:$A$461,V$1,Data_filtered!$F$2:$F$461,$A26, Data_filtered!$D$2:$D$461,"eucalipto",Data_filtered!$J$2:$J$461,"&lt;&gt;Incompleto")=0, "-", SUMIFS(Data_filtered!$K$2:$K$461,Data_filtered!$A$2:$A$461,V$1,Data_filtered!$F$2:$F$461,$A26, Data_filtered!$D$2:$D$461,"eucalipto",Data_filtered!$J$2:$J$461,"&lt;&gt;Incompleto"))</f>
        <v>8.37758041</v>
      </c>
      <c r="W26" s="110" t="str">
        <f>IF(SUMIFS(Data_filtered!$K$2:$K$461,Data_filtered!$A$2:$A$461,V$1,Data_filtered!$F$2:$F$461,$A26, Data_filtered!$D$2:$D$461,"mata",Data_filtered!$J$2:$J$461,"&lt;&gt;Incompleto")=0, "-", SUMIFS(Data_filtered!$K$2:$K$461,Data_filtered!$A$2:$A$461,V$1,Data_filtered!$F$2:$F$461,$A26, Data_filtered!$D$2:$D$461,"mata",Data_filtered!$J$2:$J$461,"&lt;&gt;Incompleto"))
</f>
        <v>-</v>
      </c>
      <c r="X26" s="109" t="str">
        <f>IF(SUMIFS(Data_filtered!$K$2:$K$461,Data_filtered!$A$2:$A$461,X$1,Data_filtered!$F$2:$F$461,$A26, Data_filtered!$D$2:$D$461,"eucalipto",Data_filtered!$J$2:$J$461,"&lt;&gt;Incompleto")=0, "-", SUMIFS(Data_filtered!$K$2:$K$461,Data_filtered!$A$2:$A$461,X$1,Data_filtered!$F$2:$F$461,$A26, Data_filtered!$D$2:$D$461,"eucalipto",Data_filtered!$J$2:$J$461,"&lt;&gt;Incompleto"))</f>
        <v>-</v>
      </c>
      <c r="Y26" s="110" t="str">
        <f>IF(SUMIFS(Data_filtered!$K$2:$K$461,Data_filtered!$A$2:$A$461,X$1,Data_filtered!$F$2:$F$461,$A26, Data_filtered!$D$2:$D$461,"mata",Data_filtered!$J$2:$J$461,"&lt;&gt;Incompleto")=0, "-", SUMIFS(Data_filtered!$K$2:$K$461,Data_filtered!$A$2:$A$461,X$1,Data_filtered!$F$2:$F$461,$A26, Data_filtered!$D$2:$D$461,"mata",Data_filtered!$J$2:$J$461,"&lt;&gt;Incompleto"))
</f>
        <v>-</v>
      </c>
      <c r="Z26" s="109" t="str">
        <f>IF(SUMIFS(Data_filtered!$K$2:$K$461,Data_filtered!$A$2:$A$461,Z$1,Data_filtered!$F$2:$F$461,$A26, Data_filtered!$D$2:$D$461,"eucalipto",Data_filtered!$J$2:$J$461,"&lt;&gt;Incompleto")=0, "-", SUMIFS(Data_filtered!$K$2:$K$461,Data_filtered!$A$2:$A$461,Z$1,Data_filtered!$F$2:$F$461,$A26, Data_filtered!$D$2:$D$461,"eucalipto",Data_filtered!$J$2:$J$461,"&lt;&gt;Incompleto"))</f>
        <v>-</v>
      </c>
      <c r="AA26" s="110" t="str">
        <f>IF(SUMIFS(Data_filtered!$K$2:$K$461,Data_filtered!$A$2:$A$461,Z$1,Data_filtered!$F$2:$F$461,$A26, Data_filtered!$D$2:$D$461,"mata",Data_filtered!$J$2:$J$461,"&lt;&gt;Incompleto")=0, "-", SUMIFS(Data_filtered!$K$2:$K$461,Data_filtered!$A$2:$A$461,Z$1,Data_filtered!$F$2:$F$461,$A26, Data_filtered!$D$2:$D$461,"mata",Data_filtered!$J$2:$J$461,"&lt;&gt;Incompleto"))
</f>
        <v>-</v>
      </c>
      <c r="AB26" s="109" t="str">
        <f>IF(SUMIFS(Data_filtered!$K$2:$K$461,Data_filtered!$A$2:$A$461,AB$1,Data_filtered!$F$2:$F$461,$A26, Data_filtered!$D$2:$D$461,"eucalipto",Data_filtered!$J$2:$J$461,"&lt;&gt;Incompleto")=0, "-", SUMIFS(Data_filtered!$K$2:$K$461,Data_filtered!$A$2:$A$461,AB$1,Data_filtered!$F$2:$F$461,$A26, Data_filtered!$D$2:$D$461,"eucalipto",Data_filtered!$J$2:$J$461,"&lt;&gt;Incompleto"))</f>
        <v>-</v>
      </c>
      <c r="AC26" s="110" t="str">
        <f>IF(SUMIFS(Data_filtered!$K$2:$K$461,Data_filtered!$A$2:$A$461,AB$1,Data_filtered!$F$2:$F$461,$A26, Data_filtered!$D$2:$D$461,"mata",Data_filtered!$J$2:$J$461,"&lt;&gt;Incompleto")=0, "-", SUMIFS(Data_filtered!$K$2:$K$461,Data_filtered!$A$2:$A$461,AB$1,Data_filtered!$F$2:$F$461,$A26, Data_filtered!$D$2:$D$461,"mata",Data_filtered!$J$2:$J$461,"&lt;&gt;Incompleto"))
</f>
        <v>-</v>
      </c>
      <c r="AD26" s="109" t="str">
        <f>IF(SUMIFS(Data_filtered!$K$2:$K$461,Data_filtered!$A$2:$A$461,AD$1,Data_filtered!$F$2:$F$461,$A26, Data_filtered!$D$2:$D$461,"eucalipto",Data_filtered!$J$2:$J$461,"&lt;&gt;Incompleto")=0, "-", SUMIFS(Data_filtered!$K$2:$K$461,Data_filtered!$A$2:$A$461,AD$1,Data_filtered!$F$2:$F$461,$A26, Data_filtered!$D$2:$D$461,"eucalipto",Data_filtered!$J$2:$J$461,"&lt;&gt;Incompleto"))</f>
        <v>-</v>
      </c>
      <c r="AE26" s="110" t="str">
        <f>IF(SUMIFS(Data_filtered!$K$2:$K$461,Data_filtered!$A$2:$A$461,AD$1,Data_filtered!$F$2:$F$461,$A26, Data_filtered!$D$2:$D$461,"mata",Data_filtered!$J$2:$J$461,"&lt;&gt;Incompleto")=0, "-", SUMIFS(Data_filtered!$K$2:$K$461,Data_filtered!$A$2:$A$461,AD$1,Data_filtered!$F$2:$F$461,$A26, Data_filtered!$D$2:$D$461,"mata",Data_filtered!$J$2:$J$461,"&lt;&gt;Incompleto"))
</f>
        <v>-</v>
      </c>
      <c r="AF26" s="109" t="str">
        <f>IF(SUMIFS(Data_filtered!$K$2:$K$461,Data_filtered!$A$2:$A$461,AF$1,Data_filtered!$F$2:$F$461,$A26, Data_filtered!$D$2:$D$461,"eucalipto",Data_filtered!$J$2:$J$461,"&lt;&gt;Incompleto")=0, "-", SUMIFS(Data_filtered!$K$2:$K$461,Data_filtered!$A$2:$A$461,AF$1,Data_filtered!$F$2:$F$461,$A26, Data_filtered!$D$2:$D$461,"eucalipto",Data_filtered!$J$2:$J$461,"&lt;&gt;Incompleto"))</f>
        <v>-</v>
      </c>
      <c r="AG26" s="110" t="str">
        <f>IF(SUMIFS(Data_filtered!$K$2:$K$461,Data_filtered!$A$2:$A$461,AF$1,Data_filtered!$F$2:$F$461,$A26, Data_filtered!$D$2:$D$461,"mata",Data_filtered!$J$2:$J$461,"&lt;&gt;Incompleto")=0, "-", SUMIFS(Data_filtered!$K$2:$K$461,Data_filtered!$A$2:$A$461,AF$1,Data_filtered!$F$2:$F$461,$A26, Data_filtered!$D$2:$D$461,"mata",Data_filtered!$J$2:$J$461,"&lt;&gt;Incompleto"))
</f>
        <v>-</v>
      </c>
      <c r="AH26" s="109" t="str">
        <f>IF(SUMIFS(Data_filtered!$K$2:$K$461,Data_filtered!$A$2:$A$461,AH$1,Data_filtered!$F$2:$F$461,$A26, Data_filtered!$D$2:$D$461,"eucalipto",Data_filtered!$J$2:$J$461,"&lt;&gt;Incompleto")=0, "-", SUMIFS(Data_filtered!$K$2:$K$461,Data_filtered!$A$2:$A$461,AH$1,Data_filtered!$F$2:$F$461,$A26, Data_filtered!$D$2:$D$461,"eucalipto",Data_filtered!$J$2:$J$461,"&lt;&gt;Incompleto"))</f>
        <v>-</v>
      </c>
      <c r="AI26" s="110" t="str">
        <f>IF(SUMIFS(Data_filtered!$K$2:$K$461,Data_filtered!$A$2:$A$461,AH$1,Data_filtered!$F$2:$F$461,$A26, Data_filtered!$D$2:$D$461,"mata",Data_filtered!$J$2:$J$461,"&lt;&gt;Incompleto")=0, "-", SUMIFS(Data_filtered!$K$2:$K$461,Data_filtered!$A$2:$A$461,AH$1,Data_filtered!$F$2:$F$461,$A26, Data_filtered!$D$2:$D$461,"mata",Data_filtered!$J$2:$J$461,"&lt;&gt;Incompleto"))
</f>
        <v>-</v>
      </c>
      <c r="AJ26" s="109" t="str">
        <f>IF(SUMIFS(Data_filtered!$K$2:$K$461,Data_filtered!$A$2:$A$461,AJ$1,Data_filtered!$F$2:$F$461,$A26, Data_filtered!$D$2:$D$461,"eucalipto",Data_filtered!$J$2:$J$461,"&lt;&gt;Incompleto")=0, "-", SUMIFS(Data_filtered!$K$2:$K$461,Data_filtered!$A$2:$A$461,AJ$1,Data_filtered!$F$2:$F$461,$A26, Data_filtered!$D$2:$D$461,"eucalipto",Data_filtered!$J$2:$J$461,"&lt;&gt;Incompleto"))</f>
        <v>-</v>
      </c>
      <c r="AK26" s="110" t="str">
        <f>IF(SUMIFS(Data_filtered!$K$2:$K$461,Data_filtered!$A$2:$A$461,AJ$1,Data_filtered!$F$2:$F$461,$A26, Data_filtered!$D$2:$D$461,"mata",Data_filtered!$J$2:$J$461,"&lt;&gt;Incompleto")=0, "-", SUMIFS(Data_filtered!$K$2:$K$461,Data_filtered!$A$2:$A$461,AJ$1,Data_filtered!$F$2:$F$461,$A26, Data_filtered!$D$2:$D$461,"mata",Data_filtered!$J$2:$J$461,"&lt;&gt;Incompleto"))
</f>
        <v>-</v>
      </c>
      <c r="AL26" s="109" t="str">
        <f>IF(SUMIFS(Data_filtered!$K$2:$K$461,Data_filtered!$A$2:$A$461,AL$1,Data_filtered!$F$2:$F$461,$A26, Data_filtered!$D$2:$D$461,"eucalipto",Data_filtered!$J$2:$J$461,"&lt;&gt;Incompleto")=0, "-", SUMIFS(Data_filtered!$K$2:$K$461,Data_filtered!$A$2:$A$461,AL$1,Data_filtered!$F$2:$F$461,$A26, Data_filtered!$D$2:$D$461,"eucalipto",Data_filtered!$J$2:$J$461,"&lt;&gt;Incompleto"))</f>
        <v>-</v>
      </c>
      <c r="AM26" s="110" t="str">
        <f>IF(SUMIFS(Data_filtered!$K$2:$K$461,Data_filtered!$A$2:$A$461,AL$1,Data_filtered!$F$2:$F$461,$A26, Data_filtered!$D$2:$D$461,"mata",Data_filtered!$J$2:$J$461,"&lt;&gt;Incompleto")=0, "-", SUMIFS(Data_filtered!$K$2:$K$461,Data_filtered!$A$2:$A$461,AL$1,Data_filtered!$F$2:$F$461,$A26, Data_filtered!$D$2:$D$461,"mata",Data_filtered!$J$2:$J$461,"&lt;&gt;Incompleto"))
</f>
        <v>-</v>
      </c>
      <c r="AN26" s="109" t="str">
        <f>IF(SUMIFS(Data_filtered!$K$2:$K$461,Data_filtered!$A$2:$A$461,AN$1,Data_filtered!$F$2:$F$461,$A26, Data_filtered!$D$2:$D$461,"eucalipto",Data_filtered!$J$2:$J$461,"&lt;&gt;Incompleto")=0, "-", SUMIFS(Data_filtered!$K$2:$K$461,Data_filtered!$A$2:$A$461,AN$1,Data_filtered!$F$2:$F$461,$A26, Data_filtered!$D$2:$D$461,"eucalipto",Data_filtered!$J$2:$J$461,"&lt;&gt;Incompleto"))</f>
        <v>-</v>
      </c>
      <c r="AO26" s="110" t="str">
        <f>IF(SUMIFS(Data_filtered!$K$2:$K$461,Data_filtered!$A$2:$A$461,AN$1,Data_filtered!$F$2:$F$461,$A26, Data_filtered!$D$2:$D$461,"mata",Data_filtered!$J$2:$J$461,"&lt;&gt;Incompleto")=0, "-", SUMIFS(Data_filtered!$K$2:$K$461,Data_filtered!$A$2:$A$461,AN$1,Data_filtered!$F$2:$F$461,$A26, Data_filtered!$D$2:$D$461,"mata",Data_filtered!$J$2:$J$461,"&lt;&gt;Incompleto"))
</f>
        <v>-</v>
      </c>
      <c r="AP26" s="109" t="str">
        <f>IF(SUMIFS(Data_filtered!$K$2:$K$461,Data_filtered!$A$2:$A$461,AP$1,Data_filtered!$F$2:$F$461,$A26, Data_filtered!$D$2:$D$461,"eucalipto",Data_filtered!$J$2:$J$461,"&lt;&gt;Incompleto")=0, "-", SUMIFS(Data_filtered!$K$2:$K$461,Data_filtered!$A$2:$A$461,AP$1,Data_filtered!$F$2:$F$461,$A26, Data_filtered!$D$2:$D$461,"eucalipto",Data_filtered!$J$2:$J$461,"&lt;&gt;Incompleto"))</f>
        <v>-</v>
      </c>
      <c r="AQ26" s="110" t="str">
        <f>IF(SUMIFS(Data_filtered!$K$2:$K$461,Data_filtered!$A$2:$A$461,AP$1,Data_filtered!$F$2:$F$461,$A26, Data_filtered!$D$2:$D$461,"mata",Data_filtered!$J$2:$J$461,"&lt;&gt;Incompleto")=0, "-", SUMIFS(Data_filtered!$K$2:$K$461,Data_filtered!$A$2:$A$461,AP$1,Data_filtered!$F$2:$F$461,$A26, Data_filtered!$D$2:$D$461,"mata",Data_filtered!$J$2:$J$461,"&lt;&gt;Incompleto"))
</f>
        <v>-</v>
      </c>
      <c r="AR26" s="109" t="str">
        <f>IF(SUMIFS(Data_filtered!$K$2:$K$461,Data_filtered!$A$2:$A$461,AR$1,Data_filtered!$F$2:$F$461,$A26, Data_filtered!$D$2:$D$461,"eucalipto",Data_filtered!$J$2:$J$461,"&lt;&gt;Incompleto")=0, "-", SUMIFS(Data_filtered!$K$2:$K$461,Data_filtered!$A$2:$A$461,AR$1,Data_filtered!$F$2:$F$461,$A26, Data_filtered!$D$2:$D$461,"eucalipto",Data_filtered!$J$2:$J$461,"&lt;&gt;Incompleto"))</f>
        <v>-</v>
      </c>
      <c r="AS26" s="110" t="str">
        <f>IF(SUMIFS(Data_filtered!$K$2:$K$461,Data_filtered!$A$2:$A$461,AR$1,Data_filtered!$F$2:$F$461,$A26, Data_filtered!$D$2:$D$461,"mata",Data_filtered!$J$2:$J$461,"&lt;&gt;Incompleto")=0, "-", SUMIFS(Data_filtered!$K$2:$K$461,Data_filtered!$A$2:$A$461,AR$1,Data_filtered!$F$2:$F$461,$A26, Data_filtered!$D$2:$D$461,"mata",Data_filtered!$J$2:$J$461,"&lt;&gt;Incompleto"))
</f>
        <v>-</v>
      </c>
    </row>
    <row r="27">
      <c r="A27" s="68"/>
      <c r="B27" s="109" t="str">
        <f>IF(SUMIFS(Data_filtered!$K$2:$K$461,Data_filtered!$A$2:$A$461,B$1,Data_filtered!$F$2:$F$461,$A27, Data_filtered!$D$2:$D$461,"eucalipto",Data_filtered!$J$2:$J$461,"&lt;&gt;Incompleto")=0, "-", SUMIFS(Data_filtered!$K$2:$K$461,Data_filtered!$A$2:$A$461,B$1,Data_filtered!$F$2:$F$461,$A27, Data_filtered!$D$2:$D$461,"eucalipto",Data_filtered!$J$2:$J$461,"&lt;&gt;Incompleto"))</f>
        <v>-</v>
      </c>
      <c r="C27" s="110" t="str">
        <f>IF(SUMIFS(Data_filtered!$K$2:$K$461,Data_filtered!$A$2:$A$461,B$1,Data_filtered!$F$2:$F$461,$A27, Data_filtered!$D$2:$D$461,"mata",Data_filtered!$J$2:$J$461,"&lt;&gt;Incompleto")=0, "-", SUMIFS(Data_filtered!$K$2:$K$461,Data_filtered!$A$2:$A$461,B$1,Data_filtered!$F$2:$F$461,$A27, Data_filtered!$D$2:$D$461,"mata",Data_filtered!$J$2:$J$461,"&lt;&gt;Incompleto"))
</f>
        <v>-</v>
      </c>
      <c r="D27" s="109" t="str">
        <f>IF(SUMIFS(Data_filtered!$K$2:$K$461,Data_filtered!$A$2:$A$461,D$1,Data_filtered!$F$2:$F$461,$A27, Data_filtered!$D$2:$D$461,"eucalipto",Data_filtered!$J$2:$J$461,"&lt;&gt;Incompleto")=0, "-", SUMIFS(Data_filtered!$K$2:$K$461,Data_filtered!$A$2:$A$461,D$1,Data_filtered!$F$2:$F$461,$A27, Data_filtered!$D$2:$D$461,"eucalipto",Data_filtered!$J$2:$J$461,"&lt;&gt;Incompleto"))</f>
        <v>-</v>
      </c>
      <c r="E27" s="110" t="str">
        <f>IF(SUMIFS(Data_filtered!$K$2:$K$461,Data_filtered!$A$2:$A$461,D$1,Data_filtered!$F$2:$F$461,$A27, Data_filtered!$D$2:$D$461,"mata",Data_filtered!$J$2:$J$461,"&lt;&gt;Incompleto")=0, "-", SUMIFS(Data_filtered!$K$2:$K$461,Data_filtered!$A$2:$A$461,D$1,Data_filtered!$F$2:$F$461,$A27, Data_filtered!$D$2:$D$461,"mata",Data_filtered!$J$2:$J$461,"&lt;&gt;Incompleto"))
</f>
        <v>-</v>
      </c>
      <c r="F27" s="109" t="str">
        <f>IF(SUMIFS(Data_filtered!$K$2:$K$461,Data_filtered!$A$2:$A$461,F$1,Data_filtered!$F$2:$F$461,$A27, Data_filtered!$D$2:$D$461,"eucalipto",Data_filtered!$J$2:$J$461,"&lt;&gt;Incompleto")=0, "-", SUMIFS(Data_filtered!$K$2:$K$461,Data_filtered!$A$2:$A$461,F$1,Data_filtered!$F$2:$F$461,$A27, Data_filtered!$D$2:$D$461,"eucalipto",Data_filtered!$J$2:$J$461,"&lt;&gt;Incompleto"))</f>
        <v>-</v>
      </c>
      <c r="G27" s="110" t="str">
        <f>IF(SUMIFS(Data_filtered!$K$2:$K$461,Data_filtered!$A$2:$A$461,F$1,Data_filtered!$F$2:$F$461,$A27, Data_filtered!$D$2:$D$461,"mata",Data_filtered!$J$2:$J$461,"&lt;&gt;Incompleto")=0, "-", SUMIFS(Data_filtered!$K$2:$K$461,Data_filtered!$A$2:$A$461,F$1,Data_filtered!$F$2:$F$461,$A27, Data_filtered!$D$2:$D$461,"mata",Data_filtered!$J$2:$J$461,"&lt;&gt;Incompleto"))
</f>
        <v>-</v>
      </c>
      <c r="H27" s="109" t="str">
        <f>IF(SUMIFS(Data_filtered!$K$2:$K$461,Data_filtered!$A$2:$A$461,H$1,Data_filtered!$F$2:$F$461,$A27, Data_filtered!$D$2:$D$461,"eucalipto",Data_filtered!$J$2:$J$461,"&lt;&gt;Incompleto")=0, "-", SUMIFS(Data_filtered!$K$2:$K$461,Data_filtered!$A$2:$A$461,H$1,Data_filtered!$F$2:$F$461,$A27, Data_filtered!$D$2:$D$461,"eucalipto",Data_filtered!$J$2:$J$461,"&lt;&gt;Incompleto"))</f>
        <v>-</v>
      </c>
      <c r="I27" s="110" t="str">
        <f>IF(SUMIFS(Data_filtered!$K$2:$K$461,Data_filtered!$A$2:$A$461,H$1,Data_filtered!$F$2:$F$461,$A27, Data_filtered!$D$2:$D$461,"mata",Data_filtered!$J$2:$J$461,"&lt;&gt;Incompleto")=0, "-", SUMIFS(Data_filtered!$K$2:$K$461,Data_filtered!$A$2:$A$461,H$1,Data_filtered!$F$2:$F$461,$A27, Data_filtered!$D$2:$D$461,"mata",Data_filtered!$J$2:$J$461,"&lt;&gt;Incompleto"))
</f>
        <v>-</v>
      </c>
      <c r="J27" s="109" t="str">
        <f>IF(SUMIFS(Data_filtered!$K$2:$K$461,Data_filtered!$A$2:$A$461,J$1,Data_filtered!$F$2:$F$461,$A27, Data_filtered!$D$2:$D$461,"eucalipto",Data_filtered!$J$2:$J$461,"&lt;&gt;Incompleto")=0, "-", SUMIFS(Data_filtered!$K$2:$K$461,Data_filtered!$A$2:$A$461,J$1,Data_filtered!$F$2:$F$461,$A27, Data_filtered!$D$2:$D$461,"eucalipto",Data_filtered!$J$2:$J$461,"&lt;&gt;Incompleto"))</f>
        <v>-</v>
      </c>
      <c r="K27" s="110" t="str">
        <f>IF(SUMIFS(Data_filtered!$K$2:$K$461,Data_filtered!$A$2:$A$461,J$1,Data_filtered!$F$2:$F$461,$A27, Data_filtered!$D$2:$D$461,"mata",Data_filtered!$J$2:$J$461,"&lt;&gt;Incompleto")=0, "-", SUMIFS(Data_filtered!$K$2:$K$461,Data_filtered!$A$2:$A$461,J$1,Data_filtered!$F$2:$F$461,$A27, Data_filtered!$D$2:$D$461,"mata",Data_filtered!$J$2:$J$461,"&lt;&gt;Incompleto"))
</f>
        <v>-</v>
      </c>
      <c r="L27" s="109" t="str">
        <f>IF(SUMIFS(Data_filtered!$K$2:$K$461,Data_filtered!$A$2:$A$461,L$1,Data_filtered!$F$2:$F$461,$A27, Data_filtered!$D$2:$D$461,"eucalipto",Data_filtered!$J$2:$J$461,"&lt;&gt;Incompleto")=0, "-", SUMIFS(Data_filtered!$K$2:$K$461,Data_filtered!$A$2:$A$461,L$1,Data_filtered!$F$2:$F$461,$A27, Data_filtered!$D$2:$D$461,"eucalipto",Data_filtered!$J$2:$J$461,"&lt;&gt;Incompleto"))</f>
        <v>-</v>
      </c>
      <c r="M27" s="110" t="str">
        <f>IF(SUMIFS(Data_filtered!$K$2:$K$461,Data_filtered!$A$2:$A$461,L$1,Data_filtered!$F$2:$F$461,$A27, Data_filtered!$D$2:$D$461,"mata",Data_filtered!$J$2:$J$461,"&lt;&gt;Incompleto")=0, "-", SUMIFS(Data_filtered!$K$2:$K$461,Data_filtered!$A$2:$A$461,L$1,Data_filtered!$F$2:$F$461,$A27, Data_filtered!$D$2:$D$461,"mata",Data_filtered!$J$2:$J$461,"&lt;&gt;Incompleto"))
</f>
        <v>-</v>
      </c>
      <c r="N27" s="109" t="str">
        <f>IF(SUMIFS(Data_filtered!$K$2:$K$461,Data_filtered!$A$2:$A$461,N$1,Data_filtered!$F$2:$F$461,$A27, Data_filtered!$D$2:$D$461,"eucalipto",Data_filtered!$J$2:$J$461,"&lt;&gt;Incompleto")=0, "-", SUMIFS(Data_filtered!$K$2:$K$461,Data_filtered!$A$2:$A$461,N$1,Data_filtered!$F$2:$F$461,$A27, Data_filtered!$D$2:$D$461,"eucalipto",Data_filtered!$J$2:$J$461,"&lt;&gt;Incompleto"))</f>
        <v>-</v>
      </c>
      <c r="O27" s="110" t="str">
        <f>IF(SUMIFS(Data_filtered!$K$2:$K$461,Data_filtered!$A$2:$A$461,N$1,Data_filtered!$F$2:$F$461,$A27, Data_filtered!$D$2:$D$461,"mata",Data_filtered!$J$2:$J$461,"&lt;&gt;Incompleto")=0, "-", SUMIFS(Data_filtered!$K$2:$K$461,Data_filtered!$A$2:$A$461,N$1,Data_filtered!$F$2:$F$461,$A27, Data_filtered!$D$2:$D$461,"mata",Data_filtered!$J$2:$J$461,"&lt;&gt;Incompleto"))
</f>
        <v>-</v>
      </c>
      <c r="P27" s="109" t="str">
        <f>IF(SUMIFS(Data_filtered!$K$2:$K$461,Data_filtered!$A$2:$A$461,P$1,Data_filtered!$F$2:$F$461,$A27, Data_filtered!$D$2:$D$461,"eucalipto",Data_filtered!$J$2:$J$461,"&lt;&gt;Incompleto")=0, "-", SUMIFS(Data_filtered!$K$2:$K$461,Data_filtered!$A$2:$A$461,P$1,Data_filtered!$F$2:$F$461,$A27, Data_filtered!$D$2:$D$461,"eucalipto",Data_filtered!$J$2:$J$461,"&lt;&gt;Incompleto"))</f>
        <v>-</v>
      </c>
      <c r="Q27" s="110" t="str">
        <f>IF(SUMIFS(Data_filtered!$K$2:$K$461,Data_filtered!$A$2:$A$461,P$1,Data_filtered!$F$2:$F$461,$A27, Data_filtered!$D$2:$D$461,"mata",Data_filtered!$J$2:$J$461,"&lt;&gt;Incompleto")=0, "-", SUMIFS(Data_filtered!$K$2:$K$461,Data_filtered!$A$2:$A$461,P$1,Data_filtered!$F$2:$F$461,$A27, Data_filtered!$D$2:$D$461,"mata",Data_filtered!$J$2:$J$461,"&lt;&gt;Incompleto"))
</f>
        <v>-</v>
      </c>
      <c r="R27" s="109" t="str">
        <f>IF(SUMIFS(Data_filtered!$K$2:$K$461,Data_filtered!$A$2:$A$461,R$1,Data_filtered!$F$2:$F$461,$A27, Data_filtered!$D$2:$D$461,"eucalipto",Data_filtered!$J$2:$J$461,"&lt;&gt;Incompleto")=0, "-", SUMIFS(Data_filtered!$K$2:$K$461,Data_filtered!$A$2:$A$461,R$1,Data_filtered!$F$2:$F$461,$A27, Data_filtered!$D$2:$D$461,"eucalipto",Data_filtered!$J$2:$J$461,"&lt;&gt;Incompleto"))</f>
        <v>-</v>
      </c>
      <c r="S27" s="110" t="str">
        <f>IF(SUMIFS(Data_filtered!$K$2:$K$461,Data_filtered!$A$2:$A$461,R$1,Data_filtered!$F$2:$F$461,$A27, Data_filtered!$D$2:$D$461,"mata",Data_filtered!$J$2:$J$461,"&lt;&gt;Incompleto")=0, "-", SUMIFS(Data_filtered!$K$2:$K$461,Data_filtered!$A$2:$A$461,R$1,Data_filtered!$F$2:$F$461,$A27, Data_filtered!$D$2:$D$461,"mata",Data_filtered!$J$2:$J$461,"&lt;&gt;Incompleto"))
</f>
        <v>-</v>
      </c>
      <c r="T27" s="109" t="str">
        <f>IF(SUMIFS(Data_filtered!$K$2:$K$461,Data_filtered!$A$2:$A$461,T$1,Data_filtered!$F$2:$F$461,$A27, Data_filtered!$D$2:$D$461,"eucalipto",Data_filtered!$J$2:$J$461,"&lt;&gt;Incompleto")=0, "-", SUMIFS(Data_filtered!$K$2:$K$461,Data_filtered!$A$2:$A$461,T$1,Data_filtered!$F$2:$F$461,$A27, Data_filtered!$D$2:$D$461,"eucalipto",Data_filtered!$J$2:$J$461,"&lt;&gt;Incompleto"))</f>
        <v>-</v>
      </c>
      <c r="U27" s="110" t="str">
        <f>IF(SUMIFS(Data_filtered!$K$2:$K$461,Data_filtered!$A$2:$A$461,T$1,Data_filtered!$F$2:$F$461,$A27, Data_filtered!$D$2:$D$461,"mata",Data_filtered!$J$2:$J$461,"&lt;&gt;Incompleto")=0, "-", SUMIFS(Data_filtered!$K$2:$K$461,Data_filtered!$A$2:$A$461,T$1,Data_filtered!$F$2:$F$461,$A27, Data_filtered!$D$2:$D$461,"mata",Data_filtered!$J$2:$J$461,"&lt;&gt;Incompleto"))
</f>
        <v>-</v>
      </c>
      <c r="V27" s="109" t="str">
        <f>IF(SUMIFS(Data_filtered!$K$2:$K$461,Data_filtered!$A$2:$A$461,V$1,Data_filtered!$F$2:$F$461,$A27, Data_filtered!$D$2:$D$461,"eucalipto",Data_filtered!$J$2:$J$461,"&lt;&gt;Incompleto")=0, "-", SUMIFS(Data_filtered!$K$2:$K$461,Data_filtered!$A$2:$A$461,V$1,Data_filtered!$F$2:$F$461,$A27, Data_filtered!$D$2:$D$461,"eucalipto",Data_filtered!$J$2:$J$461,"&lt;&gt;Incompleto"))</f>
        <v>-</v>
      </c>
      <c r="W27" s="110" t="str">
        <f>IF(SUMIFS(Data_filtered!$K$2:$K$461,Data_filtered!$A$2:$A$461,V$1,Data_filtered!$F$2:$F$461,$A27, Data_filtered!$D$2:$D$461,"mata",Data_filtered!$J$2:$J$461,"&lt;&gt;Incompleto")=0, "-", SUMIFS(Data_filtered!$K$2:$K$461,Data_filtered!$A$2:$A$461,V$1,Data_filtered!$F$2:$F$461,$A27, Data_filtered!$D$2:$D$461,"mata",Data_filtered!$J$2:$J$461,"&lt;&gt;Incompleto"))
</f>
        <v>-</v>
      </c>
      <c r="X27" s="109" t="str">
        <f>IF(SUMIFS(Data_filtered!$K$2:$K$461,Data_filtered!$A$2:$A$461,X$1,Data_filtered!$F$2:$F$461,$A27, Data_filtered!$D$2:$D$461,"eucalipto",Data_filtered!$J$2:$J$461,"&lt;&gt;Incompleto")=0, "-", SUMIFS(Data_filtered!$K$2:$K$461,Data_filtered!$A$2:$A$461,X$1,Data_filtered!$F$2:$F$461,$A27, Data_filtered!$D$2:$D$461,"eucalipto",Data_filtered!$J$2:$J$461,"&lt;&gt;Incompleto"))</f>
        <v>-</v>
      </c>
      <c r="Y27" s="110" t="str">
        <f>IF(SUMIFS(Data_filtered!$K$2:$K$461,Data_filtered!$A$2:$A$461,X$1,Data_filtered!$F$2:$F$461,$A27, Data_filtered!$D$2:$D$461,"mata",Data_filtered!$J$2:$J$461,"&lt;&gt;Incompleto")=0, "-", SUMIFS(Data_filtered!$K$2:$K$461,Data_filtered!$A$2:$A$461,X$1,Data_filtered!$F$2:$F$461,$A27, Data_filtered!$D$2:$D$461,"mata",Data_filtered!$J$2:$J$461,"&lt;&gt;Incompleto"))
</f>
        <v>-</v>
      </c>
      <c r="Z27" s="109" t="str">
        <f>IF(SUMIFS(Data_filtered!$K$2:$K$461,Data_filtered!$A$2:$A$461,Z$1,Data_filtered!$F$2:$F$461,$A27, Data_filtered!$D$2:$D$461,"eucalipto",Data_filtered!$J$2:$J$461,"&lt;&gt;Incompleto")=0, "-", SUMIFS(Data_filtered!$K$2:$K$461,Data_filtered!$A$2:$A$461,Z$1,Data_filtered!$F$2:$F$461,$A27, Data_filtered!$D$2:$D$461,"eucalipto",Data_filtered!$J$2:$J$461,"&lt;&gt;Incompleto"))</f>
        <v>-</v>
      </c>
      <c r="AA27" s="110" t="str">
        <f>IF(SUMIFS(Data_filtered!$K$2:$K$461,Data_filtered!$A$2:$A$461,Z$1,Data_filtered!$F$2:$F$461,$A27, Data_filtered!$D$2:$D$461,"mata",Data_filtered!$J$2:$J$461,"&lt;&gt;Incompleto")=0, "-", SUMIFS(Data_filtered!$K$2:$K$461,Data_filtered!$A$2:$A$461,Z$1,Data_filtered!$F$2:$F$461,$A27, Data_filtered!$D$2:$D$461,"mata",Data_filtered!$J$2:$J$461,"&lt;&gt;Incompleto"))
</f>
        <v>-</v>
      </c>
      <c r="AB27" s="109" t="str">
        <f>IF(SUMIFS(Data_filtered!$K$2:$K$461,Data_filtered!$A$2:$A$461,AB$1,Data_filtered!$F$2:$F$461,$A27, Data_filtered!$D$2:$D$461,"eucalipto",Data_filtered!$J$2:$J$461,"&lt;&gt;Incompleto")=0, "-", SUMIFS(Data_filtered!$K$2:$K$461,Data_filtered!$A$2:$A$461,AB$1,Data_filtered!$F$2:$F$461,$A27, Data_filtered!$D$2:$D$461,"eucalipto",Data_filtered!$J$2:$J$461,"&lt;&gt;Incompleto"))</f>
        <v>-</v>
      </c>
      <c r="AC27" s="110" t="str">
        <f>IF(SUMIFS(Data_filtered!$K$2:$K$461,Data_filtered!$A$2:$A$461,AB$1,Data_filtered!$F$2:$F$461,$A27, Data_filtered!$D$2:$D$461,"mata",Data_filtered!$J$2:$J$461,"&lt;&gt;Incompleto")=0, "-", SUMIFS(Data_filtered!$K$2:$K$461,Data_filtered!$A$2:$A$461,AB$1,Data_filtered!$F$2:$F$461,$A27, Data_filtered!$D$2:$D$461,"mata",Data_filtered!$J$2:$J$461,"&lt;&gt;Incompleto"))
</f>
        <v>-</v>
      </c>
      <c r="AD27" s="109" t="str">
        <f>IF(SUMIFS(Data_filtered!$K$2:$K$461,Data_filtered!$A$2:$A$461,AD$1,Data_filtered!$F$2:$F$461,$A27, Data_filtered!$D$2:$D$461,"eucalipto",Data_filtered!$J$2:$J$461,"&lt;&gt;Incompleto")=0, "-", SUMIFS(Data_filtered!$K$2:$K$461,Data_filtered!$A$2:$A$461,AD$1,Data_filtered!$F$2:$F$461,$A27, Data_filtered!$D$2:$D$461,"eucalipto",Data_filtered!$J$2:$J$461,"&lt;&gt;Incompleto"))</f>
        <v>-</v>
      </c>
      <c r="AE27" s="110" t="str">
        <f>IF(SUMIFS(Data_filtered!$K$2:$K$461,Data_filtered!$A$2:$A$461,AD$1,Data_filtered!$F$2:$F$461,$A27, Data_filtered!$D$2:$D$461,"mata",Data_filtered!$J$2:$J$461,"&lt;&gt;Incompleto")=0, "-", SUMIFS(Data_filtered!$K$2:$K$461,Data_filtered!$A$2:$A$461,AD$1,Data_filtered!$F$2:$F$461,$A27, Data_filtered!$D$2:$D$461,"mata",Data_filtered!$J$2:$J$461,"&lt;&gt;Incompleto"))
</f>
        <v>-</v>
      </c>
      <c r="AF27" s="109" t="str">
        <f>IF(SUMIFS(Data_filtered!$K$2:$K$461,Data_filtered!$A$2:$A$461,AF$1,Data_filtered!$F$2:$F$461,$A27, Data_filtered!$D$2:$D$461,"eucalipto",Data_filtered!$J$2:$J$461,"&lt;&gt;Incompleto")=0, "-", SUMIFS(Data_filtered!$K$2:$K$461,Data_filtered!$A$2:$A$461,AF$1,Data_filtered!$F$2:$F$461,$A27, Data_filtered!$D$2:$D$461,"eucalipto",Data_filtered!$J$2:$J$461,"&lt;&gt;Incompleto"))</f>
        <v>-</v>
      </c>
      <c r="AG27" s="110" t="str">
        <f>IF(SUMIFS(Data_filtered!$K$2:$K$461,Data_filtered!$A$2:$A$461,AF$1,Data_filtered!$F$2:$F$461,$A27, Data_filtered!$D$2:$D$461,"mata",Data_filtered!$J$2:$J$461,"&lt;&gt;Incompleto")=0, "-", SUMIFS(Data_filtered!$K$2:$K$461,Data_filtered!$A$2:$A$461,AF$1,Data_filtered!$F$2:$F$461,$A27, Data_filtered!$D$2:$D$461,"mata",Data_filtered!$J$2:$J$461,"&lt;&gt;Incompleto"))
</f>
        <v>-</v>
      </c>
      <c r="AH27" s="109" t="str">
        <f>IF(SUMIFS(Data_filtered!$K$2:$K$461,Data_filtered!$A$2:$A$461,AH$1,Data_filtered!$F$2:$F$461,$A27, Data_filtered!$D$2:$D$461,"eucalipto",Data_filtered!$J$2:$J$461,"&lt;&gt;Incompleto")=0, "-", SUMIFS(Data_filtered!$K$2:$K$461,Data_filtered!$A$2:$A$461,AH$1,Data_filtered!$F$2:$F$461,$A27, Data_filtered!$D$2:$D$461,"eucalipto",Data_filtered!$J$2:$J$461,"&lt;&gt;Incompleto"))</f>
        <v>-</v>
      </c>
      <c r="AI27" s="110" t="str">
        <f>IF(SUMIFS(Data_filtered!$K$2:$K$461,Data_filtered!$A$2:$A$461,AH$1,Data_filtered!$F$2:$F$461,$A27, Data_filtered!$D$2:$D$461,"mata",Data_filtered!$J$2:$J$461,"&lt;&gt;Incompleto")=0, "-", SUMIFS(Data_filtered!$K$2:$K$461,Data_filtered!$A$2:$A$461,AH$1,Data_filtered!$F$2:$F$461,$A27, Data_filtered!$D$2:$D$461,"mata",Data_filtered!$J$2:$J$461,"&lt;&gt;Incompleto"))
</f>
        <v>-</v>
      </c>
      <c r="AJ27" s="109" t="str">
        <f>IF(SUMIFS(Data_filtered!$K$2:$K$461,Data_filtered!$A$2:$A$461,AJ$1,Data_filtered!$F$2:$F$461,$A27, Data_filtered!$D$2:$D$461,"eucalipto",Data_filtered!$J$2:$J$461,"&lt;&gt;Incompleto")=0, "-", SUMIFS(Data_filtered!$K$2:$K$461,Data_filtered!$A$2:$A$461,AJ$1,Data_filtered!$F$2:$F$461,$A27, Data_filtered!$D$2:$D$461,"eucalipto",Data_filtered!$J$2:$J$461,"&lt;&gt;Incompleto"))</f>
        <v>-</v>
      </c>
      <c r="AK27" s="110" t="str">
        <f>IF(SUMIFS(Data_filtered!$K$2:$K$461,Data_filtered!$A$2:$A$461,AJ$1,Data_filtered!$F$2:$F$461,$A27, Data_filtered!$D$2:$D$461,"mata",Data_filtered!$J$2:$J$461,"&lt;&gt;Incompleto")=0, "-", SUMIFS(Data_filtered!$K$2:$K$461,Data_filtered!$A$2:$A$461,AJ$1,Data_filtered!$F$2:$F$461,$A27, Data_filtered!$D$2:$D$461,"mata",Data_filtered!$J$2:$J$461,"&lt;&gt;Incompleto"))
</f>
        <v>-</v>
      </c>
      <c r="AL27" s="109" t="str">
        <f>IF(SUMIFS(Data_filtered!$K$2:$K$461,Data_filtered!$A$2:$A$461,AL$1,Data_filtered!$F$2:$F$461,$A27, Data_filtered!$D$2:$D$461,"eucalipto",Data_filtered!$J$2:$J$461,"&lt;&gt;Incompleto")=0, "-", SUMIFS(Data_filtered!$K$2:$K$461,Data_filtered!$A$2:$A$461,AL$1,Data_filtered!$F$2:$F$461,$A27, Data_filtered!$D$2:$D$461,"eucalipto",Data_filtered!$J$2:$J$461,"&lt;&gt;Incompleto"))</f>
        <v>-</v>
      </c>
      <c r="AM27" s="110" t="str">
        <f>IF(SUMIFS(Data_filtered!$K$2:$K$461,Data_filtered!$A$2:$A$461,AL$1,Data_filtered!$F$2:$F$461,$A27, Data_filtered!$D$2:$D$461,"mata",Data_filtered!$J$2:$J$461,"&lt;&gt;Incompleto")=0, "-", SUMIFS(Data_filtered!$K$2:$K$461,Data_filtered!$A$2:$A$461,AL$1,Data_filtered!$F$2:$F$461,$A27, Data_filtered!$D$2:$D$461,"mata",Data_filtered!$J$2:$J$461,"&lt;&gt;Incompleto"))
</f>
        <v>-</v>
      </c>
      <c r="AN27" s="109" t="str">
        <f>IF(SUMIFS(Data_filtered!$K$2:$K$461,Data_filtered!$A$2:$A$461,AN$1,Data_filtered!$F$2:$F$461,$A27, Data_filtered!$D$2:$D$461,"eucalipto",Data_filtered!$J$2:$J$461,"&lt;&gt;Incompleto")=0, "-", SUMIFS(Data_filtered!$K$2:$K$461,Data_filtered!$A$2:$A$461,AN$1,Data_filtered!$F$2:$F$461,$A27, Data_filtered!$D$2:$D$461,"eucalipto",Data_filtered!$J$2:$J$461,"&lt;&gt;Incompleto"))</f>
        <v>-</v>
      </c>
      <c r="AO27" s="110" t="str">
        <f>IF(SUMIFS(Data_filtered!$K$2:$K$461,Data_filtered!$A$2:$A$461,AN$1,Data_filtered!$F$2:$F$461,$A27, Data_filtered!$D$2:$D$461,"mata",Data_filtered!$J$2:$J$461,"&lt;&gt;Incompleto")=0, "-", SUMIFS(Data_filtered!$K$2:$K$461,Data_filtered!$A$2:$A$461,AN$1,Data_filtered!$F$2:$F$461,$A27, Data_filtered!$D$2:$D$461,"mata",Data_filtered!$J$2:$J$461,"&lt;&gt;Incompleto"))
</f>
        <v>-</v>
      </c>
      <c r="AP27" s="109" t="str">
        <f>IF(SUMIFS(Data_filtered!$K$2:$K$461,Data_filtered!$A$2:$A$461,AP$1,Data_filtered!$F$2:$F$461,$A27, Data_filtered!$D$2:$D$461,"eucalipto",Data_filtered!$J$2:$J$461,"&lt;&gt;Incompleto")=0, "-", SUMIFS(Data_filtered!$K$2:$K$461,Data_filtered!$A$2:$A$461,AP$1,Data_filtered!$F$2:$F$461,$A27, Data_filtered!$D$2:$D$461,"eucalipto",Data_filtered!$J$2:$J$461,"&lt;&gt;Incompleto"))</f>
        <v>-</v>
      </c>
      <c r="AQ27" s="110" t="str">
        <f>IF(SUMIFS(Data_filtered!$K$2:$K$461,Data_filtered!$A$2:$A$461,AP$1,Data_filtered!$F$2:$F$461,$A27, Data_filtered!$D$2:$D$461,"mata",Data_filtered!$J$2:$J$461,"&lt;&gt;Incompleto")=0, "-", SUMIFS(Data_filtered!$K$2:$K$461,Data_filtered!$A$2:$A$461,AP$1,Data_filtered!$F$2:$F$461,$A27, Data_filtered!$D$2:$D$461,"mata",Data_filtered!$J$2:$J$461,"&lt;&gt;Incompleto"))
</f>
        <v>-</v>
      </c>
      <c r="AR27" s="109" t="str">
        <f>IF(SUMIFS(Data_filtered!$K$2:$K$461,Data_filtered!$A$2:$A$461,AR$1,Data_filtered!$F$2:$F$461,$A27, Data_filtered!$D$2:$D$461,"eucalipto",Data_filtered!$J$2:$J$461,"&lt;&gt;Incompleto")=0, "-", SUMIFS(Data_filtered!$K$2:$K$461,Data_filtered!$A$2:$A$461,AR$1,Data_filtered!$F$2:$F$461,$A27, Data_filtered!$D$2:$D$461,"eucalipto",Data_filtered!$J$2:$J$461,"&lt;&gt;Incompleto"))</f>
        <v>-</v>
      </c>
      <c r="AS27" s="110" t="str">
        <f>IF(SUMIFS(Data_filtered!$K$2:$K$461,Data_filtered!$A$2:$A$461,AR$1,Data_filtered!$F$2:$F$461,$A27, Data_filtered!$D$2:$D$461,"mata",Data_filtered!$J$2:$J$461,"&lt;&gt;Incompleto")=0, "-", SUMIFS(Data_filtered!$K$2:$K$461,Data_filtered!$A$2:$A$461,AR$1,Data_filtered!$F$2:$F$461,$A27, Data_filtered!$D$2:$D$461,"mata",Data_filtered!$J$2:$J$461,"&lt;&gt;Incompleto"))
</f>
        <v>-</v>
      </c>
    </row>
    <row r="28">
      <c r="A28" s="68"/>
      <c r="B28" s="106"/>
      <c r="C28" s="108"/>
      <c r="D28" s="106"/>
      <c r="E28" s="108"/>
      <c r="F28" s="106"/>
      <c r="G28" s="108"/>
      <c r="H28" s="106"/>
      <c r="I28" s="108"/>
      <c r="J28" s="106"/>
      <c r="K28" s="108"/>
      <c r="L28" s="106"/>
      <c r="M28" s="108"/>
      <c r="N28" s="106"/>
      <c r="O28" s="108"/>
      <c r="P28" s="106"/>
      <c r="Q28" s="108"/>
      <c r="R28" s="106"/>
      <c r="S28" s="108"/>
      <c r="T28" s="106"/>
      <c r="U28" s="108"/>
      <c r="V28" s="106"/>
      <c r="W28" s="108"/>
      <c r="X28" s="106"/>
      <c r="Y28" s="108"/>
      <c r="Z28" s="106"/>
      <c r="AA28" s="108"/>
      <c r="AB28" s="106"/>
      <c r="AC28" s="108"/>
      <c r="AD28" s="106"/>
      <c r="AE28" s="108"/>
      <c r="AF28" s="106"/>
      <c r="AG28" s="108"/>
      <c r="AH28" s="106"/>
      <c r="AI28" s="108"/>
      <c r="AJ28" s="106"/>
      <c r="AK28" s="108"/>
      <c r="AL28" s="106"/>
      <c r="AM28" s="108"/>
      <c r="AN28" s="106"/>
      <c r="AO28" s="108"/>
      <c r="AP28" s="106"/>
      <c r="AQ28" s="108"/>
      <c r="AR28" s="106"/>
      <c r="AS28" s="108"/>
    </row>
    <row r="29">
      <c r="A29" s="68"/>
      <c r="B29" s="106"/>
      <c r="C29" s="108"/>
      <c r="D29" s="106"/>
      <c r="E29" s="108"/>
      <c r="F29" s="106"/>
      <c r="G29" s="108"/>
      <c r="H29" s="106"/>
      <c r="I29" s="108"/>
      <c r="J29" s="106"/>
      <c r="K29" s="108"/>
      <c r="L29" s="106"/>
      <c r="M29" s="108"/>
      <c r="N29" s="106"/>
      <c r="O29" s="108"/>
      <c r="P29" s="106"/>
      <c r="Q29" s="108"/>
      <c r="R29" s="106"/>
      <c r="S29" s="108"/>
      <c r="T29" s="106"/>
      <c r="U29" s="108"/>
      <c r="V29" s="106"/>
      <c r="W29" s="108"/>
      <c r="X29" s="106"/>
      <c r="Y29" s="108"/>
      <c r="Z29" s="106"/>
      <c r="AA29" s="108"/>
      <c r="AB29" s="106"/>
      <c r="AC29" s="108"/>
      <c r="AD29" s="106"/>
      <c r="AE29" s="108"/>
      <c r="AF29" s="106"/>
      <c r="AG29" s="108"/>
      <c r="AH29" s="106"/>
      <c r="AI29" s="108"/>
      <c r="AJ29" s="106"/>
      <c r="AK29" s="108"/>
      <c r="AL29" s="106"/>
      <c r="AM29" s="108"/>
      <c r="AN29" s="106"/>
      <c r="AO29" s="108"/>
      <c r="AP29" s="106"/>
      <c r="AQ29" s="108"/>
      <c r="AR29" s="106"/>
      <c r="AS29" s="108"/>
    </row>
    <row r="30">
      <c r="B30" s="106"/>
      <c r="C30" s="108"/>
      <c r="D30" s="106"/>
      <c r="E30" s="108"/>
      <c r="F30" s="106"/>
      <c r="G30" s="108"/>
      <c r="H30" s="106"/>
      <c r="I30" s="108"/>
      <c r="J30" s="106"/>
      <c r="K30" s="108"/>
      <c r="L30" s="106"/>
      <c r="M30" s="108"/>
      <c r="N30" s="106"/>
      <c r="O30" s="108"/>
      <c r="P30" s="106"/>
      <c r="Q30" s="108"/>
      <c r="R30" s="106"/>
      <c r="S30" s="108"/>
      <c r="T30" s="106"/>
      <c r="U30" s="108"/>
      <c r="V30" s="106"/>
      <c r="W30" s="108"/>
      <c r="X30" s="106"/>
      <c r="Y30" s="108"/>
      <c r="Z30" s="106"/>
      <c r="AA30" s="108"/>
      <c r="AB30" s="106"/>
      <c r="AC30" s="108"/>
      <c r="AD30" s="106"/>
      <c r="AE30" s="108"/>
      <c r="AF30" s="106"/>
      <c r="AG30" s="108"/>
      <c r="AH30" s="106"/>
      <c r="AI30" s="108"/>
      <c r="AJ30" s="106"/>
      <c r="AK30" s="108"/>
      <c r="AL30" s="106"/>
      <c r="AM30" s="108"/>
      <c r="AN30" s="106"/>
      <c r="AO30" s="108"/>
      <c r="AP30" s="106"/>
      <c r="AQ30" s="108"/>
      <c r="AR30" s="106"/>
      <c r="AS30" s="108"/>
    </row>
    <row r="31">
      <c r="B31" s="106"/>
      <c r="C31" s="108"/>
      <c r="D31" s="106"/>
      <c r="E31" s="108"/>
      <c r="F31" s="106"/>
      <c r="G31" s="108"/>
      <c r="H31" s="106"/>
      <c r="I31" s="108"/>
      <c r="J31" s="106"/>
      <c r="K31" s="108"/>
      <c r="L31" s="106"/>
      <c r="M31" s="108"/>
      <c r="N31" s="106"/>
      <c r="O31" s="108"/>
      <c r="P31" s="106"/>
      <c r="Q31" s="108"/>
      <c r="R31" s="106"/>
      <c r="S31" s="108"/>
      <c r="T31" s="106"/>
      <c r="U31" s="108"/>
      <c r="V31" s="106"/>
      <c r="W31" s="108"/>
      <c r="X31" s="106"/>
      <c r="Y31" s="108"/>
      <c r="Z31" s="106"/>
      <c r="AA31" s="108"/>
      <c r="AB31" s="106"/>
      <c r="AC31" s="108"/>
      <c r="AD31" s="106"/>
      <c r="AE31" s="108"/>
      <c r="AF31" s="106"/>
      <c r="AG31" s="108"/>
      <c r="AH31" s="106"/>
      <c r="AI31" s="108"/>
      <c r="AJ31" s="106"/>
      <c r="AK31" s="108"/>
      <c r="AL31" s="106"/>
      <c r="AM31" s="108"/>
      <c r="AN31" s="106"/>
      <c r="AO31" s="108"/>
      <c r="AP31" s="106"/>
      <c r="AQ31" s="108"/>
      <c r="AR31" s="106"/>
      <c r="AS31" s="108"/>
    </row>
  </sheetData>
  <mergeCells count="22">
    <mergeCell ref="B1:C1"/>
    <mergeCell ref="D1:E1"/>
    <mergeCell ref="F1:G1"/>
    <mergeCell ref="H1:I1"/>
    <mergeCell ref="J1:K1"/>
    <mergeCell ref="L1:M1"/>
    <mergeCell ref="N1:O1"/>
    <mergeCell ref="AD1:AE1"/>
    <mergeCell ref="AF1:AG1"/>
    <mergeCell ref="AH1:AI1"/>
    <mergeCell ref="AJ1:AK1"/>
    <mergeCell ref="AL1:AM1"/>
    <mergeCell ref="AN1:AO1"/>
    <mergeCell ref="AP1:AQ1"/>
    <mergeCell ref="AR1:AS1"/>
    <mergeCell ref="P1:Q1"/>
    <mergeCell ref="R1:S1"/>
    <mergeCell ref="T1:U1"/>
    <mergeCell ref="V1:W1"/>
    <mergeCell ref="X1:Y1"/>
    <mergeCell ref="Z1:AA1"/>
    <mergeCell ref="AB1:AC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</cols>
  <sheetData>
    <row r="1">
      <c r="B1" s="9" t="str">
        <f>IFERROR(__xludf.DUMMYFUNCTION("TRANSPOSE(SORT(UNIQUE(FILTER(Data_filtered!F2:F461,Data_filtered!E$2:E$461&lt;&gt;""Não identificado"",Data_filtered!E$2:E$461&lt;&gt;""Semente"",Data_filtered!E$2:E$461&lt;&gt;""Semente de capim"",Data_filtered!E$2:E$461&lt;&gt;""Apenas substrato"",Data_filtered!E$2:E$461&lt;&gt;""Va"&amp;"zio""))))"),"Acari")</f>
        <v>Acari</v>
      </c>
      <c r="C1" s="9" t="str">
        <f>IFERROR(__xludf.DUMMYFUNCTION("""COMPUTED_VALUE"""),"Arachnida")</f>
        <v>Arachnida</v>
      </c>
      <c r="D1" s="9" t="str">
        <f>IFERROR(__xludf.DUMMYFUNCTION("""COMPUTED_VALUE"""),"Araneae")</f>
        <v>Araneae</v>
      </c>
      <c r="E1" s="9" t="str">
        <f>IFERROR(__xludf.DUMMYFUNCTION("""COMPUTED_VALUE"""),"Arthropoda")</f>
        <v>Arthropoda</v>
      </c>
      <c r="F1" s="9" t="str">
        <f>IFERROR(__xludf.DUMMYFUNCTION("""COMPUTED_VALUE"""),"Blattodea")</f>
        <v>Blattodea</v>
      </c>
      <c r="G1" s="9" t="str">
        <f>IFERROR(__xludf.DUMMYFUNCTION("""COMPUTED_VALUE"""),"Chilopoda")</f>
        <v>Chilopoda</v>
      </c>
      <c r="H1" s="9" t="str">
        <f>IFERROR(__xludf.DUMMYFUNCTION("""COMPUTED_VALUE"""),"Coleoptera")</f>
        <v>Coleoptera</v>
      </c>
      <c r="I1" s="9" t="str">
        <f>IFERROR(__xludf.DUMMYFUNCTION("""COMPUTED_VALUE"""),"Coleoptera Larva")</f>
        <v>Coleoptera Larva</v>
      </c>
      <c r="J1" s="9" t="str">
        <f>IFERROR(__xludf.DUMMYFUNCTION("""COMPUTED_VALUE"""),"Collembola")</f>
        <v>Collembola</v>
      </c>
      <c r="K1" s="9" t="str">
        <f>IFERROR(__xludf.DUMMYFUNCTION("""COMPUTED_VALUE"""),"Dermaptera")</f>
        <v>Dermaptera</v>
      </c>
      <c r="L1" s="9" t="str">
        <f>IFERROR(__xludf.DUMMYFUNCTION("""COMPUTED_VALUE"""),"Diplopoda")</f>
        <v>Diplopoda</v>
      </c>
      <c r="M1" s="9" t="str">
        <f>IFERROR(__xludf.DUMMYFUNCTION("""COMPUTED_VALUE"""),"Ensifera")</f>
        <v>Ensifera</v>
      </c>
      <c r="N1" s="9" t="str">
        <f>IFERROR(__xludf.DUMMYFUNCTION("""COMPUTED_VALUE"""),"Formicidae")</f>
        <v>Formicidae</v>
      </c>
      <c r="O1" s="9" t="str">
        <f>IFERROR(__xludf.DUMMYFUNCTION("""COMPUTED_VALUE"""),"Hemiptera")</f>
        <v>Hemiptera</v>
      </c>
      <c r="P1" s="9" t="str">
        <f>IFERROR(__xludf.DUMMYFUNCTION("""COMPUTED_VALUE"""),"Heteroptera")</f>
        <v>Heteroptera</v>
      </c>
      <c r="Q1" s="9" t="str">
        <f>IFERROR(__xludf.DUMMYFUNCTION("""COMPUTED_VALUE"""),"Insecta")</f>
        <v>Insecta</v>
      </c>
      <c r="R1" s="9" t="str">
        <f>IFERROR(__xludf.DUMMYFUNCTION("""COMPUTED_VALUE"""),"Isópode")</f>
        <v>Isópode</v>
      </c>
      <c r="S1" s="9" t="str">
        <f>IFERROR(__xludf.DUMMYFUNCTION("""COMPUTED_VALUE"""),"Isoptera")</f>
        <v>Isoptera</v>
      </c>
      <c r="T1" s="9" t="str">
        <f>IFERROR(__xludf.DUMMYFUNCTION("""COMPUTED_VALUE"""),"Larva")</f>
        <v>Larva</v>
      </c>
      <c r="U1" s="9" t="str">
        <f>IFERROR(__xludf.DUMMYFUNCTION("""COMPUTED_VALUE"""),"Lepidoptera Larva")</f>
        <v>Lepidoptera Larva</v>
      </c>
      <c r="V1" s="9" t="str">
        <f>IFERROR(__xludf.DUMMYFUNCTION("""COMPUTED_VALUE"""),"Mantodea")</f>
        <v>Mantodea</v>
      </c>
      <c r="W1" s="9" t="str">
        <f>IFERROR(__xludf.DUMMYFUNCTION("""COMPUTED_VALUE"""),"Mosca")</f>
        <v>Mosca</v>
      </c>
      <c r="X1" s="9" t="str">
        <f>IFERROR(__xludf.DUMMYFUNCTION("""COMPUTED_VALUE"""),"Opiliones")</f>
        <v>Opiliones</v>
      </c>
      <c r="Y1" s="9" t="str">
        <f>IFERROR(__xludf.DUMMYFUNCTION("""COMPUTED_VALUE"""),"Orthoptera")</f>
        <v>Orthoptera</v>
      </c>
      <c r="Z1" s="9" t="str">
        <f>IFERROR(__xludf.DUMMYFUNCTION("""COMPUTED_VALUE"""),"Pscoptera")</f>
        <v>Pscoptera</v>
      </c>
      <c r="AA1" s="9" t="str">
        <f>IFERROR(__xludf.DUMMYFUNCTION("""COMPUTED_VALUE"""),"Pterygota")</f>
        <v>Pterygota</v>
      </c>
      <c r="AB1" s="9" t="str">
        <f>IFERROR(__xludf.DUMMYFUNCTION("""COMPUTED_VALUE"""),"Staphylinidae")</f>
        <v>Staphylinidae</v>
      </c>
      <c r="AC1" s="9" t="str">
        <f>IFERROR(__xludf.DUMMYFUNCTION("""COMPUTED_VALUE"""),"Thysanoptera")</f>
        <v>Thysanoptera</v>
      </c>
      <c r="AD1" s="9" t="str">
        <f>IFERROR(__xludf.DUMMYFUNCTION("""COMPUTED_VALUE"""),"Vespa")</f>
        <v>Vespa</v>
      </c>
    </row>
    <row r="2">
      <c r="A2" s="9" t="str">
        <f>IFERROR(__xludf.DUMMYFUNCTION("SORT(UNIQUE(FILTER(Data_filtered!$A$2:$A$461,Data_filtered!$E$2:$E$461&lt;&gt;""Vazio"",Data_filtered!$E$2:$E$461&lt;&gt;""Não identificado"",Data_filtered!$E$2:$E$461&lt;&gt;""Semente"",Data_filtered!$E$2:$E$461&lt;&gt;""Semente de capim"",Data_filtered!$E$2:$E$461&lt;&gt;""Apenas su"&amp;"bstrato"", Data_filtered!$D$2:$D$461 =""eucalipto"")))"),"Aplastodiscus albosignatus")</f>
        <v>Aplastodiscus albosignatus</v>
      </c>
      <c r="B2" s="9">
        <f>SUMIFS(Data_filtered!$G$2:$G$461,Data_filtered!$A$2:$A$461,$A2,Data_filtered!$F$2:$F$461,B$1,Data_filtered!$D$2:$D$461,"eucalipto")</f>
        <v>0</v>
      </c>
      <c r="C2" s="9">
        <f>SUMIFS(Data_filtered!$G$2:$G$461,Data_filtered!$A$2:$A$461,$A2,Data_filtered!$F$2:$F$461,C$1,Data_filtered!$D$2:$D$461,"eucalipto")</f>
        <v>0</v>
      </c>
      <c r="D2" s="9">
        <f>SUMIFS(Data_filtered!$G$2:$G$461,Data_filtered!$A$2:$A$461,$A2,Data_filtered!$F$2:$F$461,D$1,Data_filtered!$D$2:$D$461,"eucalipto")</f>
        <v>0</v>
      </c>
      <c r="E2" s="9">
        <f>SUMIFS(Data_filtered!$G$2:$G$461,Data_filtered!$A$2:$A$461,$A2,Data_filtered!$F$2:$F$461,E$1,Data_filtered!$D$2:$D$461,"eucalipto")</f>
        <v>0</v>
      </c>
      <c r="F2" s="9">
        <f>SUMIFS(Data_filtered!$G$2:$G$461,Data_filtered!$A$2:$A$461,$A2,Data_filtered!$F$2:$F$461,F$1,Data_filtered!$D$2:$D$461,"eucalipto")</f>
        <v>0</v>
      </c>
      <c r="G2" s="9">
        <f>SUMIFS(Data_filtered!$G$2:$G$461,Data_filtered!$A$2:$A$461,$A2,Data_filtered!$F$2:$F$461,G$1,Data_filtered!$D$2:$D$461,"eucalipto")</f>
        <v>0</v>
      </c>
      <c r="H2" s="9">
        <f>SUMIFS(Data_filtered!$G$2:$G$461,Data_filtered!$A$2:$A$461,$A2,Data_filtered!$F$2:$F$461,H$1,Data_filtered!$D$2:$D$461,"eucalipto")</f>
        <v>1</v>
      </c>
      <c r="I2" s="9">
        <f>SUMIFS(Data_filtered!$G$2:$G$461,Data_filtered!$A$2:$A$461,$A2,Data_filtered!$F$2:$F$461,I$1,Data_filtered!$D$2:$D$461,"eucalipto")</f>
        <v>0</v>
      </c>
      <c r="J2" s="9">
        <f>SUMIFS(Data_filtered!$G$2:$G$461,Data_filtered!$A$2:$A$461,$A2,Data_filtered!$F$2:$F$461,J$1,Data_filtered!$D$2:$D$461,"eucalipto")</f>
        <v>0</v>
      </c>
      <c r="K2" s="9">
        <f>SUMIFS(Data_filtered!$G$2:$G$461,Data_filtered!$A$2:$A$461,$A2,Data_filtered!$F$2:$F$461,K$1,Data_filtered!$D$2:$D$461,"eucalipto")</f>
        <v>0</v>
      </c>
      <c r="L2" s="9">
        <f>SUMIFS(Data_filtered!$G$2:$G$461,Data_filtered!$A$2:$A$461,$A2,Data_filtered!$F$2:$F$461,L$1,Data_filtered!$D$2:$D$461,"eucalipto")</f>
        <v>0</v>
      </c>
      <c r="M2" s="9">
        <f>SUMIFS(Data_filtered!$G$2:$G$461,Data_filtered!$A$2:$A$461,$A2,Data_filtered!$F$2:$F$461,M$1,Data_filtered!$D$2:$D$461,"eucalipto")</f>
        <v>0</v>
      </c>
      <c r="N2" s="9">
        <f>SUMIFS(Data_filtered!$G$2:$G$461,Data_filtered!$A$2:$A$461,$A2,Data_filtered!$F$2:$F$461,N$1,Data_filtered!$D$2:$D$461,"eucalipto")</f>
        <v>1</v>
      </c>
      <c r="O2" s="9">
        <f>SUMIFS(Data_filtered!$G$2:$G$461,Data_filtered!$A$2:$A$461,$A2,Data_filtered!$F$2:$F$461,O$1,Data_filtered!$D$2:$D$461,"eucalipto")</f>
        <v>0</v>
      </c>
      <c r="P2" s="9">
        <f>SUMIFS(Data_filtered!$G$2:$G$461,Data_filtered!$A$2:$A$461,$A2,Data_filtered!$F$2:$F$461,P$1,Data_filtered!$D$2:$D$461,"eucalipto")</f>
        <v>0</v>
      </c>
      <c r="Q2" s="9">
        <f>SUMIFS(Data_filtered!$G$2:$G$461,Data_filtered!$A$2:$A$461,$A2,Data_filtered!$F$2:$F$461,Q$1,Data_filtered!$D$2:$D$461,"eucalipto")</f>
        <v>1</v>
      </c>
      <c r="R2" s="9">
        <f>SUMIFS(Data_filtered!$G$2:$G$461,Data_filtered!$A$2:$A$461,$A2,Data_filtered!$F$2:$F$461,R$1,Data_filtered!$D$2:$D$461,"eucalipto")</f>
        <v>0</v>
      </c>
      <c r="S2" s="9">
        <f>SUMIFS(Data_filtered!$G$2:$G$461,Data_filtered!$A$2:$A$461,$A2,Data_filtered!$F$2:$F$461,S$1,Data_filtered!$D$2:$D$461,"eucalipto")</f>
        <v>0</v>
      </c>
      <c r="T2" s="9">
        <f>SUMIFS(Data_filtered!$G$2:$G$461,Data_filtered!$A$2:$A$461,$A2,Data_filtered!$F$2:$F$461,T$1,Data_filtered!$D$2:$D$461,"eucalipto")</f>
        <v>0</v>
      </c>
      <c r="U2" s="9">
        <f>SUMIFS(Data_filtered!$G$2:$G$461,Data_filtered!$A$2:$A$461,$A2,Data_filtered!$F$2:$F$461,U$1,Data_filtered!$D$2:$D$461,"eucalipto")</f>
        <v>0</v>
      </c>
      <c r="V2" s="9">
        <f>SUMIFS(Data_filtered!$G$2:$G$461,Data_filtered!$A$2:$A$461,$A2,Data_filtered!$F$2:$F$461,V$1,Data_filtered!$D$2:$D$461,"eucalipto")</f>
        <v>0</v>
      </c>
      <c r="W2" s="9">
        <f>SUMIFS(Data_filtered!$G$2:$G$461,Data_filtered!$A$2:$A$461,$A2,Data_filtered!$F$2:$F$461,W$1,Data_filtered!$D$2:$D$461,"eucalipto")</f>
        <v>0</v>
      </c>
      <c r="X2" s="9">
        <f>SUMIFS(Data_filtered!$G$2:$G$461,Data_filtered!$A$2:$A$461,$A2,Data_filtered!$F$2:$F$461,X$1,Data_filtered!$D$2:$D$461,"eucalipto")</f>
        <v>0</v>
      </c>
      <c r="Y2" s="9">
        <f>SUMIFS(Data_filtered!$G$2:$G$461,Data_filtered!$A$2:$A$461,$A2,Data_filtered!$F$2:$F$461,Y$1,Data_filtered!$D$2:$D$461,"eucalipto")</f>
        <v>0</v>
      </c>
      <c r="Z2" s="9">
        <f>SUMIFS(Data_filtered!$G$2:$G$461,Data_filtered!$A$2:$A$461,$A2,Data_filtered!$F$2:$F$461,Z$1,Data_filtered!$D$2:$D$461,"eucalipto")</f>
        <v>0</v>
      </c>
      <c r="AA2" s="9">
        <f>SUMIFS(Data_filtered!$G$2:$G$461,Data_filtered!$A$2:$A$461,$A2,Data_filtered!$F$2:$F$461,AA$1,Data_filtered!$D$2:$D$461,"eucalipto")</f>
        <v>0</v>
      </c>
      <c r="AB2" s="9">
        <f>SUMIFS(Data_filtered!$G$2:$G$461,Data_filtered!$A$2:$A$461,$A2,Data_filtered!$F$2:$F$461,AB$1,Data_filtered!$D$2:$D$461,"eucalipto")</f>
        <v>0</v>
      </c>
      <c r="AC2" s="9">
        <f>SUMIFS(Data_filtered!$G$2:$G$461,Data_filtered!$A$2:$A$461,$A2,Data_filtered!$F$2:$F$461,AC$1,Data_filtered!$D$2:$D$461,"eucalipto")</f>
        <v>0</v>
      </c>
      <c r="AD2" s="9">
        <f>SUMIFS(Data_filtered!$G$2:$G$461,Data_filtered!$A$2:$A$461,$A2,Data_filtered!$F$2:$F$461,AD$1,Data_filtered!$D$2:$D$461,"eucalipto")</f>
        <v>0</v>
      </c>
    </row>
    <row r="3">
      <c r="A3" s="9" t="str">
        <f>IFERROR(__xludf.DUMMYFUNCTION("""COMPUTED_VALUE"""),"Boana faber")</f>
        <v>Boana faber</v>
      </c>
      <c r="B3" s="9">
        <f>SUMIFS(Data_filtered!$G$2:$G$461,Data_filtered!$A$2:$A$461,$A3,Data_filtered!$F$2:$F$461,B$1,Data_filtered!$D$2:$D$461,"eucalipto")</f>
        <v>0</v>
      </c>
      <c r="C3" s="9">
        <f>SUMIFS(Data_filtered!$G$2:$G$461,Data_filtered!$A$2:$A$461,$A3,Data_filtered!$F$2:$F$461,C$1,Data_filtered!$D$2:$D$461,"eucalipto")</f>
        <v>0</v>
      </c>
      <c r="D3" s="9">
        <f>SUMIFS(Data_filtered!$G$2:$G$461,Data_filtered!$A$2:$A$461,$A3,Data_filtered!$F$2:$F$461,D$1,Data_filtered!$D$2:$D$461,"eucalipto")</f>
        <v>0</v>
      </c>
      <c r="E3" s="9">
        <f>SUMIFS(Data_filtered!$G$2:$G$461,Data_filtered!$A$2:$A$461,$A3,Data_filtered!$F$2:$F$461,E$1,Data_filtered!$D$2:$D$461,"eucalipto")</f>
        <v>0</v>
      </c>
      <c r="F3" s="9">
        <f>SUMIFS(Data_filtered!$G$2:$G$461,Data_filtered!$A$2:$A$461,$A3,Data_filtered!$F$2:$F$461,F$1,Data_filtered!$D$2:$D$461,"eucalipto")</f>
        <v>1</v>
      </c>
      <c r="G3" s="9">
        <f>SUMIFS(Data_filtered!$G$2:$G$461,Data_filtered!$A$2:$A$461,$A3,Data_filtered!$F$2:$F$461,G$1,Data_filtered!$D$2:$D$461,"eucalipto")</f>
        <v>0</v>
      </c>
      <c r="H3" s="9">
        <f>SUMIFS(Data_filtered!$G$2:$G$461,Data_filtered!$A$2:$A$461,$A3,Data_filtered!$F$2:$F$461,H$1,Data_filtered!$D$2:$D$461,"eucalipto")</f>
        <v>0</v>
      </c>
      <c r="I3" s="9">
        <f>SUMIFS(Data_filtered!$G$2:$G$461,Data_filtered!$A$2:$A$461,$A3,Data_filtered!$F$2:$F$461,I$1,Data_filtered!$D$2:$D$461,"eucalipto")</f>
        <v>0</v>
      </c>
      <c r="J3" s="9">
        <f>SUMIFS(Data_filtered!$G$2:$G$461,Data_filtered!$A$2:$A$461,$A3,Data_filtered!$F$2:$F$461,J$1,Data_filtered!$D$2:$D$461,"eucalipto")</f>
        <v>0</v>
      </c>
      <c r="K3" s="9">
        <f>SUMIFS(Data_filtered!$G$2:$G$461,Data_filtered!$A$2:$A$461,$A3,Data_filtered!$F$2:$F$461,K$1,Data_filtered!$D$2:$D$461,"eucalipto")</f>
        <v>0</v>
      </c>
      <c r="L3" s="9">
        <f>SUMIFS(Data_filtered!$G$2:$G$461,Data_filtered!$A$2:$A$461,$A3,Data_filtered!$F$2:$F$461,L$1,Data_filtered!$D$2:$D$461,"eucalipto")</f>
        <v>0</v>
      </c>
      <c r="M3" s="9">
        <f>SUMIFS(Data_filtered!$G$2:$G$461,Data_filtered!$A$2:$A$461,$A3,Data_filtered!$F$2:$F$461,M$1,Data_filtered!$D$2:$D$461,"eucalipto")</f>
        <v>0</v>
      </c>
      <c r="N3" s="9">
        <f>SUMIFS(Data_filtered!$G$2:$G$461,Data_filtered!$A$2:$A$461,$A3,Data_filtered!$F$2:$F$461,N$1,Data_filtered!$D$2:$D$461,"eucalipto")</f>
        <v>0</v>
      </c>
      <c r="O3" s="9">
        <f>SUMIFS(Data_filtered!$G$2:$G$461,Data_filtered!$A$2:$A$461,$A3,Data_filtered!$F$2:$F$461,O$1,Data_filtered!$D$2:$D$461,"eucalipto")</f>
        <v>0</v>
      </c>
      <c r="P3" s="9">
        <f>SUMIFS(Data_filtered!$G$2:$G$461,Data_filtered!$A$2:$A$461,$A3,Data_filtered!$F$2:$F$461,P$1,Data_filtered!$D$2:$D$461,"eucalipto")</f>
        <v>0</v>
      </c>
      <c r="Q3" s="9">
        <f>SUMIFS(Data_filtered!$G$2:$G$461,Data_filtered!$A$2:$A$461,$A3,Data_filtered!$F$2:$F$461,Q$1,Data_filtered!$D$2:$D$461,"eucalipto")</f>
        <v>0</v>
      </c>
      <c r="R3" s="9">
        <f>SUMIFS(Data_filtered!$G$2:$G$461,Data_filtered!$A$2:$A$461,$A3,Data_filtered!$F$2:$F$461,R$1,Data_filtered!$D$2:$D$461,"eucalipto")</f>
        <v>0</v>
      </c>
      <c r="S3" s="9">
        <f>SUMIFS(Data_filtered!$G$2:$G$461,Data_filtered!$A$2:$A$461,$A3,Data_filtered!$F$2:$F$461,S$1,Data_filtered!$D$2:$D$461,"eucalipto")</f>
        <v>0</v>
      </c>
      <c r="T3" s="9">
        <f>SUMIFS(Data_filtered!$G$2:$G$461,Data_filtered!$A$2:$A$461,$A3,Data_filtered!$F$2:$F$461,T$1,Data_filtered!$D$2:$D$461,"eucalipto")</f>
        <v>0</v>
      </c>
      <c r="U3" s="9">
        <f>SUMIFS(Data_filtered!$G$2:$G$461,Data_filtered!$A$2:$A$461,$A3,Data_filtered!$F$2:$F$461,U$1,Data_filtered!$D$2:$D$461,"eucalipto")</f>
        <v>0</v>
      </c>
      <c r="V3" s="9">
        <f>SUMIFS(Data_filtered!$G$2:$G$461,Data_filtered!$A$2:$A$461,$A3,Data_filtered!$F$2:$F$461,V$1,Data_filtered!$D$2:$D$461,"eucalipto")</f>
        <v>0</v>
      </c>
      <c r="W3" s="9">
        <f>SUMIFS(Data_filtered!$G$2:$G$461,Data_filtered!$A$2:$A$461,$A3,Data_filtered!$F$2:$F$461,W$1,Data_filtered!$D$2:$D$461,"eucalipto")</f>
        <v>0</v>
      </c>
      <c r="X3" s="9">
        <f>SUMIFS(Data_filtered!$G$2:$G$461,Data_filtered!$A$2:$A$461,$A3,Data_filtered!$F$2:$F$461,X$1,Data_filtered!$D$2:$D$461,"eucalipto")</f>
        <v>0</v>
      </c>
      <c r="Y3" s="9">
        <f>SUMIFS(Data_filtered!$G$2:$G$461,Data_filtered!$A$2:$A$461,$A3,Data_filtered!$F$2:$F$461,Y$1,Data_filtered!$D$2:$D$461,"eucalipto")</f>
        <v>0</v>
      </c>
      <c r="Z3" s="9">
        <f>SUMIFS(Data_filtered!$G$2:$G$461,Data_filtered!$A$2:$A$461,$A3,Data_filtered!$F$2:$F$461,Z$1,Data_filtered!$D$2:$D$461,"eucalipto")</f>
        <v>0</v>
      </c>
      <c r="AA3" s="9">
        <f>SUMIFS(Data_filtered!$G$2:$G$461,Data_filtered!$A$2:$A$461,$A3,Data_filtered!$F$2:$F$461,AA$1,Data_filtered!$D$2:$D$461,"eucalipto")</f>
        <v>0</v>
      </c>
      <c r="AB3" s="9">
        <f>SUMIFS(Data_filtered!$G$2:$G$461,Data_filtered!$A$2:$A$461,$A3,Data_filtered!$F$2:$F$461,AB$1,Data_filtered!$D$2:$D$461,"eucalipto")</f>
        <v>0</v>
      </c>
      <c r="AC3" s="9">
        <f>SUMIFS(Data_filtered!$G$2:$G$461,Data_filtered!$A$2:$A$461,$A3,Data_filtered!$F$2:$F$461,AC$1,Data_filtered!$D$2:$D$461,"eucalipto")</f>
        <v>0</v>
      </c>
      <c r="AD3" s="9">
        <f>SUMIFS(Data_filtered!$G$2:$G$461,Data_filtered!$A$2:$A$461,$A3,Data_filtered!$F$2:$F$461,AD$1,Data_filtered!$D$2:$D$461,"eucalipto")</f>
        <v>0</v>
      </c>
    </row>
    <row r="4">
      <c r="A4" s="9" t="str">
        <f>IFERROR(__xludf.DUMMYFUNCTION("""COMPUTED_VALUE"""),"Boana prasina")</f>
        <v>Boana prasina</v>
      </c>
      <c r="B4" s="9">
        <f>SUMIFS(Data_filtered!$G$2:$G$461,Data_filtered!$A$2:$A$461,$A4,Data_filtered!$F$2:$F$461,B$1,Data_filtered!$D$2:$D$461,"eucalipto")</f>
        <v>0</v>
      </c>
      <c r="C4" s="9">
        <f>SUMIFS(Data_filtered!$G$2:$G$461,Data_filtered!$A$2:$A$461,$A4,Data_filtered!$F$2:$F$461,C$1,Data_filtered!$D$2:$D$461,"eucalipto")</f>
        <v>0</v>
      </c>
      <c r="D4" s="9">
        <f>SUMIFS(Data_filtered!$G$2:$G$461,Data_filtered!$A$2:$A$461,$A4,Data_filtered!$F$2:$F$461,D$1,Data_filtered!$D$2:$D$461,"eucalipto")</f>
        <v>0</v>
      </c>
      <c r="E4" s="9">
        <f>SUMIFS(Data_filtered!$G$2:$G$461,Data_filtered!$A$2:$A$461,$A4,Data_filtered!$F$2:$F$461,E$1,Data_filtered!$D$2:$D$461,"eucalipto")</f>
        <v>0</v>
      </c>
      <c r="F4" s="9">
        <f>SUMIFS(Data_filtered!$G$2:$G$461,Data_filtered!$A$2:$A$461,$A4,Data_filtered!$F$2:$F$461,F$1,Data_filtered!$D$2:$D$461,"eucalipto")</f>
        <v>0</v>
      </c>
      <c r="G4" s="9">
        <f>SUMIFS(Data_filtered!$G$2:$G$461,Data_filtered!$A$2:$A$461,$A4,Data_filtered!$F$2:$F$461,G$1,Data_filtered!$D$2:$D$461,"eucalipto")</f>
        <v>0</v>
      </c>
      <c r="H4" s="9">
        <f>SUMIFS(Data_filtered!$G$2:$G$461,Data_filtered!$A$2:$A$461,$A4,Data_filtered!$F$2:$F$461,H$1,Data_filtered!$D$2:$D$461,"eucalipto")</f>
        <v>0</v>
      </c>
      <c r="I4" s="9">
        <f>SUMIFS(Data_filtered!$G$2:$G$461,Data_filtered!$A$2:$A$461,$A4,Data_filtered!$F$2:$F$461,I$1,Data_filtered!$D$2:$D$461,"eucalipto")</f>
        <v>0</v>
      </c>
      <c r="J4" s="9">
        <f>SUMIFS(Data_filtered!$G$2:$G$461,Data_filtered!$A$2:$A$461,$A4,Data_filtered!$F$2:$F$461,J$1,Data_filtered!$D$2:$D$461,"eucalipto")</f>
        <v>0</v>
      </c>
      <c r="K4" s="9">
        <f>SUMIFS(Data_filtered!$G$2:$G$461,Data_filtered!$A$2:$A$461,$A4,Data_filtered!$F$2:$F$461,K$1,Data_filtered!$D$2:$D$461,"eucalipto")</f>
        <v>0</v>
      </c>
      <c r="L4" s="9">
        <f>SUMIFS(Data_filtered!$G$2:$G$461,Data_filtered!$A$2:$A$461,$A4,Data_filtered!$F$2:$F$461,L$1,Data_filtered!$D$2:$D$461,"eucalipto")</f>
        <v>0</v>
      </c>
      <c r="M4" s="9">
        <f>SUMIFS(Data_filtered!$G$2:$G$461,Data_filtered!$A$2:$A$461,$A4,Data_filtered!$F$2:$F$461,M$1,Data_filtered!$D$2:$D$461,"eucalipto")</f>
        <v>0</v>
      </c>
      <c r="N4" s="9">
        <f>SUMIFS(Data_filtered!$G$2:$G$461,Data_filtered!$A$2:$A$461,$A4,Data_filtered!$F$2:$F$461,N$1,Data_filtered!$D$2:$D$461,"eucalipto")</f>
        <v>0</v>
      </c>
      <c r="O4" s="9">
        <f>SUMIFS(Data_filtered!$G$2:$G$461,Data_filtered!$A$2:$A$461,$A4,Data_filtered!$F$2:$F$461,O$1,Data_filtered!$D$2:$D$461,"eucalipto")</f>
        <v>0</v>
      </c>
      <c r="P4" s="9">
        <f>SUMIFS(Data_filtered!$G$2:$G$461,Data_filtered!$A$2:$A$461,$A4,Data_filtered!$F$2:$F$461,P$1,Data_filtered!$D$2:$D$461,"eucalipto")</f>
        <v>0</v>
      </c>
      <c r="Q4" s="9">
        <f>SUMIFS(Data_filtered!$G$2:$G$461,Data_filtered!$A$2:$A$461,$A4,Data_filtered!$F$2:$F$461,Q$1,Data_filtered!$D$2:$D$461,"eucalipto")</f>
        <v>0</v>
      </c>
      <c r="R4" s="9">
        <f>SUMIFS(Data_filtered!$G$2:$G$461,Data_filtered!$A$2:$A$461,$A4,Data_filtered!$F$2:$F$461,R$1,Data_filtered!$D$2:$D$461,"eucalipto")</f>
        <v>0</v>
      </c>
      <c r="S4" s="9">
        <f>SUMIFS(Data_filtered!$G$2:$G$461,Data_filtered!$A$2:$A$461,$A4,Data_filtered!$F$2:$F$461,S$1,Data_filtered!$D$2:$D$461,"eucalipto")</f>
        <v>0</v>
      </c>
      <c r="T4" s="9">
        <f>SUMIFS(Data_filtered!$G$2:$G$461,Data_filtered!$A$2:$A$461,$A4,Data_filtered!$F$2:$F$461,T$1,Data_filtered!$D$2:$D$461,"eucalipto")</f>
        <v>0</v>
      </c>
      <c r="U4" s="9">
        <f>SUMIFS(Data_filtered!$G$2:$G$461,Data_filtered!$A$2:$A$461,$A4,Data_filtered!$F$2:$F$461,U$1,Data_filtered!$D$2:$D$461,"eucalipto")</f>
        <v>0</v>
      </c>
      <c r="V4" s="9">
        <f>SUMIFS(Data_filtered!$G$2:$G$461,Data_filtered!$A$2:$A$461,$A4,Data_filtered!$F$2:$F$461,V$1,Data_filtered!$D$2:$D$461,"eucalipto")</f>
        <v>0</v>
      </c>
      <c r="W4" s="9">
        <f>SUMIFS(Data_filtered!$G$2:$G$461,Data_filtered!$A$2:$A$461,$A4,Data_filtered!$F$2:$F$461,W$1,Data_filtered!$D$2:$D$461,"eucalipto")</f>
        <v>0</v>
      </c>
      <c r="X4" s="9">
        <f>SUMIFS(Data_filtered!$G$2:$G$461,Data_filtered!$A$2:$A$461,$A4,Data_filtered!$F$2:$F$461,X$1,Data_filtered!$D$2:$D$461,"eucalipto")</f>
        <v>0</v>
      </c>
      <c r="Y4" s="9">
        <f>SUMIFS(Data_filtered!$G$2:$G$461,Data_filtered!$A$2:$A$461,$A4,Data_filtered!$F$2:$F$461,Y$1,Data_filtered!$D$2:$D$461,"eucalipto")</f>
        <v>1</v>
      </c>
      <c r="Z4" s="9">
        <f>SUMIFS(Data_filtered!$G$2:$G$461,Data_filtered!$A$2:$A$461,$A4,Data_filtered!$F$2:$F$461,Z$1,Data_filtered!$D$2:$D$461,"eucalipto")</f>
        <v>0</v>
      </c>
      <c r="AA4" s="9">
        <f>SUMIFS(Data_filtered!$G$2:$G$461,Data_filtered!$A$2:$A$461,$A4,Data_filtered!$F$2:$F$461,AA$1,Data_filtered!$D$2:$D$461,"eucalipto")</f>
        <v>0</v>
      </c>
      <c r="AB4" s="9">
        <f>SUMIFS(Data_filtered!$G$2:$G$461,Data_filtered!$A$2:$A$461,$A4,Data_filtered!$F$2:$F$461,AB$1,Data_filtered!$D$2:$D$461,"eucalipto")</f>
        <v>0</v>
      </c>
      <c r="AC4" s="9">
        <f>SUMIFS(Data_filtered!$G$2:$G$461,Data_filtered!$A$2:$A$461,$A4,Data_filtered!$F$2:$F$461,AC$1,Data_filtered!$D$2:$D$461,"eucalipto")</f>
        <v>0</v>
      </c>
      <c r="AD4" s="9">
        <f>SUMIFS(Data_filtered!$G$2:$G$461,Data_filtered!$A$2:$A$461,$A4,Data_filtered!$F$2:$F$461,AD$1,Data_filtered!$D$2:$D$461,"eucalipto")</f>
        <v>0</v>
      </c>
    </row>
    <row r="5">
      <c r="A5" s="9" t="str">
        <f>IFERROR(__xludf.DUMMYFUNCTION("""COMPUTED_VALUE"""),"Chiasmocleis mantiqueira")</f>
        <v>Chiasmocleis mantiqueira</v>
      </c>
      <c r="B5" s="9">
        <f>SUMIFS(Data_filtered!$G$2:$G$461,Data_filtered!$A$2:$A$461,$A5,Data_filtered!$F$2:$F$461,B$1,Data_filtered!$D$2:$D$461,"eucalipto")</f>
        <v>1</v>
      </c>
      <c r="C5" s="9">
        <f>SUMIFS(Data_filtered!$G$2:$G$461,Data_filtered!$A$2:$A$461,$A5,Data_filtered!$F$2:$F$461,C$1,Data_filtered!$D$2:$D$461,"eucalipto")</f>
        <v>0</v>
      </c>
      <c r="D5" s="9">
        <f>SUMIFS(Data_filtered!$G$2:$G$461,Data_filtered!$A$2:$A$461,$A5,Data_filtered!$F$2:$F$461,D$1,Data_filtered!$D$2:$D$461,"eucalipto")</f>
        <v>0</v>
      </c>
      <c r="E5" s="9">
        <f>SUMIFS(Data_filtered!$G$2:$G$461,Data_filtered!$A$2:$A$461,$A5,Data_filtered!$F$2:$F$461,E$1,Data_filtered!$D$2:$D$461,"eucalipto")</f>
        <v>2</v>
      </c>
      <c r="F5" s="9">
        <f>SUMIFS(Data_filtered!$G$2:$G$461,Data_filtered!$A$2:$A$461,$A5,Data_filtered!$F$2:$F$461,F$1,Data_filtered!$D$2:$D$461,"eucalipto")</f>
        <v>0</v>
      </c>
      <c r="G5" s="9">
        <f>SUMIFS(Data_filtered!$G$2:$G$461,Data_filtered!$A$2:$A$461,$A5,Data_filtered!$F$2:$F$461,G$1,Data_filtered!$D$2:$D$461,"eucalipto")</f>
        <v>0</v>
      </c>
      <c r="H5" s="9">
        <f>SUMIFS(Data_filtered!$G$2:$G$461,Data_filtered!$A$2:$A$461,$A5,Data_filtered!$F$2:$F$461,H$1,Data_filtered!$D$2:$D$461,"eucalipto")</f>
        <v>4</v>
      </c>
      <c r="I5" s="9">
        <f>SUMIFS(Data_filtered!$G$2:$G$461,Data_filtered!$A$2:$A$461,$A5,Data_filtered!$F$2:$F$461,I$1,Data_filtered!$D$2:$D$461,"eucalipto")</f>
        <v>0</v>
      </c>
      <c r="J5" s="9">
        <f>SUMIFS(Data_filtered!$G$2:$G$461,Data_filtered!$A$2:$A$461,$A5,Data_filtered!$F$2:$F$461,J$1,Data_filtered!$D$2:$D$461,"eucalipto")</f>
        <v>0</v>
      </c>
      <c r="K5" s="9">
        <f>SUMIFS(Data_filtered!$G$2:$G$461,Data_filtered!$A$2:$A$461,$A5,Data_filtered!$F$2:$F$461,K$1,Data_filtered!$D$2:$D$461,"eucalipto")</f>
        <v>0</v>
      </c>
      <c r="L5" s="9">
        <f>SUMIFS(Data_filtered!$G$2:$G$461,Data_filtered!$A$2:$A$461,$A5,Data_filtered!$F$2:$F$461,L$1,Data_filtered!$D$2:$D$461,"eucalipto")</f>
        <v>0</v>
      </c>
      <c r="M5" s="9">
        <f>SUMIFS(Data_filtered!$G$2:$G$461,Data_filtered!$A$2:$A$461,$A5,Data_filtered!$F$2:$F$461,M$1,Data_filtered!$D$2:$D$461,"eucalipto")</f>
        <v>0</v>
      </c>
      <c r="N5" s="9">
        <f>SUMIFS(Data_filtered!$G$2:$G$461,Data_filtered!$A$2:$A$461,$A5,Data_filtered!$F$2:$F$461,N$1,Data_filtered!$D$2:$D$461,"eucalipto")</f>
        <v>79</v>
      </c>
      <c r="O5" s="9">
        <f>SUMIFS(Data_filtered!$G$2:$G$461,Data_filtered!$A$2:$A$461,$A5,Data_filtered!$F$2:$F$461,O$1,Data_filtered!$D$2:$D$461,"eucalipto")</f>
        <v>0</v>
      </c>
      <c r="P5" s="9">
        <f>SUMIFS(Data_filtered!$G$2:$G$461,Data_filtered!$A$2:$A$461,$A5,Data_filtered!$F$2:$F$461,P$1,Data_filtered!$D$2:$D$461,"eucalipto")</f>
        <v>0</v>
      </c>
      <c r="Q5" s="9">
        <f>SUMIFS(Data_filtered!$G$2:$G$461,Data_filtered!$A$2:$A$461,$A5,Data_filtered!$F$2:$F$461,Q$1,Data_filtered!$D$2:$D$461,"eucalipto")</f>
        <v>0</v>
      </c>
      <c r="R5" s="9">
        <f>SUMIFS(Data_filtered!$G$2:$G$461,Data_filtered!$A$2:$A$461,$A5,Data_filtered!$F$2:$F$461,R$1,Data_filtered!$D$2:$D$461,"eucalipto")</f>
        <v>0</v>
      </c>
      <c r="S5" s="9">
        <f>SUMIFS(Data_filtered!$G$2:$G$461,Data_filtered!$A$2:$A$461,$A5,Data_filtered!$F$2:$F$461,S$1,Data_filtered!$D$2:$D$461,"eucalipto")</f>
        <v>0</v>
      </c>
      <c r="T5" s="9">
        <f>SUMIFS(Data_filtered!$G$2:$G$461,Data_filtered!$A$2:$A$461,$A5,Data_filtered!$F$2:$F$461,T$1,Data_filtered!$D$2:$D$461,"eucalipto")</f>
        <v>0</v>
      </c>
      <c r="U5" s="9">
        <f>SUMIFS(Data_filtered!$G$2:$G$461,Data_filtered!$A$2:$A$461,$A5,Data_filtered!$F$2:$F$461,U$1,Data_filtered!$D$2:$D$461,"eucalipto")</f>
        <v>0</v>
      </c>
      <c r="V5" s="9">
        <f>SUMIFS(Data_filtered!$G$2:$G$461,Data_filtered!$A$2:$A$461,$A5,Data_filtered!$F$2:$F$461,V$1,Data_filtered!$D$2:$D$461,"eucalipto")</f>
        <v>0</v>
      </c>
      <c r="W5" s="9">
        <f>SUMIFS(Data_filtered!$G$2:$G$461,Data_filtered!$A$2:$A$461,$A5,Data_filtered!$F$2:$F$461,W$1,Data_filtered!$D$2:$D$461,"eucalipto")</f>
        <v>0</v>
      </c>
      <c r="X5" s="9">
        <f>SUMIFS(Data_filtered!$G$2:$G$461,Data_filtered!$A$2:$A$461,$A5,Data_filtered!$F$2:$F$461,X$1,Data_filtered!$D$2:$D$461,"eucalipto")</f>
        <v>1</v>
      </c>
      <c r="Y5" s="9">
        <f>SUMIFS(Data_filtered!$G$2:$G$461,Data_filtered!$A$2:$A$461,$A5,Data_filtered!$F$2:$F$461,Y$1,Data_filtered!$D$2:$D$461,"eucalipto")</f>
        <v>0</v>
      </c>
      <c r="Z5" s="9">
        <f>SUMIFS(Data_filtered!$G$2:$G$461,Data_filtered!$A$2:$A$461,$A5,Data_filtered!$F$2:$F$461,Z$1,Data_filtered!$D$2:$D$461,"eucalipto")</f>
        <v>0</v>
      </c>
      <c r="AA5" s="9">
        <f>SUMIFS(Data_filtered!$G$2:$G$461,Data_filtered!$A$2:$A$461,$A5,Data_filtered!$F$2:$F$461,AA$1,Data_filtered!$D$2:$D$461,"eucalipto")</f>
        <v>0</v>
      </c>
      <c r="AB5" s="9">
        <f>SUMIFS(Data_filtered!$G$2:$G$461,Data_filtered!$A$2:$A$461,$A5,Data_filtered!$F$2:$F$461,AB$1,Data_filtered!$D$2:$D$461,"eucalipto")</f>
        <v>0</v>
      </c>
      <c r="AC5" s="9">
        <f>SUMIFS(Data_filtered!$G$2:$G$461,Data_filtered!$A$2:$A$461,$A5,Data_filtered!$F$2:$F$461,AC$1,Data_filtered!$D$2:$D$461,"eucalipto")</f>
        <v>0</v>
      </c>
      <c r="AD5" s="9">
        <f>SUMIFS(Data_filtered!$G$2:$G$461,Data_filtered!$A$2:$A$461,$A5,Data_filtered!$F$2:$F$461,AD$1,Data_filtered!$D$2:$D$461,"eucalipto")</f>
        <v>0</v>
      </c>
    </row>
    <row r="6">
      <c r="A6" s="9" t="str">
        <f>IFERROR(__xludf.DUMMYFUNCTION("""COMPUTED_VALUE"""),"Hylodes aff. sazimai")</f>
        <v>Hylodes aff. sazimai</v>
      </c>
      <c r="B6" s="9">
        <f>SUMIFS(Data_filtered!$G$2:$G$461,Data_filtered!$A$2:$A$461,$A6,Data_filtered!$F$2:$F$461,B$1,Data_filtered!$D$2:$D$461,"eucalipto")</f>
        <v>0</v>
      </c>
      <c r="C6" s="9">
        <f>SUMIFS(Data_filtered!$G$2:$G$461,Data_filtered!$A$2:$A$461,$A6,Data_filtered!$F$2:$F$461,C$1,Data_filtered!$D$2:$D$461,"eucalipto")</f>
        <v>0</v>
      </c>
      <c r="D6" s="9">
        <f>SUMIFS(Data_filtered!$G$2:$G$461,Data_filtered!$A$2:$A$461,$A6,Data_filtered!$F$2:$F$461,D$1,Data_filtered!$D$2:$D$461,"eucalipto")</f>
        <v>0</v>
      </c>
      <c r="E6" s="9">
        <f>SUMIFS(Data_filtered!$G$2:$G$461,Data_filtered!$A$2:$A$461,$A6,Data_filtered!$F$2:$F$461,E$1,Data_filtered!$D$2:$D$461,"eucalipto")</f>
        <v>0</v>
      </c>
      <c r="F6" s="9">
        <f>SUMIFS(Data_filtered!$G$2:$G$461,Data_filtered!$A$2:$A$461,$A6,Data_filtered!$F$2:$F$461,F$1,Data_filtered!$D$2:$D$461,"eucalipto")</f>
        <v>0</v>
      </c>
      <c r="G6" s="9">
        <f>SUMIFS(Data_filtered!$G$2:$G$461,Data_filtered!$A$2:$A$461,$A6,Data_filtered!$F$2:$F$461,G$1,Data_filtered!$D$2:$D$461,"eucalipto")</f>
        <v>0</v>
      </c>
      <c r="H6" s="9">
        <f>SUMIFS(Data_filtered!$G$2:$G$461,Data_filtered!$A$2:$A$461,$A6,Data_filtered!$F$2:$F$461,H$1,Data_filtered!$D$2:$D$461,"eucalipto")</f>
        <v>1</v>
      </c>
      <c r="I6" s="9">
        <f>SUMIFS(Data_filtered!$G$2:$G$461,Data_filtered!$A$2:$A$461,$A6,Data_filtered!$F$2:$F$461,I$1,Data_filtered!$D$2:$D$461,"eucalipto")</f>
        <v>0</v>
      </c>
      <c r="J6" s="9">
        <f>SUMIFS(Data_filtered!$G$2:$G$461,Data_filtered!$A$2:$A$461,$A6,Data_filtered!$F$2:$F$461,J$1,Data_filtered!$D$2:$D$461,"eucalipto")</f>
        <v>0</v>
      </c>
      <c r="K6" s="9">
        <f>SUMIFS(Data_filtered!$G$2:$G$461,Data_filtered!$A$2:$A$461,$A6,Data_filtered!$F$2:$F$461,K$1,Data_filtered!$D$2:$D$461,"eucalipto")</f>
        <v>0</v>
      </c>
      <c r="L6" s="9">
        <f>SUMIFS(Data_filtered!$G$2:$G$461,Data_filtered!$A$2:$A$461,$A6,Data_filtered!$F$2:$F$461,L$1,Data_filtered!$D$2:$D$461,"eucalipto")</f>
        <v>0</v>
      </c>
      <c r="M6" s="9">
        <f>SUMIFS(Data_filtered!$G$2:$G$461,Data_filtered!$A$2:$A$461,$A6,Data_filtered!$F$2:$F$461,M$1,Data_filtered!$D$2:$D$461,"eucalipto")</f>
        <v>0</v>
      </c>
      <c r="N6" s="9">
        <f>SUMIFS(Data_filtered!$G$2:$G$461,Data_filtered!$A$2:$A$461,$A6,Data_filtered!$F$2:$F$461,N$1,Data_filtered!$D$2:$D$461,"eucalipto")</f>
        <v>0</v>
      </c>
      <c r="O6" s="9">
        <f>SUMIFS(Data_filtered!$G$2:$G$461,Data_filtered!$A$2:$A$461,$A6,Data_filtered!$F$2:$F$461,O$1,Data_filtered!$D$2:$D$461,"eucalipto")</f>
        <v>0</v>
      </c>
      <c r="P6" s="9">
        <f>SUMIFS(Data_filtered!$G$2:$G$461,Data_filtered!$A$2:$A$461,$A6,Data_filtered!$F$2:$F$461,P$1,Data_filtered!$D$2:$D$461,"eucalipto")</f>
        <v>0</v>
      </c>
      <c r="Q6" s="9">
        <f>SUMIFS(Data_filtered!$G$2:$G$461,Data_filtered!$A$2:$A$461,$A6,Data_filtered!$F$2:$F$461,Q$1,Data_filtered!$D$2:$D$461,"eucalipto")</f>
        <v>0</v>
      </c>
      <c r="R6" s="9">
        <f>SUMIFS(Data_filtered!$G$2:$G$461,Data_filtered!$A$2:$A$461,$A6,Data_filtered!$F$2:$F$461,R$1,Data_filtered!$D$2:$D$461,"eucalipto")</f>
        <v>0</v>
      </c>
      <c r="S6" s="9">
        <f>SUMIFS(Data_filtered!$G$2:$G$461,Data_filtered!$A$2:$A$461,$A6,Data_filtered!$F$2:$F$461,S$1,Data_filtered!$D$2:$D$461,"eucalipto")</f>
        <v>0</v>
      </c>
      <c r="T6" s="9">
        <f>SUMIFS(Data_filtered!$G$2:$G$461,Data_filtered!$A$2:$A$461,$A6,Data_filtered!$F$2:$F$461,T$1,Data_filtered!$D$2:$D$461,"eucalipto")</f>
        <v>0</v>
      </c>
      <c r="U6" s="9">
        <f>SUMIFS(Data_filtered!$G$2:$G$461,Data_filtered!$A$2:$A$461,$A6,Data_filtered!$F$2:$F$461,U$1,Data_filtered!$D$2:$D$461,"eucalipto")</f>
        <v>0</v>
      </c>
      <c r="V6" s="9">
        <f>SUMIFS(Data_filtered!$G$2:$G$461,Data_filtered!$A$2:$A$461,$A6,Data_filtered!$F$2:$F$461,V$1,Data_filtered!$D$2:$D$461,"eucalipto")</f>
        <v>0</v>
      </c>
      <c r="W6" s="9">
        <f>SUMIFS(Data_filtered!$G$2:$G$461,Data_filtered!$A$2:$A$461,$A6,Data_filtered!$F$2:$F$461,W$1,Data_filtered!$D$2:$D$461,"eucalipto")</f>
        <v>0</v>
      </c>
      <c r="X6" s="9">
        <f>SUMIFS(Data_filtered!$G$2:$G$461,Data_filtered!$A$2:$A$461,$A6,Data_filtered!$F$2:$F$461,X$1,Data_filtered!$D$2:$D$461,"eucalipto")</f>
        <v>0</v>
      </c>
      <c r="Y6" s="9">
        <f>SUMIFS(Data_filtered!$G$2:$G$461,Data_filtered!$A$2:$A$461,$A6,Data_filtered!$F$2:$F$461,Y$1,Data_filtered!$D$2:$D$461,"eucalipto")</f>
        <v>0</v>
      </c>
      <c r="Z6" s="9">
        <f>SUMIFS(Data_filtered!$G$2:$G$461,Data_filtered!$A$2:$A$461,$A6,Data_filtered!$F$2:$F$461,Z$1,Data_filtered!$D$2:$D$461,"eucalipto")</f>
        <v>0</v>
      </c>
      <c r="AA6" s="9">
        <f>SUMIFS(Data_filtered!$G$2:$G$461,Data_filtered!$A$2:$A$461,$A6,Data_filtered!$F$2:$F$461,AA$1,Data_filtered!$D$2:$D$461,"eucalipto")</f>
        <v>0</v>
      </c>
      <c r="AB6" s="9">
        <f>SUMIFS(Data_filtered!$G$2:$G$461,Data_filtered!$A$2:$A$461,$A6,Data_filtered!$F$2:$F$461,AB$1,Data_filtered!$D$2:$D$461,"eucalipto")</f>
        <v>0</v>
      </c>
      <c r="AC6" s="9">
        <f>SUMIFS(Data_filtered!$G$2:$G$461,Data_filtered!$A$2:$A$461,$A6,Data_filtered!$F$2:$F$461,AC$1,Data_filtered!$D$2:$D$461,"eucalipto")</f>
        <v>0</v>
      </c>
      <c r="AD6" s="9">
        <f>SUMIFS(Data_filtered!$G$2:$G$461,Data_filtered!$A$2:$A$461,$A6,Data_filtered!$F$2:$F$461,AD$1,Data_filtered!$D$2:$D$461,"eucalipto")</f>
        <v>0</v>
      </c>
    </row>
    <row r="7">
      <c r="A7" s="9" t="str">
        <f>IFERROR(__xludf.DUMMYFUNCTION("""COMPUTED_VALUE"""),"Ischnocnema guentheri")</f>
        <v>Ischnocnema guentheri</v>
      </c>
      <c r="B7" s="9">
        <f>SUMIFS(Data_filtered!$G$2:$G$461,Data_filtered!$A$2:$A$461,$A7,Data_filtered!$F$2:$F$461,B$1,Data_filtered!$D$2:$D$461,"eucalipto")</f>
        <v>0</v>
      </c>
      <c r="C7" s="9">
        <f>SUMIFS(Data_filtered!$G$2:$G$461,Data_filtered!$A$2:$A$461,$A7,Data_filtered!$F$2:$F$461,C$1,Data_filtered!$D$2:$D$461,"eucalipto")</f>
        <v>0</v>
      </c>
      <c r="D7" s="9">
        <f>SUMIFS(Data_filtered!$G$2:$G$461,Data_filtered!$A$2:$A$461,$A7,Data_filtered!$F$2:$F$461,D$1,Data_filtered!$D$2:$D$461,"eucalipto")</f>
        <v>0</v>
      </c>
      <c r="E7" s="9">
        <f>SUMIFS(Data_filtered!$G$2:$G$461,Data_filtered!$A$2:$A$461,$A7,Data_filtered!$F$2:$F$461,E$1,Data_filtered!$D$2:$D$461,"eucalipto")</f>
        <v>0</v>
      </c>
      <c r="F7" s="9">
        <f>SUMIFS(Data_filtered!$G$2:$G$461,Data_filtered!$A$2:$A$461,$A7,Data_filtered!$F$2:$F$461,F$1,Data_filtered!$D$2:$D$461,"eucalipto")</f>
        <v>3</v>
      </c>
      <c r="G7" s="9">
        <f>SUMIFS(Data_filtered!$G$2:$G$461,Data_filtered!$A$2:$A$461,$A7,Data_filtered!$F$2:$F$461,G$1,Data_filtered!$D$2:$D$461,"eucalipto")</f>
        <v>2</v>
      </c>
      <c r="H7" s="9">
        <f>SUMIFS(Data_filtered!$G$2:$G$461,Data_filtered!$A$2:$A$461,$A7,Data_filtered!$F$2:$F$461,H$1,Data_filtered!$D$2:$D$461,"eucalipto")</f>
        <v>5</v>
      </c>
      <c r="I7" s="9">
        <f>SUMIFS(Data_filtered!$G$2:$G$461,Data_filtered!$A$2:$A$461,$A7,Data_filtered!$F$2:$F$461,I$1,Data_filtered!$D$2:$D$461,"eucalipto")</f>
        <v>0</v>
      </c>
      <c r="J7" s="9">
        <f>SUMIFS(Data_filtered!$G$2:$G$461,Data_filtered!$A$2:$A$461,$A7,Data_filtered!$F$2:$F$461,J$1,Data_filtered!$D$2:$D$461,"eucalipto")</f>
        <v>0</v>
      </c>
      <c r="K7" s="9">
        <f>SUMIFS(Data_filtered!$G$2:$G$461,Data_filtered!$A$2:$A$461,$A7,Data_filtered!$F$2:$F$461,K$1,Data_filtered!$D$2:$D$461,"eucalipto")</f>
        <v>1</v>
      </c>
      <c r="L7" s="9">
        <f>SUMIFS(Data_filtered!$G$2:$G$461,Data_filtered!$A$2:$A$461,$A7,Data_filtered!$F$2:$F$461,L$1,Data_filtered!$D$2:$D$461,"eucalipto")</f>
        <v>0</v>
      </c>
      <c r="M7" s="9">
        <f>SUMIFS(Data_filtered!$G$2:$G$461,Data_filtered!$A$2:$A$461,$A7,Data_filtered!$F$2:$F$461,M$1,Data_filtered!$D$2:$D$461,"eucalipto")</f>
        <v>0</v>
      </c>
      <c r="N7" s="9">
        <f>SUMIFS(Data_filtered!$G$2:$G$461,Data_filtered!$A$2:$A$461,$A7,Data_filtered!$F$2:$F$461,N$1,Data_filtered!$D$2:$D$461,"eucalipto")</f>
        <v>0</v>
      </c>
      <c r="O7" s="9">
        <f>SUMIFS(Data_filtered!$G$2:$G$461,Data_filtered!$A$2:$A$461,$A7,Data_filtered!$F$2:$F$461,O$1,Data_filtered!$D$2:$D$461,"eucalipto")</f>
        <v>0</v>
      </c>
      <c r="P7" s="9">
        <f>SUMIFS(Data_filtered!$G$2:$G$461,Data_filtered!$A$2:$A$461,$A7,Data_filtered!$F$2:$F$461,P$1,Data_filtered!$D$2:$D$461,"eucalipto")</f>
        <v>0</v>
      </c>
      <c r="Q7" s="9">
        <f>SUMIFS(Data_filtered!$G$2:$G$461,Data_filtered!$A$2:$A$461,$A7,Data_filtered!$F$2:$F$461,Q$1,Data_filtered!$D$2:$D$461,"eucalipto")</f>
        <v>0</v>
      </c>
      <c r="R7" s="9">
        <f>SUMIFS(Data_filtered!$G$2:$G$461,Data_filtered!$A$2:$A$461,$A7,Data_filtered!$F$2:$F$461,R$1,Data_filtered!$D$2:$D$461,"eucalipto")</f>
        <v>0</v>
      </c>
      <c r="S7" s="9">
        <f>SUMIFS(Data_filtered!$G$2:$G$461,Data_filtered!$A$2:$A$461,$A7,Data_filtered!$F$2:$F$461,S$1,Data_filtered!$D$2:$D$461,"eucalipto")</f>
        <v>0</v>
      </c>
      <c r="T7" s="9">
        <f>SUMIFS(Data_filtered!$G$2:$G$461,Data_filtered!$A$2:$A$461,$A7,Data_filtered!$F$2:$F$461,T$1,Data_filtered!$D$2:$D$461,"eucalipto")</f>
        <v>0</v>
      </c>
      <c r="U7" s="9">
        <f>SUMIFS(Data_filtered!$G$2:$G$461,Data_filtered!$A$2:$A$461,$A7,Data_filtered!$F$2:$F$461,U$1,Data_filtered!$D$2:$D$461,"eucalipto")</f>
        <v>0</v>
      </c>
      <c r="V7" s="9">
        <f>SUMIFS(Data_filtered!$G$2:$G$461,Data_filtered!$A$2:$A$461,$A7,Data_filtered!$F$2:$F$461,V$1,Data_filtered!$D$2:$D$461,"eucalipto")</f>
        <v>0</v>
      </c>
      <c r="W7" s="9">
        <f>SUMIFS(Data_filtered!$G$2:$G$461,Data_filtered!$A$2:$A$461,$A7,Data_filtered!$F$2:$F$461,W$1,Data_filtered!$D$2:$D$461,"eucalipto")</f>
        <v>0</v>
      </c>
      <c r="X7" s="9">
        <f>SUMIFS(Data_filtered!$G$2:$G$461,Data_filtered!$A$2:$A$461,$A7,Data_filtered!$F$2:$F$461,X$1,Data_filtered!$D$2:$D$461,"eucalipto")</f>
        <v>4</v>
      </c>
      <c r="Y7" s="9">
        <f>SUMIFS(Data_filtered!$G$2:$G$461,Data_filtered!$A$2:$A$461,$A7,Data_filtered!$F$2:$F$461,Y$1,Data_filtered!$D$2:$D$461,"eucalipto")</f>
        <v>0</v>
      </c>
      <c r="Z7" s="9">
        <f>SUMIFS(Data_filtered!$G$2:$G$461,Data_filtered!$A$2:$A$461,$A7,Data_filtered!$F$2:$F$461,Z$1,Data_filtered!$D$2:$D$461,"eucalipto")</f>
        <v>0</v>
      </c>
      <c r="AA7" s="9">
        <f>SUMIFS(Data_filtered!$G$2:$G$461,Data_filtered!$A$2:$A$461,$A7,Data_filtered!$F$2:$F$461,AA$1,Data_filtered!$D$2:$D$461,"eucalipto")</f>
        <v>0</v>
      </c>
      <c r="AB7" s="9">
        <f>SUMIFS(Data_filtered!$G$2:$G$461,Data_filtered!$A$2:$A$461,$A7,Data_filtered!$F$2:$F$461,AB$1,Data_filtered!$D$2:$D$461,"eucalipto")</f>
        <v>1</v>
      </c>
      <c r="AC7" s="9">
        <f>SUMIFS(Data_filtered!$G$2:$G$461,Data_filtered!$A$2:$A$461,$A7,Data_filtered!$F$2:$F$461,AC$1,Data_filtered!$D$2:$D$461,"eucalipto")</f>
        <v>0</v>
      </c>
      <c r="AD7" s="9">
        <f>SUMIFS(Data_filtered!$G$2:$G$461,Data_filtered!$A$2:$A$461,$A7,Data_filtered!$F$2:$F$461,AD$1,Data_filtered!$D$2:$D$461,"eucalipto")</f>
        <v>0</v>
      </c>
    </row>
    <row r="8">
      <c r="A8" s="9" t="str">
        <f>IFERROR(__xludf.DUMMYFUNCTION("""COMPUTED_VALUE"""),"Ischnocnema juipoca")</f>
        <v>Ischnocnema juipoca</v>
      </c>
      <c r="B8" s="9">
        <f>SUMIFS(Data_filtered!$G$2:$G$461,Data_filtered!$A$2:$A$461,$A8,Data_filtered!$F$2:$F$461,B$1,Data_filtered!$D$2:$D$461,"eucalipto")</f>
        <v>0</v>
      </c>
      <c r="C8" s="9">
        <f>SUMIFS(Data_filtered!$G$2:$G$461,Data_filtered!$A$2:$A$461,$A8,Data_filtered!$F$2:$F$461,C$1,Data_filtered!$D$2:$D$461,"eucalipto")</f>
        <v>1</v>
      </c>
      <c r="D8" s="9">
        <f>SUMIFS(Data_filtered!$G$2:$G$461,Data_filtered!$A$2:$A$461,$A8,Data_filtered!$F$2:$F$461,D$1,Data_filtered!$D$2:$D$461,"eucalipto")</f>
        <v>10</v>
      </c>
      <c r="E8" s="9">
        <f>SUMIFS(Data_filtered!$G$2:$G$461,Data_filtered!$A$2:$A$461,$A8,Data_filtered!$F$2:$F$461,E$1,Data_filtered!$D$2:$D$461,"eucalipto")</f>
        <v>1</v>
      </c>
      <c r="F8" s="9">
        <f>SUMIFS(Data_filtered!$G$2:$G$461,Data_filtered!$A$2:$A$461,$A8,Data_filtered!$F$2:$F$461,F$1,Data_filtered!$D$2:$D$461,"eucalipto")</f>
        <v>0</v>
      </c>
      <c r="G8" s="9">
        <f>SUMIFS(Data_filtered!$G$2:$G$461,Data_filtered!$A$2:$A$461,$A8,Data_filtered!$F$2:$F$461,G$1,Data_filtered!$D$2:$D$461,"eucalipto")</f>
        <v>1</v>
      </c>
      <c r="H8" s="9">
        <f>SUMIFS(Data_filtered!$G$2:$G$461,Data_filtered!$A$2:$A$461,$A8,Data_filtered!$F$2:$F$461,H$1,Data_filtered!$D$2:$D$461,"eucalipto")</f>
        <v>5</v>
      </c>
      <c r="I8" s="9">
        <f>SUMIFS(Data_filtered!$G$2:$G$461,Data_filtered!$A$2:$A$461,$A8,Data_filtered!$F$2:$F$461,I$1,Data_filtered!$D$2:$D$461,"eucalipto")</f>
        <v>0</v>
      </c>
      <c r="J8" s="9">
        <f>SUMIFS(Data_filtered!$G$2:$G$461,Data_filtered!$A$2:$A$461,$A8,Data_filtered!$F$2:$F$461,J$1,Data_filtered!$D$2:$D$461,"eucalipto")</f>
        <v>1</v>
      </c>
      <c r="K8" s="9">
        <f>SUMIFS(Data_filtered!$G$2:$G$461,Data_filtered!$A$2:$A$461,$A8,Data_filtered!$F$2:$F$461,K$1,Data_filtered!$D$2:$D$461,"eucalipto")</f>
        <v>0</v>
      </c>
      <c r="L8" s="9">
        <f>SUMIFS(Data_filtered!$G$2:$G$461,Data_filtered!$A$2:$A$461,$A8,Data_filtered!$F$2:$F$461,L$1,Data_filtered!$D$2:$D$461,"eucalipto")</f>
        <v>0</v>
      </c>
      <c r="M8" s="9">
        <f>SUMIFS(Data_filtered!$G$2:$G$461,Data_filtered!$A$2:$A$461,$A8,Data_filtered!$F$2:$F$461,M$1,Data_filtered!$D$2:$D$461,"eucalipto")</f>
        <v>0</v>
      </c>
      <c r="N8" s="9">
        <f>SUMIFS(Data_filtered!$G$2:$G$461,Data_filtered!$A$2:$A$461,$A8,Data_filtered!$F$2:$F$461,N$1,Data_filtered!$D$2:$D$461,"eucalipto")</f>
        <v>2</v>
      </c>
      <c r="O8" s="9">
        <f>SUMIFS(Data_filtered!$G$2:$G$461,Data_filtered!$A$2:$A$461,$A8,Data_filtered!$F$2:$F$461,O$1,Data_filtered!$D$2:$D$461,"eucalipto")</f>
        <v>0</v>
      </c>
      <c r="P8" s="9">
        <f>SUMIFS(Data_filtered!$G$2:$G$461,Data_filtered!$A$2:$A$461,$A8,Data_filtered!$F$2:$F$461,P$1,Data_filtered!$D$2:$D$461,"eucalipto")</f>
        <v>1</v>
      </c>
      <c r="Q8" s="9">
        <f>SUMIFS(Data_filtered!$G$2:$G$461,Data_filtered!$A$2:$A$461,$A8,Data_filtered!$F$2:$F$461,Q$1,Data_filtered!$D$2:$D$461,"eucalipto")</f>
        <v>0</v>
      </c>
      <c r="R8" s="9">
        <f>SUMIFS(Data_filtered!$G$2:$G$461,Data_filtered!$A$2:$A$461,$A8,Data_filtered!$F$2:$F$461,R$1,Data_filtered!$D$2:$D$461,"eucalipto")</f>
        <v>0</v>
      </c>
      <c r="S8" s="9">
        <f>SUMIFS(Data_filtered!$G$2:$G$461,Data_filtered!$A$2:$A$461,$A8,Data_filtered!$F$2:$F$461,S$1,Data_filtered!$D$2:$D$461,"eucalipto")</f>
        <v>0</v>
      </c>
      <c r="T8" s="9">
        <f>SUMIFS(Data_filtered!$G$2:$G$461,Data_filtered!$A$2:$A$461,$A8,Data_filtered!$F$2:$F$461,T$1,Data_filtered!$D$2:$D$461,"eucalipto")</f>
        <v>0</v>
      </c>
      <c r="U8" s="9">
        <f>SUMIFS(Data_filtered!$G$2:$G$461,Data_filtered!$A$2:$A$461,$A8,Data_filtered!$F$2:$F$461,U$1,Data_filtered!$D$2:$D$461,"eucalipto")</f>
        <v>2</v>
      </c>
      <c r="V8" s="9">
        <f>SUMIFS(Data_filtered!$G$2:$G$461,Data_filtered!$A$2:$A$461,$A8,Data_filtered!$F$2:$F$461,V$1,Data_filtered!$D$2:$D$461,"eucalipto")</f>
        <v>0</v>
      </c>
      <c r="W8" s="9">
        <f>SUMIFS(Data_filtered!$G$2:$G$461,Data_filtered!$A$2:$A$461,$A8,Data_filtered!$F$2:$F$461,W$1,Data_filtered!$D$2:$D$461,"eucalipto")</f>
        <v>0</v>
      </c>
      <c r="X8" s="9">
        <f>SUMIFS(Data_filtered!$G$2:$G$461,Data_filtered!$A$2:$A$461,$A8,Data_filtered!$F$2:$F$461,X$1,Data_filtered!$D$2:$D$461,"eucalipto")</f>
        <v>0</v>
      </c>
      <c r="Y8" s="9">
        <f>SUMIFS(Data_filtered!$G$2:$G$461,Data_filtered!$A$2:$A$461,$A8,Data_filtered!$F$2:$F$461,Y$1,Data_filtered!$D$2:$D$461,"eucalipto")</f>
        <v>0</v>
      </c>
      <c r="Z8" s="9">
        <f>SUMIFS(Data_filtered!$G$2:$G$461,Data_filtered!$A$2:$A$461,$A8,Data_filtered!$F$2:$F$461,Z$1,Data_filtered!$D$2:$D$461,"eucalipto")</f>
        <v>1</v>
      </c>
      <c r="AA8" s="9">
        <f>SUMIFS(Data_filtered!$G$2:$G$461,Data_filtered!$A$2:$A$461,$A8,Data_filtered!$F$2:$F$461,AA$1,Data_filtered!$D$2:$D$461,"eucalipto")</f>
        <v>0</v>
      </c>
      <c r="AB8" s="9">
        <f>SUMIFS(Data_filtered!$G$2:$G$461,Data_filtered!$A$2:$A$461,$A8,Data_filtered!$F$2:$F$461,AB$1,Data_filtered!$D$2:$D$461,"eucalipto")</f>
        <v>1</v>
      </c>
      <c r="AC8" s="9">
        <f>SUMIFS(Data_filtered!$G$2:$G$461,Data_filtered!$A$2:$A$461,$A8,Data_filtered!$F$2:$F$461,AC$1,Data_filtered!$D$2:$D$461,"eucalipto")</f>
        <v>0</v>
      </c>
      <c r="AD8" s="9">
        <f>SUMIFS(Data_filtered!$G$2:$G$461,Data_filtered!$A$2:$A$461,$A8,Data_filtered!$F$2:$F$461,AD$1,Data_filtered!$D$2:$D$461,"eucalipto")</f>
        <v>1</v>
      </c>
    </row>
    <row r="9">
      <c r="A9" s="9" t="str">
        <f>IFERROR(__xludf.DUMMYFUNCTION("""COMPUTED_VALUE"""),"Ololygon obtriangulata")</f>
        <v>Ololygon obtriangulata</v>
      </c>
      <c r="B9" s="9">
        <f>SUMIFS(Data_filtered!$G$2:$G$461,Data_filtered!$A$2:$A$461,$A9,Data_filtered!$F$2:$F$461,B$1,Data_filtered!$D$2:$D$461,"eucalipto")</f>
        <v>0</v>
      </c>
      <c r="C9" s="9">
        <f>SUMIFS(Data_filtered!$G$2:$G$461,Data_filtered!$A$2:$A$461,$A9,Data_filtered!$F$2:$F$461,C$1,Data_filtered!$D$2:$D$461,"eucalipto")</f>
        <v>0</v>
      </c>
      <c r="D9" s="9">
        <f>SUMIFS(Data_filtered!$G$2:$G$461,Data_filtered!$A$2:$A$461,$A9,Data_filtered!$F$2:$F$461,D$1,Data_filtered!$D$2:$D$461,"eucalipto")</f>
        <v>2</v>
      </c>
      <c r="E9" s="9">
        <f>SUMIFS(Data_filtered!$G$2:$G$461,Data_filtered!$A$2:$A$461,$A9,Data_filtered!$F$2:$F$461,E$1,Data_filtered!$D$2:$D$461,"eucalipto")</f>
        <v>0</v>
      </c>
      <c r="F9" s="9">
        <f>SUMIFS(Data_filtered!$G$2:$G$461,Data_filtered!$A$2:$A$461,$A9,Data_filtered!$F$2:$F$461,F$1,Data_filtered!$D$2:$D$461,"eucalipto")</f>
        <v>0</v>
      </c>
      <c r="G9" s="9">
        <f>SUMIFS(Data_filtered!$G$2:$G$461,Data_filtered!$A$2:$A$461,$A9,Data_filtered!$F$2:$F$461,G$1,Data_filtered!$D$2:$D$461,"eucalipto")</f>
        <v>0</v>
      </c>
      <c r="H9" s="9">
        <f>SUMIFS(Data_filtered!$G$2:$G$461,Data_filtered!$A$2:$A$461,$A9,Data_filtered!$F$2:$F$461,H$1,Data_filtered!$D$2:$D$461,"eucalipto")</f>
        <v>0</v>
      </c>
      <c r="I9" s="9">
        <f>SUMIFS(Data_filtered!$G$2:$G$461,Data_filtered!$A$2:$A$461,$A9,Data_filtered!$F$2:$F$461,I$1,Data_filtered!$D$2:$D$461,"eucalipto")</f>
        <v>0</v>
      </c>
      <c r="J9" s="9">
        <f>SUMIFS(Data_filtered!$G$2:$G$461,Data_filtered!$A$2:$A$461,$A9,Data_filtered!$F$2:$F$461,J$1,Data_filtered!$D$2:$D$461,"eucalipto")</f>
        <v>0</v>
      </c>
      <c r="K9" s="9">
        <f>SUMIFS(Data_filtered!$G$2:$G$461,Data_filtered!$A$2:$A$461,$A9,Data_filtered!$F$2:$F$461,K$1,Data_filtered!$D$2:$D$461,"eucalipto")</f>
        <v>0</v>
      </c>
      <c r="L9" s="9">
        <f>SUMIFS(Data_filtered!$G$2:$G$461,Data_filtered!$A$2:$A$461,$A9,Data_filtered!$F$2:$F$461,L$1,Data_filtered!$D$2:$D$461,"eucalipto")</f>
        <v>0</v>
      </c>
      <c r="M9" s="9">
        <f>SUMIFS(Data_filtered!$G$2:$G$461,Data_filtered!$A$2:$A$461,$A9,Data_filtered!$F$2:$F$461,M$1,Data_filtered!$D$2:$D$461,"eucalipto")</f>
        <v>0</v>
      </c>
      <c r="N9" s="9">
        <f>SUMIFS(Data_filtered!$G$2:$G$461,Data_filtered!$A$2:$A$461,$A9,Data_filtered!$F$2:$F$461,N$1,Data_filtered!$D$2:$D$461,"eucalipto")</f>
        <v>0</v>
      </c>
      <c r="O9" s="9">
        <f>SUMIFS(Data_filtered!$G$2:$G$461,Data_filtered!$A$2:$A$461,$A9,Data_filtered!$F$2:$F$461,O$1,Data_filtered!$D$2:$D$461,"eucalipto")</f>
        <v>0</v>
      </c>
      <c r="P9" s="9">
        <f>SUMIFS(Data_filtered!$G$2:$G$461,Data_filtered!$A$2:$A$461,$A9,Data_filtered!$F$2:$F$461,P$1,Data_filtered!$D$2:$D$461,"eucalipto")</f>
        <v>0</v>
      </c>
      <c r="Q9" s="9">
        <f>SUMIFS(Data_filtered!$G$2:$G$461,Data_filtered!$A$2:$A$461,$A9,Data_filtered!$F$2:$F$461,Q$1,Data_filtered!$D$2:$D$461,"eucalipto")</f>
        <v>1</v>
      </c>
      <c r="R9" s="9">
        <f>SUMIFS(Data_filtered!$G$2:$G$461,Data_filtered!$A$2:$A$461,$A9,Data_filtered!$F$2:$F$461,R$1,Data_filtered!$D$2:$D$461,"eucalipto")</f>
        <v>0</v>
      </c>
      <c r="S9" s="9">
        <f>SUMIFS(Data_filtered!$G$2:$G$461,Data_filtered!$A$2:$A$461,$A9,Data_filtered!$F$2:$F$461,S$1,Data_filtered!$D$2:$D$461,"eucalipto")</f>
        <v>0</v>
      </c>
      <c r="T9" s="9">
        <f>SUMIFS(Data_filtered!$G$2:$G$461,Data_filtered!$A$2:$A$461,$A9,Data_filtered!$F$2:$F$461,T$1,Data_filtered!$D$2:$D$461,"eucalipto")</f>
        <v>0</v>
      </c>
      <c r="U9" s="9">
        <f>SUMIFS(Data_filtered!$G$2:$G$461,Data_filtered!$A$2:$A$461,$A9,Data_filtered!$F$2:$F$461,U$1,Data_filtered!$D$2:$D$461,"eucalipto")</f>
        <v>0</v>
      </c>
      <c r="V9" s="9">
        <f>SUMIFS(Data_filtered!$G$2:$G$461,Data_filtered!$A$2:$A$461,$A9,Data_filtered!$F$2:$F$461,V$1,Data_filtered!$D$2:$D$461,"eucalipto")</f>
        <v>0</v>
      </c>
      <c r="W9" s="9">
        <f>SUMIFS(Data_filtered!$G$2:$G$461,Data_filtered!$A$2:$A$461,$A9,Data_filtered!$F$2:$F$461,W$1,Data_filtered!$D$2:$D$461,"eucalipto")</f>
        <v>0</v>
      </c>
      <c r="X9" s="9">
        <f>SUMIFS(Data_filtered!$G$2:$G$461,Data_filtered!$A$2:$A$461,$A9,Data_filtered!$F$2:$F$461,X$1,Data_filtered!$D$2:$D$461,"eucalipto")</f>
        <v>0</v>
      </c>
      <c r="Y9" s="9">
        <f>SUMIFS(Data_filtered!$G$2:$G$461,Data_filtered!$A$2:$A$461,$A9,Data_filtered!$F$2:$F$461,Y$1,Data_filtered!$D$2:$D$461,"eucalipto")</f>
        <v>0</v>
      </c>
      <c r="Z9" s="9">
        <f>SUMIFS(Data_filtered!$G$2:$G$461,Data_filtered!$A$2:$A$461,$A9,Data_filtered!$F$2:$F$461,Z$1,Data_filtered!$D$2:$D$461,"eucalipto")</f>
        <v>0</v>
      </c>
      <c r="AA9" s="9">
        <f>SUMIFS(Data_filtered!$G$2:$G$461,Data_filtered!$A$2:$A$461,$A9,Data_filtered!$F$2:$F$461,AA$1,Data_filtered!$D$2:$D$461,"eucalipto")</f>
        <v>0</v>
      </c>
      <c r="AB9" s="9">
        <f>SUMIFS(Data_filtered!$G$2:$G$461,Data_filtered!$A$2:$A$461,$A9,Data_filtered!$F$2:$F$461,AB$1,Data_filtered!$D$2:$D$461,"eucalipto")</f>
        <v>0</v>
      </c>
      <c r="AC9" s="9">
        <f>SUMIFS(Data_filtered!$G$2:$G$461,Data_filtered!$A$2:$A$461,$A9,Data_filtered!$F$2:$F$461,AC$1,Data_filtered!$D$2:$D$461,"eucalipto")</f>
        <v>0</v>
      </c>
      <c r="AD9" s="9">
        <f>SUMIFS(Data_filtered!$G$2:$G$461,Data_filtered!$A$2:$A$461,$A9,Data_filtered!$F$2:$F$461,AD$1,Data_filtered!$D$2:$D$461,"eucalipto")</f>
        <v>0</v>
      </c>
    </row>
    <row r="10">
      <c r="A10" s="9" t="str">
        <f>IFERROR(__xludf.DUMMYFUNCTION("""COMPUTED_VALUE"""),"Physalaemus olfersii")</f>
        <v>Physalaemus olfersii</v>
      </c>
      <c r="B10" s="9">
        <f>SUMIFS(Data_filtered!$G$2:$G$461,Data_filtered!$A$2:$A$461,$A10,Data_filtered!$F$2:$F$461,B$1,Data_filtered!$D$2:$D$461,"eucalipto")</f>
        <v>0</v>
      </c>
      <c r="C10" s="9">
        <f>SUMIFS(Data_filtered!$G$2:$G$461,Data_filtered!$A$2:$A$461,$A10,Data_filtered!$F$2:$F$461,C$1,Data_filtered!$D$2:$D$461,"eucalipto")</f>
        <v>0</v>
      </c>
      <c r="D10" s="9">
        <f>SUMIFS(Data_filtered!$G$2:$G$461,Data_filtered!$A$2:$A$461,$A10,Data_filtered!$F$2:$F$461,D$1,Data_filtered!$D$2:$D$461,"eucalipto")</f>
        <v>0</v>
      </c>
      <c r="E10" s="9">
        <f>SUMIFS(Data_filtered!$G$2:$G$461,Data_filtered!$A$2:$A$461,$A10,Data_filtered!$F$2:$F$461,E$1,Data_filtered!$D$2:$D$461,"eucalipto")</f>
        <v>0</v>
      </c>
      <c r="F10" s="9">
        <f>SUMIFS(Data_filtered!$G$2:$G$461,Data_filtered!$A$2:$A$461,$A10,Data_filtered!$F$2:$F$461,F$1,Data_filtered!$D$2:$D$461,"eucalipto")</f>
        <v>0</v>
      </c>
      <c r="G10" s="9">
        <f>SUMIFS(Data_filtered!$G$2:$G$461,Data_filtered!$A$2:$A$461,$A10,Data_filtered!$F$2:$F$461,G$1,Data_filtered!$D$2:$D$461,"eucalipto")</f>
        <v>0</v>
      </c>
      <c r="H10" s="9">
        <f>SUMIFS(Data_filtered!$G$2:$G$461,Data_filtered!$A$2:$A$461,$A10,Data_filtered!$F$2:$F$461,H$1,Data_filtered!$D$2:$D$461,"eucalipto")</f>
        <v>1</v>
      </c>
      <c r="I10" s="9">
        <f>SUMIFS(Data_filtered!$G$2:$G$461,Data_filtered!$A$2:$A$461,$A10,Data_filtered!$F$2:$F$461,I$1,Data_filtered!$D$2:$D$461,"eucalipto")</f>
        <v>0</v>
      </c>
      <c r="J10" s="9">
        <f>SUMIFS(Data_filtered!$G$2:$G$461,Data_filtered!$A$2:$A$461,$A10,Data_filtered!$F$2:$F$461,J$1,Data_filtered!$D$2:$D$461,"eucalipto")</f>
        <v>0</v>
      </c>
      <c r="K10" s="9">
        <f>SUMIFS(Data_filtered!$G$2:$G$461,Data_filtered!$A$2:$A$461,$A10,Data_filtered!$F$2:$F$461,K$1,Data_filtered!$D$2:$D$461,"eucalipto")</f>
        <v>0</v>
      </c>
      <c r="L10" s="9">
        <f>SUMIFS(Data_filtered!$G$2:$G$461,Data_filtered!$A$2:$A$461,$A10,Data_filtered!$F$2:$F$461,L$1,Data_filtered!$D$2:$D$461,"eucalipto")</f>
        <v>0</v>
      </c>
      <c r="M10" s="9">
        <f>SUMIFS(Data_filtered!$G$2:$G$461,Data_filtered!$A$2:$A$461,$A10,Data_filtered!$F$2:$F$461,M$1,Data_filtered!$D$2:$D$461,"eucalipto")</f>
        <v>0</v>
      </c>
      <c r="N10" s="9">
        <f>SUMIFS(Data_filtered!$G$2:$G$461,Data_filtered!$A$2:$A$461,$A10,Data_filtered!$F$2:$F$461,N$1,Data_filtered!$D$2:$D$461,"eucalipto")</f>
        <v>15</v>
      </c>
      <c r="O10" s="9">
        <f>SUMIFS(Data_filtered!$G$2:$G$461,Data_filtered!$A$2:$A$461,$A10,Data_filtered!$F$2:$F$461,O$1,Data_filtered!$D$2:$D$461,"eucalipto")</f>
        <v>0</v>
      </c>
      <c r="P10" s="9">
        <f>SUMIFS(Data_filtered!$G$2:$G$461,Data_filtered!$A$2:$A$461,$A10,Data_filtered!$F$2:$F$461,P$1,Data_filtered!$D$2:$D$461,"eucalipto")</f>
        <v>0</v>
      </c>
      <c r="Q10" s="9">
        <f>SUMIFS(Data_filtered!$G$2:$G$461,Data_filtered!$A$2:$A$461,$A10,Data_filtered!$F$2:$F$461,Q$1,Data_filtered!$D$2:$D$461,"eucalipto")</f>
        <v>0</v>
      </c>
      <c r="R10" s="9">
        <f>SUMIFS(Data_filtered!$G$2:$G$461,Data_filtered!$A$2:$A$461,$A10,Data_filtered!$F$2:$F$461,R$1,Data_filtered!$D$2:$D$461,"eucalipto")</f>
        <v>0</v>
      </c>
      <c r="S10" s="9">
        <f>SUMIFS(Data_filtered!$G$2:$G$461,Data_filtered!$A$2:$A$461,$A10,Data_filtered!$F$2:$F$461,S$1,Data_filtered!$D$2:$D$461,"eucalipto")</f>
        <v>0</v>
      </c>
      <c r="T10" s="9">
        <f>SUMIFS(Data_filtered!$G$2:$G$461,Data_filtered!$A$2:$A$461,$A10,Data_filtered!$F$2:$F$461,T$1,Data_filtered!$D$2:$D$461,"eucalipto")</f>
        <v>0</v>
      </c>
      <c r="U10" s="9">
        <f>SUMIFS(Data_filtered!$G$2:$G$461,Data_filtered!$A$2:$A$461,$A10,Data_filtered!$F$2:$F$461,U$1,Data_filtered!$D$2:$D$461,"eucalipto")</f>
        <v>0</v>
      </c>
      <c r="V10" s="9">
        <f>SUMIFS(Data_filtered!$G$2:$G$461,Data_filtered!$A$2:$A$461,$A10,Data_filtered!$F$2:$F$461,V$1,Data_filtered!$D$2:$D$461,"eucalipto")</f>
        <v>0</v>
      </c>
      <c r="W10" s="9">
        <f>SUMIFS(Data_filtered!$G$2:$G$461,Data_filtered!$A$2:$A$461,$A10,Data_filtered!$F$2:$F$461,W$1,Data_filtered!$D$2:$D$461,"eucalipto")</f>
        <v>0</v>
      </c>
      <c r="X10" s="9">
        <f>SUMIFS(Data_filtered!$G$2:$G$461,Data_filtered!$A$2:$A$461,$A10,Data_filtered!$F$2:$F$461,X$1,Data_filtered!$D$2:$D$461,"eucalipto")</f>
        <v>0</v>
      </c>
      <c r="Y10" s="9">
        <f>SUMIFS(Data_filtered!$G$2:$G$461,Data_filtered!$A$2:$A$461,$A10,Data_filtered!$F$2:$F$461,Y$1,Data_filtered!$D$2:$D$461,"eucalipto")</f>
        <v>0</v>
      </c>
      <c r="Z10" s="9">
        <f>SUMIFS(Data_filtered!$G$2:$G$461,Data_filtered!$A$2:$A$461,$A10,Data_filtered!$F$2:$F$461,Z$1,Data_filtered!$D$2:$D$461,"eucalipto")</f>
        <v>0</v>
      </c>
      <c r="AA10" s="9">
        <f>SUMIFS(Data_filtered!$G$2:$G$461,Data_filtered!$A$2:$A$461,$A10,Data_filtered!$F$2:$F$461,AA$1,Data_filtered!$D$2:$D$461,"eucalipto")</f>
        <v>0</v>
      </c>
      <c r="AB10" s="9">
        <f>SUMIFS(Data_filtered!$G$2:$G$461,Data_filtered!$A$2:$A$461,$A10,Data_filtered!$F$2:$F$461,AB$1,Data_filtered!$D$2:$D$461,"eucalipto")</f>
        <v>0</v>
      </c>
      <c r="AC10" s="9">
        <f>SUMIFS(Data_filtered!$G$2:$G$461,Data_filtered!$A$2:$A$461,$A10,Data_filtered!$F$2:$F$461,AC$1,Data_filtered!$D$2:$D$461,"eucalipto")</f>
        <v>0</v>
      </c>
      <c r="AD10" s="9">
        <f>SUMIFS(Data_filtered!$G$2:$G$461,Data_filtered!$A$2:$A$461,$A10,Data_filtered!$F$2:$F$461,AD$1,Data_filtered!$D$2:$D$461,"eucalipto")</f>
        <v>1</v>
      </c>
    </row>
    <row r="11">
      <c r="A11" s="9" t="str">
        <f>IFERROR(__xludf.DUMMYFUNCTION("""COMPUTED_VALUE"""),"Proceratophrys boiei")</f>
        <v>Proceratophrys boiei</v>
      </c>
      <c r="B11" s="9">
        <f>SUMIFS(Data_filtered!$G$2:$G$461,Data_filtered!$A$2:$A$461,$A11,Data_filtered!$F$2:$F$461,B$1,Data_filtered!$D$2:$D$461,"eucalipto")</f>
        <v>0</v>
      </c>
      <c r="C11" s="9">
        <f>SUMIFS(Data_filtered!$G$2:$G$461,Data_filtered!$A$2:$A$461,$A11,Data_filtered!$F$2:$F$461,C$1,Data_filtered!$D$2:$D$461,"eucalipto")</f>
        <v>0</v>
      </c>
      <c r="D11" s="9">
        <f>SUMIFS(Data_filtered!$G$2:$G$461,Data_filtered!$A$2:$A$461,$A11,Data_filtered!$F$2:$F$461,D$1,Data_filtered!$D$2:$D$461,"eucalipto")</f>
        <v>0</v>
      </c>
      <c r="E11" s="9">
        <f>SUMIFS(Data_filtered!$G$2:$G$461,Data_filtered!$A$2:$A$461,$A11,Data_filtered!$F$2:$F$461,E$1,Data_filtered!$D$2:$D$461,"eucalipto")</f>
        <v>0</v>
      </c>
      <c r="F11" s="9">
        <f>SUMIFS(Data_filtered!$G$2:$G$461,Data_filtered!$A$2:$A$461,$A11,Data_filtered!$F$2:$F$461,F$1,Data_filtered!$D$2:$D$461,"eucalipto")</f>
        <v>0</v>
      </c>
      <c r="G11" s="9">
        <f>SUMIFS(Data_filtered!$G$2:$G$461,Data_filtered!$A$2:$A$461,$A11,Data_filtered!$F$2:$F$461,G$1,Data_filtered!$D$2:$D$461,"eucalipto")</f>
        <v>0</v>
      </c>
      <c r="H11" s="9">
        <f>SUMIFS(Data_filtered!$G$2:$G$461,Data_filtered!$A$2:$A$461,$A11,Data_filtered!$F$2:$F$461,H$1,Data_filtered!$D$2:$D$461,"eucalipto")</f>
        <v>1</v>
      </c>
      <c r="I11" s="9">
        <f>SUMIFS(Data_filtered!$G$2:$G$461,Data_filtered!$A$2:$A$461,$A11,Data_filtered!$F$2:$F$461,I$1,Data_filtered!$D$2:$D$461,"eucalipto")</f>
        <v>0</v>
      </c>
      <c r="J11" s="9">
        <f>SUMIFS(Data_filtered!$G$2:$G$461,Data_filtered!$A$2:$A$461,$A11,Data_filtered!$F$2:$F$461,J$1,Data_filtered!$D$2:$D$461,"eucalipto")</f>
        <v>0</v>
      </c>
      <c r="K11" s="9">
        <f>SUMIFS(Data_filtered!$G$2:$G$461,Data_filtered!$A$2:$A$461,$A11,Data_filtered!$F$2:$F$461,K$1,Data_filtered!$D$2:$D$461,"eucalipto")</f>
        <v>0</v>
      </c>
      <c r="L11" s="9">
        <f>SUMIFS(Data_filtered!$G$2:$G$461,Data_filtered!$A$2:$A$461,$A11,Data_filtered!$F$2:$F$461,L$1,Data_filtered!$D$2:$D$461,"eucalipto")</f>
        <v>0</v>
      </c>
      <c r="M11" s="9">
        <f>SUMIFS(Data_filtered!$G$2:$G$461,Data_filtered!$A$2:$A$461,$A11,Data_filtered!$F$2:$F$461,M$1,Data_filtered!$D$2:$D$461,"eucalipto")</f>
        <v>0</v>
      </c>
      <c r="N11" s="9">
        <f>SUMIFS(Data_filtered!$G$2:$G$461,Data_filtered!$A$2:$A$461,$A11,Data_filtered!$F$2:$F$461,N$1,Data_filtered!$D$2:$D$461,"eucalipto")</f>
        <v>0</v>
      </c>
      <c r="O11" s="9">
        <f>SUMIFS(Data_filtered!$G$2:$G$461,Data_filtered!$A$2:$A$461,$A11,Data_filtered!$F$2:$F$461,O$1,Data_filtered!$D$2:$D$461,"eucalipto")</f>
        <v>0</v>
      </c>
      <c r="P11" s="9">
        <f>SUMIFS(Data_filtered!$G$2:$G$461,Data_filtered!$A$2:$A$461,$A11,Data_filtered!$F$2:$F$461,P$1,Data_filtered!$D$2:$D$461,"eucalipto")</f>
        <v>0</v>
      </c>
      <c r="Q11" s="9">
        <f>SUMIFS(Data_filtered!$G$2:$G$461,Data_filtered!$A$2:$A$461,$A11,Data_filtered!$F$2:$F$461,Q$1,Data_filtered!$D$2:$D$461,"eucalipto")</f>
        <v>0</v>
      </c>
      <c r="R11" s="9">
        <f>SUMIFS(Data_filtered!$G$2:$G$461,Data_filtered!$A$2:$A$461,$A11,Data_filtered!$F$2:$F$461,R$1,Data_filtered!$D$2:$D$461,"eucalipto")</f>
        <v>0</v>
      </c>
      <c r="S11" s="9">
        <f>SUMIFS(Data_filtered!$G$2:$G$461,Data_filtered!$A$2:$A$461,$A11,Data_filtered!$F$2:$F$461,S$1,Data_filtered!$D$2:$D$461,"eucalipto")</f>
        <v>0</v>
      </c>
      <c r="T11" s="9">
        <f>SUMIFS(Data_filtered!$G$2:$G$461,Data_filtered!$A$2:$A$461,$A11,Data_filtered!$F$2:$F$461,T$1,Data_filtered!$D$2:$D$461,"eucalipto")</f>
        <v>0</v>
      </c>
      <c r="U11" s="9">
        <f>SUMIFS(Data_filtered!$G$2:$G$461,Data_filtered!$A$2:$A$461,$A11,Data_filtered!$F$2:$F$461,U$1,Data_filtered!$D$2:$D$461,"eucalipto")</f>
        <v>0</v>
      </c>
      <c r="V11" s="9">
        <f>SUMIFS(Data_filtered!$G$2:$G$461,Data_filtered!$A$2:$A$461,$A11,Data_filtered!$F$2:$F$461,V$1,Data_filtered!$D$2:$D$461,"eucalipto")</f>
        <v>0</v>
      </c>
      <c r="W11" s="9">
        <f>SUMIFS(Data_filtered!$G$2:$G$461,Data_filtered!$A$2:$A$461,$A11,Data_filtered!$F$2:$F$461,W$1,Data_filtered!$D$2:$D$461,"eucalipto")</f>
        <v>0</v>
      </c>
      <c r="X11" s="9">
        <f>SUMIFS(Data_filtered!$G$2:$G$461,Data_filtered!$A$2:$A$461,$A11,Data_filtered!$F$2:$F$461,X$1,Data_filtered!$D$2:$D$461,"eucalipto")</f>
        <v>0</v>
      </c>
      <c r="Y11" s="9">
        <f>SUMIFS(Data_filtered!$G$2:$G$461,Data_filtered!$A$2:$A$461,$A11,Data_filtered!$F$2:$F$461,Y$1,Data_filtered!$D$2:$D$461,"eucalipto")</f>
        <v>0</v>
      </c>
      <c r="Z11" s="9">
        <f>SUMIFS(Data_filtered!$G$2:$G$461,Data_filtered!$A$2:$A$461,$A11,Data_filtered!$F$2:$F$461,Z$1,Data_filtered!$D$2:$D$461,"eucalipto")</f>
        <v>0</v>
      </c>
      <c r="AA11" s="9">
        <f>SUMIFS(Data_filtered!$G$2:$G$461,Data_filtered!$A$2:$A$461,$A11,Data_filtered!$F$2:$F$461,AA$1,Data_filtered!$D$2:$D$461,"eucalipto")</f>
        <v>0</v>
      </c>
      <c r="AB11" s="9">
        <f>SUMIFS(Data_filtered!$G$2:$G$461,Data_filtered!$A$2:$A$461,$A11,Data_filtered!$F$2:$F$461,AB$1,Data_filtered!$D$2:$D$461,"eucalipto")</f>
        <v>0</v>
      </c>
      <c r="AC11" s="9">
        <f>SUMIFS(Data_filtered!$G$2:$G$461,Data_filtered!$A$2:$A$461,$A11,Data_filtered!$F$2:$F$461,AC$1,Data_filtered!$D$2:$D$461,"eucalipto")</f>
        <v>0</v>
      </c>
      <c r="AD11" s="9">
        <f>SUMIFS(Data_filtered!$G$2:$G$461,Data_filtered!$A$2:$A$461,$A11,Data_filtered!$F$2:$F$461,AD$1,Data_filtered!$D$2:$D$461,"eucalipto")</f>
        <v>0</v>
      </c>
    </row>
    <row r="12">
      <c r="A12" s="9" t="str">
        <f>IFERROR(__xludf.DUMMYFUNCTION("""COMPUTED_VALUE"""),"Rhinella icterica")</f>
        <v>Rhinella icterica</v>
      </c>
      <c r="B12" s="9">
        <f>SUMIFS(Data_filtered!$G$2:$G$461,Data_filtered!$A$2:$A$461,$A12,Data_filtered!$F$2:$F$461,B$1,Data_filtered!$D$2:$D$461,"eucalipto")</f>
        <v>0</v>
      </c>
      <c r="C12" s="9">
        <f>SUMIFS(Data_filtered!$G$2:$G$461,Data_filtered!$A$2:$A$461,$A12,Data_filtered!$F$2:$F$461,C$1,Data_filtered!$D$2:$D$461,"eucalipto")</f>
        <v>0</v>
      </c>
      <c r="D12" s="9">
        <f>SUMIFS(Data_filtered!$G$2:$G$461,Data_filtered!$A$2:$A$461,$A12,Data_filtered!$F$2:$F$461,D$1,Data_filtered!$D$2:$D$461,"eucalipto")</f>
        <v>0</v>
      </c>
      <c r="E12" s="9">
        <f>SUMIFS(Data_filtered!$G$2:$G$461,Data_filtered!$A$2:$A$461,$A12,Data_filtered!$F$2:$F$461,E$1,Data_filtered!$D$2:$D$461,"eucalipto")</f>
        <v>0</v>
      </c>
      <c r="F12" s="9">
        <f>SUMIFS(Data_filtered!$G$2:$G$461,Data_filtered!$A$2:$A$461,$A12,Data_filtered!$F$2:$F$461,F$1,Data_filtered!$D$2:$D$461,"eucalipto")</f>
        <v>0</v>
      </c>
      <c r="G12" s="9">
        <f>SUMIFS(Data_filtered!$G$2:$G$461,Data_filtered!$A$2:$A$461,$A12,Data_filtered!$F$2:$F$461,G$1,Data_filtered!$D$2:$D$461,"eucalipto")</f>
        <v>0</v>
      </c>
      <c r="H12" s="9">
        <f>SUMIFS(Data_filtered!$G$2:$G$461,Data_filtered!$A$2:$A$461,$A12,Data_filtered!$F$2:$F$461,H$1,Data_filtered!$D$2:$D$461,"eucalipto")</f>
        <v>18</v>
      </c>
      <c r="I12" s="9">
        <f>SUMIFS(Data_filtered!$G$2:$G$461,Data_filtered!$A$2:$A$461,$A12,Data_filtered!$F$2:$F$461,I$1,Data_filtered!$D$2:$D$461,"eucalipto")</f>
        <v>0</v>
      </c>
      <c r="J12" s="9">
        <f>SUMIFS(Data_filtered!$G$2:$G$461,Data_filtered!$A$2:$A$461,$A12,Data_filtered!$F$2:$F$461,J$1,Data_filtered!$D$2:$D$461,"eucalipto")</f>
        <v>0</v>
      </c>
      <c r="K12" s="9">
        <f>SUMIFS(Data_filtered!$G$2:$G$461,Data_filtered!$A$2:$A$461,$A12,Data_filtered!$F$2:$F$461,K$1,Data_filtered!$D$2:$D$461,"eucalipto")</f>
        <v>0</v>
      </c>
      <c r="L12" s="9">
        <f>SUMIFS(Data_filtered!$G$2:$G$461,Data_filtered!$A$2:$A$461,$A12,Data_filtered!$F$2:$F$461,L$1,Data_filtered!$D$2:$D$461,"eucalipto")</f>
        <v>0</v>
      </c>
      <c r="M12" s="9">
        <f>SUMIFS(Data_filtered!$G$2:$G$461,Data_filtered!$A$2:$A$461,$A12,Data_filtered!$F$2:$F$461,M$1,Data_filtered!$D$2:$D$461,"eucalipto")</f>
        <v>0</v>
      </c>
      <c r="N12" s="9">
        <f>SUMIFS(Data_filtered!$G$2:$G$461,Data_filtered!$A$2:$A$461,$A12,Data_filtered!$F$2:$F$461,N$1,Data_filtered!$D$2:$D$461,"eucalipto")</f>
        <v>2</v>
      </c>
      <c r="O12" s="9">
        <f>SUMIFS(Data_filtered!$G$2:$G$461,Data_filtered!$A$2:$A$461,$A12,Data_filtered!$F$2:$F$461,O$1,Data_filtered!$D$2:$D$461,"eucalipto")</f>
        <v>0</v>
      </c>
      <c r="P12" s="9">
        <f>SUMIFS(Data_filtered!$G$2:$G$461,Data_filtered!$A$2:$A$461,$A12,Data_filtered!$F$2:$F$461,P$1,Data_filtered!$D$2:$D$461,"eucalipto")</f>
        <v>0</v>
      </c>
      <c r="Q12" s="9">
        <f>SUMIFS(Data_filtered!$G$2:$G$461,Data_filtered!$A$2:$A$461,$A12,Data_filtered!$F$2:$F$461,Q$1,Data_filtered!$D$2:$D$461,"eucalipto")</f>
        <v>0</v>
      </c>
      <c r="R12" s="9">
        <f>SUMIFS(Data_filtered!$G$2:$G$461,Data_filtered!$A$2:$A$461,$A12,Data_filtered!$F$2:$F$461,R$1,Data_filtered!$D$2:$D$461,"eucalipto")</f>
        <v>0</v>
      </c>
      <c r="S12" s="9">
        <f>SUMIFS(Data_filtered!$G$2:$G$461,Data_filtered!$A$2:$A$461,$A12,Data_filtered!$F$2:$F$461,S$1,Data_filtered!$D$2:$D$461,"eucalipto")</f>
        <v>0</v>
      </c>
      <c r="T12" s="9">
        <f>SUMIFS(Data_filtered!$G$2:$G$461,Data_filtered!$A$2:$A$461,$A12,Data_filtered!$F$2:$F$461,T$1,Data_filtered!$D$2:$D$461,"eucalipto")</f>
        <v>0</v>
      </c>
      <c r="U12" s="9">
        <f>SUMIFS(Data_filtered!$G$2:$G$461,Data_filtered!$A$2:$A$461,$A12,Data_filtered!$F$2:$F$461,U$1,Data_filtered!$D$2:$D$461,"eucalipto")</f>
        <v>0</v>
      </c>
      <c r="V12" s="9">
        <f>SUMIFS(Data_filtered!$G$2:$G$461,Data_filtered!$A$2:$A$461,$A12,Data_filtered!$F$2:$F$461,V$1,Data_filtered!$D$2:$D$461,"eucalipto")</f>
        <v>0</v>
      </c>
      <c r="W12" s="9">
        <f>SUMIFS(Data_filtered!$G$2:$G$461,Data_filtered!$A$2:$A$461,$A12,Data_filtered!$F$2:$F$461,W$1,Data_filtered!$D$2:$D$461,"eucalipto")</f>
        <v>0</v>
      </c>
      <c r="X12" s="9">
        <f>SUMIFS(Data_filtered!$G$2:$G$461,Data_filtered!$A$2:$A$461,$A12,Data_filtered!$F$2:$F$461,X$1,Data_filtered!$D$2:$D$461,"eucalipto")</f>
        <v>0</v>
      </c>
      <c r="Y12" s="9">
        <f>SUMIFS(Data_filtered!$G$2:$G$461,Data_filtered!$A$2:$A$461,$A12,Data_filtered!$F$2:$F$461,Y$1,Data_filtered!$D$2:$D$461,"eucalipto")</f>
        <v>0</v>
      </c>
      <c r="Z12" s="9">
        <f>SUMIFS(Data_filtered!$G$2:$G$461,Data_filtered!$A$2:$A$461,$A12,Data_filtered!$F$2:$F$461,Z$1,Data_filtered!$D$2:$D$461,"eucalipto")</f>
        <v>0</v>
      </c>
      <c r="AA12" s="9">
        <f>SUMIFS(Data_filtered!$G$2:$G$461,Data_filtered!$A$2:$A$461,$A12,Data_filtered!$F$2:$F$461,AA$1,Data_filtered!$D$2:$D$461,"eucalipto")</f>
        <v>0</v>
      </c>
      <c r="AB12" s="9">
        <f>SUMIFS(Data_filtered!$G$2:$G$461,Data_filtered!$A$2:$A$461,$A12,Data_filtered!$F$2:$F$461,AB$1,Data_filtered!$D$2:$D$461,"eucalipto")</f>
        <v>0</v>
      </c>
      <c r="AC12" s="9">
        <f>SUMIFS(Data_filtered!$G$2:$G$461,Data_filtered!$A$2:$A$461,$A12,Data_filtered!$F$2:$F$461,AC$1,Data_filtered!$D$2:$D$461,"eucalipto")</f>
        <v>0</v>
      </c>
      <c r="AD12" s="9">
        <f>SUMIFS(Data_filtered!$G$2:$G$461,Data_filtered!$A$2:$A$461,$A12,Data_filtered!$F$2:$F$461,AD$1,Data_filtered!$D$2:$D$461,"eucalipto")</f>
        <v>0</v>
      </c>
    </row>
    <row r="13">
      <c r="A13" s="9" t="str">
        <f>IFERROR(__xludf.DUMMYFUNCTION("""COMPUTED_VALUE"""),"Scinax aff. dolloi")</f>
        <v>Scinax aff. dolloi</v>
      </c>
      <c r="B13" s="9">
        <f>SUMIFS(Data_filtered!$G$2:$G$461,Data_filtered!$A$2:$A$461,$A13,Data_filtered!$F$2:$F$461,B$1,Data_filtered!$D$2:$D$461,"eucalipto")</f>
        <v>0</v>
      </c>
      <c r="C13" s="9">
        <f>SUMIFS(Data_filtered!$G$2:$G$461,Data_filtered!$A$2:$A$461,$A13,Data_filtered!$F$2:$F$461,C$1,Data_filtered!$D$2:$D$461,"eucalipto")</f>
        <v>1</v>
      </c>
      <c r="D13" s="9">
        <f>SUMIFS(Data_filtered!$G$2:$G$461,Data_filtered!$A$2:$A$461,$A13,Data_filtered!$F$2:$F$461,D$1,Data_filtered!$D$2:$D$461,"eucalipto")</f>
        <v>2</v>
      </c>
      <c r="E13" s="9">
        <f>SUMIFS(Data_filtered!$G$2:$G$461,Data_filtered!$A$2:$A$461,$A13,Data_filtered!$F$2:$F$461,E$1,Data_filtered!$D$2:$D$461,"eucalipto")</f>
        <v>0</v>
      </c>
      <c r="F13" s="9">
        <f>SUMIFS(Data_filtered!$G$2:$G$461,Data_filtered!$A$2:$A$461,$A13,Data_filtered!$F$2:$F$461,F$1,Data_filtered!$D$2:$D$461,"eucalipto")</f>
        <v>0</v>
      </c>
      <c r="G13" s="9">
        <f>SUMIFS(Data_filtered!$G$2:$G$461,Data_filtered!$A$2:$A$461,$A13,Data_filtered!$F$2:$F$461,G$1,Data_filtered!$D$2:$D$461,"eucalipto")</f>
        <v>0</v>
      </c>
      <c r="H13" s="9">
        <f>SUMIFS(Data_filtered!$G$2:$G$461,Data_filtered!$A$2:$A$461,$A13,Data_filtered!$F$2:$F$461,H$1,Data_filtered!$D$2:$D$461,"eucalipto")</f>
        <v>0</v>
      </c>
      <c r="I13" s="9">
        <f>SUMIFS(Data_filtered!$G$2:$G$461,Data_filtered!$A$2:$A$461,$A13,Data_filtered!$F$2:$F$461,I$1,Data_filtered!$D$2:$D$461,"eucalipto")</f>
        <v>0</v>
      </c>
      <c r="J13" s="9">
        <f>SUMIFS(Data_filtered!$G$2:$G$461,Data_filtered!$A$2:$A$461,$A13,Data_filtered!$F$2:$F$461,J$1,Data_filtered!$D$2:$D$461,"eucalipto")</f>
        <v>0</v>
      </c>
      <c r="K13" s="9">
        <f>SUMIFS(Data_filtered!$G$2:$G$461,Data_filtered!$A$2:$A$461,$A13,Data_filtered!$F$2:$F$461,K$1,Data_filtered!$D$2:$D$461,"eucalipto")</f>
        <v>0</v>
      </c>
      <c r="L13" s="9">
        <f>SUMIFS(Data_filtered!$G$2:$G$461,Data_filtered!$A$2:$A$461,$A13,Data_filtered!$F$2:$F$461,L$1,Data_filtered!$D$2:$D$461,"eucalipto")</f>
        <v>0</v>
      </c>
      <c r="M13" s="9">
        <f>SUMIFS(Data_filtered!$G$2:$G$461,Data_filtered!$A$2:$A$461,$A13,Data_filtered!$F$2:$F$461,M$1,Data_filtered!$D$2:$D$461,"eucalipto")</f>
        <v>0</v>
      </c>
      <c r="N13" s="9">
        <f>SUMIFS(Data_filtered!$G$2:$G$461,Data_filtered!$A$2:$A$461,$A13,Data_filtered!$F$2:$F$461,N$1,Data_filtered!$D$2:$D$461,"eucalipto")</f>
        <v>0</v>
      </c>
      <c r="O13" s="9">
        <f>SUMIFS(Data_filtered!$G$2:$G$461,Data_filtered!$A$2:$A$461,$A13,Data_filtered!$F$2:$F$461,O$1,Data_filtered!$D$2:$D$461,"eucalipto")</f>
        <v>0</v>
      </c>
      <c r="P13" s="9">
        <f>SUMIFS(Data_filtered!$G$2:$G$461,Data_filtered!$A$2:$A$461,$A13,Data_filtered!$F$2:$F$461,P$1,Data_filtered!$D$2:$D$461,"eucalipto")</f>
        <v>0</v>
      </c>
      <c r="Q13" s="9">
        <f>SUMIFS(Data_filtered!$G$2:$G$461,Data_filtered!$A$2:$A$461,$A13,Data_filtered!$F$2:$F$461,Q$1,Data_filtered!$D$2:$D$461,"eucalipto")</f>
        <v>0</v>
      </c>
      <c r="R13" s="9">
        <f>SUMIFS(Data_filtered!$G$2:$G$461,Data_filtered!$A$2:$A$461,$A13,Data_filtered!$F$2:$F$461,R$1,Data_filtered!$D$2:$D$461,"eucalipto")</f>
        <v>0</v>
      </c>
      <c r="S13" s="9">
        <f>SUMIFS(Data_filtered!$G$2:$G$461,Data_filtered!$A$2:$A$461,$A13,Data_filtered!$F$2:$F$461,S$1,Data_filtered!$D$2:$D$461,"eucalipto")</f>
        <v>0</v>
      </c>
      <c r="T13" s="9">
        <f>SUMIFS(Data_filtered!$G$2:$G$461,Data_filtered!$A$2:$A$461,$A13,Data_filtered!$F$2:$F$461,T$1,Data_filtered!$D$2:$D$461,"eucalipto")</f>
        <v>0</v>
      </c>
      <c r="U13" s="9">
        <f>SUMIFS(Data_filtered!$G$2:$G$461,Data_filtered!$A$2:$A$461,$A13,Data_filtered!$F$2:$F$461,U$1,Data_filtered!$D$2:$D$461,"eucalipto")</f>
        <v>0</v>
      </c>
      <c r="V13" s="9">
        <f>SUMIFS(Data_filtered!$G$2:$G$461,Data_filtered!$A$2:$A$461,$A13,Data_filtered!$F$2:$F$461,V$1,Data_filtered!$D$2:$D$461,"eucalipto")</f>
        <v>0</v>
      </c>
      <c r="W13" s="9">
        <f>SUMIFS(Data_filtered!$G$2:$G$461,Data_filtered!$A$2:$A$461,$A13,Data_filtered!$F$2:$F$461,W$1,Data_filtered!$D$2:$D$461,"eucalipto")</f>
        <v>0</v>
      </c>
      <c r="X13" s="9">
        <f>SUMIFS(Data_filtered!$G$2:$G$461,Data_filtered!$A$2:$A$461,$A13,Data_filtered!$F$2:$F$461,X$1,Data_filtered!$D$2:$D$461,"eucalipto")</f>
        <v>0</v>
      </c>
      <c r="Y13" s="9">
        <f>SUMIFS(Data_filtered!$G$2:$G$461,Data_filtered!$A$2:$A$461,$A13,Data_filtered!$F$2:$F$461,Y$1,Data_filtered!$D$2:$D$461,"eucalipto")</f>
        <v>0</v>
      </c>
      <c r="Z13" s="9">
        <f>SUMIFS(Data_filtered!$G$2:$G$461,Data_filtered!$A$2:$A$461,$A13,Data_filtered!$F$2:$F$461,Z$1,Data_filtered!$D$2:$D$461,"eucalipto")</f>
        <v>0</v>
      </c>
      <c r="AA13" s="9">
        <f>SUMIFS(Data_filtered!$G$2:$G$461,Data_filtered!$A$2:$A$461,$A13,Data_filtered!$F$2:$F$461,AA$1,Data_filtered!$D$2:$D$461,"eucalipto")</f>
        <v>0</v>
      </c>
      <c r="AB13" s="9">
        <f>SUMIFS(Data_filtered!$G$2:$G$461,Data_filtered!$A$2:$A$461,$A13,Data_filtered!$F$2:$F$461,AB$1,Data_filtered!$D$2:$D$461,"eucalipto")</f>
        <v>0</v>
      </c>
      <c r="AC13" s="9">
        <f>SUMIFS(Data_filtered!$G$2:$G$461,Data_filtered!$A$2:$A$461,$A13,Data_filtered!$F$2:$F$461,AC$1,Data_filtered!$D$2:$D$461,"eucalipto")</f>
        <v>0</v>
      </c>
      <c r="AD13" s="9">
        <f>SUMIFS(Data_filtered!$G$2:$G$461,Data_filtered!$A$2:$A$461,$A13,Data_filtered!$F$2:$F$461,AD$1,Data_filtered!$D$2:$D$461,"eucalipto")</f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</cols>
  <sheetData>
    <row r="1">
      <c r="B1" s="9" t="str">
        <f>IFERROR(__xludf.DUMMYFUNCTION("TRANSPOSE(SORT(UNIQUE(FILTER(Data_filtered!F2:F461,Data_filtered!E$2:E$461&lt;&gt;""Não identificado"",Data_filtered!E$2:E$461&lt;&gt;""Semente"",Data_filtered!E$2:E$461&lt;&gt;""Semente de capim"",Data_filtered!E$2:E$461&lt;&gt;""Apenas substrato"",Data_filtered!E$2:E$461&lt;&gt;""Va"&amp;"zio""))))"),"Acari")</f>
        <v>Acari</v>
      </c>
      <c r="C1" s="9" t="str">
        <f>IFERROR(__xludf.DUMMYFUNCTION("""COMPUTED_VALUE"""),"Arachnida")</f>
        <v>Arachnida</v>
      </c>
      <c r="D1" s="9" t="str">
        <f>IFERROR(__xludf.DUMMYFUNCTION("""COMPUTED_VALUE"""),"Araneae")</f>
        <v>Araneae</v>
      </c>
      <c r="E1" s="9" t="str">
        <f>IFERROR(__xludf.DUMMYFUNCTION("""COMPUTED_VALUE"""),"Arthropoda")</f>
        <v>Arthropoda</v>
      </c>
      <c r="F1" s="9" t="str">
        <f>IFERROR(__xludf.DUMMYFUNCTION("""COMPUTED_VALUE"""),"Blattodea")</f>
        <v>Blattodea</v>
      </c>
      <c r="G1" s="9" t="str">
        <f>IFERROR(__xludf.DUMMYFUNCTION("""COMPUTED_VALUE"""),"Chilopoda")</f>
        <v>Chilopoda</v>
      </c>
      <c r="H1" s="9" t="str">
        <f>IFERROR(__xludf.DUMMYFUNCTION("""COMPUTED_VALUE"""),"Coleoptera")</f>
        <v>Coleoptera</v>
      </c>
      <c r="I1" s="9" t="str">
        <f>IFERROR(__xludf.DUMMYFUNCTION("""COMPUTED_VALUE"""),"Coleoptera Larva")</f>
        <v>Coleoptera Larva</v>
      </c>
      <c r="J1" s="9" t="str">
        <f>IFERROR(__xludf.DUMMYFUNCTION("""COMPUTED_VALUE"""),"Collembola")</f>
        <v>Collembola</v>
      </c>
      <c r="K1" s="9" t="str">
        <f>IFERROR(__xludf.DUMMYFUNCTION("""COMPUTED_VALUE"""),"Dermaptera")</f>
        <v>Dermaptera</v>
      </c>
      <c r="L1" s="9" t="str">
        <f>IFERROR(__xludf.DUMMYFUNCTION("""COMPUTED_VALUE"""),"Diplopoda")</f>
        <v>Diplopoda</v>
      </c>
      <c r="M1" s="9" t="str">
        <f>IFERROR(__xludf.DUMMYFUNCTION("""COMPUTED_VALUE"""),"Ensifera")</f>
        <v>Ensifera</v>
      </c>
      <c r="N1" s="9" t="str">
        <f>IFERROR(__xludf.DUMMYFUNCTION("""COMPUTED_VALUE"""),"Formicidae")</f>
        <v>Formicidae</v>
      </c>
      <c r="O1" s="9" t="str">
        <f>IFERROR(__xludf.DUMMYFUNCTION("""COMPUTED_VALUE"""),"Hemiptera")</f>
        <v>Hemiptera</v>
      </c>
      <c r="P1" s="9" t="str">
        <f>IFERROR(__xludf.DUMMYFUNCTION("""COMPUTED_VALUE"""),"Heteroptera")</f>
        <v>Heteroptera</v>
      </c>
      <c r="Q1" s="9" t="str">
        <f>IFERROR(__xludf.DUMMYFUNCTION("""COMPUTED_VALUE"""),"Insecta")</f>
        <v>Insecta</v>
      </c>
      <c r="R1" s="9" t="str">
        <f>IFERROR(__xludf.DUMMYFUNCTION("""COMPUTED_VALUE"""),"Isópode")</f>
        <v>Isópode</v>
      </c>
      <c r="S1" s="9" t="str">
        <f>IFERROR(__xludf.DUMMYFUNCTION("""COMPUTED_VALUE"""),"Isoptera")</f>
        <v>Isoptera</v>
      </c>
      <c r="T1" s="9" t="str">
        <f>IFERROR(__xludf.DUMMYFUNCTION("""COMPUTED_VALUE"""),"Larva")</f>
        <v>Larva</v>
      </c>
      <c r="U1" s="9" t="str">
        <f>IFERROR(__xludf.DUMMYFUNCTION("""COMPUTED_VALUE"""),"Lepidoptera Larva")</f>
        <v>Lepidoptera Larva</v>
      </c>
      <c r="V1" s="9" t="str">
        <f>IFERROR(__xludf.DUMMYFUNCTION("""COMPUTED_VALUE"""),"Mantodea")</f>
        <v>Mantodea</v>
      </c>
      <c r="W1" s="9" t="str">
        <f>IFERROR(__xludf.DUMMYFUNCTION("""COMPUTED_VALUE"""),"Mosca")</f>
        <v>Mosca</v>
      </c>
      <c r="X1" s="9" t="str">
        <f>IFERROR(__xludf.DUMMYFUNCTION("""COMPUTED_VALUE"""),"Opiliones")</f>
        <v>Opiliones</v>
      </c>
      <c r="Y1" s="9" t="str">
        <f>IFERROR(__xludf.DUMMYFUNCTION("""COMPUTED_VALUE"""),"Orthoptera")</f>
        <v>Orthoptera</v>
      </c>
      <c r="Z1" s="9" t="str">
        <f>IFERROR(__xludf.DUMMYFUNCTION("""COMPUTED_VALUE"""),"Pscoptera")</f>
        <v>Pscoptera</v>
      </c>
      <c r="AA1" s="9" t="str">
        <f>IFERROR(__xludf.DUMMYFUNCTION("""COMPUTED_VALUE"""),"Pterygota")</f>
        <v>Pterygota</v>
      </c>
      <c r="AB1" s="9" t="str">
        <f>IFERROR(__xludf.DUMMYFUNCTION("""COMPUTED_VALUE"""),"Staphylinidae")</f>
        <v>Staphylinidae</v>
      </c>
      <c r="AC1" s="9" t="str">
        <f>IFERROR(__xludf.DUMMYFUNCTION("""COMPUTED_VALUE"""),"Thysanoptera")</f>
        <v>Thysanoptera</v>
      </c>
      <c r="AD1" s="9" t="str">
        <f>IFERROR(__xludf.DUMMYFUNCTION("""COMPUTED_VALUE"""),"Vespa")</f>
        <v>Vespa</v>
      </c>
    </row>
    <row r="2">
      <c r="A2" s="9" t="str">
        <f>IFERROR(__xludf.DUMMYFUNCTION("SORT(UNIQUE(FILTER(Data_filtered!$A$2:$A$461,Data_filtered!$E$2:$E$461&lt;&gt;""Vazio"",Data_filtered!$E$2:$E$461&lt;&gt;""Não identificado"",Data_filtered!$E$2:$E$461&lt;&gt;""Semente"",Data_filtered!$E$2:$E$461&lt;&gt;""Semente de capim"",Data_filtered!$E$2:$E$461&lt;&gt;""Apenas su"&amp;"bstrato"", Data_filtered!$D$2:$D$461 =""mata"")))"),"Aplastodiscus albosignatus")</f>
        <v>Aplastodiscus albosignatus</v>
      </c>
      <c r="B2" s="9">
        <f>SUMIFS(Data_filtered!$G$2:$G$461,Data_filtered!$A$2:$A$461,$A2,Data_filtered!$F$2:$F$461,B$1, Data_filtered!$D$2:$D$461,"mata")</f>
        <v>0</v>
      </c>
      <c r="C2" s="9">
        <f>SUMIFS(Data_filtered!$G$2:$G$461,Data_filtered!$A$2:$A$461,$A2,Data_filtered!$F$2:$F$461,C$1, Data_filtered!$D$2:$D$461,"mata")</f>
        <v>0</v>
      </c>
      <c r="D2" s="9">
        <f>SUMIFS(Data_filtered!$G$2:$G$461,Data_filtered!$A$2:$A$461,$A2,Data_filtered!$F$2:$F$461,D$1, Data_filtered!$D$2:$D$461,"mata")</f>
        <v>0</v>
      </c>
      <c r="E2" s="9">
        <f>SUMIFS(Data_filtered!$G$2:$G$461,Data_filtered!$A$2:$A$461,$A2,Data_filtered!$F$2:$F$461,E$1, Data_filtered!$D$2:$D$461,"mata")</f>
        <v>0</v>
      </c>
      <c r="F2" s="9">
        <f>SUMIFS(Data_filtered!$G$2:$G$461,Data_filtered!$A$2:$A$461,$A2,Data_filtered!$F$2:$F$461,F$1, Data_filtered!$D$2:$D$461,"mata")</f>
        <v>0</v>
      </c>
      <c r="G2" s="9">
        <f>SUMIFS(Data_filtered!$G$2:$G$461,Data_filtered!$A$2:$A$461,$A2,Data_filtered!$F$2:$F$461,G$1, Data_filtered!$D$2:$D$461,"mata")</f>
        <v>0</v>
      </c>
      <c r="H2" s="9">
        <f>SUMIFS(Data_filtered!$G$2:$G$461,Data_filtered!$A$2:$A$461,$A2,Data_filtered!$F$2:$F$461,H$1, Data_filtered!$D$2:$D$461,"mata")</f>
        <v>1</v>
      </c>
      <c r="I2" s="9">
        <f>SUMIFS(Data_filtered!$G$2:$G$461,Data_filtered!$A$2:$A$461,$A2,Data_filtered!$F$2:$F$461,I$1, Data_filtered!$D$2:$D$461,"mata")</f>
        <v>0</v>
      </c>
      <c r="J2" s="9">
        <f>SUMIFS(Data_filtered!$G$2:$G$461,Data_filtered!$A$2:$A$461,$A2,Data_filtered!$F$2:$F$461,J$1, Data_filtered!$D$2:$D$461,"mata")</f>
        <v>0</v>
      </c>
      <c r="K2" s="9">
        <f>SUMIFS(Data_filtered!$G$2:$G$461,Data_filtered!$A$2:$A$461,$A2,Data_filtered!$F$2:$F$461,K$1, Data_filtered!$D$2:$D$461,"mata")</f>
        <v>0</v>
      </c>
      <c r="L2" s="9">
        <f>SUMIFS(Data_filtered!$G$2:$G$461,Data_filtered!$A$2:$A$461,$A2,Data_filtered!$F$2:$F$461,L$1, Data_filtered!$D$2:$D$461,"mata")</f>
        <v>0</v>
      </c>
      <c r="M2" s="9">
        <f>SUMIFS(Data_filtered!$G$2:$G$461,Data_filtered!$A$2:$A$461,$A2,Data_filtered!$F$2:$F$461,M$1, Data_filtered!$D$2:$D$461,"mata")</f>
        <v>0</v>
      </c>
      <c r="N2" s="9">
        <f>SUMIFS(Data_filtered!$G$2:$G$461,Data_filtered!$A$2:$A$461,$A2,Data_filtered!$F$2:$F$461,N$1, Data_filtered!$D$2:$D$461,"mata")</f>
        <v>0</v>
      </c>
      <c r="O2" s="9">
        <f>SUMIFS(Data_filtered!$G$2:$G$461,Data_filtered!$A$2:$A$461,$A2,Data_filtered!$F$2:$F$461,O$1, Data_filtered!$D$2:$D$461,"mata")</f>
        <v>0</v>
      </c>
      <c r="P2" s="9">
        <f>SUMIFS(Data_filtered!$G$2:$G$461,Data_filtered!$A$2:$A$461,$A2,Data_filtered!$F$2:$F$461,P$1, Data_filtered!$D$2:$D$461,"mata")</f>
        <v>0</v>
      </c>
      <c r="Q2" s="9">
        <f>SUMIFS(Data_filtered!$G$2:$G$461,Data_filtered!$A$2:$A$461,$A2,Data_filtered!$F$2:$F$461,Q$1, Data_filtered!$D$2:$D$461,"mata")</f>
        <v>0</v>
      </c>
      <c r="R2" s="9">
        <f>SUMIFS(Data_filtered!$G$2:$G$461,Data_filtered!$A$2:$A$461,$A2,Data_filtered!$F$2:$F$461,R$1, Data_filtered!$D$2:$D$461,"mata")</f>
        <v>0</v>
      </c>
      <c r="S2" s="9">
        <f>SUMIFS(Data_filtered!$G$2:$G$461,Data_filtered!$A$2:$A$461,$A2,Data_filtered!$F$2:$F$461,S$1, Data_filtered!$D$2:$D$461,"mata")</f>
        <v>0</v>
      </c>
      <c r="T2" s="9">
        <f>SUMIFS(Data_filtered!$G$2:$G$461,Data_filtered!$A$2:$A$461,$A2,Data_filtered!$F$2:$F$461,T$1, Data_filtered!$D$2:$D$461,"mata")</f>
        <v>0</v>
      </c>
      <c r="U2" s="9">
        <f>SUMIFS(Data_filtered!$G$2:$G$461,Data_filtered!$A$2:$A$461,$A2,Data_filtered!$F$2:$F$461,U$1, Data_filtered!$D$2:$D$461,"mata")</f>
        <v>0</v>
      </c>
      <c r="V2" s="9">
        <f>SUMIFS(Data_filtered!$G$2:$G$461,Data_filtered!$A$2:$A$461,$A2,Data_filtered!$F$2:$F$461,V$1, Data_filtered!$D$2:$D$461,"mata")</f>
        <v>0</v>
      </c>
      <c r="W2" s="9">
        <f>SUMIFS(Data_filtered!$G$2:$G$461,Data_filtered!$A$2:$A$461,$A2,Data_filtered!$F$2:$F$461,W$1, Data_filtered!$D$2:$D$461,"mata")</f>
        <v>0</v>
      </c>
      <c r="X2" s="9">
        <f>SUMIFS(Data_filtered!$G$2:$G$461,Data_filtered!$A$2:$A$461,$A2,Data_filtered!$F$2:$F$461,X$1, Data_filtered!$D$2:$D$461,"mata")</f>
        <v>0</v>
      </c>
      <c r="Y2" s="9">
        <f>SUMIFS(Data_filtered!$G$2:$G$461,Data_filtered!$A$2:$A$461,$A2,Data_filtered!$F$2:$F$461,Y$1, Data_filtered!$D$2:$D$461,"mata")</f>
        <v>0</v>
      </c>
      <c r="Z2" s="9">
        <f>SUMIFS(Data_filtered!$G$2:$G$461,Data_filtered!$A$2:$A$461,$A2,Data_filtered!$F$2:$F$461,Z$1, Data_filtered!$D$2:$D$461,"mata")</f>
        <v>0</v>
      </c>
      <c r="AA2" s="9">
        <f>SUMIFS(Data_filtered!$G$2:$G$461,Data_filtered!$A$2:$A$461,$A2,Data_filtered!$F$2:$F$461,AA$1, Data_filtered!$D$2:$D$461,"mata")</f>
        <v>0</v>
      </c>
      <c r="AB2" s="9">
        <f>SUMIFS(Data_filtered!$G$2:$G$461,Data_filtered!$A$2:$A$461,$A2,Data_filtered!$F$2:$F$461,AB$1, Data_filtered!$D$2:$D$461,"mata")</f>
        <v>0</v>
      </c>
      <c r="AC2" s="9">
        <f>SUMIFS(Data_filtered!$G$2:$G$461,Data_filtered!$A$2:$A$461,$A2,Data_filtered!$F$2:$F$461,AC$1, Data_filtered!$D$2:$D$461,"mata")</f>
        <v>0</v>
      </c>
      <c r="AD2" s="9">
        <f>SUMIFS(Data_filtered!$G$2:$G$461,Data_filtered!$A$2:$A$461,$A2,Data_filtered!$F$2:$F$461,AD$1, Data_filtered!$D$2:$D$461,"mata")</f>
        <v>0</v>
      </c>
    </row>
    <row r="3">
      <c r="A3" s="9" t="str">
        <f>IFERROR(__xludf.DUMMYFUNCTION("""COMPUTED_VALUE"""),"Boana faber")</f>
        <v>Boana faber</v>
      </c>
      <c r="B3" s="9">
        <f>SUMIFS(Data_filtered!$G$2:$G$461,Data_filtered!$A$2:$A$461,$A3,Data_filtered!$F$2:$F$461,B$1, Data_filtered!$D$2:$D$461,"mata")</f>
        <v>0</v>
      </c>
      <c r="C3" s="9">
        <f>SUMIFS(Data_filtered!$G$2:$G$461,Data_filtered!$A$2:$A$461,$A3,Data_filtered!$F$2:$F$461,C$1, Data_filtered!$D$2:$D$461,"mata")</f>
        <v>0</v>
      </c>
      <c r="D3" s="9">
        <f>SUMIFS(Data_filtered!$G$2:$G$461,Data_filtered!$A$2:$A$461,$A3,Data_filtered!$F$2:$F$461,D$1, Data_filtered!$D$2:$D$461,"mata")</f>
        <v>1</v>
      </c>
      <c r="E3" s="9">
        <f>SUMIFS(Data_filtered!$G$2:$G$461,Data_filtered!$A$2:$A$461,$A3,Data_filtered!$F$2:$F$461,E$1, Data_filtered!$D$2:$D$461,"mata")</f>
        <v>0</v>
      </c>
      <c r="F3" s="9">
        <f>SUMIFS(Data_filtered!$G$2:$G$461,Data_filtered!$A$2:$A$461,$A3,Data_filtered!$F$2:$F$461,F$1, Data_filtered!$D$2:$D$461,"mata")</f>
        <v>0</v>
      </c>
      <c r="G3" s="9">
        <f>SUMIFS(Data_filtered!$G$2:$G$461,Data_filtered!$A$2:$A$461,$A3,Data_filtered!$F$2:$F$461,G$1, Data_filtered!$D$2:$D$461,"mata")</f>
        <v>0</v>
      </c>
      <c r="H3" s="9">
        <f>SUMIFS(Data_filtered!$G$2:$G$461,Data_filtered!$A$2:$A$461,$A3,Data_filtered!$F$2:$F$461,H$1, Data_filtered!$D$2:$D$461,"mata")</f>
        <v>0</v>
      </c>
      <c r="I3" s="9">
        <f>SUMIFS(Data_filtered!$G$2:$G$461,Data_filtered!$A$2:$A$461,$A3,Data_filtered!$F$2:$F$461,I$1, Data_filtered!$D$2:$D$461,"mata")</f>
        <v>0</v>
      </c>
      <c r="J3" s="9">
        <f>SUMIFS(Data_filtered!$G$2:$G$461,Data_filtered!$A$2:$A$461,$A3,Data_filtered!$F$2:$F$461,J$1, Data_filtered!$D$2:$D$461,"mata")</f>
        <v>0</v>
      </c>
      <c r="K3" s="9">
        <f>SUMIFS(Data_filtered!$G$2:$G$461,Data_filtered!$A$2:$A$461,$A3,Data_filtered!$F$2:$F$461,K$1, Data_filtered!$D$2:$D$461,"mata")</f>
        <v>0</v>
      </c>
      <c r="L3" s="9">
        <f>SUMIFS(Data_filtered!$G$2:$G$461,Data_filtered!$A$2:$A$461,$A3,Data_filtered!$F$2:$F$461,L$1, Data_filtered!$D$2:$D$461,"mata")</f>
        <v>1</v>
      </c>
      <c r="M3" s="9">
        <f>SUMIFS(Data_filtered!$G$2:$G$461,Data_filtered!$A$2:$A$461,$A3,Data_filtered!$F$2:$F$461,M$1, Data_filtered!$D$2:$D$461,"mata")</f>
        <v>1</v>
      </c>
      <c r="N3" s="9">
        <f>SUMIFS(Data_filtered!$G$2:$G$461,Data_filtered!$A$2:$A$461,$A3,Data_filtered!$F$2:$F$461,N$1, Data_filtered!$D$2:$D$461,"mata")</f>
        <v>0</v>
      </c>
      <c r="O3" s="9">
        <f>SUMIFS(Data_filtered!$G$2:$G$461,Data_filtered!$A$2:$A$461,$A3,Data_filtered!$F$2:$F$461,O$1, Data_filtered!$D$2:$D$461,"mata")</f>
        <v>0</v>
      </c>
      <c r="P3" s="9">
        <f>SUMIFS(Data_filtered!$G$2:$G$461,Data_filtered!$A$2:$A$461,$A3,Data_filtered!$F$2:$F$461,P$1, Data_filtered!$D$2:$D$461,"mata")</f>
        <v>0</v>
      </c>
      <c r="Q3" s="9">
        <f>SUMIFS(Data_filtered!$G$2:$G$461,Data_filtered!$A$2:$A$461,$A3,Data_filtered!$F$2:$F$461,Q$1, Data_filtered!$D$2:$D$461,"mata")</f>
        <v>0</v>
      </c>
      <c r="R3" s="9">
        <f>SUMIFS(Data_filtered!$G$2:$G$461,Data_filtered!$A$2:$A$461,$A3,Data_filtered!$F$2:$F$461,R$1, Data_filtered!$D$2:$D$461,"mata")</f>
        <v>0</v>
      </c>
      <c r="S3" s="9">
        <f>SUMIFS(Data_filtered!$G$2:$G$461,Data_filtered!$A$2:$A$461,$A3,Data_filtered!$F$2:$F$461,S$1, Data_filtered!$D$2:$D$461,"mata")</f>
        <v>0</v>
      </c>
      <c r="T3" s="9">
        <f>SUMIFS(Data_filtered!$G$2:$G$461,Data_filtered!$A$2:$A$461,$A3,Data_filtered!$F$2:$F$461,T$1, Data_filtered!$D$2:$D$461,"mata")</f>
        <v>0</v>
      </c>
      <c r="U3" s="9">
        <f>SUMIFS(Data_filtered!$G$2:$G$461,Data_filtered!$A$2:$A$461,$A3,Data_filtered!$F$2:$F$461,U$1, Data_filtered!$D$2:$D$461,"mata")</f>
        <v>0</v>
      </c>
      <c r="V3" s="9">
        <f>SUMIFS(Data_filtered!$G$2:$G$461,Data_filtered!$A$2:$A$461,$A3,Data_filtered!$F$2:$F$461,V$1, Data_filtered!$D$2:$D$461,"mata")</f>
        <v>0</v>
      </c>
      <c r="W3" s="9">
        <f>SUMIFS(Data_filtered!$G$2:$G$461,Data_filtered!$A$2:$A$461,$A3,Data_filtered!$F$2:$F$461,W$1, Data_filtered!$D$2:$D$461,"mata")</f>
        <v>0</v>
      </c>
      <c r="X3" s="9">
        <f>SUMIFS(Data_filtered!$G$2:$G$461,Data_filtered!$A$2:$A$461,$A3,Data_filtered!$F$2:$F$461,X$1, Data_filtered!$D$2:$D$461,"mata")</f>
        <v>0</v>
      </c>
      <c r="Y3" s="9">
        <f>SUMIFS(Data_filtered!$G$2:$G$461,Data_filtered!$A$2:$A$461,$A3,Data_filtered!$F$2:$F$461,Y$1, Data_filtered!$D$2:$D$461,"mata")</f>
        <v>0</v>
      </c>
      <c r="Z3" s="9">
        <f>SUMIFS(Data_filtered!$G$2:$G$461,Data_filtered!$A$2:$A$461,$A3,Data_filtered!$F$2:$F$461,Z$1, Data_filtered!$D$2:$D$461,"mata")</f>
        <v>0</v>
      </c>
      <c r="AA3" s="9">
        <f>SUMIFS(Data_filtered!$G$2:$G$461,Data_filtered!$A$2:$A$461,$A3,Data_filtered!$F$2:$F$461,AA$1, Data_filtered!$D$2:$D$461,"mata")</f>
        <v>0</v>
      </c>
      <c r="AB3" s="9">
        <f>SUMIFS(Data_filtered!$G$2:$G$461,Data_filtered!$A$2:$A$461,$A3,Data_filtered!$F$2:$F$461,AB$1, Data_filtered!$D$2:$D$461,"mata")</f>
        <v>0</v>
      </c>
      <c r="AC3" s="9">
        <f>SUMIFS(Data_filtered!$G$2:$G$461,Data_filtered!$A$2:$A$461,$A3,Data_filtered!$F$2:$F$461,AC$1, Data_filtered!$D$2:$D$461,"mata")</f>
        <v>0</v>
      </c>
      <c r="AD3" s="9">
        <f>SUMIFS(Data_filtered!$G$2:$G$461,Data_filtered!$A$2:$A$461,$A3,Data_filtered!$F$2:$F$461,AD$1, Data_filtered!$D$2:$D$461,"mata")</f>
        <v>0</v>
      </c>
    </row>
    <row r="4">
      <c r="A4" s="9" t="str">
        <f>IFERROR(__xludf.DUMMYFUNCTION("""COMPUTED_VALUE"""),"Boana latistriata")</f>
        <v>Boana latistriata</v>
      </c>
      <c r="B4" s="9">
        <f>SUMIFS(Data_filtered!$G$2:$G$461,Data_filtered!$A$2:$A$461,$A4,Data_filtered!$F$2:$F$461,B$1, Data_filtered!$D$2:$D$461,"mata")</f>
        <v>0</v>
      </c>
      <c r="C4" s="9">
        <f>SUMIFS(Data_filtered!$G$2:$G$461,Data_filtered!$A$2:$A$461,$A4,Data_filtered!$F$2:$F$461,C$1, Data_filtered!$D$2:$D$461,"mata")</f>
        <v>0</v>
      </c>
      <c r="D4" s="9">
        <f>SUMIFS(Data_filtered!$G$2:$G$461,Data_filtered!$A$2:$A$461,$A4,Data_filtered!$F$2:$F$461,D$1, Data_filtered!$D$2:$D$461,"mata")</f>
        <v>1</v>
      </c>
      <c r="E4" s="9">
        <f>SUMIFS(Data_filtered!$G$2:$G$461,Data_filtered!$A$2:$A$461,$A4,Data_filtered!$F$2:$F$461,E$1, Data_filtered!$D$2:$D$461,"mata")</f>
        <v>1</v>
      </c>
      <c r="F4" s="9">
        <f>SUMIFS(Data_filtered!$G$2:$G$461,Data_filtered!$A$2:$A$461,$A4,Data_filtered!$F$2:$F$461,F$1, Data_filtered!$D$2:$D$461,"mata")</f>
        <v>1</v>
      </c>
      <c r="G4" s="9">
        <f>SUMIFS(Data_filtered!$G$2:$G$461,Data_filtered!$A$2:$A$461,$A4,Data_filtered!$F$2:$F$461,G$1, Data_filtered!$D$2:$D$461,"mata")</f>
        <v>0</v>
      </c>
      <c r="H4" s="9">
        <f>SUMIFS(Data_filtered!$G$2:$G$461,Data_filtered!$A$2:$A$461,$A4,Data_filtered!$F$2:$F$461,H$1, Data_filtered!$D$2:$D$461,"mata")</f>
        <v>1</v>
      </c>
      <c r="I4" s="9">
        <f>SUMIFS(Data_filtered!$G$2:$G$461,Data_filtered!$A$2:$A$461,$A4,Data_filtered!$F$2:$F$461,I$1, Data_filtered!$D$2:$D$461,"mata")</f>
        <v>1</v>
      </c>
      <c r="J4" s="9">
        <f>SUMIFS(Data_filtered!$G$2:$G$461,Data_filtered!$A$2:$A$461,$A4,Data_filtered!$F$2:$F$461,J$1, Data_filtered!$D$2:$D$461,"mata")</f>
        <v>0</v>
      </c>
      <c r="K4" s="9">
        <f>SUMIFS(Data_filtered!$G$2:$G$461,Data_filtered!$A$2:$A$461,$A4,Data_filtered!$F$2:$F$461,K$1, Data_filtered!$D$2:$D$461,"mata")</f>
        <v>0</v>
      </c>
      <c r="L4" s="9">
        <f>SUMIFS(Data_filtered!$G$2:$G$461,Data_filtered!$A$2:$A$461,$A4,Data_filtered!$F$2:$F$461,L$1, Data_filtered!$D$2:$D$461,"mata")</f>
        <v>0</v>
      </c>
      <c r="M4" s="9">
        <f>SUMIFS(Data_filtered!$G$2:$G$461,Data_filtered!$A$2:$A$461,$A4,Data_filtered!$F$2:$F$461,M$1, Data_filtered!$D$2:$D$461,"mata")</f>
        <v>0</v>
      </c>
      <c r="N4" s="9">
        <f>SUMIFS(Data_filtered!$G$2:$G$461,Data_filtered!$A$2:$A$461,$A4,Data_filtered!$F$2:$F$461,N$1, Data_filtered!$D$2:$D$461,"mata")</f>
        <v>0</v>
      </c>
      <c r="O4" s="9">
        <f>SUMIFS(Data_filtered!$G$2:$G$461,Data_filtered!$A$2:$A$461,$A4,Data_filtered!$F$2:$F$461,O$1, Data_filtered!$D$2:$D$461,"mata")</f>
        <v>0</v>
      </c>
      <c r="P4" s="9">
        <f>SUMIFS(Data_filtered!$G$2:$G$461,Data_filtered!$A$2:$A$461,$A4,Data_filtered!$F$2:$F$461,P$1, Data_filtered!$D$2:$D$461,"mata")</f>
        <v>0</v>
      </c>
      <c r="Q4" s="9">
        <f>SUMIFS(Data_filtered!$G$2:$G$461,Data_filtered!$A$2:$A$461,$A4,Data_filtered!$F$2:$F$461,Q$1, Data_filtered!$D$2:$D$461,"mata")</f>
        <v>0</v>
      </c>
      <c r="R4" s="9">
        <f>SUMIFS(Data_filtered!$G$2:$G$461,Data_filtered!$A$2:$A$461,$A4,Data_filtered!$F$2:$F$461,R$1, Data_filtered!$D$2:$D$461,"mata")</f>
        <v>0</v>
      </c>
      <c r="S4" s="9">
        <f>SUMIFS(Data_filtered!$G$2:$G$461,Data_filtered!$A$2:$A$461,$A4,Data_filtered!$F$2:$F$461,S$1, Data_filtered!$D$2:$D$461,"mata")</f>
        <v>0</v>
      </c>
      <c r="T4" s="9">
        <f>SUMIFS(Data_filtered!$G$2:$G$461,Data_filtered!$A$2:$A$461,$A4,Data_filtered!$F$2:$F$461,T$1, Data_filtered!$D$2:$D$461,"mata")</f>
        <v>0</v>
      </c>
      <c r="U4" s="9">
        <f>SUMIFS(Data_filtered!$G$2:$G$461,Data_filtered!$A$2:$A$461,$A4,Data_filtered!$F$2:$F$461,U$1, Data_filtered!$D$2:$D$461,"mata")</f>
        <v>0</v>
      </c>
      <c r="V4" s="9">
        <f>SUMIFS(Data_filtered!$G$2:$G$461,Data_filtered!$A$2:$A$461,$A4,Data_filtered!$F$2:$F$461,V$1, Data_filtered!$D$2:$D$461,"mata")</f>
        <v>0</v>
      </c>
      <c r="W4" s="9">
        <f>SUMIFS(Data_filtered!$G$2:$G$461,Data_filtered!$A$2:$A$461,$A4,Data_filtered!$F$2:$F$461,W$1, Data_filtered!$D$2:$D$461,"mata")</f>
        <v>0</v>
      </c>
      <c r="X4" s="9">
        <f>SUMIFS(Data_filtered!$G$2:$G$461,Data_filtered!$A$2:$A$461,$A4,Data_filtered!$F$2:$F$461,X$1, Data_filtered!$D$2:$D$461,"mata")</f>
        <v>0</v>
      </c>
      <c r="Y4" s="9">
        <f>SUMIFS(Data_filtered!$G$2:$G$461,Data_filtered!$A$2:$A$461,$A4,Data_filtered!$F$2:$F$461,Y$1, Data_filtered!$D$2:$D$461,"mata")</f>
        <v>1</v>
      </c>
      <c r="Z4" s="9">
        <f>SUMIFS(Data_filtered!$G$2:$G$461,Data_filtered!$A$2:$A$461,$A4,Data_filtered!$F$2:$F$461,Z$1, Data_filtered!$D$2:$D$461,"mata")</f>
        <v>0</v>
      </c>
      <c r="AA4" s="9">
        <f>SUMIFS(Data_filtered!$G$2:$G$461,Data_filtered!$A$2:$A$461,$A4,Data_filtered!$F$2:$F$461,AA$1, Data_filtered!$D$2:$D$461,"mata")</f>
        <v>0</v>
      </c>
      <c r="AB4" s="9">
        <f>SUMIFS(Data_filtered!$G$2:$G$461,Data_filtered!$A$2:$A$461,$A4,Data_filtered!$F$2:$F$461,AB$1, Data_filtered!$D$2:$D$461,"mata")</f>
        <v>0</v>
      </c>
      <c r="AC4" s="9">
        <f>SUMIFS(Data_filtered!$G$2:$G$461,Data_filtered!$A$2:$A$461,$A4,Data_filtered!$F$2:$F$461,AC$1, Data_filtered!$D$2:$D$461,"mata")</f>
        <v>0</v>
      </c>
      <c r="AD4" s="9">
        <f>SUMIFS(Data_filtered!$G$2:$G$461,Data_filtered!$A$2:$A$461,$A4,Data_filtered!$F$2:$F$461,AD$1, Data_filtered!$D$2:$D$461,"mata")</f>
        <v>0</v>
      </c>
    </row>
    <row r="5">
      <c r="A5" s="9" t="str">
        <f>IFERROR(__xludf.DUMMYFUNCTION("""COMPUTED_VALUE"""),"Bokermannohyla luctuosa")</f>
        <v>Bokermannohyla luctuosa</v>
      </c>
      <c r="B5" s="9">
        <f>SUMIFS(Data_filtered!$G$2:$G$461,Data_filtered!$A$2:$A$461,$A5,Data_filtered!$F$2:$F$461,B$1, Data_filtered!$D$2:$D$461,"mata")</f>
        <v>1</v>
      </c>
      <c r="C5" s="9">
        <f>SUMIFS(Data_filtered!$G$2:$G$461,Data_filtered!$A$2:$A$461,$A5,Data_filtered!$F$2:$F$461,C$1, Data_filtered!$D$2:$D$461,"mata")</f>
        <v>0</v>
      </c>
      <c r="D5" s="9">
        <f>SUMIFS(Data_filtered!$G$2:$G$461,Data_filtered!$A$2:$A$461,$A5,Data_filtered!$F$2:$F$461,D$1, Data_filtered!$D$2:$D$461,"mata")</f>
        <v>2</v>
      </c>
      <c r="E5" s="9">
        <f>SUMIFS(Data_filtered!$G$2:$G$461,Data_filtered!$A$2:$A$461,$A5,Data_filtered!$F$2:$F$461,E$1, Data_filtered!$D$2:$D$461,"mata")</f>
        <v>1</v>
      </c>
      <c r="F5" s="9">
        <f>SUMIFS(Data_filtered!$G$2:$G$461,Data_filtered!$A$2:$A$461,$A5,Data_filtered!$F$2:$F$461,F$1, Data_filtered!$D$2:$D$461,"mata")</f>
        <v>1</v>
      </c>
      <c r="G5" s="9">
        <f>SUMIFS(Data_filtered!$G$2:$G$461,Data_filtered!$A$2:$A$461,$A5,Data_filtered!$F$2:$F$461,G$1, Data_filtered!$D$2:$D$461,"mata")</f>
        <v>0</v>
      </c>
      <c r="H5" s="9">
        <f>SUMIFS(Data_filtered!$G$2:$G$461,Data_filtered!$A$2:$A$461,$A5,Data_filtered!$F$2:$F$461,H$1, Data_filtered!$D$2:$D$461,"mata")</f>
        <v>1</v>
      </c>
      <c r="I5" s="9">
        <f>SUMIFS(Data_filtered!$G$2:$G$461,Data_filtered!$A$2:$A$461,$A5,Data_filtered!$F$2:$F$461,I$1, Data_filtered!$D$2:$D$461,"mata")</f>
        <v>0</v>
      </c>
      <c r="J5" s="9">
        <f>SUMIFS(Data_filtered!$G$2:$G$461,Data_filtered!$A$2:$A$461,$A5,Data_filtered!$F$2:$F$461,J$1, Data_filtered!$D$2:$D$461,"mata")</f>
        <v>0</v>
      </c>
      <c r="K5" s="9">
        <f>SUMIFS(Data_filtered!$G$2:$G$461,Data_filtered!$A$2:$A$461,$A5,Data_filtered!$F$2:$F$461,K$1, Data_filtered!$D$2:$D$461,"mata")</f>
        <v>0</v>
      </c>
      <c r="L5" s="9">
        <f>SUMIFS(Data_filtered!$G$2:$G$461,Data_filtered!$A$2:$A$461,$A5,Data_filtered!$F$2:$F$461,L$1, Data_filtered!$D$2:$D$461,"mata")</f>
        <v>2</v>
      </c>
      <c r="M5" s="9">
        <f>SUMIFS(Data_filtered!$G$2:$G$461,Data_filtered!$A$2:$A$461,$A5,Data_filtered!$F$2:$F$461,M$1, Data_filtered!$D$2:$D$461,"mata")</f>
        <v>1</v>
      </c>
      <c r="N5" s="9">
        <f>SUMIFS(Data_filtered!$G$2:$G$461,Data_filtered!$A$2:$A$461,$A5,Data_filtered!$F$2:$F$461,N$1, Data_filtered!$D$2:$D$461,"mata")</f>
        <v>0</v>
      </c>
      <c r="O5" s="9">
        <f>SUMIFS(Data_filtered!$G$2:$G$461,Data_filtered!$A$2:$A$461,$A5,Data_filtered!$F$2:$F$461,O$1, Data_filtered!$D$2:$D$461,"mata")</f>
        <v>0</v>
      </c>
      <c r="P5" s="9">
        <f>SUMIFS(Data_filtered!$G$2:$G$461,Data_filtered!$A$2:$A$461,$A5,Data_filtered!$F$2:$F$461,P$1, Data_filtered!$D$2:$D$461,"mata")</f>
        <v>3</v>
      </c>
      <c r="Q5" s="9">
        <f>SUMIFS(Data_filtered!$G$2:$G$461,Data_filtered!$A$2:$A$461,$A5,Data_filtered!$F$2:$F$461,Q$1, Data_filtered!$D$2:$D$461,"mata")</f>
        <v>0</v>
      </c>
      <c r="R5" s="9">
        <f>SUMIFS(Data_filtered!$G$2:$G$461,Data_filtered!$A$2:$A$461,$A5,Data_filtered!$F$2:$F$461,R$1, Data_filtered!$D$2:$D$461,"mata")</f>
        <v>0</v>
      </c>
      <c r="S5" s="9">
        <f>SUMIFS(Data_filtered!$G$2:$G$461,Data_filtered!$A$2:$A$461,$A5,Data_filtered!$F$2:$F$461,S$1, Data_filtered!$D$2:$D$461,"mata")</f>
        <v>0</v>
      </c>
      <c r="T5" s="9">
        <f>SUMIFS(Data_filtered!$G$2:$G$461,Data_filtered!$A$2:$A$461,$A5,Data_filtered!$F$2:$F$461,T$1, Data_filtered!$D$2:$D$461,"mata")</f>
        <v>0</v>
      </c>
      <c r="U5" s="9">
        <f>SUMIFS(Data_filtered!$G$2:$G$461,Data_filtered!$A$2:$A$461,$A5,Data_filtered!$F$2:$F$461,U$1, Data_filtered!$D$2:$D$461,"mata")</f>
        <v>0</v>
      </c>
      <c r="V5" s="9">
        <f>SUMIFS(Data_filtered!$G$2:$G$461,Data_filtered!$A$2:$A$461,$A5,Data_filtered!$F$2:$F$461,V$1, Data_filtered!$D$2:$D$461,"mata")</f>
        <v>0</v>
      </c>
      <c r="W5" s="9">
        <f>SUMIFS(Data_filtered!$G$2:$G$461,Data_filtered!$A$2:$A$461,$A5,Data_filtered!$F$2:$F$461,W$1, Data_filtered!$D$2:$D$461,"mata")</f>
        <v>0</v>
      </c>
      <c r="X5" s="9">
        <f>SUMIFS(Data_filtered!$G$2:$G$461,Data_filtered!$A$2:$A$461,$A5,Data_filtered!$F$2:$F$461,X$1, Data_filtered!$D$2:$D$461,"mata")</f>
        <v>1</v>
      </c>
      <c r="Y5" s="9">
        <f>SUMIFS(Data_filtered!$G$2:$G$461,Data_filtered!$A$2:$A$461,$A5,Data_filtered!$F$2:$F$461,Y$1, Data_filtered!$D$2:$D$461,"mata")</f>
        <v>1</v>
      </c>
      <c r="Z5" s="9">
        <f>SUMIFS(Data_filtered!$G$2:$G$461,Data_filtered!$A$2:$A$461,$A5,Data_filtered!$F$2:$F$461,Z$1, Data_filtered!$D$2:$D$461,"mata")</f>
        <v>0</v>
      </c>
      <c r="AA5" s="9">
        <f>SUMIFS(Data_filtered!$G$2:$G$461,Data_filtered!$A$2:$A$461,$A5,Data_filtered!$F$2:$F$461,AA$1, Data_filtered!$D$2:$D$461,"mata")</f>
        <v>0</v>
      </c>
      <c r="AB5" s="9">
        <f>SUMIFS(Data_filtered!$G$2:$G$461,Data_filtered!$A$2:$A$461,$A5,Data_filtered!$F$2:$F$461,AB$1, Data_filtered!$D$2:$D$461,"mata")</f>
        <v>0</v>
      </c>
      <c r="AC5" s="9">
        <f>SUMIFS(Data_filtered!$G$2:$G$461,Data_filtered!$A$2:$A$461,$A5,Data_filtered!$F$2:$F$461,AC$1, Data_filtered!$D$2:$D$461,"mata")</f>
        <v>0</v>
      </c>
      <c r="AD5" s="9">
        <f>SUMIFS(Data_filtered!$G$2:$G$461,Data_filtered!$A$2:$A$461,$A5,Data_filtered!$F$2:$F$461,AD$1, Data_filtered!$D$2:$D$461,"mata")</f>
        <v>0</v>
      </c>
    </row>
    <row r="6">
      <c r="A6" s="9" t="str">
        <f>IFERROR(__xludf.DUMMYFUNCTION("""COMPUTED_VALUE"""),"Chiasmocleis mantiqueira")</f>
        <v>Chiasmocleis mantiqueira</v>
      </c>
      <c r="B6" s="9">
        <f>SUMIFS(Data_filtered!$G$2:$G$461,Data_filtered!$A$2:$A$461,$A6,Data_filtered!$F$2:$F$461,B$1, Data_filtered!$D$2:$D$461,"mata")</f>
        <v>0</v>
      </c>
      <c r="C6" s="9">
        <f>SUMIFS(Data_filtered!$G$2:$G$461,Data_filtered!$A$2:$A$461,$A6,Data_filtered!$F$2:$F$461,C$1, Data_filtered!$D$2:$D$461,"mata")</f>
        <v>0</v>
      </c>
      <c r="D6" s="9">
        <f>SUMIFS(Data_filtered!$G$2:$G$461,Data_filtered!$A$2:$A$461,$A6,Data_filtered!$F$2:$F$461,D$1, Data_filtered!$D$2:$D$461,"mata")</f>
        <v>0</v>
      </c>
      <c r="E6" s="9">
        <f>SUMIFS(Data_filtered!$G$2:$G$461,Data_filtered!$A$2:$A$461,$A6,Data_filtered!$F$2:$F$461,E$1, Data_filtered!$D$2:$D$461,"mata")</f>
        <v>0</v>
      </c>
      <c r="F6" s="9">
        <f>SUMIFS(Data_filtered!$G$2:$G$461,Data_filtered!$A$2:$A$461,$A6,Data_filtered!$F$2:$F$461,F$1, Data_filtered!$D$2:$D$461,"mata")</f>
        <v>0</v>
      </c>
      <c r="G6" s="9">
        <f>SUMIFS(Data_filtered!$G$2:$G$461,Data_filtered!$A$2:$A$461,$A6,Data_filtered!$F$2:$F$461,G$1, Data_filtered!$D$2:$D$461,"mata")</f>
        <v>0</v>
      </c>
      <c r="H6" s="9">
        <f>SUMIFS(Data_filtered!$G$2:$G$461,Data_filtered!$A$2:$A$461,$A6,Data_filtered!$F$2:$F$461,H$1, Data_filtered!$D$2:$D$461,"mata")</f>
        <v>1</v>
      </c>
      <c r="I6" s="9">
        <f>SUMIFS(Data_filtered!$G$2:$G$461,Data_filtered!$A$2:$A$461,$A6,Data_filtered!$F$2:$F$461,I$1, Data_filtered!$D$2:$D$461,"mata")</f>
        <v>0</v>
      </c>
      <c r="J6" s="9">
        <f>SUMIFS(Data_filtered!$G$2:$G$461,Data_filtered!$A$2:$A$461,$A6,Data_filtered!$F$2:$F$461,J$1, Data_filtered!$D$2:$D$461,"mata")</f>
        <v>0</v>
      </c>
      <c r="K6" s="9">
        <f>SUMIFS(Data_filtered!$G$2:$G$461,Data_filtered!$A$2:$A$461,$A6,Data_filtered!$F$2:$F$461,K$1, Data_filtered!$D$2:$D$461,"mata")</f>
        <v>0</v>
      </c>
      <c r="L6" s="9">
        <f>SUMIFS(Data_filtered!$G$2:$G$461,Data_filtered!$A$2:$A$461,$A6,Data_filtered!$F$2:$F$461,L$1, Data_filtered!$D$2:$D$461,"mata")</f>
        <v>0</v>
      </c>
      <c r="M6" s="9">
        <f>SUMIFS(Data_filtered!$G$2:$G$461,Data_filtered!$A$2:$A$461,$A6,Data_filtered!$F$2:$F$461,M$1, Data_filtered!$D$2:$D$461,"mata")</f>
        <v>0</v>
      </c>
      <c r="N6" s="9">
        <f>SUMIFS(Data_filtered!$G$2:$G$461,Data_filtered!$A$2:$A$461,$A6,Data_filtered!$F$2:$F$461,N$1, Data_filtered!$D$2:$D$461,"mata")</f>
        <v>3</v>
      </c>
      <c r="O6" s="9">
        <f>SUMIFS(Data_filtered!$G$2:$G$461,Data_filtered!$A$2:$A$461,$A6,Data_filtered!$F$2:$F$461,O$1, Data_filtered!$D$2:$D$461,"mata")</f>
        <v>0</v>
      </c>
      <c r="P6" s="9">
        <f>SUMIFS(Data_filtered!$G$2:$G$461,Data_filtered!$A$2:$A$461,$A6,Data_filtered!$F$2:$F$461,P$1, Data_filtered!$D$2:$D$461,"mata")</f>
        <v>0</v>
      </c>
      <c r="Q6" s="9">
        <f>SUMIFS(Data_filtered!$G$2:$G$461,Data_filtered!$A$2:$A$461,$A6,Data_filtered!$F$2:$F$461,Q$1, Data_filtered!$D$2:$D$461,"mata")</f>
        <v>0</v>
      </c>
      <c r="R6" s="9">
        <f>SUMIFS(Data_filtered!$G$2:$G$461,Data_filtered!$A$2:$A$461,$A6,Data_filtered!$F$2:$F$461,R$1, Data_filtered!$D$2:$D$461,"mata")</f>
        <v>0</v>
      </c>
      <c r="S6" s="9">
        <f>SUMIFS(Data_filtered!$G$2:$G$461,Data_filtered!$A$2:$A$461,$A6,Data_filtered!$F$2:$F$461,S$1, Data_filtered!$D$2:$D$461,"mata")</f>
        <v>0</v>
      </c>
      <c r="T6" s="9">
        <f>SUMIFS(Data_filtered!$G$2:$G$461,Data_filtered!$A$2:$A$461,$A6,Data_filtered!$F$2:$F$461,T$1, Data_filtered!$D$2:$D$461,"mata")</f>
        <v>0</v>
      </c>
      <c r="U6" s="9">
        <f>SUMIFS(Data_filtered!$G$2:$G$461,Data_filtered!$A$2:$A$461,$A6,Data_filtered!$F$2:$F$461,U$1, Data_filtered!$D$2:$D$461,"mata")</f>
        <v>0</v>
      </c>
      <c r="V6" s="9">
        <f>SUMIFS(Data_filtered!$G$2:$G$461,Data_filtered!$A$2:$A$461,$A6,Data_filtered!$F$2:$F$461,V$1, Data_filtered!$D$2:$D$461,"mata")</f>
        <v>0</v>
      </c>
      <c r="W6" s="9">
        <f>SUMIFS(Data_filtered!$G$2:$G$461,Data_filtered!$A$2:$A$461,$A6,Data_filtered!$F$2:$F$461,W$1, Data_filtered!$D$2:$D$461,"mata")</f>
        <v>0</v>
      </c>
      <c r="X6" s="9">
        <f>SUMIFS(Data_filtered!$G$2:$G$461,Data_filtered!$A$2:$A$461,$A6,Data_filtered!$F$2:$F$461,X$1, Data_filtered!$D$2:$D$461,"mata")</f>
        <v>0</v>
      </c>
      <c r="Y6" s="9">
        <f>SUMIFS(Data_filtered!$G$2:$G$461,Data_filtered!$A$2:$A$461,$A6,Data_filtered!$F$2:$F$461,Y$1, Data_filtered!$D$2:$D$461,"mata")</f>
        <v>0</v>
      </c>
      <c r="Z6" s="9">
        <f>SUMIFS(Data_filtered!$G$2:$G$461,Data_filtered!$A$2:$A$461,$A6,Data_filtered!$F$2:$F$461,Z$1, Data_filtered!$D$2:$D$461,"mata")</f>
        <v>0</v>
      </c>
      <c r="AA6" s="9">
        <f>SUMIFS(Data_filtered!$G$2:$G$461,Data_filtered!$A$2:$A$461,$A6,Data_filtered!$F$2:$F$461,AA$1, Data_filtered!$D$2:$D$461,"mata")</f>
        <v>0</v>
      </c>
      <c r="AB6" s="9">
        <f>SUMIFS(Data_filtered!$G$2:$G$461,Data_filtered!$A$2:$A$461,$A6,Data_filtered!$F$2:$F$461,AB$1, Data_filtered!$D$2:$D$461,"mata")</f>
        <v>0</v>
      </c>
      <c r="AC6" s="9">
        <f>SUMIFS(Data_filtered!$G$2:$G$461,Data_filtered!$A$2:$A$461,$A6,Data_filtered!$F$2:$F$461,AC$1, Data_filtered!$D$2:$D$461,"mata")</f>
        <v>0</v>
      </c>
      <c r="AD6" s="9">
        <f>SUMIFS(Data_filtered!$G$2:$G$461,Data_filtered!$A$2:$A$461,$A6,Data_filtered!$F$2:$F$461,AD$1, Data_filtered!$D$2:$D$461,"mata")</f>
        <v>0</v>
      </c>
    </row>
    <row r="7">
      <c r="A7" s="9" t="str">
        <f>IFERROR(__xludf.DUMMYFUNCTION("""COMPUTED_VALUE"""),"Dendropsophus microps")</f>
        <v>Dendropsophus microps</v>
      </c>
      <c r="B7" s="9">
        <f>SUMIFS(Data_filtered!$G$2:$G$461,Data_filtered!$A$2:$A$461,$A7,Data_filtered!$F$2:$F$461,B$1, Data_filtered!$D$2:$D$461,"mata")</f>
        <v>0</v>
      </c>
      <c r="C7" s="9">
        <f>SUMIFS(Data_filtered!$G$2:$G$461,Data_filtered!$A$2:$A$461,$A7,Data_filtered!$F$2:$F$461,C$1, Data_filtered!$D$2:$D$461,"mata")</f>
        <v>0</v>
      </c>
      <c r="D7" s="9">
        <f>SUMIFS(Data_filtered!$G$2:$G$461,Data_filtered!$A$2:$A$461,$A7,Data_filtered!$F$2:$F$461,D$1, Data_filtered!$D$2:$D$461,"mata")</f>
        <v>1</v>
      </c>
      <c r="E7" s="9">
        <f>SUMIFS(Data_filtered!$G$2:$G$461,Data_filtered!$A$2:$A$461,$A7,Data_filtered!$F$2:$F$461,E$1, Data_filtered!$D$2:$D$461,"mata")</f>
        <v>0</v>
      </c>
      <c r="F7" s="9">
        <f>SUMIFS(Data_filtered!$G$2:$G$461,Data_filtered!$A$2:$A$461,$A7,Data_filtered!$F$2:$F$461,F$1, Data_filtered!$D$2:$D$461,"mata")</f>
        <v>0</v>
      </c>
      <c r="G7" s="9">
        <f>SUMIFS(Data_filtered!$G$2:$G$461,Data_filtered!$A$2:$A$461,$A7,Data_filtered!$F$2:$F$461,G$1, Data_filtered!$D$2:$D$461,"mata")</f>
        <v>0</v>
      </c>
      <c r="H7" s="9">
        <f>SUMIFS(Data_filtered!$G$2:$G$461,Data_filtered!$A$2:$A$461,$A7,Data_filtered!$F$2:$F$461,H$1, Data_filtered!$D$2:$D$461,"mata")</f>
        <v>6</v>
      </c>
      <c r="I7" s="9">
        <f>SUMIFS(Data_filtered!$G$2:$G$461,Data_filtered!$A$2:$A$461,$A7,Data_filtered!$F$2:$F$461,I$1, Data_filtered!$D$2:$D$461,"mata")</f>
        <v>0</v>
      </c>
      <c r="J7" s="9">
        <f>SUMIFS(Data_filtered!$G$2:$G$461,Data_filtered!$A$2:$A$461,$A7,Data_filtered!$F$2:$F$461,J$1, Data_filtered!$D$2:$D$461,"mata")</f>
        <v>0</v>
      </c>
      <c r="K7" s="9">
        <f>SUMIFS(Data_filtered!$G$2:$G$461,Data_filtered!$A$2:$A$461,$A7,Data_filtered!$F$2:$F$461,K$1, Data_filtered!$D$2:$D$461,"mata")</f>
        <v>0</v>
      </c>
      <c r="L7" s="9">
        <f>SUMIFS(Data_filtered!$G$2:$G$461,Data_filtered!$A$2:$A$461,$A7,Data_filtered!$F$2:$F$461,L$1, Data_filtered!$D$2:$D$461,"mata")</f>
        <v>0</v>
      </c>
      <c r="M7" s="9">
        <f>SUMIFS(Data_filtered!$G$2:$G$461,Data_filtered!$A$2:$A$461,$A7,Data_filtered!$F$2:$F$461,M$1, Data_filtered!$D$2:$D$461,"mata")</f>
        <v>0</v>
      </c>
      <c r="N7" s="9">
        <f>SUMIFS(Data_filtered!$G$2:$G$461,Data_filtered!$A$2:$A$461,$A7,Data_filtered!$F$2:$F$461,N$1, Data_filtered!$D$2:$D$461,"mata")</f>
        <v>0</v>
      </c>
      <c r="O7" s="9">
        <f>SUMIFS(Data_filtered!$G$2:$G$461,Data_filtered!$A$2:$A$461,$A7,Data_filtered!$F$2:$F$461,O$1, Data_filtered!$D$2:$D$461,"mata")</f>
        <v>0</v>
      </c>
      <c r="P7" s="9">
        <f>SUMIFS(Data_filtered!$G$2:$G$461,Data_filtered!$A$2:$A$461,$A7,Data_filtered!$F$2:$F$461,P$1, Data_filtered!$D$2:$D$461,"mata")</f>
        <v>0</v>
      </c>
      <c r="Q7" s="9">
        <f>SUMIFS(Data_filtered!$G$2:$G$461,Data_filtered!$A$2:$A$461,$A7,Data_filtered!$F$2:$F$461,Q$1, Data_filtered!$D$2:$D$461,"mata")</f>
        <v>2</v>
      </c>
      <c r="R7" s="9">
        <f>SUMIFS(Data_filtered!$G$2:$G$461,Data_filtered!$A$2:$A$461,$A7,Data_filtered!$F$2:$F$461,R$1, Data_filtered!$D$2:$D$461,"mata")</f>
        <v>0</v>
      </c>
      <c r="S7" s="9">
        <f>SUMIFS(Data_filtered!$G$2:$G$461,Data_filtered!$A$2:$A$461,$A7,Data_filtered!$F$2:$F$461,S$1, Data_filtered!$D$2:$D$461,"mata")</f>
        <v>13</v>
      </c>
      <c r="T7" s="9">
        <f>SUMIFS(Data_filtered!$G$2:$G$461,Data_filtered!$A$2:$A$461,$A7,Data_filtered!$F$2:$F$461,T$1, Data_filtered!$D$2:$D$461,"mata")</f>
        <v>0</v>
      </c>
      <c r="U7" s="9">
        <f>SUMIFS(Data_filtered!$G$2:$G$461,Data_filtered!$A$2:$A$461,$A7,Data_filtered!$F$2:$F$461,U$1, Data_filtered!$D$2:$D$461,"mata")</f>
        <v>0</v>
      </c>
      <c r="V7" s="9">
        <f>SUMIFS(Data_filtered!$G$2:$G$461,Data_filtered!$A$2:$A$461,$A7,Data_filtered!$F$2:$F$461,V$1, Data_filtered!$D$2:$D$461,"mata")</f>
        <v>0</v>
      </c>
      <c r="W7" s="9">
        <f>SUMIFS(Data_filtered!$G$2:$G$461,Data_filtered!$A$2:$A$461,$A7,Data_filtered!$F$2:$F$461,W$1, Data_filtered!$D$2:$D$461,"mata")</f>
        <v>1</v>
      </c>
      <c r="X7" s="9">
        <f>SUMIFS(Data_filtered!$G$2:$G$461,Data_filtered!$A$2:$A$461,$A7,Data_filtered!$F$2:$F$461,X$1, Data_filtered!$D$2:$D$461,"mata")</f>
        <v>0</v>
      </c>
      <c r="Y7" s="9">
        <f>SUMIFS(Data_filtered!$G$2:$G$461,Data_filtered!$A$2:$A$461,$A7,Data_filtered!$F$2:$F$461,Y$1, Data_filtered!$D$2:$D$461,"mata")</f>
        <v>0</v>
      </c>
      <c r="Z7" s="9">
        <f>SUMIFS(Data_filtered!$G$2:$G$461,Data_filtered!$A$2:$A$461,$A7,Data_filtered!$F$2:$F$461,Z$1, Data_filtered!$D$2:$D$461,"mata")</f>
        <v>0</v>
      </c>
      <c r="AA7" s="9">
        <f>SUMIFS(Data_filtered!$G$2:$G$461,Data_filtered!$A$2:$A$461,$A7,Data_filtered!$F$2:$F$461,AA$1, Data_filtered!$D$2:$D$461,"mata")</f>
        <v>0</v>
      </c>
      <c r="AB7" s="9">
        <f>SUMIFS(Data_filtered!$G$2:$G$461,Data_filtered!$A$2:$A$461,$A7,Data_filtered!$F$2:$F$461,AB$1, Data_filtered!$D$2:$D$461,"mata")</f>
        <v>0</v>
      </c>
      <c r="AC7" s="9">
        <f>SUMIFS(Data_filtered!$G$2:$G$461,Data_filtered!$A$2:$A$461,$A7,Data_filtered!$F$2:$F$461,AC$1, Data_filtered!$D$2:$D$461,"mata")</f>
        <v>0</v>
      </c>
      <c r="AD7" s="9">
        <f>SUMIFS(Data_filtered!$G$2:$G$461,Data_filtered!$A$2:$A$461,$A7,Data_filtered!$F$2:$F$461,AD$1, Data_filtered!$D$2:$D$461,"mata")</f>
        <v>0</v>
      </c>
    </row>
    <row r="8">
      <c r="A8" s="9" t="str">
        <f>IFERROR(__xludf.DUMMYFUNCTION("""COMPUTED_VALUE"""),"Dendropsophus minutus")</f>
        <v>Dendropsophus minutus</v>
      </c>
      <c r="B8" s="9">
        <f>SUMIFS(Data_filtered!$G$2:$G$461,Data_filtered!$A$2:$A$461,$A8,Data_filtered!$F$2:$F$461,B$1, Data_filtered!$D$2:$D$461,"mata")</f>
        <v>0</v>
      </c>
      <c r="C8" s="9">
        <f>SUMIFS(Data_filtered!$G$2:$G$461,Data_filtered!$A$2:$A$461,$A8,Data_filtered!$F$2:$F$461,C$1, Data_filtered!$D$2:$D$461,"mata")</f>
        <v>0</v>
      </c>
      <c r="D8" s="9">
        <f>SUMIFS(Data_filtered!$G$2:$G$461,Data_filtered!$A$2:$A$461,$A8,Data_filtered!$F$2:$F$461,D$1, Data_filtered!$D$2:$D$461,"mata")</f>
        <v>0</v>
      </c>
      <c r="E8" s="9">
        <f>SUMIFS(Data_filtered!$G$2:$G$461,Data_filtered!$A$2:$A$461,$A8,Data_filtered!$F$2:$F$461,E$1, Data_filtered!$D$2:$D$461,"mata")</f>
        <v>0</v>
      </c>
      <c r="F8" s="9">
        <f>SUMIFS(Data_filtered!$G$2:$G$461,Data_filtered!$A$2:$A$461,$A8,Data_filtered!$F$2:$F$461,F$1, Data_filtered!$D$2:$D$461,"mata")</f>
        <v>0</v>
      </c>
      <c r="G8" s="9">
        <f>SUMIFS(Data_filtered!$G$2:$G$461,Data_filtered!$A$2:$A$461,$A8,Data_filtered!$F$2:$F$461,G$1, Data_filtered!$D$2:$D$461,"mata")</f>
        <v>0</v>
      </c>
      <c r="H8" s="9">
        <f>SUMIFS(Data_filtered!$G$2:$G$461,Data_filtered!$A$2:$A$461,$A8,Data_filtered!$F$2:$F$461,H$1, Data_filtered!$D$2:$D$461,"mata")</f>
        <v>0</v>
      </c>
      <c r="I8" s="9">
        <f>SUMIFS(Data_filtered!$G$2:$G$461,Data_filtered!$A$2:$A$461,$A8,Data_filtered!$F$2:$F$461,I$1, Data_filtered!$D$2:$D$461,"mata")</f>
        <v>0</v>
      </c>
      <c r="J8" s="9">
        <f>SUMIFS(Data_filtered!$G$2:$G$461,Data_filtered!$A$2:$A$461,$A8,Data_filtered!$F$2:$F$461,J$1, Data_filtered!$D$2:$D$461,"mata")</f>
        <v>0</v>
      </c>
      <c r="K8" s="9">
        <f>SUMIFS(Data_filtered!$G$2:$G$461,Data_filtered!$A$2:$A$461,$A8,Data_filtered!$F$2:$F$461,K$1, Data_filtered!$D$2:$D$461,"mata")</f>
        <v>0</v>
      </c>
      <c r="L8" s="9">
        <f>SUMIFS(Data_filtered!$G$2:$G$461,Data_filtered!$A$2:$A$461,$A8,Data_filtered!$F$2:$F$461,L$1, Data_filtered!$D$2:$D$461,"mata")</f>
        <v>0</v>
      </c>
      <c r="M8" s="9">
        <f>SUMIFS(Data_filtered!$G$2:$G$461,Data_filtered!$A$2:$A$461,$A8,Data_filtered!$F$2:$F$461,M$1, Data_filtered!$D$2:$D$461,"mata")</f>
        <v>0</v>
      </c>
      <c r="N8" s="9">
        <f>SUMIFS(Data_filtered!$G$2:$G$461,Data_filtered!$A$2:$A$461,$A8,Data_filtered!$F$2:$F$461,N$1, Data_filtered!$D$2:$D$461,"mata")</f>
        <v>0</v>
      </c>
      <c r="O8" s="9">
        <f>SUMIFS(Data_filtered!$G$2:$G$461,Data_filtered!$A$2:$A$461,$A8,Data_filtered!$F$2:$F$461,O$1, Data_filtered!$D$2:$D$461,"mata")</f>
        <v>0</v>
      </c>
      <c r="P8" s="9">
        <f>SUMIFS(Data_filtered!$G$2:$G$461,Data_filtered!$A$2:$A$461,$A8,Data_filtered!$F$2:$F$461,P$1, Data_filtered!$D$2:$D$461,"mata")</f>
        <v>0</v>
      </c>
      <c r="Q8" s="9">
        <f>SUMIFS(Data_filtered!$G$2:$G$461,Data_filtered!$A$2:$A$461,$A8,Data_filtered!$F$2:$F$461,Q$1, Data_filtered!$D$2:$D$461,"mata")</f>
        <v>0</v>
      </c>
      <c r="R8" s="9">
        <f>SUMIFS(Data_filtered!$G$2:$G$461,Data_filtered!$A$2:$A$461,$A8,Data_filtered!$F$2:$F$461,R$1, Data_filtered!$D$2:$D$461,"mata")</f>
        <v>0</v>
      </c>
      <c r="S8" s="9">
        <f>SUMIFS(Data_filtered!$G$2:$G$461,Data_filtered!$A$2:$A$461,$A8,Data_filtered!$F$2:$F$461,S$1, Data_filtered!$D$2:$D$461,"mata")</f>
        <v>0</v>
      </c>
      <c r="T8" s="9">
        <f>SUMIFS(Data_filtered!$G$2:$G$461,Data_filtered!$A$2:$A$461,$A8,Data_filtered!$F$2:$F$461,T$1, Data_filtered!$D$2:$D$461,"mata")</f>
        <v>0</v>
      </c>
      <c r="U8" s="9">
        <f>SUMIFS(Data_filtered!$G$2:$G$461,Data_filtered!$A$2:$A$461,$A8,Data_filtered!$F$2:$F$461,U$1, Data_filtered!$D$2:$D$461,"mata")</f>
        <v>0</v>
      </c>
      <c r="V8" s="9">
        <f>SUMIFS(Data_filtered!$G$2:$G$461,Data_filtered!$A$2:$A$461,$A8,Data_filtered!$F$2:$F$461,V$1, Data_filtered!$D$2:$D$461,"mata")</f>
        <v>0</v>
      </c>
      <c r="W8" s="9">
        <f>SUMIFS(Data_filtered!$G$2:$G$461,Data_filtered!$A$2:$A$461,$A8,Data_filtered!$F$2:$F$461,W$1, Data_filtered!$D$2:$D$461,"mata")</f>
        <v>0</v>
      </c>
      <c r="X8" s="9">
        <f>SUMIFS(Data_filtered!$G$2:$G$461,Data_filtered!$A$2:$A$461,$A8,Data_filtered!$F$2:$F$461,X$1, Data_filtered!$D$2:$D$461,"mata")</f>
        <v>0</v>
      </c>
      <c r="Y8" s="9">
        <f>SUMIFS(Data_filtered!$G$2:$G$461,Data_filtered!$A$2:$A$461,$A8,Data_filtered!$F$2:$F$461,Y$1, Data_filtered!$D$2:$D$461,"mata")</f>
        <v>0</v>
      </c>
      <c r="Z8" s="9">
        <f>SUMIFS(Data_filtered!$G$2:$G$461,Data_filtered!$A$2:$A$461,$A8,Data_filtered!$F$2:$F$461,Z$1, Data_filtered!$D$2:$D$461,"mata")</f>
        <v>0</v>
      </c>
      <c r="AA8" s="9">
        <f>SUMIFS(Data_filtered!$G$2:$G$461,Data_filtered!$A$2:$A$461,$A8,Data_filtered!$F$2:$F$461,AA$1, Data_filtered!$D$2:$D$461,"mata")</f>
        <v>0</v>
      </c>
      <c r="AB8" s="9">
        <f>SUMIFS(Data_filtered!$G$2:$G$461,Data_filtered!$A$2:$A$461,$A8,Data_filtered!$F$2:$F$461,AB$1, Data_filtered!$D$2:$D$461,"mata")</f>
        <v>0</v>
      </c>
      <c r="AC8" s="9">
        <f>SUMIFS(Data_filtered!$G$2:$G$461,Data_filtered!$A$2:$A$461,$A8,Data_filtered!$F$2:$F$461,AC$1, Data_filtered!$D$2:$D$461,"mata")</f>
        <v>1</v>
      </c>
      <c r="AD8" s="9">
        <f>SUMIFS(Data_filtered!$G$2:$G$461,Data_filtered!$A$2:$A$461,$A8,Data_filtered!$F$2:$F$461,AD$1, Data_filtered!$D$2:$D$461,"mata")</f>
        <v>0</v>
      </c>
    </row>
    <row r="9">
      <c r="A9" s="9" t="str">
        <f>IFERROR(__xludf.DUMMYFUNCTION("""COMPUTED_VALUE"""),"Hylodes aff. sazimai")</f>
        <v>Hylodes aff. sazimai</v>
      </c>
      <c r="B9" s="9">
        <f>SUMIFS(Data_filtered!$G$2:$G$461,Data_filtered!$A$2:$A$461,$A9,Data_filtered!$F$2:$F$461,B$1, Data_filtered!$D$2:$D$461,"mata")</f>
        <v>0</v>
      </c>
      <c r="C9" s="9">
        <f>SUMIFS(Data_filtered!$G$2:$G$461,Data_filtered!$A$2:$A$461,$A9,Data_filtered!$F$2:$F$461,C$1, Data_filtered!$D$2:$D$461,"mata")</f>
        <v>0</v>
      </c>
      <c r="D9" s="9">
        <f>SUMIFS(Data_filtered!$G$2:$G$461,Data_filtered!$A$2:$A$461,$A9,Data_filtered!$F$2:$F$461,D$1, Data_filtered!$D$2:$D$461,"mata")</f>
        <v>2</v>
      </c>
      <c r="E9" s="9">
        <f>SUMIFS(Data_filtered!$G$2:$G$461,Data_filtered!$A$2:$A$461,$A9,Data_filtered!$F$2:$F$461,E$1, Data_filtered!$D$2:$D$461,"mata")</f>
        <v>0</v>
      </c>
      <c r="F9" s="9">
        <f>SUMIFS(Data_filtered!$G$2:$G$461,Data_filtered!$A$2:$A$461,$A9,Data_filtered!$F$2:$F$461,F$1, Data_filtered!$D$2:$D$461,"mata")</f>
        <v>0</v>
      </c>
      <c r="G9" s="9">
        <f>SUMIFS(Data_filtered!$G$2:$G$461,Data_filtered!$A$2:$A$461,$A9,Data_filtered!$F$2:$F$461,G$1, Data_filtered!$D$2:$D$461,"mata")</f>
        <v>0</v>
      </c>
      <c r="H9" s="9">
        <f>SUMIFS(Data_filtered!$G$2:$G$461,Data_filtered!$A$2:$A$461,$A9,Data_filtered!$F$2:$F$461,H$1, Data_filtered!$D$2:$D$461,"mata")</f>
        <v>2</v>
      </c>
      <c r="I9" s="9">
        <f>SUMIFS(Data_filtered!$G$2:$G$461,Data_filtered!$A$2:$A$461,$A9,Data_filtered!$F$2:$F$461,I$1, Data_filtered!$D$2:$D$461,"mata")</f>
        <v>0</v>
      </c>
      <c r="J9" s="9">
        <f>SUMIFS(Data_filtered!$G$2:$G$461,Data_filtered!$A$2:$A$461,$A9,Data_filtered!$F$2:$F$461,J$1, Data_filtered!$D$2:$D$461,"mata")</f>
        <v>1</v>
      </c>
      <c r="K9" s="9">
        <f>SUMIFS(Data_filtered!$G$2:$G$461,Data_filtered!$A$2:$A$461,$A9,Data_filtered!$F$2:$F$461,K$1, Data_filtered!$D$2:$D$461,"mata")</f>
        <v>1</v>
      </c>
      <c r="L9" s="9">
        <f>SUMIFS(Data_filtered!$G$2:$G$461,Data_filtered!$A$2:$A$461,$A9,Data_filtered!$F$2:$F$461,L$1, Data_filtered!$D$2:$D$461,"mata")</f>
        <v>0</v>
      </c>
      <c r="M9" s="9">
        <f>SUMIFS(Data_filtered!$G$2:$G$461,Data_filtered!$A$2:$A$461,$A9,Data_filtered!$F$2:$F$461,M$1, Data_filtered!$D$2:$D$461,"mata")</f>
        <v>0</v>
      </c>
      <c r="N9" s="9">
        <f>SUMIFS(Data_filtered!$G$2:$G$461,Data_filtered!$A$2:$A$461,$A9,Data_filtered!$F$2:$F$461,N$1, Data_filtered!$D$2:$D$461,"mata")</f>
        <v>0</v>
      </c>
      <c r="O9" s="9">
        <f>SUMIFS(Data_filtered!$G$2:$G$461,Data_filtered!$A$2:$A$461,$A9,Data_filtered!$F$2:$F$461,O$1, Data_filtered!$D$2:$D$461,"mata")</f>
        <v>0</v>
      </c>
      <c r="P9" s="9">
        <f>SUMIFS(Data_filtered!$G$2:$G$461,Data_filtered!$A$2:$A$461,$A9,Data_filtered!$F$2:$F$461,P$1, Data_filtered!$D$2:$D$461,"mata")</f>
        <v>0</v>
      </c>
      <c r="Q9" s="9">
        <f>SUMIFS(Data_filtered!$G$2:$G$461,Data_filtered!$A$2:$A$461,$A9,Data_filtered!$F$2:$F$461,Q$1, Data_filtered!$D$2:$D$461,"mata")</f>
        <v>0</v>
      </c>
      <c r="R9" s="9">
        <f>SUMIFS(Data_filtered!$G$2:$G$461,Data_filtered!$A$2:$A$461,$A9,Data_filtered!$F$2:$F$461,R$1, Data_filtered!$D$2:$D$461,"mata")</f>
        <v>0</v>
      </c>
      <c r="S9" s="9">
        <f>SUMIFS(Data_filtered!$G$2:$G$461,Data_filtered!$A$2:$A$461,$A9,Data_filtered!$F$2:$F$461,S$1, Data_filtered!$D$2:$D$461,"mata")</f>
        <v>0</v>
      </c>
      <c r="T9" s="9">
        <f>SUMIFS(Data_filtered!$G$2:$G$461,Data_filtered!$A$2:$A$461,$A9,Data_filtered!$F$2:$F$461,T$1, Data_filtered!$D$2:$D$461,"mata")</f>
        <v>0</v>
      </c>
      <c r="U9" s="9">
        <f>SUMIFS(Data_filtered!$G$2:$G$461,Data_filtered!$A$2:$A$461,$A9,Data_filtered!$F$2:$F$461,U$1, Data_filtered!$D$2:$D$461,"mata")</f>
        <v>0</v>
      </c>
      <c r="V9" s="9">
        <f>SUMIFS(Data_filtered!$G$2:$G$461,Data_filtered!$A$2:$A$461,$A9,Data_filtered!$F$2:$F$461,V$1, Data_filtered!$D$2:$D$461,"mata")</f>
        <v>0</v>
      </c>
      <c r="W9" s="9">
        <f>SUMIFS(Data_filtered!$G$2:$G$461,Data_filtered!$A$2:$A$461,$A9,Data_filtered!$F$2:$F$461,W$1, Data_filtered!$D$2:$D$461,"mata")</f>
        <v>0</v>
      </c>
      <c r="X9" s="9">
        <f>SUMIFS(Data_filtered!$G$2:$G$461,Data_filtered!$A$2:$A$461,$A9,Data_filtered!$F$2:$F$461,X$1, Data_filtered!$D$2:$D$461,"mata")</f>
        <v>1</v>
      </c>
      <c r="Y9" s="9">
        <f>SUMIFS(Data_filtered!$G$2:$G$461,Data_filtered!$A$2:$A$461,$A9,Data_filtered!$F$2:$F$461,Y$1, Data_filtered!$D$2:$D$461,"mata")</f>
        <v>0</v>
      </c>
      <c r="Z9" s="9">
        <f>SUMIFS(Data_filtered!$G$2:$G$461,Data_filtered!$A$2:$A$461,$A9,Data_filtered!$F$2:$F$461,Z$1, Data_filtered!$D$2:$D$461,"mata")</f>
        <v>0</v>
      </c>
      <c r="AA9" s="9">
        <f>SUMIFS(Data_filtered!$G$2:$G$461,Data_filtered!$A$2:$A$461,$A9,Data_filtered!$F$2:$F$461,AA$1, Data_filtered!$D$2:$D$461,"mata")</f>
        <v>0</v>
      </c>
      <c r="AB9" s="9">
        <f>SUMIFS(Data_filtered!$G$2:$G$461,Data_filtered!$A$2:$A$461,$A9,Data_filtered!$F$2:$F$461,AB$1, Data_filtered!$D$2:$D$461,"mata")</f>
        <v>0</v>
      </c>
      <c r="AC9" s="9">
        <f>SUMIFS(Data_filtered!$G$2:$G$461,Data_filtered!$A$2:$A$461,$A9,Data_filtered!$F$2:$F$461,AC$1, Data_filtered!$D$2:$D$461,"mata")</f>
        <v>0</v>
      </c>
      <c r="AD9" s="9">
        <f>SUMIFS(Data_filtered!$G$2:$G$461,Data_filtered!$A$2:$A$461,$A9,Data_filtered!$F$2:$F$461,AD$1, Data_filtered!$D$2:$D$461,"mata")</f>
        <v>1</v>
      </c>
    </row>
    <row r="10">
      <c r="A10" s="9" t="str">
        <f>IFERROR(__xludf.DUMMYFUNCTION("""COMPUTED_VALUE"""),"Ischnocnema guentheri")</f>
        <v>Ischnocnema guentheri</v>
      </c>
      <c r="B10" s="9">
        <f>SUMIFS(Data_filtered!$G$2:$G$461,Data_filtered!$A$2:$A$461,$A10,Data_filtered!$F$2:$F$461,B$1, Data_filtered!$D$2:$D$461,"mata")</f>
        <v>0</v>
      </c>
      <c r="C10" s="9">
        <f>SUMIFS(Data_filtered!$G$2:$G$461,Data_filtered!$A$2:$A$461,$A10,Data_filtered!$F$2:$F$461,C$1, Data_filtered!$D$2:$D$461,"mata")</f>
        <v>0</v>
      </c>
      <c r="D10" s="9">
        <f>SUMIFS(Data_filtered!$G$2:$G$461,Data_filtered!$A$2:$A$461,$A10,Data_filtered!$F$2:$F$461,D$1, Data_filtered!$D$2:$D$461,"mata")</f>
        <v>5</v>
      </c>
      <c r="E10" s="9">
        <f>SUMIFS(Data_filtered!$G$2:$G$461,Data_filtered!$A$2:$A$461,$A10,Data_filtered!$F$2:$F$461,E$1, Data_filtered!$D$2:$D$461,"mata")</f>
        <v>0</v>
      </c>
      <c r="F10" s="9">
        <f>SUMIFS(Data_filtered!$G$2:$G$461,Data_filtered!$A$2:$A$461,$A10,Data_filtered!$F$2:$F$461,F$1, Data_filtered!$D$2:$D$461,"mata")</f>
        <v>0</v>
      </c>
      <c r="G10" s="9">
        <f>SUMIFS(Data_filtered!$G$2:$G$461,Data_filtered!$A$2:$A$461,$A10,Data_filtered!$F$2:$F$461,G$1, Data_filtered!$D$2:$D$461,"mata")</f>
        <v>1</v>
      </c>
      <c r="H10" s="9">
        <f>SUMIFS(Data_filtered!$G$2:$G$461,Data_filtered!$A$2:$A$461,$A10,Data_filtered!$F$2:$F$461,H$1, Data_filtered!$D$2:$D$461,"mata")</f>
        <v>2</v>
      </c>
      <c r="I10" s="9">
        <f>SUMIFS(Data_filtered!$G$2:$G$461,Data_filtered!$A$2:$A$461,$A10,Data_filtered!$F$2:$F$461,I$1, Data_filtered!$D$2:$D$461,"mata")</f>
        <v>0</v>
      </c>
      <c r="J10" s="9">
        <f>SUMIFS(Data_filtered!$G$2:$G$461,Data_filtered!$A$2:$A$461,$A10,Data_filtered!$F$2:$F$461,J$1, Data_filtered!$D$2:$D$461,"mata")</f>
        <v>0</v>
      </c>
      <c r="K10" s="9">
        <f>SUMIFS(Data_filtered!$G$2:$G$461,Data_filtered!$A$2:$A$461,$A10,Data_filtered!$F$2:$F$461,K$1, Data_filtered!$D$2:$D$461,"mata")</f>
        <v>1</v>
      </c>
      <c r="L10" s="9">
        <f>SUMIFS(Data_filtered!$G$2:$G$461,Data_filtered!$A$2:$A$461,$A10,Data_filtered!$F$2:$F$461,L$1, Data_filtered!$D$2:$D$461,"mata")</f>
        <v>0</v>
      </c>
      <c r="M10" s="9">
        <f>SUMIFS(Data_filtered!$G$2:$G$461,Data_filtered!$A$2:$A$461,$A10,Data_filtered!$F$2:$F$461,M$1, Data_filtered!$D$2:$D$461,"mata")</f>
        <v>0</v>
      </c>
      <c r="N10" s="9">
        <f>SUMIFS(Data_filtered!$G$2:$G$461,Data_filtered!$A$2:$A$461,$A10,Data_filtered!$F$2:$F$461,N$1, Data_filtered!$D$2:$D$461,"mata")</f>
        <v>1</v>
      </c>
      <c r="O10" s="9">
        <f>SUMIFS(Data_filtered!$G$2:$G$461,Data_filtered!$A$2:$A$461,$A10,Data_filtered!$F$2:$F$461,O$1, Data_filtered!$D$2:$D$461,"mata")</f>
        <v>0</v>
      </c>
      <c r="P10" s="9">
        <f>SUMIFS(Data_filtered!$G$2:$G$461,Data_filtered!$A$2:$A$461,$A10,Data_filtered!$F$2:$F$461,P$1, Data_filtered!$D$2:$D$461,"mata")</f>
        <v>0</v>
      </c>
      <c r="Q10" s="9">
        <f>SUMIFS(Data_filtered!$G$2:$G$461,Data_filtered!$A$2:$A$461,$A10,Data_filtered!$F$2:$F$461,Q$1, Data_filtered!$D$2:$D$461,"mata")</f>
        <v>0</v>
      </c>
      <c r="R10" s="9">
        <f>SUMIFS(Data_filtered!$G$2:$G$461,Data_filtered!$A$2:$A$461,$A10,Data_filtered!$F$2:$F$461,R$1, Data_filtered!$D$2:$D$461,"mata")</f>
        <v>0</v>
      </c>
      <c r="S10" s="9">
        <f>SUMIFS(Data_filtered!$G$2:$G$461,Data_filtered!$A$2:$A$461,$A10,Data_filtered!$F$2:$F$461,S$1, Data_filtered!$D$2:$D$461,"mata")</f>
        <v>0</v>
      </c>
      <c r="T10" s="9">
        <f>SUMIFS(Data_filtered!$G$2:$G$461,Data_filtered!$A$2:$A$461,$A10,Data_filtered!$F$2:$F$461,T$1, Data_filtered!$D$2:$D$461,"mata")</f>
        <v>0</v>
      </c>
      <c r="U10" s="9">
        <f>SUMIFS(Data_filtered!$G$2:$G$461,Data_filtered!$A$2:$A$461,$A10,Data_filtered!$F$2:$F$461,U$1, Data_filtered!$D$2:$D$461,"mata")</f>
        <v>0</v>
      </c>
      <c r="V10" s="9">
        <f>SUMIFS(Data_filtered!$G$2:$G$461,Data_filtered!$A$2:$A$461,$A10,Data_filtered!$F$2:$F$461,V$1, Data_filtered!$D$2:$D$461,"mata")</f>
        <v>0</v>
      </c>
      <c r="W10" s="9">
        <f>SUMIFS(Data_filtered!$G$2:$G$461,Data_filtered!$A$2:$A$461,$A10,Data_filtered!$F$2:$F$461,W$1, Data_filtered!$D$2:$D$461,"mata")</f>
        <v>0</v>
      </c>
      <c r="X10" s="9">
        <f>SUMIFS(Data_filtered!$G$2:$G$461,Data_filtered!$A$2:$A$461,$A10,Data_filtered!$F$2:$F$461,X$1, Data_filtered!$D$2:$D$461,"mata")</f>
        <v>1</v>
      </c>
      <c r="Y10" s="9">
        <f>SUMIFS(Data_filtered!$G$2:$G$461,Data_filtered!$A$2:$A$461,$A10,Data_filtered!$F$2:$F$461,Y$1, Data_filtered!$D$2:$D$461,"mata")</f>
        <v>0</v>
      </c>
      <c r="Z10" s="9">
        <f>SUMIFS(Data_filtered!$G$2:$G$461,Data_filtered!$A$2:$A$461,$A10,Data_filtered!$F$2:$F$461,Z$1, Data_filtered!$D$2:$D$461,"mata")</f>
        <v>0</v>
      </c>
      <c r="AA10" s="9">
        <f>SUMIFS(Data_filtered!$G$2:$G$461,Data_filtered!$A$2:$A$461,$A10,Data_filtered!$F$2:$F$461,AA$1, Data_filtered!$D$2:$D$461,"mata")</f>
        <v>0</v>
      </c>
      <c r="AB10" s="9">
        <f>SUMIFS(Data_filtered!$G$2:$G$461,Data_filtered!$A$2:$A$461,$A10,Data_filtered!$F$2:$F$461,AB$1, Data_filtered!$D$2:$D$461,"mata")</f>
        <v>0</v>
      </c>
      <c r="AC10" s="9">
        <f>SUMIFS(Data_filtered!$G$2:$G$461,Data_filtered!$A$2:$A$461,$A10,Data_filtered!$F$2:$F$461,AC$1, Data_filtered!$D$2:$D$461,"mata")</f>
        <v>0</v>
      </c>
      <c r="AD10" s="9">
        <f>SUMIFS(Data_filtered!$G$2:$G$461,Data_filtered!$A$2:$A$461,$A10,Data_filtered!$F$2:$F$461,AD$1, Data_filtered!$D$2:$D$461,"mata")</f>
        <v>0</v>
      </c>
    </row>
    <row r="11">
      <c r="A11" s="9" t="str">
        <f>IFERROR(__xludf.DUMMYFUNCTION("""COMPUTED_VALUE"""),"Ischnocnema holti")</f>
        <v>Ischnocnema holti</v>
      </c>
      <c r="B11" s="9">
        <f>SUMIFS(Data_filtered!$G$2:$G$461,Data_filtered!$A$2:$A$461,$A11,Data_filtered!$F$2:$F$461,B$1, Data_filtered!$D$2:$D$461,"mata")</f>
        <v>0</v>
      </c>
      <c r="C11" s="9">
        <f>SUMIFS(Data_filtered!$G$2:$G$461,Data_filtered!$A$2:$A$461,$A11,Data_filtered!$F$2:$F$461,C$1, Data_filtered!$D$2:$D$461,"mata")</f>
        <v>0</v>
      </c>
      <c r="D11" s="9">
        <f>SUMIFS(Data_filtered!$G$2:$G$461,Data_filtered!$A$2:$A$461,$A11,Data_filtered!$F$2:$F$461,D$1, Data_filtered!$D$2:$D$461,"mata")</f>
        <v>0</v>
      </c>
      <c r="E11" s="9">
        <f>SUMIFS(Data_filtered!$G$2:$G$461,Data_filtered!$A$2:$A$461,$A11,Data_filtered!$F$2:$F$461,E$1, Data_filtered!$D$2:$D$461,"mata")</f>
        <v>0</v>
      </c>
      <c r="F11" s="9">
        <f>SUMIFS(Data_filtered!$G$2:$G$461,Data_filtered!$A$2:$A$461,$A11,Data_filtered!$F$2:$F$461,F$1, Data_filtered!$D$2:$D$461,"mata")</f>
        <v>1</v>
      </c>
      <c r="G11" s="9">
        <f>SUMIFS(Data_filtered!$G$2:$G$461,Data_filtered!$A$2:$A$461,$A11,Data_filtered!$F$2:$F$461,G$1, Data_filtered!$D$2:$D$461,"mata")</f>
        <v>0</v>
      </c>
      <c r="H11" s="9">
        <f>SUMIFS(Data_filtered!$G$2:$G$461,Data_filtered!$A$2:$A$461,$A11,Data_filtered!$F$2:$F$461,H$1, Data_filtered!$D$2:$D$461,"mata")</f>
        <v>2</v>
      </c>
      <c r="I11" s="9">
        <f>SUMIFS(Data_filtered!$G$2:$G$461,Data_filtered!$A$2:$A$461,$A11,Data_filtered!$F$2:$F$461,I$1, Data_filtered!$D$2:$D$461,"mata")</f>
        <v>1</v>
      </c>
      <c r="J11" s="9">
        <f>SUMIFS(Data_filtered!$G$2:$G$461,Data_filtered!$A$2:$A$461,$A11,Data_filtered!$F$2:$F$461,J$1, Data_filtered!$D$2:$D$461,"mata")</f>
        <v>0</v>
      </c>
      <c r="K11" s="9">
        <f>SUMIFS(Data_filtered!$G$2:$G$461,Data_filtered!$A$2:$A$461,$A11,Data_filtered!$F$2:$F$461,K$1, Data_filtered!$D$2:$D$461,"mata")</f>
        <v>0</v>
      </c>
      <c r="L11" s="9">
        <f>SUMIFS(Data_filtered!$G$2:$G$461,Data_filtered!$A$2:$A$461,$A11,Data_filtered!$F$2:$F$461,L$1, Data_filtered!$D$2:$D$461,"mata")</f>
        <v>0</v>
      </c>
      <c r="M11" s="9">
        <f>SUMIFS(Data_filtered!$G$2:$G$461,Data_filtered!$A$2:$A$461,$A11,Data_filtered!$F$2:$F$461,M$1, Data_filtered!$D$2:$D$461,"mata")</f>
        <v>0</v>
      </c>
      <c r="N11" s="9">
        <f>SUMIFS(Data_filtered!$G$2:$G$461,Data_filtered!$A$2:$A$461,$A11,Data_filtered!$F$2:$F$461,N$1, Data_filtered!$D$2:$D$461,"mata")</f>
        <v>0</v>
      </c>
      <c r="O11" s="9">
        <f>SUMIFS(Data_filtered!$G$2:$G$461,Data_filtered!$A$2:$A$461,$A11,Data_filtered!$F$2:$F$461,O$1, Data_filtered!$D$2:$D$461,"mata")</f>
        <v>0</v>
      </c>
      <c r="P11" s="9">
        <f>SUMIFS(Data_filtered!$G$2:$G$461,Data_filtered!$A$2:$A$461,$A11,Data_filtered!$F$2:$F$461,P$1, Data_filtered!$D$2:$D$461,"mata")</f>
        <v>1</v>
      </c>
      <c r="Q11" s="9">
        <f>SUMIFS(Data_filtered!$G$2:$G$461,Data_filtered!$A$2:$A$461,$A11,Data_filtered!$F$2:$F$461,Q$1, Data_filtered!$D$2:$D$461,"mata")</f>
        <v>0</v>
      </c>
      <c r="R11" s="9">
        <f>SUMIFS(Data_filtered!$G$2:$G$461,Data_filtered!$A$2:$A$461,$A11,Data_filtered!$F$2:$F$461,R$1, Data_filtered!$D$2:$D$461,"mata")</f>
        <v>0</v>
      </c>
      <c r="S11" s="9">
        <f>SUMIFS(Data_filtered!$G$2:$G$461,Data_filtered!$A$2:$A$461,$A11,Data_filtered!$F$2:$F$461,S$1, Data_filtered!$D$2:$D$461,"mata")</f>
        <v>0</v>
      </c>
      <c r="T11" s="9">
        <f>SUMIFS(Data_filtered!$G$2:$G$461,Data_filtered!$A$2:$A$461,$A11,Data_filtered!$F$2:$F$461,T$1, Data_filtered!$D$2:$D$461,"mata")</f>
        <v>0</v>
      </c>
      <c r="U11" s="9">
        <f>SUMIFS(Data_filtered!$G$2:$G$461,Data_filtered!$A$2:$A$461,$A11,Data_filtered!$F$2:$F$461,U$1, Data_filtered!$D$2:$D$461,"mata")</f>
        <v>0</v>
      </c>
      <c r="V11" s="9">
        <f>SUMIFS(Data_filtered!$G$2:$G$461,Data_filtered!$A$2:$A$461,$A11,Data_filtered!$F$2:$F$461,V$1, Data_filtered!$D$2:$D$461,"mata")</f>
        <v>0</v>
      </c>
      <c r="W11" s="9">
        <f>SUMIFS(Data_filtered!$G$2:$G$461,Data_filtered!$A$2:$A$461,$A11,Data_filtered!$F$2:$F$461,W$1, Data_filtered!$D$2:$D$461,"mata")</f>
        <v>0</v>
      </c>
      <c r="X11" s="9">
        <f>SUMIFS(Data_filtered!$G$2:$G$461,Data_filtered!$A$2:$A$461,$A11,Data_filtered!$F$2:$F$461,X$1, Data_filtered!$D$2:$D$461,"mata")</f>
        <v>0</v>
      </c>
      <c r="Y11" s="9">
        <f>SUMIFS(Data_filtered!$G$2:$G$461,Data_filtered!$A$2:$A$461,$A11,Data_filtered!$F$2:$F$461,Y$1, Data_filtered!$D$2:$D$461,"mata")</f>
        <v>0</v>
      </c>
      <c r="Z11" s="9">
        <f>SUMIFS(Data_filtered!$G$2:$G$461,Data_filtered!$A$2:$A$461,$A11,Data_filtered!$F$2:$F$461,Z$1, Data_filtered!$D$2:$D$461,"mata")</f>
        <v>0</v>
      </c>
      <c r="AA11" s="9">
        <f>SUMIFS(Data_filtered!$G$2:$G$461,Data_filtered!$A$2:$A$461,$A11,Data_filtered!$F$2:$F$461,AA$1, Data_filtered!$D$2:$D$461,"mata")</f>
        <v>0</v>
      </c>
      <c r="AB11" s="9">
        <f>SUMIFS(Data_filtered!$G$2:$G$461,Data_filtered!$A$2:$A$461,$A11,Data_filtered!$F$2:$F$461,AB$1, Data_filtered!$D$2:$D$461,"mata")</f>
        <v>0</v>
      </c>
      <c r="AC11" s="9">
        <f>SUMIFS(Data_filtered!$G$2:$G$461,Data_filtered!$A$2:$A$461,$A11,Data_filtered!$F$2:$F$461,AC$1, Data_filtered!$D$2:$D$461,"mata")</f>
        <v>0</v>
      </c>
      <c r="AD11" s="9">
        <f>SUMIFS(Data_filtered!$G$2:$G$461,Data_filtered!$A$2:$A$461,$A11,Data_filtered!$F$2:$F$461,AD$1, Data_filtered!$D$2:$D$461,"mata")</f>
        <v>1</v>
      </c>
    </row>
    <row r="12">
      <c r="A12" s="9" t="str">
        <f>IFERROR(__xludf.DUMMYFUNCTION("""COMPUTED_VALUE"""),"Ischnocnema juipoca")</f>
        <v>Ischnocnema juipoca</v>
      </c>
      <c r="B12" s="9">
        <f>SUMIFS(Data_filtered!$G$2:$G$461,Data_filtered!$A$2:$A$461,$A12,Data_filtered!$F$2:$F$461,B$1, Data_filtered!$D$2:$D$461,"mata")</f>
        <v>0</v>
      </c>
      <c r="C12" s="9">
        <f>SUMIFS(Data_filtered!$G$2:$G$461,Data_filtered!$A$2:$A$461,$A12,Data_filtered!$F$2:$F$461,C$1, Data_filtered!$D$2:$D$461,"mata")</f>
        <v>0</v>
      </c>
      <c r="D12" s="9">
        <f>SUMIFS(Data_filtered!$G$2:$G$461,Data_filtered!$A$2:$A$461,$A12,Data_filtered!$F$2:$F$461,D$1, Data_filtered!$D$2:$D$461,"mata")</f>
        <v>0</v>
      </c>
      <c r="E12" s="9">
        <f>SUMIFS(Data_filtered!$G$2:$G$461,Data_filtered!$A$2:$A$461,$A12,Data_filtered!$F$2:$F$461,E$1, Data_filtered!$D$2:$D$461,"mata")</f>
        <v>0</v>
      </c>
      <c r="F12" s="9">
        <f>SUMIFS(Data_filtered!$G$2:$G$461,Data_filtered!$A$2:$A$461,$A12,Data_filtered!$F$2:$F$461,F$1, Data_filtered!$D$2:$D$461,"mata")</f>
        <v>0</v>
      </c>
      <c r="G12" s="9">
        <f>SUMIFS(Data_filtered!$G$2:$G$461,Data_filtered!$A$2:$A$461,$A12,Data_filtered!$F$2:$F$461,G$1, Data_filtered!$D$2:$D$461,"mata")</f>
        <v>0</v>
      </c>
      <c r="H12" s="9">
        <f>SUMIFS(Data_filtered!$G$2:$G$461,Data_filtered!$A$2:$A$461,$A12,Data_filtered!$F$2:$F$461,H$1, Data_filtered!$D$2:$D$461,"mata")</f>
        <v>1</v>
      </c>
      <c r="I12" s="9">
        <f>SUMIFS(Data_filtered!$G$2:$G$461,Data_filtered!$A$2:$A$461,$A12,Data_filtered!$F$2:$F$461,I$1, Data_filtered!$D$2:$D$461,"mata")</f>
        <v>0</v>
      </c>
      <c r="J12" s="9">
        <f>SUMIFS(Data_filtered!$G$2:$G$461,Data_filtered!$A$2:$A$461,$A12,Data_filtered!$F$2:$F$461,J$1, Data_filtered!$D$2:$D$461,"mata")</f>
        <v>0</v>
      </c>
      <c r="K12" s="9">
        <f>SUMIFS(Data_filtered!$G$2:$G$461,Data_filtered!$A$2:$A$461,$A12,Data_filtered!$F$2:$F$461,K$1, Data_filtered!$D$2:$D$461,"mata")</f>
        <v>0</v>
      </c>
      <c r="L12" s="9">
        <f>SUMIFS(Data_filtered!$G$2:$G$461,Data_filtered!$A$2:$A$461,$A12,Data_filtered!$F$2:$F$461,L$1, Data_filtered!$D$2:$D$461,"mata")</f>
        <v>0</v>
      </c>
      <c r="M12" s="9">
        <f>SUMIFS(Data_filtered!$G$2:$G$461,Data_filtered!$A$2:$A$461,$A12,Data_filtered!$F$2:$F$461,M$1, Data_filtered!$D$2:$D$461,"mata")</f>
        <v>0</v>
      </c>
      <c r="N12" s="9">
        <f>SUMIFS(Data_filtered!$G$2:$G$461,Data_filtered!$A$2:$A$461,$A12,Data_filtered!$F$2:$F$461,N$1, Data_filtered!$D$2:$D$461,"mata")</f>
        <v>0</v>
      </c>
      <c r="O12" s="9">
        <f>SUMIFS(Data_filtered!$G$2:$G$461,Data_filtered!$A$2:$A$461,$A12,Data_filtered!$F$2:$F$461,O$1, Data_filtered!$D$2:$D$461,"mata")</f>
        <v>0</v>
      </c>
      <c r="P12" s="9">
        <f>SUMIFS(Data_filtered!$G$2:$G$461,Data_filtered!$A$2:$A$461,$A12,Data_filtered!$F$2:$F$461,P$1, Data_filtered!$D$2:$D$461,"mata")</f>
        <v>0</v>
      </c>
      <c r="Q12" s="9">
        <f>SUMIFS(Data_filtered!$G$2:$G$461,Data_filtered!$A$2:$A$461,$A12,Data_filtered!$F$2:$F$461,Q$1, Data_filtered!$D$2:$D$461,"mata")</f>
        <v>0</v>
      </c>
      <c r="R12" s="9">
        <f>SUMIFS(Data_filtered!$G$2:$G$461,Data_filtered!$A$2:$A$461,$A12,Data_filtered!$F$2:$F$461,R$1, Data_filtered!$D$2:$D$461,"mata")</f>
        <v>0</v>
      </c>
      <c r="S12" s="9">
        <f>SUMIFS(Data_filtered!$G$2:$G$461,Data_filtered!$A$2:$A$461,$A12,Data_filtered!$F$2:$F$461,S$1, Data_filtered!$D$2:$D$461,"mata")</f>
        <v>0</v>
      </c>
      <c r="T12" s="9">
        <f>SUMIFS(Data_filtered!$G$2:$G$461,Data_filtered!$A$2:$A$461,$A12,Data_filtered!$F$2:$F$461,T$1, Data_filtered!$D$2:$D$461,"mata")</f>
        <v>0</v>
      </c>
      <c r="U12" s="9">
        <f>SUMIFS(Data_filtered!$G$2:$G$461,Data_filtered!$A$2:$A$461,$A12,Data_filtered!$F$2:$F$461,U$1, Data_filtered!$D$2:$D$461,"mata")</f>
        <v>0</v>
      </c>
      <c r="V12" s="9">
        <f>SUMIFS(Data_filtered!$G$2:$G$461,Data_filtered!$A$2:$A$461,$A12,Data_filtered!$F$2:$F$461,V$1, Data_filtered!$D$2:$D$461,"mata")</f>
        <v>0</v>
      </c>
      <c r="W12" s="9">
        <f>SUMIFS(Data_filtered!$G$2:$G$461,Data_filtered!$A$2:$A$461,$A12,Data_filtered!$F$2:$F$461,W$1, Data_filtered!$D$2:$D$461,"mata")</f>
        <v>0</v>
      </c>
      <c r="X12" s="9">
        <f>SUMIFS(Data_filtered!$G$2:$G$461,Data_filtered!$A$2:$A$461,$A12,Data_filtered!$F$2:$F$461,X$1, Data_filtered!$D$2:$D$461,"mata")</f>
        <v>0</v>
      </c>
      <c r="Y12" s="9">
        <f>SUMIFS(Data_filtered!$G$2:$G$461,Data_filtered!$A$2:$A$461,$A12,Data_filtered!$F$2:$F$461,Y$1, Data_filtered!$D$2:$D$461,"mata")</f>
        <v>0</v>
      </c>
      <c r="Z12" s="9">
        <f>SUMIFS(Data_filtered!$G$2:$G$461,Data_filtered!$A$2:$A$461,$A12,Data_filtered!$F$2:$F$461,Z$1, Data_filtered!$D$2:$D$461,"mata")</f>
        <v>0</v>
      </c>
      <c r="AA12" s="9">
        <f>SUMIFS(Data_filtered!$G$2:$G$461,Data_filtered!$A$2:$A$461,$A12,Data_filtered!$F$2:$F$461,AA$1, Data_filtered!$D$2:$D$461,"mata")</f>
        <v>0</v>
      </c>
      <c r="AB12" s="9">
        <f>SUMIFS(Data_filtered!$G$2:$G$461,Data_filtered!$A$2:$A$461,$A12,Data_filtered!$F$2:$F$461,AB$1, Data_filtered!$D$2:$D$461,"mata")</f>
        <v>0</v>
      </c>
      <c r="AC12" s="9">
        <f>SUMIFS(Data_filtered!$G$2:$G$461,Data_filtered!$A$2:$A$461,$A12,Data_filtered!$F$2:$F$461,AC$1, Data_filtered!$D$2:$D$461,"mata")</f>
        <v>0</v>
      </c>
      <c r="AD12" s="9">
        <f>SUMIFS(Data_filtered!$G$2:$G$461,Data_filtered!$A$2:$A$461,$A12,Data_filtered!$F$2:$F$461,AD$1, Data_filtered!$D$2:$D$461,"mata")</f>
        <v>0</v>
      </c>
    </row>
    <row r="13">
      <c r="A13" s="9" t="str">
        <f>IFERROR(__xludf.DUMMYFUNCTION("""COMPUTED_VALUE"""),"Ischnocnema vizottoi")</f>
        <v>Ischnocnema vizottoi</v>
      </c>
      <c r="B13" s="9">
        <f>SUMIFS(Data_filtered!$G$2:$G$461,Data_filtered!$A$2:$A$461,$A13,Data_filtered!$F$2:$F$461,B$1, Data_filtered!$D$2:$D$461,"mata")</f>
        <v>0</v>
      </c>
      <c r="C13" s="9">
        <f>SUMIFS(Data_filtered!$G$2:$G$461,Data_filtered!$A$2:$A$461,$A13,Data_filtered!$F$2:$F$461,C$1, Data_filtered!$D$2:$D$461,"mata")</f>
        <v>1</v>
      </c>
      <c r="D13" s="9">
        <f>SUMIFS(Data_filtered!$G$2:$G$461,Data_filtered!$A$2:$A$461,$A13,Data_filtered!$F$2:$F$461,D$1, Data_filtered!$D$2:$D$461,"mata")</f>
        <v>0</v>
      </c>
      <c r="E13" s="9">
        <f>SUMIFS(Data_filtered!$G$2:$G$461,Data_filtered!$A$2:$A$461,$A13,Data_filtered!$F$2:$F$461,E$1, Data_filtered!$D$2:$D$461,"mata")</f>
        <v>0</v>
      </c>
      <c r="F13" s="9">
        <f>SUMIFS(Data_filtered!$G$2:$G$461,Data_filtered!$A$2:$A$461,$A13,Data_filtered!$F$2:$F$461,F$1, Data_filtered!$D$2:$D$461,"mata")</f>
        <v>0</v>
      </c>
      <c r="G13" s="9">
        <f>SUMIFS(Data_filtered!$G$2:$G$461,Data_filtered!$A$2:$A$461,$A13,Data_filtered!$F$2:$F$461,G$1, Data_filtered!$D$2:$D$461,"mata")</f>
        <v>0</v>
      </c>
      <c r="H13" s="9">
        <f>SUMIFS(Data_filtered!$G$2:$G$461,Data_filtered!$A$2:$A$461,$A13,Data_filtered!$F$2:$F$461,H$1, Data_filtered!$D$2:$D$461,"mata")</f>
        <v>0</v>
      </c>
      <c r="I13" s="9">
        <f>SUMIFS(Data_filtered!$G$2:$G$461,Data_filtered!$A$2:$A$461,$A13,Data_filtered!$F$2:$F$461,I$1, Data_filtered!$D$2:$D$461,"mata")</f>
        <v>0</v>
      </c>
      <c r="J13" s="9">
        <f>SUMIFS(Data_filtered!$G$2:$G$461,Data_filtered!$A$2:$A$461,$A13,Data_filtered!$F$2:$F$461,J$1, Data_filtered!$D$2:$D$461,"mata")</f>
        <v>0</v>
      </c>
      <c r="K13" s="9">
        <f>SUMIFS(Data_filtered!$G$2:$G$461,Data_filtered!$A$2:$A$461,$A13,Data_filtered!$F$2:$F$461,K$1, Data_filtered!$D$2:$D$461,"mata")</f>
        <v>0</v>
      </c>
      <c r="L13" s="9">
        <f>SUMIFS(Data_filtered!$G$2:$G$461,Data_filtered!$A$2:$A$461,$A13,Data_filtered!$F$2:$F$461,L$1, Data_filtered!$D$2:$D$461,"mata")</f>
        <v>0</v>
      </c>
      <c r="M13" s="9">
        <f>SUMIFS(Data_filtered!$G$2:$G$461,Data_filtered!$A$2:$A$461,$A13,Data_filtered!$F$2:$F$461,M$1, Data_filtered!$D$2:$D$461,"mata")</f>
        <v>0</v>
      </c>
      <c r="N13" s="9">
        <f>SUMIFS(Data_filtered!$G$2:$G$461,Data_filtered!$A$2:$A$461,$A13,Data_filtered!$F$2:$F$461,N$1, Data_filtered!$D$2:$D$461,"mata")</f>
        <v>1</v>
      </c>
      <c r="O13" s="9">
        <f>SUMIFS(Data_filtered!$G$2:$G$461,Data_filtered!$A$2:$A$461,$A13,Data_filtered!$F$2:$F$461,O$1, Data_filtered!$D$2:$D$461,"mata")</f>
        <v>0</v>
      </c>
      <c r="P13" s="9">
        <f>SUMIFS(Data_filtered!$G$2:$G$461,Data_filtered!$A$2:$A$461,$A13,Data_filtered!$F$2:$F$461,P$1, Data_filtered!$D$2:$D$461,"mata")</f>
        <v>1</v>
      </c>
      <c r="Q13" s="9">
        <f>SUMIFS(Data_filtered!$G$2:$G$461,Data_filtered!$A$2:$A$461,$A13,Data_filtered!$F$2:$F$461,Q$1, Data_filtered!$D$2:$D$461,"mata")</f>
        <v>1</v>
      </c>
      <c r="R13" s="9">
        <f>SUMIFS(Data_filtered!$G$2:$G$461,Data_filtered!$A$2:$A$461,$A13,Data_filtered!$F$2:$F$461,R$1, Data_filtered!$D$2:$D$461,"mata")</f>
        <v>0</v>
      </c>
      <c r="S13" s="9">
        <f>SUMIFS(Data_filtered!$G$2:$G$461,Data_filtered!$A$2:$A$461,$A13,Data_filtered!$F$2:$F$461,S$1, Data_filtered!$D$2:$D$461,"mata")</f>
        <v>0</v>
      </c>
      <c r="T13" s="9">
        <f>SUMIFS(Data_filtered!$G$2:$G$461,Data_filtered!$A$2:$A$461,$A13,Data_filtered!$F$2:$F$461,T$1, Data_filtered!$D$2:$D$461,"mata")</f>
        <v>0</v>
      </c>
      <c r="U13" s="9">
        <f>SUMIFS(Data_filtered!$G$2:$G$461,Data_filtered!$A$2:$A$461,$A13,Data_filtered!$F$2:$F$461,U$1, Data_filtered!$D$2:$D$461,"mata")</f>
        <v>0</v>
      </c>
      <c r="V13" s="9">
        <f>SUMIFS(Data_filtered!$G$2:$G$461,Data_filtered!$A$2:$A$461,$A13,Data_filtered!$F$2:$F$461,V$1, Data_filtered!$D$2:$D$461,"mata")</f>
        <v>0</v>
      </c>
      <c r="W13" s="9">
        <f>SUMIFS(Data_filtered!$G$2:$G$461,Data_filtered!$A$2:$A$461,$A13,Data_filtered!$F$2:$F$461,W$1, Data_filtered!$D$2:$D$461,"mata")</f>
        <v>0</v>
      </c>
      <c r="X13" s="9">
        <f>SUMIFS(Data_filtered!$G$2:$G$461,Data_filtered!$A$2:$A$461,$A13,Data_filtered!$F$2:$F$461,X$1, Data_filtered!$D$2:$D$461,"mata")</f>
        <v>0</v>
      </c>
      <c r="Y13" s="9">
        <f>SUMIFS(Data_filtered!$G$2:$G$461,Data_filtered!$A$2:$A$461,$A13,Data_filtered!$F$2:$F$461,Y$1, Data_filtered!$D$2:$D$461,"mata")</f>
        <v>0</v>
      </c>
      <c r="Z13" s="9">
        <f>SUMIFS(Data_filtered!$G$2:$G$461,Data_filtered!$A$2:$A$461,$A13,Data_filtered!$F$2:$F$461,Z$1, Data_filtered!$D$2:$D$461,"mata")</f>
        <v>0</v>
      </c>
      <c r="AA13" s="9">
        <f>SUMIFS(Data_filtered!$G$2:$G$461,Data_filtered!$A$2:$A$461,$A13,Data_filtered!$F$2:$F$461,AA$1, Data_filtered!$D$2:$D$461,"mata")</f>
        <v>0</v>
      </c>
      <c r="AB13" s="9">
        <f>SUMIFS(Data_filtered!$G$2:$G$461,Data_filtered!$A$2:$A$461,$A13,Data_filtered!$F$2:$F$461,AB$1, Data_filtered!$D$2:$D$461,"mata")</f>
        <v>0</v>
      </c>
      <c r="AC13" s="9">
        <f>SUMIFS(Data_filtered!$G$2:$G$461,Data_filtered!$A$2:$A$461,$A13,Data_filtered!$F$2:$F$461,AC$1, Data_filtered!$D$2:$D$461,"mata")</f>
        <v>0</v>
      </c>
      <c r="AD13" s="9">
        <f>SUMIFS(Data_filtered!$G$2:$G$461,Data_filtered!$A$2:$A$461,$A13,Data_filtered!$F$2:$F$461,AD$1, Data_filtered!$D$2:$D$461,"mata")</f>
        <v>0</v>
      </c>
    </row>
    <row r="14">
      <c r="A14" s="9" t="str">
        <f>IFERROR(__xludf.DUMMYFUNCTION("""COMPUTED_VALUE"""),"Ololygon obtriangulata")</f>
        <v>Ololygon obtriangulata</v>
      </c>
      <c r="B14" s="9">
        <f>SUMIFS(Data_filtered!$G$2:$G$461,Data_filtered!$A$2:$A$461,$A14,Data_filtered!$F$2:$F$461,B$1, Data_filtered!$D$2:$D$461,"mata")</f>
        <v>0</v>
      </c>
      <c r="C14" s="9">
        <f>SUMIFS(Data_filtered!$G$2:$G$461,Data_filtered!$A$2:$A$461,$A14,Data_filtered!$F$2:$F$461,C$1, Data_filtered!$D$2:$D$461,"mata")</f>
        <v>0</v>
      </c>
      <c r="D14" s="9">
        <f>SUMIFS(Data_filtered!$G$2:$G$461,Data_filtered!$A$2:$A$461,$A14,Data_filtered!$F$2:$F$461,D$1, Data_filtered!$D$2:$D$461,"mata")</f>
        <v>7</v>
      </c>
      <c r="E14" s="9">
        <f>SUMIFS(Data_filtered!$G$2:$G$461,Data_filtered!$A$2:$A$461,$A14,Data_filtered!$F$2:$F$461,E$1, Data_filtered!$D$2:$D$461,"mata")</f>
        <v>5</v>
      </c>
      <c r="F14" s="9">
        <f>SUMIFS(Data_filtered!$G$2:$G$461,Data_filtered!$A$2:$A$461,$A14,Data_filtered!$F$2:$F$461,F$1, Data_filtered!$D$2:$D$461,"mata")</f>
        <v>0</v>
      </c>
      <c r="G14" s="9">
        <f>SUMIFS(Data_filtered!$G$2:$G$461,Data_filtered!$A$2:$A$461,$A14,Data_filtered!$F$2:$F$461,G$1, Data_filtered!$D$2:$D$461,"mata")</f>
        <v>0</v>
      </c>
      <c r="H14" s="9">
        <f>SUMIFS(Data_filtered!$G$2:$G$461,Data_filtered!$A$2:$A$461,$A14,Data_filtered!$F$2:$F$461,H$1, Data_filtered!$D$2:$D$461,"mata")</f>
        <v>1</v>
      </c>
      <c r="I14" s="9">
        <f>SUMIFS(Data_filtered!$G$2:$G$461,Data_filtered!$A$2:$A$461,$A14,Data_filtered!$F$2:$F$461,I$1, Data_filtered!$D$2:$D$461,"mata")</f>
        <v>0</v>
      </c>
      <c r="J14" s="9">
        <f>SUMIFS(Data_filtered!$G$2:$G$461,Data_filtered!$A$2:$A$461,$A14,Data_filtered!$F$2:$F$461,J$1, Data_filtered!$D$2:$D$461,"mata")</f>
        <v>0</v>
      </c>
      <c r="K14" s="9">
        <f>SUMIFS(Data_filtered!$G$2:$G$461,Data_filtered!$A$2:$A$461,$A14,Data_filtered!$F$2:$F$461,K$1, Data_filtered!$D$2:$D$461,"mata")</f>
        <v>0</v>
      </c>
      <c r="L14" s="9">
        <f>SUMIFS(Data_filtered!$G$2:$G$461,Data_filtered!$A$2:$A$461,$A14,Data_filtered!$F$2:$F$461,L$1, Data_filtered!$D$2:$D$461,"mata")</f>
        <v>0</v>
      </c>
      <c r="M14" s="9">
        <f>SUMIFS(Data_filtered!$G$2:$G$461,Data_filtered!$A$2:$A$461,$A14,Data_filtered!$F$2:$F$461,M$1, Data_filtered!$D$2:$D$461,"mata")</f>
        <v>0</v>
      </c>
      <c r="N14" s="9">
        <f>SUMIFS(Data_filtered!$G$2:$G$461,Data_filtered!$A$2:$A$461,$A14,Data_filtered!$F$2:$F$461,N$1, Data_filtered!$D$2:$D$461,"mata")</f>
        <v>0</v>
      </c>
      <c r="O14" s="9">
        <f>SUMIFS(Data_filtered!$G$2:$G$461,Data_filtered!$A$2:$A$461,$A14,Data_filtered!$F$2:$F$461,O$1, Data_filtered!$D$2:$D$461,"mata")</f>
        <v>0</v>
      </c>
      <c r="P14" s="9">
        <f>SUMIFS(Data_filtered!$G$2:$G$461,Data_filtered!$A$2:$A$461,$A14,Data_filtered!$F$2:$F$461,P$1, Data_filtered!$D$2:$D$461,"mata")</f>
        <v>1</v>
      </c>
      <c r="Q14" s="9">
        <f>SUMIFS(Data_filtered!$G$2:$G$461,Data_filtered!$A$2:$A$461,$A14,Data_filtered!$F$2:$F$461,Q$1, Data_filtered!$D$2:$D$461,"mata")</f>
        <v>2</v>
      </c>
      <c r="R14" s="9">
        <f>SUMIFS(Data_filtered!$G$2:$G$461,Data_filtered!$A$2:$A$461,$A14,Data_filtered!$F$2:$F$461,R$1, Data_filtered!$D$2:$D$461,"mata")</f>
        <v>0</v>
      </c>
      <c r="S14" s="9">
        <f>SUMIFS(Data_filtered!$G$2:$G$461,Data_filtered!$A$2:$A$461,$A14,Data_filtered!$F$2:$F$461,S$1, Data_filtered!$D$2:$D$461,"mata")</f>
        <v>0</v>
      </c>
      <c r="T14" s="9">
        <f>SUMIFS(Data_filtered!$G$2:$G$461,Data_filtered!$A$2:$A$461,$A14,Data_filtered!$F$2:$F$461,T$1, Data_filtered!$D$2:$D$461,"mata")</f>
        <v>0</v>
      </c>
      <c r="U14" s="9">
        <f>SUMIFS(Data_filtered!$G$2:$G$461,Data_filtered!$A$2:$A$461,$A14,Data_filtered!$F$2:$F$461,U$1, Data_filtered!$D$2:$D$461,"mata")</f>
        <v>0</v>
      </c>
      <c r="V14" s="9">
        <f>SUMIFS(Data_filtered!$G$2:$G$461,Data_filtered!$A$2:$A$461,$A14,Data_filtered!$F$2:$F$461,V$1, Data_filtered!$D$2:$D$461,"mata")</f>
        <v>0</v>
      </c>
      <c r="W14" s="9">
        <f>SUMIFS(Data_filtered!$G$2:$G$461,Data_filtered!$A$2:$A$461,$A14,Data_filtered!$F$2:$F$461,W$1, Data_filtered!$D$2:$D$461,"mata")</f>
        <v>0</v>
      </c>
      <c r="X14" s="9">
        <f>SUMIFS(Data_filtered!$G$2:$G$461,Data_filtered!$A$2:$A$461,$A14,Data_filtered!$F$2:$F$461,X$1, Data_filtered!$D$2:$D$461,"mata")</f>
        <v>0</v>
      </c>
      <c r="Y14" s="9">
        <f>SUMIFS(Data_filtered!$G$2:$G$461,Data_filtered!$A$2:$A$461,$A14,Data_filtered!$F$2:$F$461,Y$1, Data_filtered!$D$2:$D$461,"mata")</f>
        <v>0</v>
      </c>
      <c r="Z14" s="9">
        <f>SUMIFS(Data_filtered!$G$2:$G$461,Data_filtered!$A$2:$A$461,$A14,Data_filtered!$F$2:$F$461,Z$1, Data_filtered!$D$2:$D$461,"mata")</f>
        <v>0</v>
      </c>
      <c r="AA14" s="9">
        <f>SUMIFS(Data_filtered!$G$2:$G$461,Data_filtered!$A$2:$A$461,$A14,Data_filtered!$F$2:$F$461,AA$1, Data_filtered!$D$2:$D$461,"mata")</f>
        <v>1</v>
      </c>
      <c r="AB14" s="9">
        <f>SUMIFS(Data_filtered!$G$2:$G$461,Data_filtered!$A$2:$A$461,$A14,Data_filtered!$F$2:$F$461,AB$1, Data_filtered!$D$2:$D$461,"mata")</f>
        <v>0</v>
      </c>
      <c r="AC14" s="9">
        <f>SUMIFS(Data_filtered!$G$2:$G$461,Data_filtered!$A$2:$A$461,$A14,Data_filtered!$F$2:$F$461,AC$1, Data_filtered!$D$2:$D$461,"mata")</f>
        <v>0</v>
      </c>
      <c r="AD14" s="9">
        <f>SUMIFS(Data_filtered!$G$2:$G$461,Data_filtered!$A$2:$A$461,$A14,Data_filtered!$F$2:$F$461,AD$1, Data_filtered!$D$2:$D$461,"mata")</f>
        <v>0</v>
      </c>
    </row>
    <row r="15">
      <c r="A15" s="9" t="str">
        <f>IFERROR(__xludf.DUMMYFUNCTION("""COMPUTED_VALUE"""),"Paratelmatobius mantiqueira")</f>
        <v>Paratelmatobius mantiqueira</v>
      </c>
      <c r="B15" s="9">
        <f>SUMIFS(Data_filtered!$G$2:$G$461,Data_filtered!$A$2:$A$461,$A15,Data_filtered!$F$2:$F$461,B$1, Data_filtered!$D$2:$D$461,"mata")</f>
        <v>0</v>
      </c>
      <c r="C15" s="9">
        <f>SUMIFS(Data_filtered!$G$2:$G$461,Data_filtered!$A$2:$A$461,$A15,Data_filtered!$F$2:$F$461,C$1, Data_filtered!$D$2:$D$461,"mata")</f>
        <v>0</v>
      </c>
      <c r="D15" s="9">
        <f>SUMIFS(Data_filtered!$G$2:$G$461,Data_filtered!$A$2:$A$461,$A15,Data_filtered!$F$2:$F$461,D$1, Data_filtered!$D$2:$D$461,"mata")</f>
        <v>1</v>
      </c>
      <c r="E15" s="9">
        <f>SUMIFS(Data_filtered!$G$2:$G$461,Data_filtered!$A$2:$A$461,$A15,Data_filtered!$F$2:$F$461,E$1, Data_filtered!$D$2:$D$461,"mata")</f>
        <v>0</v>
      </c>
      <c r="F15" s="9">
        <f>SUMIFS(Data_filtered!$G$2:$G$461,Data_filtered!$A$2:$A$461,$A15,Data_filtered!$F$2:$F$461,F$1, Data_filtered!$D$2:$D$461,"mata")</f>
        <v>0</v>
      </c>
      <c r="G15" s="9">
        <f>SUMIFS(Data_filtered!$G$2:$G$461,Data_filtered!$A$2:$A$461,$A15,Data_filtered!$F$2:$F$461,G$1, Data_filtered!$D$2:$D$461,"mata")</f>
        <v>0</v>
      </c>
      <c r="H15" s="9">
        <f>SUMIFS(Data_filtered!$G$2:$G$461,Data_filtered!$A$2:$A$461,$A15,Data_filtered!$F$2:$F$461,H$1, Data_filtered!$D$2:$D$461,"mata")</f>
        <v>0</v>
      </c>
      <c r="I15" s="9">
        <f>SUMIFS(Data_filtered!$G$2:$G$461,Data_filtered!$A$2:$A$461,$A15,Data_filtered!$F$2:$F$461,I$1, Data_filtered!$D$2:$D$461,"mata")</f>
        <v>0</v>
      </c>
      <c r="J15" s="9">
        <f>SUMIFS(Data_filtered!$G$2:$G$461,Data_filtered!$A$2:$A$461,$A15,Data_filtered!$F$2:$F$461,J$1, Data_filtered!$D$2:$D$461,"mata")</f>
        <v>0</v>
      </c>
      <c r="K15" s="9">
        <f>SUMIFS(Data_filtered!$G$2:$G$461,Data_filtered!$A$2:$A$461,$A15,Data_filtered!$F$2:$F$461,K$1, Data_filtered!$D$2:$D$461,"mata")</f>
        <v>0</v>
      </c>
      <c r="L15" s="9">
        <f>SUMIFS(Data_filtered!$G$2:$G$461,Data_filtered!$A$2:$A$461,$A15,Data_filtered!$F$2:$F$461,L$1, Data_filtered!$D$2:$D$461,"mata")</f>
        <v>0</v>
      </c>
      <c r="M15" s="9">
        <f>SUMIFS(Data_filtered!$G$2:$G$461,Data_filtered!$A$2:$A$461,$A15,Data_filtered!$F$2:$F$461,M$1, Data_filtered!$D$2:$D$461,"mata")</f>
        <v>0</v>
      </c>
      <c r="N15" s="9">
        <f>SUMIFS(Data_filtered!$G$2:$G$461,Data_filtered!$A$2:$A$461,$A15,Data_filtered!$F$2:$F$461,N$1, Data_filtered!$D$2:$D$461,"mata")</f>
        <v>0</v>
      </c>
      <c r="O15" s="9">
        <f>SUMIFS(Data_filtered!$G$2:$G$461,Data_filtered!$A$2:$A$461,$A15,Data_filtered!$F$2:$F$461,O$1, Data_filtered!$D$2:$D$461,"mata")</f>
        <v>0</v>
      </c>
      <c r="P15" s="9">
        <f>SUMIFS(Data_filtered!$G$2:$G$461,Data_filtered!$A$2:$A$461,$A15,Data_filtered!$F$2:$F$461,P$1, Data_filtered!$D$2:$D$461,"mata")</f>
        <v>0</v>
      </c>
      <c r="Q15" s="9">
        <f>SUMIFS(Data_filtered!$G$2:$G$461,Data_filtered!$A$2:$A$461,$A15,Data_filtered!$F$2:$F$461,Q$1, Data_filtered!$D$2:$D$461,"mata")</f>
        <v>0</v>
      </c>
      <c r="R15" s="9">
        <f>SUMIFS(Data_filtered!$G$2:$G$461,Data_filtered!$A$2:$A$461,$A15,Data_filtered!$F$2:$F$461,R$1, Data_filtered!$D$2:$D$461,"mata")</f>
        <v>2</v>
      </c>
      <c r="S15" s="9">
        <f>SUMIFS(Data_filtered!$G$2:$G$461,Data_filtered!$A$2:$A$461,$A15,Data_filtered!$F$2:$F$461,S$1, Data_filtered!$D$2:$D$461,"mata")</f>
        <v>0</v>
      </c>
      <c r="T15" s="9">
        <f>SUMIFS(Data_filtered!$G$2:$G$461,Data_filtered!$A$2:$A$461,$A15,Data_filtered!$F$2:$F$461,T$1, Data_filtered!$D$2:$D$461,"mata")</f>
        <v>0</v>
      </c>
      <c r="U15" s="9">
        <f>SUMIFS(Data_filtered!$G$2:$G$461,Data_filtered!$A$2:$A$461,$A15,Data_filtered!$F$2:$F$461,U$1, Data_filtered!$D$2:$D$461,"mata")</f>
        <v>0</v>
      </c>
      <c r="V15" s="9">
        <f>SUMIFS(Data_filtered!$G$2:$G$461,Data_filtered!$A$2:$A$461,$A15,Data_filtered!$F$2:$F$461,V$1, Data_filtered!$D$2:$D$461,"mata")</f>
        <v>0</v>
      </c>
      <c r="W15" s="9">
        <f>SUMIFS(Data_filtered!$G$2:$G$461,Data_filtered!$A$2:$A$461,$A15,Data_filtered!$F$2:$F$461,W$1, Data_filtered!$D$2:$D$461,"mata")</f>
        <v>0</v>
      </c>
      <c r="X15" s="9">
        <f>SUMIFS(Data_filtered!$G$2:$G$461,Data_filtered!$A$2:$A$461,$A15,Data_filtered!$F$2:$F$461,X$1, Data_filtered!$D$2:$D$461,"mata")</f>
        <v>0</v>
      </c>
      <c r="Y15" s="9">
        <f>SUMIFS(Data_filtered!$G$2:$G$461,Data_filtered!$A$2:$A$461,$A15,Data_filtered!$F$2:$F$461,Y$1, Data_filtered!$D$2:$D$461,"mata")</f>
        <v>0</v>
      </c>
      <c r="Z15" s="9">
        <f>SUMIFS(Data_filtered!$G$2:$G$461,Data_filtered!$A$2:$A$461,$A15,Data_filtered!$F$2:$F$461,Z$1, Data_filtered!$D$2:$D$461,"mata")</f>
        <v>0</v>
      </c>
      <c r="AA15" s="9">
        <f>SUMIFS(Data_filtered!$G$2:$G$461,Data_filtered!$A$2:$A$461,$A15,Data_filtered!$F$2:$F$461,AA$1, Data_filtered!$D$2:$D$461,"mata")</f>
        <v>0</v>
      </c>
      <c r="AB15" s="9">
        <f>SUMIFS(Data_filtered!$G$2:$G$461,Data_filtered!$A$2:$A$461,$A15,Data_filtered!$F$2:$F$461,AB$1, Data_filtered!$D$2:$D$461,"mata")</f>
        <v>0</v>
      </c>
      <c r="AC15" s="9">
        <f>SUMIFS(Data_filtered!$G$2:$G$461,Data_filtered!$A$2:$A$461,$A15,Data_filtered!$F$2:$F$461,AC$1, Data_filtered!$D$2:$D$461,"mata")</f>
        <v>0</v>
      </c>
      <c r="AD15" s="9">
        <f>SUMIFS(Data_filtered!$G$2:$G$461,Data_filtered!$A$2:$A$461,$A15,Data_filtered!$F$2:$F$461,AD$1, Data_filtered!$D$2:$D$461,"mata")</f>
        <v>0</v>
      </c>
    </row>
    <row r="16">
      <c r="A16" s="9" t="str">
        <f>IFERROR(__xludf.DUMMYFUNCTION("""COMPUTED_VALUE"""),"Physalaemus cuvieri")</f>
        <v>Physalaemus cuvieri</v>
      </c>
      <c r="B16" s="9">
        <f>SUMIFS(Data_filtered!$G$2:$G$461,Data_filtered!$A$2:$A$461,$A16,Data_filtered!$F$2:$F$461,B$1, Data_filtered!$D$2:$D$461,"mata")</f>
        <v>0</v>
      </c>
      <c r="C16" s="9">
        <f>SUMIFS(Data_filtered!$G$2:$G$461,Data_filtered!$A$2:$A$461,$A16,Data_filtered!$F$2:$F$461,C$1, Data_filtered!$D$2:$D$461,"mata")</f>
        <v>0</v>
      </c>
      <c r="D16" s="9">
        <f>SUMIFS(Data_filtered!$G$2:$G$461,Data_filtered!$A$2:$A$461,$A16,Data_filtered!$F$2:$F$461,D$1, Data_filtered!$D$2:$D$461,"mata")</f>
        <v>0</v>
      </c>
      <c r="E16" s="9">
        <f>SUMIFS(Data_filtered!$G$2:$G$461,Data_filtered!$A$2:$A$461,$A16,Data_filtered!$F$2:$F$461,E$1, Data_filtered!$D$2:$D$461,"mata")</f>
        <v>0</v>
      </c>
      <c r="F16" s="9">
        <f>SUMIFS(Data_filtered!$G$2:$G$461,Data_filtered!$A$2:$A$461,$A16,Data_filtered!$F$2:$F$461,F$1, Data_filtered!$D$2:$D$461,"mata")</f>
        <v>0</v>
      </c>
      <c r="G16" s="9">
        <f>SUMIFS(Data_filtered!$G$2:$G$461,Data_filtered!$A$2:$A$461,$A16,Data_filtered!$F$2:$F$461,G$1, Data_filtered!$D$2:$D$461,"mata")</f>
        <v>0</v>
      </c>
      <c r="H16" s="9">
        <f>SUMIFS(Data_filtered!$G$2:$G$461,Data_filtered!$A$2:$A$461,$A16,Data_filtered!$F$2:$F$461,H$1, Data_filtered!$D$2:$D$461,"mata")</f>
        <v>0</v>
      </c>
      <c r="I16" s="9">
        <f>SUMIFS(Data_filtered!$G$2:$G$461,Data_filtered!$A$2:$A$461,$A16,Data_filtered!$F$2:$F$461,I$1, Data_filtered!$D$2:$D$461,"mata")</f>
        <v>0</v>
      </c>
      <c r="J16" s="9">
        <f>SUMIFS(Data_filtered!$G$2:$G$461,Data_filtered!$A$2:$A$461,$A16,Data_filtered!$F$2:$F$461,J$1, Data_filtered!$D$2:$D$461,"mata")</f>
        <v>0</v>
      </c>
      <c r="K16" s="9">
        <f>SUMIFS(Data_filtered!$G$2:$G$461,Data_filtered!$A$2:$A$461,$A16,Data_filtered!$F$2:$F$461,K$1, Data_filtered!$D$2:$D$461,"mata")</f>
        <v>0</v>
      </c>
      <c r="L16" s="9">
        <f>SUMIFS(Data_filtered!$G$2:$G$461,Data_filtered!$A$2:$A$461,$A16,Data_filtered!$F$2:$F$461,L$1, Data_filtered!$D$2:$D$461,"mata")</f>
        <v>0</v>
      </c>
      <c r="M16" s="9">
        <f>SUMIFS(Data_filtered!$G$2:$G$461,Data_filtered!$A$2:$A$461,$A16,Data_filtered!$F$2:$F$461,M$1, Data_filtered!$D$2:$D$461,"mata")</f>
        <v>0</v>
      </c>
      <c r="N16" s="9">
        <f>SUMIFS(Data_filtered!$G$2:$G$461,Data_filtered!$A$2:$A$461,$A16,Data_filtered!$F$2:$F$461,N$1, Data_filtered!$D$2:$D$461,"mata")</f>
        <v>2</v>
      </c>
      <c r="O16" s="9">
        <f>SUMIFS(Data_filtered!$G$2:$G$461,Data_filtered!$A$2:$A$461,$A16,Data_filtered!$F$2:$F$461,O$1, Data_filtered!$D$2:$D$461,"mata")</f>
        <v>0</v>
      </c>
      <c r="P16" s="9">
        <f>SUMIFS(Data_filtered!$G$2:$G$461,Data_filtered!$A$2:$A$461,$A16,Data_filtered!$F$2:$F$461,P$1, Data_filtered!$D$2:$D$461,"mata")</f>
        <v>0</v>
      </c>
      <c r="Q16" s="9">
        <f>SUMIFS(Data_filtered!$G$2:$G$461,Data_filtered!$A$2:$A$461,$A16,Data_filtered!$F$2:$F$461,Q$1, Data_filtered!$D$2:$D$461,"mata")</f>
        <v>0</v>
      </c>
      <c r="R16" s="9">
        <f>SUMIFS(Data_filtered!$G$2:$G$461,Data_filtered!$A$2:$A$461,$A16,Data_filtered!$F$2:$F$461,R$1, Data_filtered!$D$2:$D$461,"mata")</f>
        <v>0</v>
      </c>
      <c r="S16" s="9">
        <f>SUMIFS(Data_filtered!$G$2:$G$461,Data_filtered!$A$2:$A$461,$A16,Data_filtered!$F$2:$F$461,S$1, Data_filtered!$D$2:$D$461,"mata")</f>
        <v>0</v>
      </c>
      <c r="T16" s="9">
        <f>SUMIFS(Data_filtered!$G$2:$G$461,Data_filtered!$A$2:$A$461,$A16,Data_filtered!$F$2:$F$461,T$1, Data_filtered!$D$2:$D$461,"mata")</f>
        <v>0</v>
      </c>
      <c r="U16" s="9">
        <f>SUMIFS(Data_filtered!$G$2:$G$461,Data_filtered!$A$2:$A$461,$A16,Data_filtered!$F$2:$F$461,U$1, Data_filtered!$D$2:$D$461,"mata")</f>
        <v>0</v>
      </c>
      <c r="V16" s="9">
        <f>SUMIFS(Data_filtered!$G$2:$G$461,Data_filtered!$A$2:$A$461,$A16,Data_filtered!$F$2:$F$461,V$1, Data_filtered!$D$2:$D$461,"mata")</f>
        <v>0</v>
      </c>
      <c r="W16" s="9">
        <f>SUMIFS(Data_filtered!$G$2:$G$461,Data_filtered!$A$2:$A$461,$A16,Data_filtered!$F$2:$F$461,W$1, Data_filtered!$D$2:$D$461,"mata")</f>
        <v>0</v>
      </c>
      <c r="X16" s="9">
        <f>SUMIFS(Data_filtered!$G$2:$G$461,Data_filtered!$A$2:$A$461,$A16,Data_filtered!$F$2:$F$461,X$1, Data_filtered!$D$2:$D$461,"mata")</f>
        <v>0</v>
      </c>
      <c r="Y16" s="9">
        <f>SUMIFS(Data_filtered!$G$2:$G$461,Data_filtered!$A$2:$A$461,$A16,Data_filtered!$F$2:$F$461,Y$1, Data_filtered!$D$2:$D$461,"mata")</f>
        <v>0</v>
      </c>
      <c r="Z16" s="9">
        <f>SUMIFS(Data_filtered!$G$2:$G$461,Data_filtered!$A$2:$A$461,$A16,Data_filtered!$F$2:$F$461,Z$1, Data_filtered!$D$2:$D$461,"mata")</f>
        <v>0</v>
      </c>
      <c r="AA16" s="9">
        <f>SUMIFS(Data_filtered!$G$2:$G$461,Data_filtered!$A$2:$A$461,$A16,Data_filtered!$F$2:$F$461,AA$1, Data_filtered!$D$2:$D$461,"mata")</f>
        <v>0</v>
      </c>
      <c r="AB16" s="9">
        <f>SUMIFS(Data_filtered!$G$2:$G$461,Data_filtered!$A$2:$A$461,$A16,Data_filtered!$F$2:$F$461,AB$1, Data_filtered!$D$2:$D$461,"mata")</f>
        <v>0</v>
      </c>
      <c r="AC16" s="9">
        <f>SUMIFS(Data_filtered!$G$2:$G$461,Data_filtered!$A$2:$A$461,$A16,Data_filtered!$F$2:$F$461,AC$1, Data_filtered!$D$2:$D$461,"mata")</f>
        <v>0</v>
      </c>
      <c r="AD16" s="9">
        <f>SUMIFS(Data_filtered!$G$2:$G$461,Data_filtered!$A$2:$A$461,$A16,Data_filtered!$F$2:$F$461,AD$1, Data_filtered!$D$2:$D$461,"mata")</f>
        <v>0</v>
      </c>
    </row>
    <row r="17">
      <c r="A17" s="9" t="str">
        <f>IFERROR(__xludf.DUMMYFUNCTION("""COMPUTED_VALUE"""),"Physalaemus olfersii")</f>
        <v>Physalaemus olfersii</v>
      </c>
      <c r="B17" s="9">
        <f>SUMIFS(Data_filtered!$G$2:$G$461,Data_filtered!$A$2:$A$461,$A17,Data_filtered!$F$2:$F$461,B$1, Data_filtered!$D$2:$D$461,"mata")</f>
        <v>0</v>
      </c>
      <c r="C17" s="9">
        <f>SUMIFS(Data_filtered!$G$2:$G$461,Data_filtered!$A$2:$A$461,$A17,Data_filtered!$F$2:$F$461,C$1, Data_filtered!$D$2:$D$461,"mata")</f>
        <v>0</v>
      </c>
      <c r="D17" s="9">
        <f>SUMIFS(Data_filtered!$G$2:$G$461,Data_filtered!$A$2:$A$461,$A17,Data_filtered!$F$2:$F$461,D$1, Data_filtered!$D$2:$D$461,"mata")</f>
        <v>2</v>
      </c>
      <c r="E17" s="9">
        <f>SUMIFS(Data_filtered!$G$2:$G$461,Data_filtered!$A$2:$A$461,$A17,Data_filtered!$F$2:$F$461,E$1, Data_filtered!$D$2:$D$461,"mata")</f>
        <v>0</v>
      </c>
      <c r="F17" s="9">
        <f>SUMIFS(Data_filtered!$G$2:$G$461,Data_filtered!$A$2:$A$461,$A17,Data_filtered!$F$2:$F$461,F$1, Data_filtered!$D$2:$D$461,"mata")</f>
        <v>0</v>
      </c>
      <c r="G17" s="9">
        <f>SUMIFS(Data_filtered!$G$2:$G$461,Data_filtered!$A$2:$A$461,$A17,Data_filtered!$F$2:$F$461,G$1, Data_filtered!$D$2:$D$461,"mata")</f>
        <v>0</v>
      </c>
      <c r="H17" s="9">
        <f>SUMIFS(Data_filtered!$G$2:$G$461,Data_filtered!$A$2:$A$461,$A17,Data_filtered!$F$2:$F$461,H$1, Data_filtered!$D$2:$D$461,"mata")</f>
        <v>4</v>
      </c>
      <c r="I17" s="9">
        <f>SUMIFS(Data_filtered!$G$2:$G$461,Data_filtered!$A$2:$A$461,$A17,Data_filtered!$F$2:$F$461,I$1, Data_filtered!$D$2:$D$461,"mata")</f>
        <v>0</v>
      </c>
      <c r="J17" s="9">
        <f>SUMIFS(Data_filtered!$G$2:$G$461,Data_filtered!$A$2:$A$461,$A17,Data_filtered!$F$2:$F$461,J$1, Data_filtered!$D$2:$D$461,"mata")</f>
        <v>0</v>
      </c>
      <c r="K17" s="9">
        <f>SUMIFS(Data_filtered!$G$2:$G$461,Data_filtered!$A$2:$A$461,$A17,Data_filtered!$F$2:$F$461,K$1, Data_filtered!$D$2:$D$461,"mata")</f>
        <v>0</v>
      </c>
      <c r="L17" s="9">
        <f>SUMIFS(Data_filtered!$G$2:$G$461,Data_filtered!$A$2:$A$461,$A17,Data_filtered!$F$2:$F$461,L$1, Data_filtered!$D$2:$D$461,"mata")</f>
        <v>0</v>
      </c>
      <c r="M17" s="9">
        <f>SUMIFS(Data_filtered!$G$2:$G$461,Data_filtered!$A$2:$A$461,$A17,Data_filtered!$F$2:$F$461,M$1, Data_filtered!$D$2:$D$461,"mata")</f>
        <v>0</v>
      </c>
      <c r="N17" s="9">
        <f>SUMIFS(Data_filtered!$G$2:$G$461,Data_filtered!$A$2:$A$461,$A17,Data_filtered!$F$2:$F$461,N$1, Data_filtered!$D$2:$D$461,"mata")</f>
        <v>20</v>
      </c>
      <c r="O17" s="9">
        <f>SUMIFS(Data_filtered!$G$2:$G$461,Data_filtered!$A$2:$A$461,$A17,Data_filtered!$F$2:$F$461,O$1, Data_filtered!$D$2:$D$461,"mata")</f>
        <v>0</v>
      </c>
      <c r="P17" s="9">
        <f>SUMIFS(Data_filtered!$G$2:$G$461,Data_filtered!$A$2:$A$461,$A17,Data_filtered!$F$2:$F$461,P$1, Data_filtered!$D$2:$D$461,"mata")</f>
        <v>0</v>
      </c>
      <c r="Q17" s="9">
        <f>SUMIFS(Data_filtered!$G$2:$G$461,Data_filtered!$A$2:$A$461,$A17,Data_filtered!$F$2:$F$461,Q$1, Data_filtered!$D$2:$D$461,"mata")</f>
        <v>1</v>
      </c>
      <c r="R17" s="9">
        <f>SUMIFS(Data_filtered!$G$2:$G$461,Data_filtered!$A$2:$A$461,$A17,Data_filtered!$F$2:$F$461,R$1, Data_filtered!$D$2:$D$461,"mata")</f>
        <v>0</v>
      </c>
      <c r="S17" s="9">
        <f>SUMIFS(Data_filtered!$G$2:$G$461,Data_filtered!$A$2:$A$461,$A17,Data_filtered!$F$2:$F$461,S$1, Data_filtered!$D$2:$D$461,"mata")</f>
        <v>0</v>
      </c>
      <c r="T17" s="9">
        <f>SUMIFS(Data_filtered!$G$2:$G$461,Data_filtered!$A$2:$A$461,$A17,Data_filtered!$F$2:$F$461,T$1, Data_filtered!$D$2:$D$461,"mata")</f>
        <v>0</v>
      </c>
      <c r="U17" s="9">
        <f>SUMIFS(Data_filtered!$G$2:$G$461,Data_filtered!$A$2:$A$461,$A17,Data_filtered!$F$2:$F$461,U$1, Data_filtered!$D$2:$D$461,"mata")</f>
        <v>0</v>
      </c>
      <c r="V17" s="9">
        <f>SUMIFS(Data_filtered!$G$2:$G$461,Data_filtered!$A$2:$A$461,$A17,Data_filtered!$F$2:$F$461,V$1, Data_filtered!$D$2:$D$461,"mata")</f>
        <v>0</v>
      </c>
      <c r="W17" s="9">
        <f>SUMIFS(Data_filtered!$G$2:$G$461,Data_filtered!$A$2:$A$461,$A17,Data_filtered!$F$2:$F$461,W$1, Data_filtered!$D$2:$D$461,"mata")</f>
        <v>0</v>
      </c>
      <c r="X17" s="9">
        <f>SUMIFS(Data_filtered!$G$2:$G$461,Data_filtered!$A$2:$A$461,$A17,Data_filtered!$F$2:$F$461,X$1, Data_filtered!$D$2:$D$461,"mata")</f>
        <v>0</v>
      </c>
      <c r="Y17" s="9">
        <f>SUMIFS(Data_filtered!$G$2:$G$461,Data_filtered!$A$2:$A$461,$A17,Data_filtered!$F$2:$F$461,Y$1, Data_filtered!$D$2:$D$461,"mata")</f>
        <v>0</v>
      </c>
      <c r="Z17" s="9">
        <f>SUMIFS(Data_filtered!$G$2:$G$461,Data_filtered!$A$2:$A$461,$A17,Data_filtered!$F$2:$F$461,Z$1, Data_filtered!$D$2:$D$461,"mata")</f>
        <v>0</v>
      </c>
      <c r="AA17" s="9">
        <f>SUMIFS(Data_filtered!$G$2:$G$461,Data_filtered!$A$2:$A$461,$A17,Data_filtered!$F$2:$F$461,AA$1, Data_filtered!$D$2:$D$461,"mata")</f>
        <v>0</v>
      </c>
      <c r="AB17" s="9">
        <f>SUMIFS(Data_filtered!$G$2:$G$461,Data_filtered!$A$2:$A$461,$A17,Data_filtered!$F$2:$F$461,AB$1, Data_filtered!$D$2:$D$461,"mata")</f>
        <v>2</v>
      </c>
      <c r="AC17" s="9">
        <f>SUMIFS(Data_filtered!$G$2:$G$461,Data_filtered!$A$2:$A$461,$A17,Data_filtered!$F$2:$F$461,AC$1, Data_filtered!$D$2:$D$461,"mata")</f>
        <v>0</v>
      </c>
      <c r="AD17" s="9">
        <f>SUMIFS(Data_filtered!$G$2:$G$461,Data_filtered!$A$2:$A$461,$A17,Data_filtered!$F$2:$F$461,AD$1, Data_filtered!$D$2:$D$461,"mata")</f>
        <v>0</v>
      </c>
    </row>
    <row r="18">
      <c r="A18" s="9" t="str">
        <f>IFERROR(__xludf.DUMMYFUNCTION("""COMPUTED_VALUE"""),"Proceratophrys boiei")</f>
        <v>Proceratophrys boiei</v>
      </c>
      <c r="B18" s="9">
        <f>SUMIFS(Data_filtered!$G$2:$G$461,Data_filtered!$A$2:$A$461,$A18,Data_filtered!$F$2:$F$461,B$1, Data_filtered!$D$2:$D$461,"mata")</f>
        <v>1</v>
      </c>
      <c r="C18" s="9">
        <f>SUMIFS(Data_filtered!$G$2:$G$461,Data_filtered!$A$2:$A$461,$A18,Data_filtered!$F$2:$F$461,C$1, Data_filtered!$D$2:$D$461,"mata")</f>
        <v>0</v>
      </c>
      <c r="D18" s="9">
        <f>SUMIFS(Data_filtered!$G$2:$G$461,Data_filtered!$A$2:$A$461,$A18,Data_filtered!$F$2:$F$461,D$1, Data_filtered!$D$2:$D$461,"mata")</f>
        <v>1</v>
      </c>
      <c r="E18" s="9">
        <f>SUMIFS(Data_filtered!$G$2:$G$461,Data_filtered!$A$2:$A$461,$A18,Data_filtered!$F$2:$F$461,E$1, Data_filtered!$D$2:$D$461,"mata")</f>
        <v>0</v>
      </c>
      <c r="F18" s="9">
        <f>SUMIFS(Data_filtered!$G$2:$G$461,Data_filtered!$A$2:$A$461,$A18,Data_filtered!$F$2:$F$461,F$1, Data_filtered!$D$2:$D$461,"mata")</f>
        <v>0</v>
      </c>
      <c r="G18" s="9">
        <f>SUMIFS(Data_filtered!$G$2:$G$461,Data_filtered!$A$2:$A$461,$A18,Data_filtered!$F$2:$F$461,G$1, Data_filtered!$D$2:$D$461,"mata")</f>
        <v>2</v>
      </c>
      <c r="H18" s="9">
        <f>SUMIFS(Data_filtered!$G$2:$G$461,Data_filtered!$A$2:$A$461,$A18,Data_filtered!$F$2:$F$461,H$1, Data_filtered!$D$2:$D$461,"mata")</f>
        <v>11</v>
      </c>
      <c r="I18" s="9">
        <f>SUMIFS(Data_filtered!$G$2:$G$461,Data_filtered!$A$2:$A$461,$A18,Data_filtered!$F$2:$F$461,I$1, Data_filtered!$D$2:$D$461,"mata")</f>
        <v>0</v>
      </c>
      <c r="J18" s="9">
        <f>SUMIFS(Data_filtered!$G$2:$G$461,Data_filtered!$A$2:$A$461,$A18,Data_filtered!$F$2:$F$461,J$1, Data_filtered!$D$2:$D$461,"mata")</f>
        <v>0</v>
      </c>
      <c r="K18" s="9">
        <f>SUMIFS(Data_filtered!$G$2:$G$461,Data_filtered!$A$2:$A$461,$A18,Data_filtered!$F$2:$F$461,K$1, Data_filtered!$D$2:$D$461,"mata")</f>
        <v>0</v>
      </c>
      <c r="L18" s="9">
        <f>SUMIFS(Data_filtered!$G$2:$G$461,Data_filtered!$A$2:$A$461,$A18,Data_filtered!$F$2:$F$461,L$1, Data_filtered!$D$2:$D$461,"mata")</f>
        <v>1</v>
      </c>
      <c r="M18" s="9">
        <f>SUMIFS(Data_filtered!$G$2:$G$461,Data_filtered!$A$2:$A$461,$A18,Data_filtered!$F$2:$F$461,M$1, Data_filtered!$D$2:$D$461,"mata")</f>
        <v>1</v>
      </c>
      <c r="N18" s="9">
        <f>SUMIFS(Data_filtered!$G$2:$G$461,Data_filtered!$A$2:$A$461,$A18,Data_filtered!$F$2:$F$461,N$1, Data_filtered!$D$2:$D$461,"mata")</f>
        <v>0</v>
      </c>
      <c r="O18" s="9">
        <f>SUMIFS(Data_filtered!$G$2:$G$461,Data_filtered!$A$2:$A$461,$A18,Data_filtered!$F$2:$F$461,O$1, Data_filtered!$D$2:$D$461,"mata")</f>
        <v>0</v>
      </c>
      <c r="P18" s="9">
        <f>SUMIFS(Data_filtered!$G$2:$G$461,Data_filtered!$A$2:$A$461,$A18,Data_filtered!$F$2:$F$461,P$1, Data_filtered!$D$2:$D$461,"mata")</f>
        <v>0</v>
      </c>
      <c r="Q18" s="9">
        <f>SUMIFS(Data_filtered!$G$2:$G$461,Data_filtered!$A$2:$A$461,$A18,Data_filtered!$F$2:$F$461,Q$1, Data_filtered!$D$2:$D$461,"mata")</f>
        <v>0</v>
      </c>
      <c r="R18" s="9">
        <f>SUMIFS(Data_filtered!$G$2:$G$461,Data_filtered!$A$2:$A$461,$A18,Data_filtered!$F$2:$F$461,R$1, Data_filtered!$D$2:$D$461,"mata")</f>
        <v>1</v>
      </c>
      <c r="S18" s="9">
        <f>SUMIFS(Data_filtered!$G$2:$G$461,Data_filtered!$A$2:$A$461,$A18,Data_filtered!$F$2:$F$461,S$1, Data_filtered!$D$2:$D$461,"mata")</f>
        <v>0</v>
      </c>
      <c r="T18" s="9">
        <f>SUMIFS(Data_filtered!$G$2:$G$461,Data_filtered!$A$2:$A$461,$A18,Data_filtered!$F$2:$F$461,T$1, Data_filtered!$D$2:$D$461,"mata")</f>
        <v>0</v>
      </c>
      <c r="U18" s="9">
        <f>SUMIFS(Data_filtered!$G$2:$G$461,Data_filtered!$A$2:$A$461,$A18,Data_filtered!$F$2:$F$461,U$1, Data_filtered!$D$2:$D$461,"mata")</f>
        <v>0</v>
      </c>
      <c r="V18" s="9">
        <f>SUMIFS(Data_filtered!$G$2:$G$461,Data_filtered!$A$2:$A$461,$A18,Data_filtered!$F$2:$F$461,V$1, Data_filtered!$D$2:$D$461,"mata")</f>
        <v>0</v>
      </c>
      <c r="W18" s="9">
        <f>SUMIFS(Data_filtered!$G$2:$G$461,Data_filtered!$A$2:$A$461,$A18,Data_filtered!$F$2:$F$461,W$1, Data_filtered!$D$2:$D$461,"mata")</f>
        <v>0</v>
      </c>
      <c r="X18" s="9">
        <f>SUMIFS(Data_filtered!$G$2:$G$461,Data_filtered!$A$2:$A$461,$A18,Data_filtered!$F$2:$F$461,X$1, Data_filtered!$D$2:$D$461,"mata")</f>
        <v>0</v>
      </c>
      <c r="Y18" s="9">
        <f>SUMIFS(Data_filtered!$G$2:$G$461,Data_filtered!$A$2:$A$461,$A18,Data_filtered!$F$2:$F$461,Y$1, Data_filtered!$D$2:$D$461,"mata")</f>
        <v>1</v>
      </c>
      <c r="Z18" s="9">
        <f>SUMIFS(Data_filtered!$G$2:$G$461,Data_filtered!$A$2:$A$461,$A18,Data_filtered!$F$2:$F$461,Z$1, Data_filtered!$D$2:$D$461,"mata")</f>
        <v>0</v>
      </c>
      <c r="AA18" s="9">
        <f>SUMIFS(Data_filtered!$G$2:$G$461,Data_filtered!$A$2:$A$461,$A18,Data_filtered!$F$2:$F$461,AA$1, Data_filtered!$D$2:$D$461,"mata")</f>
        <v>0</v>
      </c>
      <c r="AB18" s="9">
        <f>SUMIFS(Data_filtered!$G$2:$G$461,Data_filtered!$A$2:$A$461,$A18,Data_filtered!$F$2:$F$461,AB$1, Data_filtered!$D$2:$D$461,"mata")</f>
        <v>1</v>
      </c>
      <c r="AC18" s="9">
        <f>SUMIFS(Data_filtered!$G$2:$G$461,Data_filtered!$A$2:$A$461,$A18,Data_filtered!$F$2:$F$461,AC$1, Data_filtered!$D$2:$D$461,"mata")</f>
        <v>0</v>
      </c>
      <c r="AD18" s="9">
        <f>SUMIFS(Data_filtered!$G$2:$G$461,Data_filtered!$A$2:$A$461,$A18,Data_filtered!$F$2:$F$461,AD$1, Data_filtered!$D$2:$D$461,"mata")</f>
        <v>0</v>
      </c>
    </row>
    <row r="19">
      <c r="A19" s="9" t="str">
        <f>IFERROR(__xludf.DUMMYFUNCTION("""COMPUTED_VALUE"""),"Proceratophrys itamari")</f>
        <v>Proceratophrys itamari</v>
      </c>
      <c r="B19" s="9">
        <f>SUMIFS(Data_filtered!$G$2:$G$461,Data_filtered!$A$2:$A$461,$A19,Data_filtered!$F$2:$F$461,B$1, Data_filtered!$D$2:$D$461,"mata")</f>
        <v>0</v>
      </c>
      <c r="C19" s="9">
        <f>SUMIFS(Data_filtered!$G$2:$G$461,Data_filtered!$A$2:$A$461,$A19,Data_filtered!$F$2:$F$461,C$1, Data_filtered!$D$2:$D$461,"mata")</f>
        <v>0</v>
      </c>
      <c r="D19" s="9">
        <f>SUMIFS(Data_filtered!$G$2:$G$461,Data_filtered!$A$2:$A$461,$A19,Data_filtered!$F$2:$F$461,D$1, Data_filtered!$D$2:$D$461,"mata")</f>
        <v>1</v>
      </c>
      <c r="E19" s="9">
        <f>SUMIFS(Data_filtered!$G$2:$G$461,Data_filtered!$A$2:$A$461,$A19,Data_filtered!$F$2:$F$461,E$1, Data_filtered!$D$2:$D$461,"mata")</f>
        <v>0</v>
      </c>
      <c r="F19" s="9">
        <f>SUMIFS(Data_filtered!$G$2:$G$461,Data_filtered!$A$2:$A$461,$A19,Data_filtered!$F$2:$F$461,F$1, Data_filtered!$D$2:$D$461,"mata")</f>
        <v>0</v>
      </c>
      <c r="G19" s="9">
        <f>SUMIFS(Data_filtered!$G$2:$G$461,Data_filtered!$A$2:$A$461,$A19,Data_filtered!$F$2:$F$461,G$1, Data_filtered!$D$2:$D$461,"mata")</f>
        <v>0</v>
      </c>
      <c r="H19" s="9">
        <f>SUMIFS(Data_filtered!$G$2:$G$461,Data_filtered!$A$2:$A$461,$A19,Data_filtered!$F$2:$F$461,H$1, Data_filtered!$D$2:$D$461,"mata")</f>
        <v>2</v>
      </c>
      <c r="I19" s="9">
        <f>SUMIFS(Data_filtered!$G$2:$G$461,Data_filtered!$A$2:$A$461,$A19,Data_filtered!$F$2:$F$461,I$1, Data_filtered!$D$2:$D$461,"mata")</f>
        <v>0</v>
      </c>
      <c r="J19" s="9">
        <f>SUMIFS(Data_filtered!$G$2:$G$461,Data_filtered!$A$2:$A$461,$A19,Data_filtered!$F$2:$F$461,J$1, Data_filtered!$D$2:$D$461,"mata")</f>
        <v>0</v>
      </c>
      <c r="K19" s="9">
        <f>SUMIFS(Data_filtered!$G$2:$G$461,Data_filtered!$A$2:$A$461,$A19,Data_filtered!$F$2:$F$461,K$1, Data_filtered!$D$2:$D$461,"mata")</f>
        <v>0</v>
      </c>
      <c r="L19" s="9">
        <f>SUMIFS(Data_filtered!$G$2:$G$461,Data_filtered!$A$2:$A$461,$A19,Data_filtered!$F$2:$F$461,L$1, Data_filtered!$D$2:$D$461,"mata")</f>
        <v>0</v>
      </c>
      <c r="M19" s="9">
        <f>SUMIFS(Data_filtered!$G$2:$G$461,Data_filtered!$A$2:$A$461,$A19,Data_filtered!$F$2:$F$461,M$1, Data_filtered!$D$2:$D$461,"mata")</f>
        <v>0</v>
      </c>
      <c r="N19" s="9">
        <f>SUMIFS(Data_filtered!$G$2:$G$461,Data_filtered!$A$2:$A$461,$A19,Data_filtered!$F$2:$F$461,N$1, Data_filtered!$D$2:$D$461,"mata")</f>
        <v>0</v>
      </c>
      <c r="O19" s="9">
        <f>SUMIFS(Data_filtered!$G$2:$G$461,Data_filtered!$A$2:$A$461,$A19,Data_filtered!$F$2:$F$461,O$1, Data_filtered!$D$2:$D$461,"mata")</f>
        <v>0</v>
      </c>
      <c r="P19" s="9">
        <f>SUMIFS(Data_filtered!$G$2:$G$461,Data_filtered!$A$2:$A$461,$A19,Data_filtered!$F$2:$F$461,P$1, Data_filtered!$D$2:$D$461,"mata")</f>
        <v>1</v>
      </c>
      <c r="Q19" s="9">
        <f>SUMIFS(Data_filtered!$G$2:$G$461,Data_filtered!$A$2:$A$461,$A19,Data_filtered!$F$2:$F$461,Q$1, Data_filtered!$D$2:$D$461,"mata")</f>
        <v>0</v>
      </c>
      <c r="R19" s="9">
        <f>SUMIFS(Data_filtered!$G$2:$G$461,Data_filtered!$A$2:$A$461,$A19,Data_filtered!$F$2:$F$461,R$1, Data_filtered!$D$2:$D$461,"mata")</f>
        <v>2</v>
      </c>
      <c r="S19" s="9">
        <f>SUMIFS(Data_filtered!$G$2:$G$461,Data_filtered!$A$2:$A$461,$A19,Data_filtered!$F$2:$F$461,S$1, Data_filtered!$D$2:$D$461,"mata")</f>
        <v>0</v>
      </c>
      <c r="T19" s="9">
        <f>SUMIFS(Data_filtered!$G$2:$G$461,Data_filtered!$A$2:$A$461,$A19,Data_filtered!$F$2:$F$461,T$1, Data_filtered!$D$2:$D$461,"mata")</f>
        <v>0</v>
      </c>
      <c r="U19" s="9">
        <f>SUMIFS(Data_filtered!$G$2:$G$461,Data_filtered!$A$2:$A$461,$A19,Data_filtered!$F$2:$F$461,U$1, Data_filtered!$D$2:$D$461,"mata")</f>
        <v>0</v>
      </c>
      <c r="V19" s="9">
        <f>SUMIFS(Data_filtered!$G$2:$G$461,Data_filtered!$A$2:$A$461,$A19,Data_filtered!$F$2:$F$461,V$1, Data_filtered!$D$2:$D$461,"mata")</f>
        <v>0</v>
      </c>
      <c r="W19" s="9">
        <f>SUMIFS(Data_filtered!$G$2:$G$461,Data_filtered!$A$2:$A$461,$A19,Data_filtered!$F$2:$F$461,W$1, Data_filtered!$D$2:$D$461,"mata")</f>
        <v>0</v>
      </c>
      <c r="X19" s="9">
        <f>SUMIFS(Data_filtered!$G$2:$G$461,Data_filtered!$A$2:$A$461,$A19,Data_filtered!$F$2:$F$461,X$1, Data_filtered!$D$2:$D$461,"mata")</f>
        <v>0</v>
      </c>
      <c r="Y19" s="9">
        <f>SUMIFS(Data_filtered!$G$2:$G$461,Data_filtered!$A$2:$A$461,$A19,Data_filtered!$F$2:$F$461,Y$1, Data_filtered!$D$2:$D$461,"mata")</f>
        <v>0</v>
      </c>
      <c r="Z19" s="9">
        <f>SUMIFS(Data_filtered!$G$2:$G$461,Data_filtered!$A$2:$A$461,$A19,Data_filtered!$F$2:$F$461,Z$1, Data_filtered!$D$2:$D$461,"mata")</f>
        <v>0</v>
      </c>
      <c r="AA19" s="9">
        <f>SUMIFS(Data_filtered!$G$2:$G$461,Data_filtered!$A$2:$A$461,$A19,Data_filtered!$F$2:$F$461,AA$1, Data_filtered!$D$2:$D$461,"mata")</f>
        <v>0</v>
      </c>
      <c r="AB19" s="9">
        <f>SUMIFS(Data_filtered!$G$2:$G$461,Data_filtered!$A$2:$A$461,$A19,Data_filtered!$F$2:$F$461,AB$1, Data_filtered!$D$2:$D$461,"mata")</f>
        <v>0</v>
      </c>
      <c r="AC19" s="9">
        <f>SUMIFS(Data_filtered!$G$2:$G$461,Data_filtered!$A$2:$A$461,$A19,Data_filtered!$F$2:$F$461,AC$1, Data_filtered!$D$2:$D$461,"mata")</f>
        <v>0</v>
      </c>
      <c r="AD19" s="9">
        <f>SUMIFS(Data_filtered!$G$2:$G$461,Data_filtered!$A$2:$A$461,$A19,Data_filtered!$F$2:$F$461,AD$1, Data_filtered!$D$2:$D$461,"mata")</f>
        <v>0</v>
      </c>
    </row>
    <row r="20">
      <c r="A20" s="9" t="str">
        <f>IFERROR(__xludf.DUMMYFUNCTION("""COMPUTED_VALUE"""),"Rhinella icterica")</f>
        <v>Rhinella icterica</v>
      </c>
      <c r="B20" s="9">
        <f>SUMIFS(Data_filtered!$G$2:$G$461,Data_filtered!$A$2:$A$461,$A20,Data_filtered!$F$2:$F$461,B$1, Data_filtered!$D$2:$D$461,"mata")</f>
        <v>0</v>
      </c>
      <c r="C20" s="9">
        <f>SUMIFS(Data_filtered!$G$2:$G$461,Data_filtered!$A$2:$A$461,$A20,Data_filtered!$F$2:$F$461,C$1, Data_filtered!$D$2:$D$461,"mata")</f>
        <v>0</v>
      </c>
      <c r="D20" s="9">
        <f>SUMIFS(Data_filtered!$G$2:$G$461,Data_filtered!$A$2:$A$461,$A20,Data_filtered!$F$2:$F$461,D$1, Data_filtered!$D$2:$D$461,"mata")</f>
        <v>0</v>
      </c>
      <c r="E20" s="9">
        <f>SUMIFS(Data_filtered!$G$2:$G$461,Data_filtered!$A$2:$A$461,$A20,Data_filtered!$F$2:$F$461,E$1, Data_filtered!$D$2:$D$461,"mata")</f>
        <v>0</v>
      </c>
      <c r="F20" s="9">
        <f>SUMIFS(Data_filtered!$G$2:$G$461,Data_filtered!$A$2:$A$461,$A20,Data_filtered!$F$2:$F$461,F$1, Data_filtered!$D$2:$D$461,"mata")</f>
        <v>0</v>
      </c>
      <c r="G20" s="9">
        <f>SUMIFS(Data_filtered!$G$2:$G$461,Data_filtered!$A$2:$A$461,$A20,Data_filtered!$F$2:$F$461,G$1, Data_filtered!$D$2:$D$461,"mata")</f>
        <v>0</v>
      </c>
      <c r="H20" s="9">
        <f>SUMIFS(Data_filtered!$G$2:$G$461,Data_filtered!$A$2:$A$461,$A20,Data_filtered!$F$2:$F$461,H$1, Data_filtered!$D$2:$D$461,"mata")</f>
        <v>128</v>
      </c>
      <c r="I20" s="9">
        <f>SUMIFS(Data_filtered!$G$2:$G$461,Data_filtered!$A$2:$A$461,$A20,Data_filtered!$F$2:$F$461,I$1, Data_filtered!$D$2:$D$461,"mata")</f>
        <v>3</v>
      </c>
      <c r="J20" s="9">
        <f>SUMIFS(Data_filtered!$G$2:$G$461,Data_filtered!$A$2:$A$461,$A20,Data_filtered!$F$2:$F$461,J$1, Data_filtered!$D$2:$D$461,"mata")</f>
        <v>0</v>
      </c>
      <c r="K20" s="9">
        <f>SUMIFS(Data_filtered!$G$2:$G$461,Data_filtered!$A$2:$A$461,$A20,Data_filtered!$F$2:$F$461,K$1, Data_filtered!$D$2:$D$461,"mata")</f>
        <v>5</v>
      </c>
      <c r="L20" s="9">
        <f>SUMIFS(Data_filtered!$G$2:$G$461,Data_filtered!$A$2:$A$461,$A20,Data_filtered!$F$2:$F$461,L$1, Data_filtered!$D$2:$D$461,"mata")</f>
        <v>8</v>
      </c>
      <c r="M20" s="9">
        <f>SUMIFS(Data_filtered!$G$2:$G$461,Data_filtered!$A$2:$A$461,$A20,Data_filtered!$F$2:$F$461,M$1, Data_filtered!$D$2:$D$461,"mata")</f>
        <v>0</v>
      </c>
      <c r="N20" s="9">
        <f>SUMIFS(Data_filtered!$G$2:$G$461,Data_filtered!$A$2:$A$461,$A20,Data_filtered!$F$2:$F$461,N$1, Data_filtered!$D$2:$D$461,"mata")</f>
        <v>48</v>
      </c>
      <c r="O20" s="9">
        <f>SUMIFS(Data_filtered!$G$2:$G$461,Data_filtered!$A$2:$A$461,$A20,Data_filtered!$F$2:$F$461,O$1, Data_filtered!$D$2:$D$461,"mata")</f>
        <v>0</v>
      </c>
      <c r="P20" s="9">
        <f>SUMIFS(Data_filtered!$G$2:$G$461,Data_filtered!$A$2:$A$461,$A20,Data_filtered!$F$2:$F$461,P$1, Data_filtered!$D$2:$D$461,"mata")</f>
        <v>2</v>
      </c>
      <c r="Q20" s="9">
        <f>SUMIFS(Data_filtered!$G$2:$G$461,Data_filtered!$A$2:$A$461,$A20,Data_filtered!$F$2:$F$461,Q$1, Data_filtered!$D$2:$D$461,"mata")</f>
        <v>0</v>
      </c>
      <c r="R20" s="9">
        <f>SUMIFS(Data_filtered!$G$2:$G$461,Data_filtered!$A$2:$A$461,$A20,Data_filtered!$F$2:$F$461,R$1, Data_filtered!$D$2:$D$461,"mata")</f>
        <v>2</v>
      </c>
      <c r="S20" s="9">
        <f>SUMIFS(Data_filtered!$G$2:$G$461,Data_filtered!$A$2:$A$461,$A20,Data_filtered!$F$2:$F$461,S$1, Data_filtered!$D$2:$D$461,"mata")</f>
        <v>0</v>
      </c>
      <c r="T20" s="9">
        <f>SUMIFS(Data_filtered!$G$2:$G$461,Data_filtered!$A$2:$A$461,$A20,Data_filtered!$F$2:$F$461,T$1, Data_filtered!$D$2:$D$461,"mata")</f>
        <v>1</v>
      </c>
      <c r="U20" s="9">
        <f>SUMIFS(Data_filtered!$G$2:$G$461,Data_filtered!$A$2:$A$461,$A20,Data_filtered!$F$2:$F$461,U$1, Data_filtered!$D$2:$D$461,"mata")</f>
        <v>1</v>
      </c>
      <c r="V20" s="9">
        <f>SUMIFS(Data_filtered!$G$2:$G$461,Data_filtered!$A$2:$A$461,$A20,Data_filtered!$F$2:$F$461,V$1, Data_filtered!$D$2:$D$461,"mata")</f>
        <v>1</v>
      </c>
      <c r="W20" s="9">
        <f>SUMIFS(Data_filtered!$G$2:$G$461,Data_filtered!$A$2:$A$461,$A20,Data_filtered!$F$2:$F$461,W$1, Data_filtered!$D$2:$D$461,"mata")</f>
        <v>0</v>
      </c>
      <c r="X20" s="9">
        <f>SUMIFS(Data_filtered!$G$2:$G$461,Data_filtered!$A$2:$A$461,$A20,Data_filtered!$F$2:$F$461,X$1, Data_filtered!$D$2:$D$461,"mata")</f>
        <v>7</v>
      </c>
      <c r="Y20" s="9">
        <f>SUMIFS(Data_filtered!$G$2:$G$461,Data_filtered!$A$2:$A$461,$A20,Data_filtered!$F$2:$F$461,Y$1, Data_filtered!$D$2:$D$461,"mata")</f>
        <v>2</v>
      </c>
      <c r="Z20" s="9">
        <f>SUMIFS(Data_filtered!$G$2:$G$461,Data_filtered!$A$2:$A$461,$A20,Data_filtered!$F$2:$F$461,Z$1, Data_filtered!$D$2:$D$461,"mata")</f>
        <v>0</v>
      </c>
      <c r="AA20" s="9">
        <f>SUMIFS(Data_filtered!$G$2:$G$461,Data_filtered!$A$2:$A$461,$A20,Data_filtered!$F$2:$F$461,AA$1, Data_filtered!$D$2:$D$461,"mata")</f>
        <v>0</v>
      </c>
      <c r="AB20" s="9">
        <f>SUMIFS(Data_filtered!$G$2:$G$461,Data_filtered!$A$2:$A$461,$A20,Data_filtered!$F$2:$F$461,AB$1, Data_filtered!$D$2:$D$461,"mata")</f>
        <v>4</v>
      </c>
      <c r="AC20" s="9">
        <f>SUMIFS(Data_filtered!$G$2:$G$461,Data_filtered!$A$2:$A$461,$A20,Data_filtered!$F$2:$F$461,AC$1, Data_filtered!$D$2:$D$461,"mata")</f>
        <v>0</v>
      </c>
      <c r="AD20" s="9">
        <f>SUMIFS(Data_filtered!$G$2:$G$461,Data_filtered!$A$2:$A$461,$A20,Data_filtered!$F$2:$F$461,AD$1, Data_filtered!$D$2:$D$461,"mata")</f>
        <v>0</v>
      </c>
    </row>
    <row r="21">
      <c r="A21" s="9" t="str">
        <f>IFERROR(__xludf.DUMMYFUNCTION("""COMPUTED_VALUE"""),"Rhinella ornata")</f>
        <v>Rhinella ornata</v>
      </c>
      <c r="B21" s="9">
        <f>SUMIFS(Data_filtered!$G$2:$G$461,Data_filtered!$A$2:$A$461,$A21,Data_filtered!$F$2:$F$461,B$1, Data_filtered!$D$2:$D$461,"mata")</f>
        <v>0</v>
      </c>
      <c r="C21" s="9">
        <f>SUMIFS(Data_filtered!$G$2:$G$461,Data_filtered!$A$2:$A$461,$A21,Data_filtered!$F$2:$F$461,C$1, Data_filtered!$D$2:$D$461,"mata")</f>
        <v>0</v>
      </c>
      <c r="D21" s="9">
        <f>SUMIFS(Data_filtered!$G$2:$G$461,Data_filtered!$A$2:$A$461,$A21,Data_filtered!$F$2:$F$461,D$1, Data_filtered!$D$2:$D$461,"mata")</f>
        <v>0</v>
      </c>
      <c r="E21" s="9">
        <f>SUMIFS(Data_filtered!$G$2:$G$461,Data_filtered!$A$2:$A$461,$A21,Data_filtered!$F$2:$F$461,E$1, Data_filtered!$D$2:$D$461,"mata")</f>
        <v>0</v>
      </c>
      <c r="F21" s="9">
        <f>SUMIFS(Data_filtered!$G$2:$G$461,Data_filtered!$A$2:$A$461,$A21,Data_filtered!$F$2:$F$461,F$1, Data_filtered!$D$2:$D$461,"mata")</f>
        <v>0</v>
      </c>
      <c r="G21" s="9">
        <f>SUMIFS(Data_filtered!$G$2:$G$461,Data_filtered!$A$2:$A$461,$A21,Data_filtered!$F$2:$F$461,G$1, Data_filtered!$D$2:$D$461,"mata")</f>
        <v>0</v>
      </c>
      <c r="H21" s="9">
        <f>SUMIFS(Data_filtered!$G$2:$G$461,Data_filtered!$A$2:$A$461,$A21,Data_filtered!$F$2:$F$461,H$1, Data_filtered!$D$2:$D$461,"mata")</f>
        <v>7</v>
      </c>
      <c r="I21" s="9">
        <f>SUMIFS(Data_filtered!$G$2:$G$461,Data_filtered!$A$2:$A$461,$A21,Data_filtered!$F$2:$F$461,I$1, Data_filtered!$D$2:$D$461,"mata")</f>
        <v>0</v>
      </c>
      <c r="J21" s="9">
        <f>SUMIFS(Data_filtered!$G$2:$G$461,Data_filtered!$A$2:$A$461,$A21,Data_filtered!$F$2:$F$461,J$1, Data_filtered!$D$2:$D$461,"mata")</f>
        <v>0</v>
      </c>
      <c r="K21" s="9">
        <f>SUMIFS(Data_filtered!$G$2:$G$461,Data_filtered!$A$2:$A$461,$A21,Data_filtered!$F$2:$F$461,K$1, Data_filtered!$D$2:$D$461,"mata")</f>
        <v>0</v>
      </c>
      <c r="L21" s="9">
        <f>SUMIFS(Data_filtered!$G$2:$G$461,Data_filtered!$A$2:$A$461,$A21,Data_filtered!$F$2:$F$461,L$1, Data_filtered!$D$2:$D$461,"mata")</f>
        <v>1</v>
      </c>
      <c r="M21" s="9">
        <f>SUMIFS(Data_filtered!$G$2:$G$461,Data_filtered!$A$2:$A$461,$A21,Data_filtered!$F$2:$F$461,M$1, Data_filtered!$D$2:$D$461,"mata")</f>
        <v>0</v>
      </c>
      <c r="N21" s="9">
        <f>SUMIFS(Data_filtered!$G$2:$G$461,Data_filtered!$A$2:$A$461,$A21,Data_filtered!$F$2:$F$461,N$1, Data_filtered!$D$2:$D$461,"mata")</f>
        <v>59</v>
      </c>
      <c r="O21" s="9">
        <f>SUMIFS(Data_filtered!$G$2:$G$461,Data_filtered!$A$2:$A$461,$A21,Data_filtered!$F$2:$F$461,O$1, Data_filtered!$D$2:$D$461,"mata")</f>
        <v>1</v>
      </c>
      <c r="P21" s="9">
        <f>SUMIFS(Data_filtered!$G$2:$G$461,Data_filtered!$A$2:$A$461,$A21,Data_filtered!$F$2:$F$461,P$1, Data_filtered!$D$2:$D$461,"mata")</f>
        <v>0</v>
      </c>
      <c r="Q21" s="9">
        <f>SUMIFS(Data_filtered!$G$2:$G$461,Data_filtered!$A$2:$A$461,$A21,Data_filtered!$F$2:$F$461,Q$1, Data_filtered!$D$2:$D$461,"mata")</f>
        <v>0</v>
      </c>
      <c r="R21" s="9">
        <f>SUMIFS(Data_filtered!$G$2:$G$461,Data_filtered!$A$2:$A$461,$A21,Data_filtered!$F$2:$F$461,R$1, Data_filtered!$D$2:$D$461,"mata")</f>
        <v>0</v>
      </c>
      <c r="S21" s="9">
        <f>SUMIFS(Data_filtered!$G$2:$G$461,Data_filtered!$A$2:$A$461,$A21,Data_filtered!$F$2:$F$461,S$1, Data_filtered!$D$2:$D$461,"mata")</f>
        <v>0</v>
      </c>
      <c r="T21" s="9">
        <f>SUMIFS(Data_filtered!$G$2:$G$461,Data_filtered!$A$2:$A$461,$A21,Data_filtered!$F$2:$F$461,T$1, Data_filtered!$D$2:$D$461,"mata")</f>
        <v>0</v>
      </c>
      <c r="U21" s="9">
        <f>SUMIFS(Data_filtered!$G$2:$G$461,Data_filtered!$A$2:$A$461,$A21,Data_filtered!$F$2:$F$461,U$1, Data_filtered!$D$2:$D$461,"mata")</f>
        <v>0</v>
      </c>
      <c r="V21" s="9">
        <f>SUMIFS(Data_filtered!$G$2:$G$461,Data_filtered!$A$2:$A$461,$A21,Data_filtered!$F$2:$F$461,V$1, Data_filtered!$D$2:$D$461,"mata")</f>
        <v>0</v>
      </c>
      <c r="W21" s="9">
        <f>SUMIFS(Data_filtered!$G$2:$G$461,Data_filtered!$A$2:$A$461,$A21,Data_filtered!$F$2:$F$461,W$1, Data_filtered!$D$2:$D$461,"mata")</f>
        <v>0</v>
      </c>
      <c r="X21" s="9">
        <f>SUMIFS(Data_filtered!$G$2:$G$461,Data_filtered!$A$2:$A$461,$A21,Data_filtered!$F$2:$F$461,X$1, Data_filtered!$D$2:$D$461,"mata")</f>
        <v>1</v>
      </c>
      <c r="Y21" s="9">
        <f>SUMIFS(Data_filtered!$G$2:$G$461,Data_filtered!$A$2:$A$461,$A21,Data_filtered!$F$2:$F$461,Y$1, Data_filtered!$D$2:$D$461,"mata")</f>
        <v>0</v>
      </c>
      <c r="Z21" s="9">
        <f>SUMIFS(Data_filtered!$G$2:$G$461,Data_filtered!$A$2:$A$461,$A21,Data_filtered!$F$2:$F$461,Z$1, Data_filtered!$D$2:$D$461,"mata")</f>
        <v>0</v>
      </c>
      <c r="AA21" s="9">
        <f>SUMIFS(Data_filtered!$G$2:$G$461,Data_filtered!$A$2:$A$461,$A21,Data_filtered!$F$2:$F$461,AA$1, Data_filtered!$D$2:$D$461,"mata")</f>
        <v>0</v>
      </c>
      <c r="AB21" s="9">
        <f>SUMIFS(Data_filtered!$G$2:$G$461,Data_filtered!$A$2:$A$461,$A21,Data_filtered!$F$2:$F$461,AB$1, Data_filtered!$D$2:$D$461,"mata")</f>
        <v>0</v>
      </c>
      <c r="AC21" s="9">
        <f>SUMIFS(Data_filtered!$G$2:$G$461,Data_filtered!$A$2:$A$461,$A21,Data_filtered!$F$2:$F$461,AC$1, Data_filtered!$D$2:$D$461,"mata")</f>
        <v>0</v>
      </c>
      <c r="AD21" s="9">
        <f>SUMIFS(Data_filtered!$G$2:$G$461,Data_filtered!$A$2:$A$461,$A21,Data_filtered!$F$2:$F$461,AD$1, Data_filtered!$D$2:$D$461,"mata")</f>
        <v>0</v>
      </c>
    </row>
    <row r="22">
      <c r="A22" s="9" t="str">
        <f>IFERROR(__xludf.DUMMYFUNCTION("""COMPUTED_VALUE"""),"Scinax aff. dolloi")</f>
        <v>Scinax aff. dolloi</v>
      </c>
      <c r="B22" s="9">
        <f>SUMIFS(Data_filtered!$G$2:$G$461,Data_filtered!$A$2:$A$461,$A22,Data_filtered!$F$2:$F$461,B$1, Data_filtered!$D$2:$D$461,"mata")</f>
        <v>0</v>
      </c>
      <c r="C22" s="9">
        <f>SUMIFS(Data_filtered!$G$2:$G$461,Data_filtered!$A$2:$A$461,$A22,Data_filtered!$F$2:$F$461,C$1, Data_filtered!$D$2:$D$461,"mata")</f>
        <v>0</v>
      </c>
      <c r="D22" s="9">
        <f>SUMIFS(Data_filtered!$G$2:$G$461,Data_filtered!$A$2:$A$461,$A22,Data_filtered!$F$2:$F$461,D$1, Data_filtered!$D$2:$D$461,"mata")</f>
        <v>6</v>
      </c>
      <c r="E22" s="9">
        <f>SUMIFS(Data_filtered!$G$2:$G$461,Data_filtered!$A$2:$A$461,$A22,Data_filtered!$F$2:$F$461,E$1, Data_filtered!$D$2:$D$461,"mata")</f>
        <v>0</v>
      </c>
      <c r="F22" s="9">
        <f>SUMIFS(Data_filtered!$G$2:$G$461,Data_filtered!$A$2:$A$461,$A22,Data_filtered!$F$2:$F$461,F$1, Data_filtered!$D$2:$D$461,"mata")</f>
        <v>0</v>
      </c>
      <c r="G22" s="9">
        <f>SUMIFS(Data_filtered!$G$2:$G$461,Data_filtered!$A$2:$A$461,$A22,Data_filtered!$F$2:$F$461,G$1, Data_filtered!$D$2:$D$461,"mata")</f>
        <v>0</v>
      </c>
      <c r="H22" s="9">
        <f>SUMIFS(Data_filtered!$G$2:$G$461,Data_filtered!$A$2:$A$461,$A22,Data_filtered!$F$2:$F$461,H$1, Data_filtered!$D$2:$D$461,"mata")</f>
        <v>3</v>
      </c>
      <c r="I22" s="9">
        <f>SUMIFS(Data_filtered!$G$2:$G$461,Data_filtered!$A$2:$A$461,$A22,Data_filtered!$F$2:$F$461,I$1, Data_filtered!$D$2:$D$461,"mata")</f>
        <v>0</v>
      </c>
      <c r="J22" s="9">
        <f>SUMIFS(Data_filtered!$G$2:$G$461,Data_filtered!$A$2:$A$461,$A22,Data_filtered!$F$2:$F$461,J$1, Data_filtered!$D$2:$D$461,"mata")</f>
        <v>0</v>
      </c>
      <c r="K22" s="9">
        <f>SUMIFS(Data_filtered!$G$2:$G$461,Data_filtered!$A$2:$A$461,$A22,Data_filtered!$F$2:$F$461,K$1, Data_filtered!$D$2:$D$461,"mata")</f>
        <v>0</v>
      </c>
      <c r="L22" s="9">
        <f>SUMIFS(Data_filtered!$G$2:$G$461,Data_filtered!$A$2:$A$461,$A22,Data_filtered!$F$2:$F$461,L$1, Data_filtered!$D$2:$D$461,"mata")</f>
        <v>0</v>
      </c>
      <c r="M22" s="9">
        <f>SUMIFS(Data_filtered!$G$2:$G$461,Data_filtered!$A$2:$A$461,$A22,Data_filtered!$F$2:$F$461,M$1, Data_filtered!$D$2:$D$461,"mata")</f>
        <v>0</v>
      </c>
      <c r="N22" s="9">
        <f>SUMIFS(Data_filtered!$G$2:$G$461,Data_filtered!$A$2:$A$461,$A22,Data_filtered!$F$2:$F$461,N$1, Data_filtered!$D$2:$D$461,"mata")</f>
        <v>0</v>
      </c>
      <c r="O22" s="9">
        <f>SUMIFS(Data_filtered!$G$2:$G$461,Data_filtered!$A$2:$A$461,$A22,Data_filtered!$F$2:$F$461,O$1, Data_filtered!$D$2:$D$461,"mata")</f>
        <v>0</v>
      </c>
      <c r="P22" s="9">
        <f>SUMIFS(Data_filtered!$G$2:$G$461,Data_filtered!$A$2:$A$461,$A22,Data_filtered!$F$2:$F$461,P$1, Data_filtered!$D$2:$D$461,"mata")</f>
        <v>0</v>
      </c>
      <c r="Q22" s="9">
        <f>SUMIFS(Data_filtered!$G$2:$G$461,Data_filtered!$A$2:$A$461,$A22,Data_filtered!$F$2:$F$461,Q$1, Data_filtered!$D$2:$D$461,"mata")</f>
        <v>1</v>
      </c>
      <c r="R22" s="9">
        <f>SUMIFS(Data_filtered!$G$2:$G$461,Data_filtered!$A$2:$A$461,$A22,Data_filtered!$F$2:$F$461,R$1, Data_filtered!$D$2:$D$461,"mata")</f>
        <v>0</v>
      </c>
      <c r="S22" s="9">
        <f>SUMIFS(Data_filtered!$G$2:$G$461,Data_filtered!$A$2:$A$461,$A22,Data_filtered!$F$2:$F$461,S$1, Data_filtered!$D$2:$D$461,"mata")</f>
        <v>0</v>
      </c>
      <c r="T22" s="9">
        <f>SUMIFS(Data_filtered!$G$2:$G$461,Data_filtered!$A$2:$A$461,$A22,Data_filtered!$F$2:$F$461,T$1, Data_filtered!$D$2:$D$461,"mata")</f>
        <v>0</v>
      </c>
      <c r="U22" s="9">
        <f>SUMIFS(Data_filtered!$G$2:$G$461,Data_filtered!$A$2:$A$461,$A22,Data_filtered!$F$2:$F$461,U$1, Data_filtered!$D$2:$D$461,"mata")</f>
        <v>0</v>
      </c>
      <c r="V22" s="9">
        <f>SUMIFS(Data_filtered!$G$2:$G$461,Data_filtered!$A$2:$A$461,$A22,Data_filtered!$F$2:$F$461,V$1, Data_filtered!$D$2:$D$461,"mata")</f>
        <v>0</v>
      </c>
      <c r="W22" s="9">
        <f>SUMIFS(Data_filtered!$G$2:$G$461,Data_filtered!$A$2:$A$461,$A22,Data_filtered!$F$2:$F$461,W$1, Data_filtered!$D$2:$D$461,"mata")</f>
        <v>0</v>
      </c>
      <c r="X22" s="9">
        <f>SUMIFS(Data_filtered!$G$2:$G$461,Data_filtered!$A$2:$A$461,$A22,Data_filtered!$F$2:$F$461,X$1, Data_filtered!$D$2:$D$461,"mata")</f>
        <v>1</v>
      </c>
      <c r="Y22" s="9">
        <f>SUMIFS(Data_filtered!$G$2:$G$461,Data_filtered!$A$2:$A$461,$A22,Data_filtered!$F$2:$F$461,Y$1, Data_filtered!$D$2:$D$461,"mata")</f>
        <v>0</v>
      </c>
      <c r="Z22" s="9">
        <f>SUMIFS(Data_filtered!$G$2:$G$461,Data_filtered!$A$2:$A$461,$A22,Data_filtered!$F$2:$F$461,Z$1, Data_filtered!$D$2:$D$461,"mata")</f>
        <v>0</v>
      </c>
      <c r="AA22" s="9">
        <f>SUMIFS(Data_filtered!$G$2:$G$461,Data_filtered!$A$2:$A$461,$A22,Data_filtered!$F$2:$F$461,AA$1, Data_filtered!$D$2:$D$461,"mata")</f>
        <v>0</v>
      </c>
      <c r="AB22" s="9">
        <f>SUMIFS(Data_filtered!$G$2:$G$461,Data_filtered!$A$2:$A$461,$A22,Data_filtered!$F$2:$F$461,AB$1, Data_filtered!$D$2:$D$461,"mata")</f>
        <v>0</v>
      </c>
      <c r="AC22" s="9">
        <f>SUMIFS(Data_filtered!$G$2:$G$461,Data_filtered!$A$2:$A$461,$A22,Data_filtered!$F$2:$F$461,AC$1, Data_filtered!$D$2:$D$461,"mata")</f>
        <v>0</v>
      </c>
      <c r="AD22" s="9">
        <f>SUMIFS(Data_filtered!$G$2:$G$461,Data_filtered!$A$2:$A$461,$A22,Data_filtered!$F$2:$F$461,AD$1, Data_filtered!$D$2:$D$461,"mata")</f>
        <v>0</v>
      </c>
    </row>
    <row r="23">
      <c r="A23" s="9" t="str">
        <f>IFERROR(__xludf.DUMMYFUNCTION("""COMPUTED_VALUE"""),"Trachycephalus imitatrix")</f>
        <v>Trachycephalus imitatrix</v>
      </c>
      <c r="B23" s="9">
        <f>SUMIFS(Data_filtered!$G$2:$G$461,Data_filtered!$A$2:$A$461,$A23,Data_filtered!$F$2:$F$461,B$1, Data_filtered!$D$2:$D$461,"mata")</f>
        <v>0</v>
      </c>
      <c r="C23" s="9">
        <f>SUMIFS(Data_filtered!$G$2:$G$461,Data_filtered!$A$2:$A$461,$A23,Data_filtered!$F$2:$F$461,C$1, Data_filtered!$D$2:$D$461,"mata")</f>
        <v>0</v>
      </c>
      <c r="D23" s="9">
        <f>SUMIFS(Data_filtered!$G$2:$G$461,Data_filtered!$A$2:$A$461,$A23,Data_filtered!$F$2:$F$461,D$1, Data_filtered!$D$2:$D$461,"mata")</f>
        <v>1</v>
      </c>
      <c r="E23" s="9">
        <f>SUMIFS(Data_filtered!$G$2:$G$461,Data_filtered!$A$2:$A$461,$A23,Data_filtered!$F$2:$F$461,E$1, Data_filtered!$D$2:$D$461,"mata")</f>
        <v>1</v>
      </c>
      <c r="F23" s="9">
        <f>SUMIFS(Data_filtered!$G$2:$G$461,Data_filtered!$A$2:$A$461,$A23,Data_filtered!$F$2:$F$461,F$1, Data_filtered!$D$2:$D$461,"mata")</f>
        <v>0</v>
      </c>
      <c r="G23" s="9">
        <f>SUMIFS(Data_filtered!$G$2:$G$461,Data_filtered!$A$2:$A$461,$A23,Data_filtered!$F$2:$F$461,G$1, Data_filtered!$D$2:$D$461,"mata")</f>
        <v>1</v>
      </c>
      <c r="H23" s="9">
        <f>SUMIFS(Data_filtered!$G$2:$G$461,Data_filtered!$A$2:$A$461,$A23,Data_filtered!$F$2:$F$461,H$1, Data_filtered!$D$2:$D$461,"mata")</f>
        <v>1</v>
      </c>
      <c r="I23" s="9">
        <f>SUMIFS(Data_filtered!$G$2:$G$461,Data_filtered!$A$2:$A$461,$A23,Data_filtered!$F$2:$F$461,I$1, Data_filtered!$D$2:$D$461,"mata")</f>
        <v>0</v>
      </c>
      <c r="J23" s="9">
        <f>SUMIFS(Data_filtered!$G$2:$G$461,Data_filtered!$A$2:$A$461,$A23,Data_filtered!$F$2:$F$461,J$1, Data_filtered!$D$2:$D$461,"mata")</f>
        <v>0</v>
      </c>
      <c r="K23" s="9">
        <f>SUMIFS(Data_filtered!$G$2:$G$461,Data_filtered!$A$2:$A$461,$A23,Data_filtered!$F$2:$F$461,K$1, Data_filtered!$D$2:$D$461,"mata")</f>
        <v>0</v>
      </c>
      <c r="L23" s="9">
        <f>SUMIFS(Data_filtered!$G$2:$G$461,Data_filtered!$A$2:$A$461,$A23,Data_filtered!$F$2:$F$461,L$1, Data_filtered!$D$2:$D$461,"mata")</f>
        <v>0</v>
      </c>
      <c r="M23" s="9">
        <f>SUMIFS(Data_filtered!$G$2:$G$461,Data_filtered!$A$2:$A$461,$A23,Data_filtered!$F$2:$F$461,M$1, Data_filtered!$D$2:$D$461,"mata")</f>
        <v>0</v>
      </c>
      <c r="N23" s="9">
        <f>SUMIFS(Data_filtered!$G$2:$G$461,Data_filtered!$A$2:$A$461,$A23,Data_filtered!$F$2:$F$461,N$1, Data_filtered!$D$2:$D$461,"mata")</f>
        <v>0</v>
      </c>
      <c r="O23" s="9">
        <f>SUMIFS(Data_filtered!$G$2:$G$461,Data_filtered!$A$2:$A$461,$A23,Data_filtered!$F$2:$F$461,O$1, Data_filtered!$D$2:$D$461,"mata")</f>
        <v>0</v>
      </c>
      <c r="P23" s="9">
        <f>SUMIFS(Data_filtered!$G$2:$G$461,Data_filtered!$A$2:$A$461,$A23,Data_filtered!$F$2:$F$461,P$1, Data_filtered!$D$2:$D$461,"mata")</f>
        <v>0</v>
      </c>
      <c r="Q23" s="9">
        <f>SUMIFS(Data_filtered!$G$2:$G$461,Data_filtered!$A$2:$A$461,$A23,Data_filtered!$F$2:$F$461,Q$1, Data_filtered!$D$2:$D$461,"mata")</f>
        <v>0</v>
      </c>
      <c r="R23" s="9">
        <f>SUMIFS(Data_filtered!$G$2:$G$461,Data_filtered!$A$2:$A$461,$A23,Data_filtered!$F$2:$F$461,R$1, Data_filtered!$D$2:$D$461,"mata")</f>
        <v>0</v>
      </c>
      <c r="S23" s="9">
        <f>SUMIFS(Data_filtered!$G$2:$G$461,Data_filtered!$A$2:$A$461,$A23,Data_filtered!$F$2:$F$461,S$1, Data_filtered!$D$2:$D$461,"mata")</f>
        <v>0</v>
      </c>
      <c r="T23" s="9">
        <f>SUMIFS(Data_filtered!$G$2:$G$461,Data_filtered!$A$2:$A$461,$A23,Data_filtered!$F$2:$F$461,T$1, Data_filtered!$D$2:$D$461,"mata")</f>
        <v>0</v>
      </c>
      <c r="U23" s="9">
        <f>SUMIFS(Data_filtered!$G$2:$G$461,Data_filtered!$A$2:$A$461,$A23,Data_filtered!$F$2:$F$461,U$1, Data_filtered!$D$2:$D$461,"mata")</f>
        <v>0</v>
      </c>
      <c r="V23" s="9">
        <f>SUMIFS(Data_filtered!$G$2:$G$461,Data_filtered!$A$2:$A$461,$A23,Data_filtered!$F$2:$F$461,V$1, Data_filtered!$D$2:$D$461,"mata")</f>
        <v>0</v>
      </c>
      <c r="W23" s="9">
        <f>SUMIFS(Data_filtered!$G$2:$G$461,Data_filtered!$A$2:$A$461,$A23,Data_filtered!$F$2:$F$461,W$1, Data_filtered!$D$2:$D$461,"mata")</f>
        <v>0</v>
      </c>
      <c r="X23" s="9">
        <f>SUMIFS(Data_filtered!$G$2:$G$461,Data_filtered!$A$2:$A$461,$A23,Data_filtered!$F$2:$F$461,X$1, Data_filtered!$D$2:$D$461,"mata")</f>
        <v>0</v>
      </c>
      <c r="Y23" s="9">
        <f>SUMIFS(Data_filtered!$G$2:$G$461,Data_filtered!$A$2:$A$461,$A23,Data_filtered!$F$2:$F$461,Y$1, Data_filtered!$D$2:$D$461,"mata")</f>
        <v>0</v>
      </c>
      <c r="Z23" s="9">
        <f>SUMIFS(Data_filtered!$G$2:$G$461,Data_filtered!$A$2:$A$461,$A23,Data_filtered!$F$2:$F$461,Z$1, Data_filtered!$D$2:$D$461,"mata")</f>
        <v>0</v>
      </c>
      <c r="AA23" s="9">
        <f>SUMIFS(Data_filtered!$G$2:$G$461,Data_filtered!$A$2:$A$461,$A23,Data_filtered!$F$2:$F$461,AA$1, Data_filtered!$D$2:$D$461,"mata")</f>
        <v>0</v>
      </c>
      <c r="AB23" s="9">
        <f>SUMIFS(Data_filtered!$G$2:$G$461,Data_filtered!$A$2:$A$461,$A23,Data_filtered!$F$2:$F$461,AB$1, Data_filtered!$D$2:$D$461,"mata")</f>
        <v>0</v>
      </c>
      <c r="AC23" s="9">
        <f>SUMIFS(Data_filtered!$G$2:$G$461,Data_filtered!$A$2:$A$461,$A23,Data_filtered!$F$2:$F$461,AC$1, Data_filtered!$D$2:$D$461,"mata")</f>
        <v>0</v>
      </c>
      <c r="AD23" s="9">
        <f>SUMIFS(Data_filtered!$G$2:$G$461,Data_filtered!$A$2:$A$461,$A23,Data_filtered!$F$2:$F$461,AD$1, Data_filtered!$D$2:$D$461,"mata")</f>
        <v>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</cols>
  <sheetData>
    <row r="1">
      <c r="B1" s="9" t="str">
        <f>IFERROR(__xludf.DUMMYFUNCTION("TRANSPOSE(SORT(UNIQUE(FILTER(Data_filtered!F2:F461,Data_filtered!E$2:E$461&lt;&gt;""Não identificado"",Data_filtered!E$2:E$461&lt;&gt;""Semente"",Data_filtered!E$2:E$461&lt;&gt;""Semente de capim"",Data_filtered!E$2:E$461&lt;&gt;""Apenas substrato"",Data_filtered!E$2:E$461&lt;&gt;""Va"&amp;"zio"",Data_filtered!$J$2:$J$461&lt;&gt;""Incompleto""))))"),"Acari")</f>
        <v>Acari</v>
      </c>
      <c r="C1" s="9" t="str">
        <f>IFERROR(__xludf.DUMMYFUNCTION("""COMPUTED_VALUE"""),"Araneae")</f>
        <v>Araneae</v>
      </c>
      <c r="D1" s="9" t="str">
        <f>IFERROR(__xludf.DUMMYFUNCTION("""COMPUTED_VALUE"""),"Blattodea")</f>
        <v>Blattodea</v>
      </c>
      <c r="E1" s="9" t="str">
        <f>IFERROR(__xludf.DUMMYFUNCTION("""COMPUTED_VALUE"""),"Chilopoda")</f>
        <v>Chilopoda</v>
      </c>
      <c r="F1" s="9" t="str">
        <f>IFERROR(__xludf.DUMMYFUNCTION("""COMPUTED_VALUE"""),"Coleoptera")</f>
        <v>Coleoptera</v>
      </c>
      <c r="G1" s="9" t="str">
        <f>IFERROR(__xludf.DUMMYFUNCTION("""COMPUTED_VALUE"""),"Coleoptera Larva")</f>
        <v>Coleoptera Larva</v>
      </c>
      <c r="H1" s="9" t="str">
        <f>IFERROR(__xludf.DUMMYFUNCTION("""COMPUTED_VALUE"""),"Collembola")</f>
        <v>Collembola</v>
      </c>
      <c r="I1" s="9" t="str">
        <f>IFERROR(__xludf.DUMMYFUNCTION("""COMPUTED_VALUE"""),"Dermaptera")</f>
        <v>Dermaptera</v>
      </c>
      <c r="J1" s="9" t="str">
        <f>IFERROR(__xludf.DUMMYFUNCTION("""COMPUTED_VALUE"""),"Diplopoda")</f>
        <v>Diplopoda</v>
      </c>
      <c r="K1" s="9" t="str">
        <f>IFERROR(__xludf.DUMMYFUNCTION("""COMPUTED_VALUE"""),"Ensifera")</f>
        <v>Ensifera</v>
      </c>
      <c r="L1" s="9" t="str">
        <f>IFERROR(__xludf.DUMMYFUNCTION("""COMPUTED_VALUE"""),"Formicidae")</f>
        <v>Formicidae</v>
      </c>
      <c r="M1" s="9" t="str">
        <f>IFERROR(__xludf.DUMMYFUNCTION("""COMPUTED_VALUE"""),"Hemiptera")</f>
        <v>Hemiptera</v>
      </c>
      <c r="N1" s="9" t="str">
        <f>IFERROR(__xludf.DUMMYFUNCTION("""COMPUTED_VALUE"""),"Heteroptera")</f>
        <v>Heteroptera</v>
      </c>
      <c r="O1" s="9" t="str">
        <f>IFERROR(__xludf.DUMMYFUNCTION("""COMPUTED_VALUE"""),"Isópode")</f>
        <v>Isópode</v>
      </c>
      <c r="P1" s="9" t="str">
        <f>IFERROR(__xludf.DUMMYFUNCTION("""COMPUTED_VALUE"""),"Isoptera")</f>
        <v>Isoptera</v>
      </c>
      <c r="Q1" s="9" t="str">
        <f>IFERROR(__xludf.DUMMYFUNCTION("""COMPUTED_VALUE"""),"Larva")</f>
        <v>Larva</v>
      </c>
      <c r="R1" s="9" t="str">
        <f>IFERROR(__xludf.DUMMYFUNCTION("""COMPUTED_VALUE"""),"Lepidoptera Larva")</f>
        <v>Lepidoptera Larva</v>
      </c>
      <c r="S1" s="9" t="str">
        <f>IFERROR(__xludf.DUMMYFUNCTION("""COMPUTED_VALUE"""),"Mosca")</f>
        <v>Mosca</v>
      </c>
      <c r="T1" s="9" t="str">
        <f>IFERROR(__xludf.DUMMYFUNCTION("""COMPUTED_VALUE"""),"Opiliones")</f>
        <v>Opiliones</v>
      </c>
      <c r="U1" s="9" t="str">
        <f>IFERROR(__xludf.DUMMYFUNCTION("""COMPUTED_VALUE"""),"Orthoptera")</f>
        <v>Orthoptera</v>
      </c>
      <c r="V1" s="9" t="str">
        <f>IFERROR(__xludf.DUMMYFUNCTION("""COMPUTED_VALUE"""),"Pterygota")</f>
        <v>Pterygota</v>
      </c>
      <c r="W1" s="9" t="str">
        <f>IFERROR(__xludf.DUMMYFUNCTION("""COMPUTED_VALUE"""),"Staphylinidae")</f>
        <v>Staphylinidae</v>
      </c>
      <c r="X1" s="9" t="str">
        <f>IFERROR(__xludf.DUMMYFUNCTION("""COMPUTED_VALUE"""),"Thysanoptera")</f>
        <v>Thysanoptera</v>
      </c>
      <c r="Y1" s="9" t="str">
        <f>IFERROR(__xludf.DUMMYFUNCTION("""COMPUTED_VALUE"""),"Vespa")</f>
        <v>Vespa</v>
      </c>
    </row>
    <row r="2">
      <c r="A2" s="9" t="str">
        <f>IFERROR(__xludf.DUMMYFUNCTION("SORT(UNIQUE(FILTER(Data_filtered!$A$2:$A$461,Data_filtered!$E$2:$E$461&lt;&gt;""Vazio"",Data_filtered!$E$2:$E$461&lt;&gt;""Não identificado"",Data_filtered!$E$2:$E$461&lt;&gt;""Semente"",Data_filtered!$E$2:$E$461&lt;&gt;""Semente de capim"",Data_filtered!$E$2:$E$461&lt;&gt;""Apenas su"&amp;"bstrato"", Data_filtered!$D$2:$D$461 =""eucalipto"",Data_filtered!$J$2:$J$461&lt;&gt;""Incompleto"")))"),"Aplastodiscus albosignatus")</f>
        <v>Aplastodiscus albosignatus</v>
      </c>
      <c r="B2" s="9">
        <f>SUMIFS(Data_filtered!$G$2:$G$461,Data_filtered!$A$2:$A$461,$A2,Data_filtered!$F$2:$F$461,B$1,Data_filtered!$D$2:$D$461,"eucalipto",Data_filtered!$J$2:$J$461,"&lt;&gt;Incompleto")</f>
        <v>0</v>
      </c>
      <c r="C2" s="9">
        <f>SUMIFS(Data_filtered!$G$2:$G$461,Data_filtered!$A$2:$A$461,$A2,Data_filtered!$F$2:$F$461,C$1,Data_filtered!$D$2:$D$461,"eucalipto",Data_filtered!$J$2:$J$461,"&lt;&gt;Incompleto")</f>
        <v>0</v>
      </c>
      <c r="D2" s="9">
        <f>SUMIFS(Data_filtered!$G$2:$G$461,Data_filtered!$A$2:$A$461,$A2,Data_filtered!$F$2:$F$461,D$1,Data_filtered!$D$2:$D$461,"eucalipto",Data_filtered!$J$2:$J$461,"&lt;&gt;Incompleto")</f>
        <v>0</v>
      </c>
      <c r="E2" s="9">
        <f>SUMIFS(Data_filtered!$G$2:$G$461,Data_filtered!$A$2:$A$461,$A2,Data_filtered!$F$2:$F$461,E$1,Data_filtered!$D$2:$D$461,"eucalipto",Data_filtered!$J$2:$J$461,"&lt;&gt;Incompleto")</f>
        <v>0</v>
      </c>
      <c r="F2" s="9">
        <f>SUMIFS(Data_filtered!$G$2:$G$461,Data_filtered!$A$2:$A$461,$A2,Data_filtered!$F$2:$F$461,F$1,Data_filtered!$D$2:$D$461,"eucalipto",Data_filtered!$J$2:$J$461,"&lt;&gt;Incompleto")</f>
        <v>1</v>
      </c>
      <c r="G2" s="9">
        <f>SUMIFS(Data_filtered!$G$2:$G$461,Data_filtered!$A$2:$A$461,$A2,Data_filtered!$F$2:$F$461,G$1,Data_filtered!$D$2:$D$461,"eucalipto",Data_filtered!$J$2:$J$461,"&lt;&gt;Incompleto")</f>
        <v>0</v>
      </c>
      <c r="H2" s="9">
        <f>SUMIFS(Data_filtered!$G$2:$G$461,Data_filtered!$A$2:$A$461,$A2,Data_filtered!$F$2:$F$461,H$1,Data_filtered!$D$2:$D$461,"eucalipto",Data_filtered!$J$2:$J$461,"&lt;&gt;Incompleto")</f>
        <v>0</v>
      </c>
      <c r="I2" s="9">
        <f>SUMIFS(Data_filtered!$G$2:$G$461,Data_filtered!$A$2:$A$461,$A2,Data_filtered!$F$2:$F$461,I$1,Data_filtered!$D$2:$D$461,"eucalipto",Data_filtered!$J$2:$J$461,"&lt;&gt;Incompleto")</f>
        <v>0</v>
      </c>
      <c r="J2" s="9">
        <f>SUMIFS(Data_filtered!$G$2:$G$461,Data_filtered!$A$2:$A$461,$A2,Data_filtered!$F$2:$F$461,J$1,Data_filtered!$D$2:$D$461,"eucalipto",Data_filtered!$J$2:$J$461,"&lt;&gt;Incompleto")</f>
        <v>0</v>
      </c>
      <c r="K2" s="9">
        <f>SUMIFS(Data_filtered!$G$2:$G$461,Data_filtered!$A$2:$A$461,$A2,Data_filtered!$F$2:$F$461,K$1,Data_filtered!$D$2:$D$461,"eucalipto",Data_filtered!$J$2:$J$461,"&lt;&gt;Incompleto")</f>
        <v>0</v>
      </c>
      <c r="L2" s="9">
        <f>SUMIFS(Data_filtered!$G$2:$G$461,Data_filtered!$A$2:$A$461,$A2,Data_filtered!$F$2:$F$461,L$1,Data_filtered!$D$2:$D$461,"eucalipto",Data_filtered!$J$2:$J$461,"&lt;&gt;Incompleto")</f>
        <v>0</v>
      </c>
      <c r="M2" s="9">
        <f>SUMIFS(Data_filtered!$G$2:$G$461,Data_filtered!$A$2:$A$461,$A2,Data_filtered!$F$2:$F$461,M$1,Data_filtered!$D$2:$D$461,"eucalipto",Data_filtered!$J$2:$J$461,"&lt;&gt;Incompleto")</f>
        <v>0</v>
      </c>
      <c r="N2" s="9">
        <f>SUMIFS(Data_filtered!$G$2:$G$461,Data_filtered!$A$2:$A$461,$A2,Data_filtered!$F$2:$F$461,N$1,Data_filtered!$D$2:$D$461,"eucalipto",Data_filtered!$J$2:$J$461,"&lt;&gt;Incompleto")</f>
        <v>0</v>
      </c>
      <c r="O2" s="9">
        <f>SUMIFS(Data_filtered!$G$2:$G$461,Data_filtered!$A$2:$A$461,$A2,Data_filtered!$F$2:$F$461,O$1,Data_filtered!$D$2:$D$461,"eucalipto",Data_filtered!$J$2:$J$461,"&lt;&gt;Incompleto")</f>
        <v>0</v>
      </c>
      <c r="P2" s="9">
        <f>SUMIFS(Data_filtered!$G$2:$G$461,Data_filtered!$A$2:$A$461,$A2,Data_filtered!$F$2:$F$461,P$1,Data_filtered!$D$2:$D$461,"eucalipto",Data_filtered!$J$2:$J$461,"&lt;&gt;Incompleto")</f>
        <v>0</v>
      </c>
      <c r="Q2" s="9">
        <f>SUMIFS(Data_filtered!$G$2:$G$461,Data_filtered!$A$2:$A$461,$A2,Data_filtered!$F$2:$F$461,Q$1,Data_filtered!$D$2:$D$461,"eucalipto",Data_filtered!$J$2:$J$461,"&lt;&gt;Incompleto")</f>
        <v>0</v>
      </c>
      <c r="R2" s="9">
        <f>SUMIFS(Data_filtered!$G$2:$G$461,Data_filtered!$A$2:$A$461,$A2,Data_filtered!$F$2:$F$461,R$1,Data_filtered!$D$2:$D$461,"eucalipto",Data_filtered!$J$2:$J$461,"&lt;&gt;Incompleto")</f>
        <v>0</v>
      </c>
      <c r="S2" s="9">
        <f>SUMIFS(Data_filtered!$G$2:$G$461,Data_filtered!$A$2:$A$461,$A2,Data_filtered!$F$2:$F$461,S$1,Data_filtered!$D$2:$D$461,"eucalipto",Data_filtered!$J$2:$J$461,"&lt;&gt;Incompleto")</f>
        <v>0</v>
      </c>
      <c r="T2" s="9">
        <f>SUMIFS(Data_filtered!$G$2:$G$461,Data_filtered!$A$2:$A$461,$A2,Data_filtered!$F$2:$F$461,T$1,Data_filtered!$D$2:$D$461,"eucalipto",Data_filtered!$J$2:$J$461,"&lt;&gt;Incompleto")</f>
        <v>0</v>
      </c>
      <c r="U2" s="9">
        <f>SUMIFS(Data_filtered!$G$2:$G$461,Data_filtered!$A$2:$A$461,$A2,Data_filtered!$F$2:$F$461,U$1,Data_filtered!$D$2:$D$461,"eucalipto",Data_filtered!$J$2:$J$461,"&lt;&gt;Incompleto")</f>
        <v>0</v>
      </c>
      <c r="V2" s="9">
        <f>SUMIFS(Data_filtered!$G$2:$G$461,Data_filtered!$A$2:$A$461,$A2,Data_filtered!$F$2:$F$461,V$1,Data_filtered!$D$2:$D$461,"eucalipto",Data_filtered!$J$2:$J$461,"&lt;&gt;Incompleto")</f>
        <v>0</v>
      </c>
      <c r="W2" s="9">
        <f>SUMIFS(Data_filtered!$G$2:$G$461,Data_filtered!$A$2:$A$461,$A2,Data_filtered!$F$2:$F$461,W$1,Data_filtered!$D$2:$D$461,"eucalipto",Data_filtered!$J$2:$J$461,"&lt;&gt;Incompleto")</f>
        <v>0</v>
      </c>
      <c r="X2" s="9">
        <f>SUMIFS(Data_filtered!$G$2:$G$461,Data_filtered!$A$2:$A$461,$A2,Data_filtered!$F$2:$F$461,X$1,Data_filtered!$D$2:$D$461,"eucalipto",Data_filtered!$J$2:$J$461,"&lt;&gt;Incompleto")</f>
        <v>0</v>
      </c>
      <c r="Y2" s="9">
        <f>SUMIFS(Data_filtered!$G$2:$G$461,Data_filtered!$A$2:$A$461,$A2,Data_filtered!$F$2:$F$461,Y$1,Data_filtered!$D$2:$D$461,"eucalipto",Data_filtered!$J$2:$J$461,"&lt;&gt;Incompleto")</f>
        <v>0</v>
      </c>
    </row>
    <row r="3">
      <c r="A3" s="9" t="str">
        <f>IFERROR(__xludf.DUMMYFUNCTION("""COMPUTED_VALUE"""),"Boana faber")</f>
        <v>Boana faber</v>
      </c>
      <c r="B3" s="9">
        <f>SUMIFS(Data_filtered!$G$2:$G$461,Data_filtered!$A$2:$A$461,$A3,Data_filtered!$F$2:$F$461,B$1,Data_filtered!$D$2:$D$461,"eucalipto",Data_filtered!$J$2:$J$461,"&lt;&gt;Incompleto")</f>
        <v>0</v>
      </c>
      <c r="C3" s="9">
        <f>SUMIFS(Data_filtered!$G$2:$G$461,Data_filtered!$A$2:$A$461,$A3,Data_filtered!$F$2:$F$461,C$1,Data_filtered!$D$2:$D$461,"eucalipto",Data_filtered!$J$2:$J$461,"&lt;&gt;Incompleto")</f>
        <v>0</v>
      </c>
      <c r="D3" s="9">
        <f>SUMIFS(Data_filtered!$G$2:$G$461,Data_filtered!$A$2:$A$461,$A3,Data_filtered!$F$2:$F$461,D$1,Data_filtered!$D$2:$D$461,"eucalipto",Data_filtered!$J$2:$J$461,"&lt;&gt;Incompleto")</f>
        <v>1</v>
      </c>
      <c r="E3" s="9">
        <f>SUMIFS(Data_filtered!$G$2:$G$461,Data_filtered!$A$2:$A$461,$A3,Data_filtered!$F$2:$F$461,E$1,Data_filtered!$D$2:$D$461,"eucalipto",Data_filtered!$J$2:$J$461,"&lt;&gt;Incompleto")</f>
        <v>0</v>
      </c>
      <c r="F3" s="9">
        <f>SUMIFS(Data_filtered!$G$2:$G$461,Data_filtered!$A$2:$A$461,$A3,Data_filtered!$F$2:$F$461,F$1,Data_filtered!$D$2:$D$461,"eucalipto",Data_filtered!$J$2:$J$461,"&lt;&gt;Incompleto")</f>
        <v>0</v>
      </c>
      <c r="G3" s="9">
        <f>SUMIFS(Data_filtered!$G$2:$G$461,Data_filtered!$A$2:$A$461,$A3,Data_filtered!$F$2:$F$461,G$1,Data_filtered!$D$2:$D$461,"eucalipto",Data_filtered!$J$2:$J$461,"&lt;&gt;Incompleto")</f>
        <v>0</v>
      </c>
      <c r="H3" s="9">
        <f>SUMIFS(Data_filtered!$G$2:$G$461,Data_filtered!$A$2:$A$461,$A3,Data_filtered!$F$2:$F$461,H$1,Data_filtered!$D$2:$D$461,"eucalipto",Data_filtered!$J$2:$J$461,"&lt;&gt;Incompleto")</f>
        <v>0</v>
      </c>
      <c r="I3" s="9">
        <f>SUMIFS(Data_filtered!$G$2:$G$461,Data_filtered!$A$2:$A$461,$A3,Data_filtered!$F$2:$F$461,I$1,Data_filtered!$D$2:$D$461,"eucalipto",Data_filtered!$J$2:$J$461,"&lt;&gt;Incompleto")</f>
        <v>0</v>
      </c>
      <c r="J3" s="9">
        <f>SUMIFS(Data_filtered!$G$2:$G$461,Data_filtered!$A$2:$A$461,$A3,Data_filtered!$F$2:$F$461,J$1,Data_filtered!$D$2:$D$461,"eucalipto",Data_filtered!$J$2:$J$461,"&lt;&gt;Incompleto")</f>
        <v>0</v>
      </c>
      <c r="K3" s="9">
        <f>SUMIFS(Data_filtered!$G$2:$G$461,Data_filtered!$A$2:$A$461,$A3,Data_filtered!$F$2:$F$461,K$1,Data_filtered!$D$2:$D$461,"eucalipto",Data_filtered!$J$2:$J$461,"&lt;&gt;Incompleto")</f>
        <v>0</v>
      </c>
      <c r="L3" s="9">
        <f>SUMIFS(Data_filtered!$G$2:$G$461,Data_filtered!$A$2:$A$461,$A3,Data_filtered!$F$2:$F$461,L$1,Data_filtered!$D$2:$D$461,"eucalipto",Data_filtered!$J$2:$J$461,"&lt;&gt;Incompleto")</f>
        <v>0</v>
      </c>
      <c r="M3" s="9">
        <f>SUMIFS(Data_filtered!$G$2:$G$461,Data_filtered!$A$2:$A$461,$A3,Data_filtered!$F$2:$F$461,M$1,Data_filtered!$D$2:$D$461,"eucalipto",Data_filtered!$J$2:$J$461,"&lt;&gt;Incompleto")</f>
        <v>0</v>
      </c>
      <c r="N3" s="9">
        <f>SUMIFS(Data_filtered!$G$2:$G$461,Data_filtered!$A$2:$A$461,$A3,Data_filtered!$F$2:$F$461,N$1,Data_filtered!$D$2:$D$461,"eucalipto",Data_filtered!$J$2:$J$461,"&lt;&gt;Incompleto")</f>
        <v>0</v>
      </c>
      <c r="O3" s="9">
        <f>SUMIFS(Data_filtered!$G$2:$G$461,Data_filtered!$A$2:$A$461,$A3,Data_filtered!$F$2:$F$461,O$1,Data_filtered!$D$2:$D$461,"eucalipto",Data_filtered!$J$2:$J$461,"&lt;&gt;Incompleto")</f>
        <v>0</v>
      </c>
      <c r="P3" s="9">
        <f>SUMIFS(Data_filtered!$G$2:$G$461,Data_filtered!$A$2:$A$461,$A3,Data_filtered!$F$2:$F$461,P$1,Data_filtered!$D$2:$D$461,"eucalipto",Data_filtered!$J$2:$J$461,"&lt;&gt;Incompleto")</f>
        <v>0</v>
      </c>
      <c r="Q3" s="9">
        <f>SUMIFS(Data_filtered!$G$2:$G$461,Data_filtered!$A$2:$A$461,$A3,Data_filtered!$F$2:$F$461,Q$1,Data_filtered!$D$2:$D$461,"eucalipto",Data_filtered!$J$2:$J$461,"&lt;&gt;Incompleto")</f>
        <v>0</v>
      </c>
      <c r="R3" s="9">
        <f>SUMIFS(Data_filtered!$G$2:$G$461,Data_filtered!$A$2:$A$461,$A3,Data_filtered!$F$2:$F$461,R$1,Data_filtered!$D$2:$D$461,"eucalipto",Data_filtered!$J$2:$J$461,"&lt;&gt;Incompleto")</f>
        <v>0</v>
      </c>
      <c r="S3" s="9">
        <f>SUMIFS(Data_filtered!$G$2:$G$461,Data_filtered!$A$2:$A$461,$A3,Data_filtered!$F$2:$F$461,S$1,Data_filtered!$D$2:$D$461,"eucalipto",Data_filtered!$J$2:$J$461,"&lt;&gt;Incompleto")</f>
        <v>0</v>
      </c>
      <c r="T3" s="9">
        <f>SUMIFS(Data_filtered!$G$2:$G$461,Data_filtered!$A$2:$A$461,$A3,Data_filtered!$F$2:$F$461,T$1,Data_filtered!$D$2:$D$461,"eucalipto",Data_filtered!$J$2:$J$461,"&lt;&gt;Incompleto")</f>
        <v>0</v>
      </c>
      <c r="U3" s="9">
        <f>SUMIFS(Data_filtered!$G$2:$G$461,Data_filtered!$A$2:$A$461,$A3,Data_filtered!$F$2:$F$461,U$1,Data_filtered!$D$2:$D$461,"eucalipto",Data_filtered!$J$2:$J$461,"&lt;&gt;Incompleto")</f>
        <v>0</v>
      </c>
      <c r="V3" s="9">
        <f>SUMIFS(Data_filtered!$G$2:$G$461,Data_filtered!$A$2:$A$461,$A3,Data_filtered!$F$2:$F$461,V$1,Data_filtered!$D$2:$D$461,"eucalipto",Data_filtered!$J$2:$J$461,"&lt;&gt;Incompleto")</f>
        <v>0</v>
      </c>
      <c r="W3" s="9">
        <f>SUMIFS(Data_filtered!$G$2:$G$461,Data_filtered!$A$2:$A$461,$A3,Data_filtered!$F$2:$F$461,W$1,Data_filtered!$D$2:$D$461,"eucalipto",Data_filtered!$J$2:$J$461,"&lt;&gt;Incompleto")</f>
        <v>0</v>
      </c>
      <c r="X3" s="9">
        <f>SUMIFS(Data_filtered!$G$2:$G$461,Data_filtered!$A$2:$A$461,$A3,Data_filtered!$F$2:$F$461,X$1,Data_filtered!$D$2:$D$461,"eucalipto",Data_filtered!$J$2:$J$461,"&lt;&gt;Incompleto")</f>
        <v>0</v>
      </c>
      <c r="Y3" s="9">
        <f>SUMIFS(Data_filtered!$G$2:$G$461,Data_filtered!$A$2:$A$461,$A3,Data_filtered!$F$2:$F$461,Y$1,Data_filtered!$D$2:$D$461,"eucalipto",Data_filtered!$J$2:$J$461,"&lt;&gt;Incompleto")</f>
        <v>0</v>
      </c>
    </row>
    <row r="4">
      <c r="A4" s="9" t="str">
        <f>IFERROR(__xludf.DUMMYFUNCTION("""COMPUTED_VALUE"""),"Boana prasina")</f>
        <v>Boana prasina</v>
      </c>
      <c r="B4" s="9">
        <f>SUMIFS(Data_filtered!$G$2:$G$461,Data_filtered!$A$2:$A$461,$A4,Data_filtered!$F$2:$F$461,B$1,Data_filtered!$D$2:$D$461,"eucalipto",Data_filtered!$J$2:$J$461,"&lt;&gt;Incompleto")</f>
        <v>0</v>
      </c>
      <c r="C4" s="9">
        <f>SUMIFS(Data_filtered!$G$2:$G$461,Data_filtered!$A$2:$A$461,$A4,Data_filtered!$F$2:$F$461,C$1,Data_filtered!$D$2:$D$461,"eucalipto",Data_filtered!$J$2:$J$461,"&lt;&gt;Incompleto")</f>
        <v>0</v>
      </c>
      <c r="D4" s="9">
        <f>SUMIFS(Data_filtered!$G$2:$G$461,Data_filtered!$A$2:$A$461,$A4,Data_filtered!$F$2:$F$461,D$1,Data_filtered!$D$2:$D$461,"eucalipto",Data_filtered!$J$2:$J$461,"&lt;&gt;Incompleto")</f>
        <v>0</v>
      </c>
      <c r="E4" s="9">
        <f>SUMIFS(Data_filtered!$G$2:$G$461,Data_filtered!$A$2:$A$461,$A4,Data_filtered!$F$2:$F$461,E$1,Data_filtered!$D$2:$D$461,"eucalipto",Data_filtered!$J$2:$J$461,"&lt;&gt;Incompleto")</f>
        <v>0</v>
      </c>
      <c r="F4" s="9">
        <f>SUMIFS(Data_filtered!$G$2:$G$461,Data_filtered!$A$2:$A$461,$A4,Data_filtered!$F$2:$F$461,F$1,Data_filtered!$D$2:$D$461,"eucalipto",Data_filtered!$J$2:$J$461,"&lt;&gt;Incompleto")</f>
        <v>0</v>
      </c>
      <c r="G4" s="9">
        <f>SUMIFS(Data_filtered!$G$2:$G$461,Data_filtered!$A$2:$A$461,$A4,Data_filtered!$F$2:$F$461,G$1,Data_filtered!$D$2:$D$461,"eucalipto",Data_filtered!$J$2:$J$461,"&lt;&gt;Incompleto")</f>
        <v>0</v>
      </c>
      <c r="H4" s="9">
        <f>SUMIFS(Data_filtered!$G$2:$G$461,Data_filtered!$A$2:$A$461,$A4,Data_filtered!$F$2:$F$461,H$1,Data_filtered!$D$2:$D$461,"eucalipto",Data_filtered!$J$2:$J$461,"&lt;&gt;Incompleto")</f>
        <v>0</v>
      </c>
      <c r="I4" s="9">
        <f>SUMIFS(Data_filtered!$G$2:$G$461,Data_filtered!$A$2:$A$461,$A4,Data_filtered!$F$2:$F$461,I$1,Data_filtered!$D$2:$D$461,"eucalipto",Data_filtered!$J$2:$J$461,"&lt;&gt;Incompleto")</f>
        <v>0</v>
      </c>
      <c r="J4" s="9">
        <f>SUMIFS(Data_filtered!$G$2:$G$461,Data_filtered!$A$2:$A$461,$A4,Data_filtered!$F$2:$F$461,J$1,Data_filtered!$D$2:$D$461,"eucalipto",Data_filtered!$J$2:$J$461,"&lt;&gt;Incompleto")</f>
        <v>0</v>
      </c>
      <c r="K4" s="9">
        <f>SUMIFS(Data_filtered!$G$2:$G$461,Data_filtered!$A$2:$A$461,$A4,Data_filtered!$F$2:$F$461,K$1,Data_filtered!$D$2:$D$461,"eucalipto",Data_filtered!$J$2:$J$461,"&lt;&gt;Incompleto")</f>
        <v>0</v>
      </c>
      <c r="L4" s="9">
        <f>SUMIFS(Data_filtered!$G$2:$G$461,Data_filtered!$A$2:$A$461,$A4,Data_filtered!$F$2:$F$461,L$1,Data_filtered!$D$2:$D$461,"eucalipto",Data_filtered!$J$2:$J$461,"&lt;&gt;Incompleto")</f>
        <v>0</v>
      </c>
      <c r="M4" s="9">
        <f>SUMIFS(Data_filtered!$G$2:$G$461,Data_filtered!$A$2:$A$461,$A4,Data_filtered!$F$2:$F$461,M$1,Data_filtered!$D$2:$D$461,"eucalipto",Data_filtered!$J$2:$J$461,"&lt;&gt;Incompleto")</f>
        <v>0</v>
      </c>
      <c r="N4" s="9">
        <f>SUMIFS(Data_filtered!$G$2:$G$461,Data_filtered!$A$2:$A$461,$A4,Data_filtered!$F$2:$F$461,N$1,Data_filtered!$D$2:$D$461,"eucalipto",Data_filtered!$J$2:$J$461,"&lt;&gt;Incompleto")</f>
        <v>0</v>
      </c>
      <c r="O4" s="9">
        <f>SUMIFS(Data_filtered!$G$2:$G$461,Data_filtered!$A$2:$A$461,$A4,Data_filtered!$F$2:$F$461,O$1,Data_filtered!$D$2:$D$461,"eucalipto",Data_filtered!$J$2:$J$461,"&lt;&gt;Incompleto")</f>
        <v>0</v>
      </c>
      <c r="P4" s="9">
        <f>SUMIFS(Data_filtered!$G$2:$G$461,Data_filtered!$A$2:$A$461,$A4,Data_filtered!$F$2:$F$461,P$1,Data_filtered!$D$2:$D$461,"eucalipto",Data_filtered!$J$2:$J$461,"&lt;&gt;Incompleto")</f>
        <v>0</v>
      </c>
      <c r="Q4" s="9">
        <f>SUMIFS(Data_filtered!$G$2:$G$461,Data_filtered!$A$2:$A$461,$A4,Data_filtered!$F$2:$F$461,Q$1,Data_filtered!$D$2:$D$461,"eucalipto",Data_filtered!$J$2:$J$461,"&lt;&gt;Incompleto")</f>
        <v>0</v>
      </c>
      <c r="R4" s="9">
        <f>SUMIFS(Data_filtered!$G$2:$G$461,Data_filtered!$A$2:$A$461,$A4,Data_filtered!$F$2:$F$461,R$1,Data_filtered!$D$2:$D$461,"eucalipto",Data_filtered!$J$2:$J$461,"&lt;&gt;Incompleto")</f>
        <v>0</v>
      </c>
      <c r="S4" s="9">
        <f>SUMIFS(Data_filtered!$G$2:$G$461,Data_filtered!$A$2:$A$461,$A4,Data_filtered!$F$2:$F$461,S$1,Data_filtered!$D$2:$D$461,"eucalipto",Data_filtered!$J$2:$J$461,"&lt;&gt;Incompleto")</f>
        <v>0</v>
      </c>
      <c r="T4" s="9">
        <f>SUMIFS(Data_filtered!$G$2:$G$461,Data_filtered!$A$2:$A$461,$A4,Data_filtered!$F$2:$F$461,T$1,Data_filtered!$D$2:$D$461,"eucalipto",Data_filtered!$J$2:$J$461,"&lt;&gt;Incompleto")</f>
        <v>0</v>
      </c>
      <c r="U4" s="9">
        <f>SUMIFS(Data_filtered!$G$2:$G$461,Data_filtered!$A$2:$A$461,$A4,Data_filtered!$F$2:$F$461,U$1,Data_filtered!$D$2:$D$461,"eucalipto",Data_filtered!$J$2:$J$461,"&lt;&gt;Incompleto")</f>
        <v>1</v>
      </c>
      <c r="V4" s="9">
        <f>SUMIFS(Data_filtered!$G$2:$G$461,Data_filtered!$A$2:$A$461,$A4,Data_filtered!$F$2:$F$461,V$1,Data_filtered!$D$2:$D$461,"eucalipto",Data_filtered!$J$2:$J$461,"&lt;&gt;Incompleto")</f>
        <v>0</v>
      </c>
      <c r="W4" s="9">
        <f>SUMIFS(Data_filtered!$G$2:$G$461,Data_filtered!$A$2:$A$461,$A4,Data_filtered!$F$2:$F$461,W$1,Data_filtered!$D$2:$D$461,"eucalipto",Data_filtered!$J$2:$J$461,"&lt;&gt;Incompleto")</f>
        <v>0</v>
      </c>
      <c r="X4" s="9">
        <f>SUMIFS(Data_filtered!$G$2:$G$461,Data_filtered!$A$2:$A$461,$A4,Data_filtered!$F$2:$F$461,X$1,Data_filtered!$D$2:$D$461,"eucalipto",Data_filtered!$J$2:$J$461,"&lt;&gt;Incompleto")</f>
        <v>0</v>
      </c>
      <c r="Y4" s="9">
        <f>SUMIFS(Data_filtered!$G$2:$G$461,Data_filtered!$A$2:$A$461,$A4,Data_filtered!$F$2:$F$461,Y$1,Data_filtered!$D$2:$D$461,"eucalipto",Data_filtered!$J$2:$J$461,"&lt;&gt;Incompleto")</f>
        <v>0</v>
      </c>
    </row>
    <row r="5">
      <c r="A5" s="9" t="str">
        <f>IFERROR(__xludf.DUMMYFUNCTION("""COMPUTED_VALUE"""),"Chiasmocleis mantiqueira")</f>
        <v>Chiasmocleis mantiqueira</v>
      </c>
      <c r="B5" s="9">
        <f>SUMIFS(Data_filtered!$G$2:$G$461,Data_filtered!$A$2:$A$461,$A5,Data_filtered!$F$2:$F$461,B$1,Data_filtered!$D$2:$D$461,"eucalipto",Data_filtered!$J$2:$J$461,"&lt;&gt;Incompleto")</f>
        <v>1</v>
      </c>
      <c r="C5" s="9">
        <f>SUMIFS(Data_filtered!$G$2:$G$461,Data_filtered!$A$2:$A$461,$A5,Data_filtered!$F$2:$F$461,C$1,Data_filtered!$D$2:$D$461,"eucalipto",Data_filtered!$J$2:$J$461,"&lt;&gt;Incompleto")</f>
        <v>0</v>
      </c>
      <c r="D5" s="9">
        <f>SUMIFS(Data_filtered!$G$2:$G$461,Data_filtered!$A$2:$A$461,$A5,Data_filtered!$F$2:$F$461,D$1,Data_filtered!$D$2:$D$461,"eucalipto",Data_filtered!$J$2:$J$461,"&lt;&gt;Incompleto")</f>
        <v>0</v>
      </c>
      <c r="E5" s="9">
        <f>SUMIFS(Data_filtered!$G$2:$G$461,Data_filtered!$A$2:$A$461,$A5,Data_filtered!$F$2:$F$461,E$1,Data_filtered!$D$2:$D$461,"eucalipto",Data_filtered!$J$2:$J$461,"&lt;&gt;Incompleto")</f>
        <v>0</v>
      </c>
      <c r="F5" s="9">
        <f>SUMIFS(Data_filtered!$G$2:$G$461,Data_filtered!$A$2:$A$461,$A5,Data_filtered!$F$2:$F$461,F$1,Data_filtered!$D$2:$D$461,"eucalipto",Data_filtered!$J$2:$J$461,"&lt;&gt;Incompleto")</f>
        <v>3</v>
      </c>
      <c r="G5" s="9">
        <f>SUMIFS(Data_filtered!$G$2:$G$461,Data_filtered!$A$2:$A$461,$A5,Data_filtered!$F$2:$F$461,G$1,Data_filtered!$D$2:$D$461,"eucalipto",Data_filtered!$J$2:$J$461,"&lt;&gt;Incompleto")</f>
        <v>0</v>
      </c>
      <c r="H5" s="9">
        <f>SUMIFS(Data_filtered!$G$2:$G$461,Data_filtered!$A$2:$A$461,$A5,Data_filtered!$F$2:$F$461,H$1,Data_filtered!$D$2:$D$461,"eucalipto",Data_filtered!$J$2:$J$461,"&lt;&gt;Incompleto")</f>
        <v>0</v>
      </c>
      <c r="I5" s="9">
        <f>SUMIFS(Data_filtered!$G$2:$G$461,Data_filtered!$A$2:$A$461,$A5,Data_filtered!$F$2:$F$461,I$1,Data_filtered!$D$2:$D$461,"eucalipto",Data_filtered!$J$2:$J$461,"&lt;&gt;Incompleto")</f>
        <v>0</v>
      </c>
      <c r="J5" s="9">
        <f>SUMIFS(Data_filtered!$G$2:$G$461,Data_filtered!$A$2:$A$461,$A5,Data_filtered!$F$2:$F$461,J$1,Data_filtered!$D$2:$D$461,"eucalipto",Data_filtered!$J$2:$J$461,"&lt;&gt;Incompleto")</f>
        <v>0</v>
      </c>
      <c r="K5" s="9">
        <f>SUMIFS(Data_filtered!$G$2:$G$461,Data_filtered!$A$2:$A$461,$A5,Data_filtered!$F$2:$F$461,K$1,Data_filtered!$D$2:$D$461,"eucalipto",Data_filtered!$J$2:$J$461,"&lt;&gt;Incompleto")</f>
        <v>0</v>
      </c>
      <c r="L5" s="9">
        <f>SUMIFS(Data_filtered!$G$2:$G$461,Data_filtered!$A$2:$A$461,$A5,Data_filtered!$F$2:$F$461,L$1,Data_filtered!$D$2:$D$461,"eucalipto",Data_filtered!$J$2:$J$461,"&lt;&gt;Incompleto")</f>
        <v>78</v>
      </c>
      <c r="M5" s="9">
        <f>SUMIFS(Data_filtered!$G$2:$G$461,Data_filtered!$A$2:$A$461,$A5,Data_filtered!$F$2:$F$461,M$1,Data_filtered!$D$2:$D$461,"eucalipto",Data_filtered!$J$2:$J$461,"&lt;&gt;Incompleto")</f>
        <v>0</v>
      </c>
      <c r="N5" s="9">
        <f>SUMIFS(Data_filtered!$G$2:$G$461,Data_filtered!$A$2:$A$461,$A5,Data_filtered!$F$2:$F$461,N$1,Data_filtered!$D$2:$D$461,"eucalipto",Data_filtered!$J$2:$J$461,"&lt;&gt;Incompleto")</f>
        <v>0</v>
      </c>
      <c r="O5" s="9">
        <f>SUMIFS(Data_filtered!$G$2:$G$461,Data_filtered!$A$2:$A$461,$A5,Data_filtered!$F$2:$F$461,O$1,Data_filtered!$D$2:$D$461,"eucalipto",Data_filtered!$J$2:$J$461,"&lt;&gt;Incompleto")</f>
        <v>0</v>
      </c>
      <c r="P5" s="9">
        <f>SUMIFS(Data_filtered!$G$2:$G$461,Data_filtered!$A$2:$A$461,$A5,Data_filtered!$F$2:$F$461,P$1,Data_filtered!$D$2:$D$461,"eucalipto",Data_filtered!$J$2:$J$461,"&lt;&gt;Incompleto")</f>
        <v>0</v>
      </c>
      <c r="Q5" s="9">
        <f>SUMIFS(Data_filtered!$G$2:$G$461,Data_filtered!$A$2:$A$461,$A5,Data_filtered!$F$2:$F$461,Q$1,Data_filtered!$D$2:$D$461,"eucalipto",Data_filtered!$J$2:$J$461,"&lt;&gt;Incompleto")</f>
        <v>0</v>
      </c>
      <c r="R5" s="9">
        <f>SUMIFS(Data_filtered!$G$2:$G$461,Data_filtered!$A$2:$A$461,$A5,Data_filtered!$F$2:$F$461,R$1,Data_filtered!$D$2:$D$461,"eucalipto",Data_filtered!$J$2:$J$461,"&lt;&gt;Incompleto")</f>
        <v>0</v>
      </c>
      <c r="S5" s="9">
        <f>SUMIFS(Data_filtered!$G$2:$G$461,Data_filtered!$A$2:$A$461,$A5,Data_filtered!$F$2:$F$461,S$1,Data_filtered!$D$2:$D$461,"eucalipto",Data_filtered!$J$2:$J$461,"&lt;&gt;Incompleto")</f>
        <v>0</v>
      </c>
      <c r="T5" s="9">
        <f>SUMIFS(Data_filtered!$G$2:$G$461,Data_filtered!$A$2:$A$461,$A5,Data_filtered!$F$2:$F$461,T$1,Data_filtered!$D$2:$D$461,"eucalipto",Data_filtered!$J$2:$J$461,"&lt;&gt;Incompleto")</f>
        <v>0</v>
      </c>
      <c r="U5" s="9">
        <f>SUMIFS(Data_filtered!$G$2:$G$461,Data_filtered!$A$2:$A$461,$A5,Data_filtered!$F$2:$F$461,U$1,Data_filtered!$D$2:$D$461,"eucalipto",Data_filtered!$J$2:$J$461,"&lt;&gt;Incompleto")</f>
        <v>0</v>
      </c>
      <c r="V5" s="9">
        <f>SUMIFS(Data_filtered!$G$2:$G$461,Data_filtered!$A$2:$A$461,$A5,Data_filtered!$F$2:$F$461,V$1,Data_filtered!$D$2:$D$461,"eucalipto",Data_filtered!$J$2:$J$461,"&lt;&gt;Incompleto")</f>
        <v>0</v>
      </c>
      <c r="W5" s="9">
        <f>SUMIFS(Data_filtered!$G$2:$G$461,Data_filtered!$A$2:$A$461,$A5,Data_filtered!$F$2:$F$461,W$1,Data_filtered!$D$2:$D$461,"eucalipto",Data_filtered!$J$2:$J$461,"&lt;&gt;Incompleto")</f>
        <v>0</v>
      </c>
      <c r="X5" s="9">
        <f>SUMIFS(Data_filtered!$G$2:$G$461,Data_filtered!$A$2:$A$461,$A5,Data_filtered!$F$2:$F$461,X$1,Data_filtered!$D$2:$D$461,"eucalipto",Data_filtered!$J$2:$J$461,"&lt;&gt;Incompleto")</f>
        <v>0</v>
      </c>
      <c r="Y5" s="9">
        <f>SUMIFS(Data_filtered!$G$2:$G$461,Data_filtered!$A$2:$A$461,$A5,Data_filtered!$F$2:$F$461,Y$1,Data_filtered!$D$2:$D$461,"eucalipto",Data_filtered!$J$2:$J$461,"&lt;&gt;Incompleto")</f>
        <v>0</v>
      </c>
    </row>
    <row r="6">
      <c r="A6" s="9" t="str">
        <f>IFERROR(__xludf.DUMMYFUNCTION("""COMPUTED_VALUE"""),"Hylodes aff. sazimai")</f>
        <v>Hylodes aff. sazimai</v>
      </c>
      <c r="B6" s="9">
        <f>SUMIFS(Data_filtered!$G$2:$G$461,Data_filtered!$A$2:$A$461,$A6,Data_filtered!$F$2:$F$461,B$1,Data_filtered!$D$2:$D$461,"eucalipto",Data_filtered!$J$2:$J$461,"&lt;&gt;Incompleto")</f>
        <v>0</v>
      </c>
      <c r="C6" s="9">
        <f>SUMIFS(Data_filtered!$G$2:$G$461,Data_filtered!$A$2:$A$461,$A6,Data_filtered!$F$2:$F$461,C$1,Data_filtered!$D$2:$D$461,"eucalipto",Data_filtered!$J$2:$J$461,"&lt;&gt;Incompleto")</f>
        <v>0</v>
      </c>
      <c r="D6" s="9">
        <f>SUMIFS(Data_filtered!$G$2:$G$461,Data_filtered!$A$2:$A$461,$A6,Data_filtered!$F$2:$F$461,D$1,Data_filtered!$D$2:$D$461,"eucalipto",Data_filtered!$J$2:$J$461,"&lt;&gt;Incompleto")</f>
        <v>0</v>
      </c>
      <c r="E6" s="9">
        <f>SUMIFS(Data_filtered!$G$2:$G$461,Data_filtered!$A$2:$A$461,$A6,Data_filtered!$F$2:$F$461,E$1,Data_filtered!$D$2:$D$461,"eucalipto",Data_filtered!$J$2:$J$461,"&lt;&gt;Incompleto")</f>
        <v>0</v>
      </c>
      <c r="F6" s="9">
        <f>SUMIFS(Data_filtered!$G$2:$G$461,Data_filtered!$A$2:$A$461,$A6,Data_filtered!$F$2:$F$461,F$1,Data_filtered!$D$2:$D$461,"eucalipto",Data_filtered!$J$2:$J$461,"&lt;&gt;Incompleto")</f>
        <v>1</v>
      </c>
      <c r="G6" s="9">
        <f>SUMIFS(Data_filtered!$G$2:$G$461,Data_filtered!$A$2:$A$461,$A6,Data_filtered!$F$2:$F$461,G$1,Data_filtered!$D$2:$D$461,"eucalipto",Data_filtered!$J$2:$J$461,"&lt;&gt;Incompleto")</f>
        <v>0</v>
      </c>
      <c r="H6" s="9">
        <f>SUMIFS(Data_filtered!$G$2:$G$461,Data_filtered!$A$2:$A$461,$A6,Data_filtered!$F$2:$F$461,H$1,Data_filtered!$D$2:$D$461,"eucalipto",Data_filtered!$J$2:$J$461,"&lt;&gt;Incompleto")</f>
        <v>0</v>
      </c>
      <c r="I6" s="9">
        <f>SUMIFS(Data_filtered!$G$2:$G$461,Data_filtered!$A$2:$A$461,$A6,Data_filtered!$F$2:$F$461,I$1,Data_filtered!$D$2:$D$461,"eucalipto",Data_filtered!$J$2:$J$461,"&lt;&gt;Incompleto")</f>
        <v>0</v>
      </c>
      <c r="J6" s="9">
        <f>SUMIFS(Data_filtered!$G$2:$G$461,Data_filtered!$A$2:$A$461,$A6,Data_filtered!$F$2:$F$461,J$1,Data_filtered!$D$2:$D$461,"eucalipto",Data_filtered!$J$2:$J$461,"&lt;&gt;Incompleto")</f>
        <v>0</v>
      </c>
      <c r="K6" s="9">
        <f>SUMIFS(Data_filtered!$G$2:$G$461,Data_filtered!$A$2:$A$461,$A6,Data_filtered!$F$2:$F$461,K$1,Data_filtered!$D$2:$D$461,"eucalipto",Data_filtered!$J$2:$J$461,"&lt;&gt;Incompleto")</f>
        <v>0</v>
      </c>
      <c r="L6" s="9">
        <f>SUMIFS(Data_filtered!$G$2:$G$461,Data_filtered!$A$2:$A$461,$A6,Data_filtered!$F$2:$F$461,L$1,Data_filtered!$D$2:$D$461,"eucalipto",Data_filtered!$J$2:$J$461,"&lt;&gt;Incompleto")</f>
        <v>0</v>
      </c>
      <c r="M6" s="9">
        <f>SUMIFS(Data_filtered!$G$2:$G$461,Data_filtered!$A$2:$A$461,$A6,Data_filtered!$F$2:$F$461,M$1,Data_filtered!$D$2:$D$461,"eucalipto",Data_filtered!$J$2:$J$461,"&lt;&gt;Incompleto")</f>
        <v>0</v>
      </c>
      <c r="N6" s="9">
        <f>SUMIFS(Data_filtered!$G$2:$G$461,Data_filtered!$A$2:$A$461,$A6,Data_filtered!$F$2:$F$461,N$1,Data_filtered!$D$2:$D$461,"eucalipto",Data_filtered!$J$2:$J$461,"&lt;&gt;Incompleto")</f>
        <v>0</v>
      </c>
      <c r="O6" s="9">
        <f>SUMIFS(Data_filtered!$G$2:$G$461,Data_filtered!$A$2:$A$461,$A6,Data_filtered!$F$2:$F$461,O$1,Data_filtered!$D$2:$D$461,"eucalipto",Data_filtered!$J$2:$J$461,"&lt;&gt;Incompleto")</f>
        <v>0</v>
      </c>
      <c r="P6" s="9">
        <f>SUMIFS(Data_filtered!$G$2:$G$461,Data_filtered!$A$2:$A$461,$A6,Data_filtered!$F$2:$F$461,P$1,Data_filtered!$D$2:$D$461,"eucalipto",Data_filtered!$J$2:$J$461,"&lt;&gt;Incompleto")</f>
        <v>0</v>
      </c>
      <c r="Q6" s="9">
        <f>SUMIFS(Data_filtered!$G$2:$G$461,Data_filtered!$A$2:$A$461,$A6,Data_filtered!$F$2:$F$461,Q$1,Data_filtered!$D$2:$D$461,"eucalipto",Data_filtered!$J$2:$J$461,"&lt;&gt;Incompleto")</f>
        <v>0</v>
      </c>
      <c r="R6" s="9">
        <f>SUMIFS(Data_filtered!$G$2:$G$461,Data_filtered!$A$2:$A$461,$A6,Data_filtered!$F$2:$F$461,R$1,Data_filtered!$D$2:$D$461,"eucalipto",Data_filtered!$J$2:$J$461,"&lt;&gt;Incompleto")</f>
        <v>0</v>
      </c>
      <c r="S6" s="9">
        <f>SUMIFS(Data_filtered!$G$2:$G$461,Data_filtered!$A$2:$A$461,$A6,Data_filtered!$F$2:$F$461,S$1,Data_filtered!$D$2:$D$461,"eucalipto",Data_filtered!$J$2:$J$461,"&lt;&gt;Incompleto")</f>
        <v>0</v>
      </c>
      <c r="T6" s="9">
        <f>SUMIFS(Data_filtered!$G$2:$G$461,Data_filtered!$A$2:$A$461,$A6,Data_filtered!$F$2:$F$461,T$1,Data_filtered!$D$2:$D$461,"eucalipto",Data_filtered!$J$2:$J$461,"&lt;&gt;Incompleto")</f>
        <v>0</v>
      </c>
      <c r="U6" s="9">
        <f>SUMIFS(Data_filtered!$G$2:$G$461,Data_filtered!$A$2:$A$461,$A6,Data_filtered!$F$2:$F$461,U$1,Data_filtered!$D$2:$D$461,"eucalipto",Data_filtered!$J$2:$J$461,"&lt;&gt;Incompleto")</f>
        <v>0</v>
      </c>
      <c r="V6" s="9">
        <f>SUMIFS(Data_filtered!$G$2:$G$461,Data_filtered!$A$2:$A$461,$A6,Data_filtered!$F$2:$F$461,V$1,Data_filtered!$D$2:$D$461,"eucalipto",Data_filtered!$J$2:$J$461,"&lt;&gt;Incompleto")</f>
        <v>0</v>
      </c>
      <c r="W6" s="9">
        <f>SUMIFS(Data_filtered!$G$2:$G$461,Data_filtered!$A$2:$A$461,$A6,Data_filtered!$F$2:$F$461,W$1,Data_filtered!$D$2:$D$461,"eucalipto",Data_filtered!$J$2:$J$461,"&lt;&gt;Incompleto")</f>
        <v>0</v>
      </c>
      <c r="X6" s="9">
        <f>SUMIFS(Data_filtered!$G$2:$G$461,Data_filtered!$A$2:$A$461,$A6,Data_filtered!$F$2:$F$461,X$1,Data_filtered!$D$2:$D$461,"eucalipto",Data_filtered!$J$2:$J$461,"&lt;&gt;Incompleto")</f>
        <v>0</v>
      </c>
      <c r="Y6" s="9">
        <f>SUMIFS(Data_filtered!$G$2:$G$461,Data_filtered!$A$2:$A$461,$A6,Data_filtered!$F$2:$F$461,Y$1,Data_filtered!$D$2:$D$461,"eucalipto",Data_filtered!$J$2:$J$461,"&lt;&gt;Incompleto")</f>
        <v>0</v>
      </c>
    </row>
    <row r="7">
      <c r="A7" s="9" t="str">
        <f>IFERROR(__xludf.DUMMYFUNCTION("""COMPUTED_VALUE"""),"Ischnocnema guentheri")</f>
        <v>Ischnocnema guentheri</v>
      </c>
      <c r="B7" s="9">
        <f>SUMIFS(Data_filtered!$G$2:$G$461,Data_filtered!$A$2:$A$461,$A7,Data_filtered!$F$2:$F$461,B$1,Data_filtered!$D$2:$D$461,"eucalipto",Data_filtered!$J$2:$J$461,"&lt;&gt;Incompleto")</f>
        <v>0</v>
      </c>
      <c r="C7" s="9">
        <f>SUMIFS(Data_filtered!$G$2:$G$461,Data_filtered!$A$2:$A$461,$A7,Data_filtered!$F$2:$F$461,C$1,Data_filtered!$D$2:$D$461,"eucalipto",Data_filtered!$J$2:$J$461,"&lt;&gt;Incompleto")</f>
        <v>0</v>
      </c>
      <c r="D7" s="9">
        <f>SUMIFS(Data_filtered!$G$2:$G$461,Data_filtered!$A$2:$A$461,$A7,Data_filtered!$F$2:$F$461,D$1,Data_filtered!$D$2:$D$461,"eucalipto",Data_filtered!$J$2:$J$461,"&lt;&gt;Incompleto")</f>
        <v>3</v>
      </c>
      <c r="E7" s="9">
        <f>SUMIFS(Data_filtered!$G$2:$G$461,Data_filtered!$A$2:$A$461,$A7,Data_filtered!$F$2:$F$461,E$1,Data_filtered!$D$2:$D$461,"eucalipto",Data_filtered!$J$2:$J$461,"&lt;&gt;Incompleto")</f>
        <v>2</v>
      </c>
      <c r="F7" s="9">
        <f>SUMIFS(Data_filtered!$G$2:$G$461,Data_filtered!$A$2:$A$461,$A7,Data_filtered!$F$2:$F$461,F$1,Data_filtered!$D$2:$D$461,"eucalipto",Data_filtered!$J$2:$J$461,"&lt;&gt;Incompleto")</f>
        <v>5</v>
      </c>
      <c r="G7" s="9">
        <f>SUMIFS(Data_filtered!$G$2:$G$461,Data_filtered!$A$2:$A$461,$A7,Data_filtered!$F$2:$F$461,G$1,Data_filtered!$D$2:$D$461,"eucalipto",Data_filtered!$J$2:$J$461,"&lt;&gt;Incompleto")</f>
        <v>0</v>
      </c>
      <c r="H7" s="9">
        <f>SUMIFS(Data_filtered!$G$2:$G$461,Data_filtered!$A$2:$A$461,$A7,Data_filtered!$F$2:$F$461,H$1,Data_filtered!$D$2:$D$461,"eucalipto",Data_filtered!$J$2:$J$461,"&lt;&gt;Incompleto")</f>
        <v>0</v>
      </c>
      <c r="I7" s="9">
        <f>SUMIFS(Data_filtered!$G$2:$G$461,Data_filtered!$A$2:$A$461,$A7,Data_filtered!$F$2:$F$461,I$1,Data_filtered!$D$2:$D$461,"eucalipto",Data_filtered!$J$2:$J$461,"&lt;&gt;Incompleto")</f>
        <v>1</v>
      </c>
      <c r="J7" s="9">
        <f>SUMIFS(Data_filtered!$G$2:$G$461,Data_filtered!$A$2:$A$461,$A7,Data_filtered!$F$2:$F$461,J$1,Data_filtered!$D$2:$D$461,"eucalipto",Data_filtered!$J$2:$J$461,"&lt;&gt;Incompleto")</f>
        <v>0</v>
      </c>
      <c r="K7" s="9">
        <f>SUMIFS(Data_filtered!$G$2:$G$461,Data_filtered!$A$2:$A$461,$A7,Data_filtered!$F$2:$F$461,K$1,Data_filtered!$D$2:$D$461,"eucalipto",Data_filtered!$J$2:$J$461,"&lt;&gt;Incompleto")</f>
        <v>0</v>
      </c>
      <c r="L7" s="9">
        <f>SUMIFS(Data_filtered!$G$2:$G$461,Data_filtered!$A$2:$A$461,$A7,Data_filtered!$F$2:$F$461,L$1,Data_filtered!$D$2:$D$461,"eucalipto",Data_filtered!$J$2:$J$461,"&lt;&gt;Incompleto")</f>
        <v>0</v>
      </c>
      <c r="M7" s="9">
        <f>SUMIFS(Data_filtered!$G$2:$G$461,Data_filtered!$A$2:$A$461,$A7,Data_filtered!$F$2:$F$461,M$1,Data_filtered!$D$2:$D$461,"eucalipto",Data_filtered!$J$2:$J$461,"&lt;&gt;Incompleto")</f>
        <v>0</v>
      </c>
      <c r="N7" s="9">
        <f>SUMIFS(Data_filtered!$G$2:$G$461,Data_filtered!$A$2:$A$461,$A7,Data_filtered!$F$2:$F$461,N$1,Data_filtered!$D$2:$D$461,"eucalipto",Data_filtered!$J$2:$J$461,"&lt;&gt;Incompleto")</f>
        <v>0</v>
      </c>
      <c r="O7" s="9">
        <f>SUMIFS(Data_filtered!$G$2:$G$461,Data_filtered!$A$2:$A$461,$A7,Data_filtered!$F$2:$F$461,O$1,Data_filtered!$D$2:$D$461,"eucalipto",Data_filtered!$J$2:$J$461,"&lt;&gt;Incompleto")</f>
        <v>0</v>
      </c>
      <c r="P7" s="9">
        <f>SUMIFS(Data_filtered!$G$2:$G$461,Data_filtered!$A$2:$A$461,$A7,Data_filtered!$F$2:$F$461,P$1,Data_filtered!$D$2:$D$461,"eucalipto",Data_filtered!$J$2:$J$461,"&lt;&gt;Incompleto")</f>
        <v>0</v>
      </c>
      <c r="Q7" s="9">
        <f>SUMIFS(Data_filtered!$G$2:$G$461,Data_filtered!$A$2:$A$461,$A7,Data_filtered!$F$2:$F$461,Q$1,Data_filtered!$D$2:$D$461,"eucalipto",Data_filtered!$J$2:$J$461,"&lt;&gt;Incompleto")</f>
        <v>0</v>
      </c>
      <c r="R7" s="9">
        <f>SUMIFS(Data_filtered!$G$2:$G$461,Data_filtered!$A$2:$A$461,$A7,Data_filtered!$F$2:$F$461,R$1,Data_filtered!$D$2:$D$461,"eucalipto",Data_filtered!$J$2:$J$461,"&lt;&gt;Incompleto")</f>
        <v>0</v>
      </c>
      <c r="S7" s="9">
        <f>SUMIFS(Data_filtered!$G$2:$G$461,Data_filtered!$A$2:$A$461,$A7,Data_filtered!$F$2:$F$461,S$1,Data_filtered!$D$2:$D$461,"eucalipto",Data_filtered!$J$2:$J$461,"&lt;&gt;Incompleto")</f>
        <v>0</v>
      </c>
      <c r="T7" s="9">
        <f>SUMIFS(Data_filtered!$G$2:$G$461,Data_filtered!$A$2:$A$461,$A7,Data_filtered!$F$2:$F$461,T$1,Data_filtered!$D$2:$D$461,"eucalipto",Data_filtered!$J$2:$J$461,"&lt;&gt;Incompleto")</f>
        <v>3</v>
      </c>
      <c r="U7" s="9">
        <f>SUMIFS(Data_filtered!$G$2:$G$461,Data_filtered!$A$2:$A$461,$A7,Data_filtered!$F$2:$F$461,U$1,Data_filtered!$D$2:$D$461,"eucalipto",Data_filtered!$J$2:$J$461,"&lt;&gt;Incompleto")</f>
        <v>0</v>
      </c>
      <c r="V7" s="9">
        <f>SUMIFS(Data_filtered!$G$2:$G$461,Data_filtered!$A$2:$A$461,$A7,Data_filtered!$F$2:$F$461,V$1,Data_filtered!$D$2:$D$461,"eucalipto",Data_filtered!$J$2:$J$461,"&lt;&gt;Incompleto")</f>
        <v>0</v>
      </c>
      <c r="W7" s="9">
        <f>SUMIFS(Data_filtered!$G$2:$G$461,Data_filtered!$A$2:$A$461,$A7,Data_filtered!$F$2:$F$461,W$1,Data_filtered!$D$2:$D$461,"eucalipto",Data_filtered!$J$2:$J$461,"&lt;&gt;Incompleto")</f>
        <v>1</v>
      </c>
      <c r="X7" s="9">
        <f>SUMIFS(Data_filtered!$G$2:$G$461,Data_filtered!$A$2:$A$461,$A7,Data_filtered!$F$2:$F$461,X$1,Data_filtered!$D$2:$D$461,"eucalipto",Data_filtered!$J$2:$J$461,"&lt;&gt;Incompleto")</f>
        <v>0</v>
      </c>
      <c r="Y7" s="9">
        <f>SUMIFS(Data_filtered!$G$2:$G$461,Data_filtered!$A$2:$A$461,$A7,Data_filtered!$F$2:$F$461,Y$1,Data_filtered!$D$2:$D$461,"eucalipto",Data_filtered!$J$2:$J$461,"&lt;&gt;Incompleto")</f>
        <v>0</v>
      </c>
    </row>
    <row r="8">
      <c r="A8" s="9" t="str">
        <f>IFERROR(__xludf.DUMMYFUNCTION("""COMPUTED_VALUE"""),"Ischnocnema juipoca")</f>
        <v>Ischnocnema juipoca</v>
      </c>
      <c r="B8" s="9">
        <f>SUMIFS(Data_filtered!$G$2:$G$461,Data_filtered!$A$2:$A$461,$A8,Data_filtered!$F$2:$F$461,B$1,Data_filtered!$D$2:$D$461,"eucalipto",Data_filtered!$J$2:$J$461,"&lt;&gt;Incompleto")</f>
        <v>0</v>
      </c>
      <c r="C8" s="9">
        <f>SUMIFS(Data_filtered!$G$2:$G$461,Data_filtered!$A$2:$A$461,$A8,Data_filtered!$F$2:$F$461,C$1,Data_filtered!$D$2:$D$461,"eucalipto",Data_filtered!$J$2:$J$461,"&lt;&gt;Incompleto")</f>
        <v>9</v>
      </c>
      <c r="D8" s="9">
        <f>SUMIFS(Data_filtered!$G$2:$G$461,Data_filtered!$A$2:$A$461,$A8,Data_filtered!$F$2:$F$461,D$1,Data_filtered!$D$2:$D$461,"eucalipto",Data_filtered!$J$2:$J$461,"&lt;&gt;Incompleto")</f>
        <v>0</v>
      </c>
      <c r="E8" s="9">
        <f>SUMIFS(Data_filtered!$G$2:$G$461,Data_filtered!$A$2:$A$461,$A8,Data_filtered!$F$2:$F$461,E$1,Data_filtered!$D$2:$D$461,"eucalipto",Data_filtered!$J$2:$J$461,"&lt;&gt;Incompleto")</f>
        <v>1</v>
      </c>
      <c r="F8" s="9">
        <f>SUMIFS(Data_filtered!$G$2:$G$461,Data_filtered!$A$2:$A$461,$A8,Data_filtered!$F$2:$F$461,F$1,Data_filtered!$D$2:$D$461,"eucalipto",Data_filtered!$J$2:$J$461,"&lt;&gt;Incompleto")</f>
        <v>5</v>
      </c>
      <c r="G8" s="9">
        <f>SUMIFS(Data_filtered!$G$2:$G$461,Data_filtered!$A$2:$A$461,$A8,Data_filtered!$F$2:$F$461,G$1,Data_filtered!$D$2:$D$461,"eucalipto",Data_filtered!$J$2:$J$461,"&lt;&gt;Incompleto")</f>
        <v>0</v>
      </c>
      <c r="H8" s="9">
        <f>SUMIFS(Data_filtered!$G$2:$G$461,Data_filtered!$A$2:$A$461,$A8,Data_filtered!$F$2:$F$461,H$1,Data_filtered!$D$2:$D$461,"eucalipto",Data_filtered!$J$2:$J$461,"&lt;&gt;Incompleto")</f>
        <v>1</v>
      </c>
      <c r="I8" s="9">
        <f>SUMIFS(Data_filtered!$G$2:$G$461,Data_filtered!$A$2:$A$461,$A8,Data_filtered!$F$2:$F$461,I$1,Data_filtered!$D$2:$D$461,"eucalipto",Data_filtered!$J$2:$J$461,"&lt;&gt;Incompleto")</f>
        <v>0</v>
      </c>
      <c r="J8" s="9">
        <f>SUMIFS(Data_filtered!$G$2:$G$461,Data_filtered!$A$2:$A$461,$A8,Data_filtered!$F$2:$F$461,J$1,Data_filtered!$D$2:$D$461,"eucalipto",Data_filtered!$J$2:$J$461,"&lt;&gt;Incompleto")</f>
        <v>0</v>
      </c>
      <c r="K8" s="9">
        <f>SUMIFS(Data_filtered!$G$2:$G$461,Data_filtered!$A$2:$A$461,$A8,Data_filtered!$F$2:$F$461,K$1,Data_filtered!$D$2:$D$461,"eucalipto",Data_filtered!$J$2:$J$461,"&lt;&gt;Incompleto")</f>
        <v>0</v>
      </c>
      <c r="L8" s="9">
        <f>SUMIFS(Data_filtered!$G$2:$G$461,Data_filtered!$A$2:$A$461,$A8,Data_filtered!$F$2:$F$461,L$1,Data_filtered!$D$2:$D$461,"eucalipto",Data_filtered!$J$2:$J$461,"&lt;&gt;Incompleto")</f>
        <v>2</v>
      </c>
      <c r="M8" s="9">
        <f>SUMIFS(Data_filtered!$G$2:$G$461,Data_filtered!$A$2:$A$461,$A8,Data_filtered!$F$2:$F$461,M$1,Data_filtered!$D$2:$D$461,"eucalipto",Data_filtered!$J$2:$J$461,"&lt;&gt;Incompleto")</f>
        <v>0</v>
      </c>
      <c r="N8" s="9">
        <f>SUMIFS(Data_filtered!$G$2:$G$461,Data_filtered!$A$2:$A$461,$A8,Data_filtered!$F$2:$F$461,N$1,Data_filtered!$D$2:$D$461,"eucalipto",Data_filtered!$J$2:$J$461,"&lt;&gt;Incompleto")</f>
        <v>0</v>
      </c>
      <c r="O8" s="9">
        <f>SUMIFS(Data_filtered!$G$2:$G$461,Data_filtered!$A$2:$A$461,$A8,Data_filtered!$F$2:$F$461,O$1,Data_filtered!$D$2:$D$461,"eucalipto",Data_filtered!$J$2:$J$461,"&lt;&gt;Incompleto")</f>
        <v>0</v>
      </c>
      <c r="P8" s="9">
        <f>SUMIFS(Data_filtered!$G$2:$G$461,Data_filtered!$A$2:$A$461,$A8,Data_filtered!$F$2:$F$461,P$1,Data_filtered!$D$2:$D$461,"eucalipto",Data_filtered!$J$2:$J$461,"&lt;&gt;Incompleto")</f>
        <v>0</v>
      </c>
      <c r="Q8" s="9">
        <f>SUMIFS(Data_filtered!$G$2:$G$461,Data_filtered!$A$2:$A$461,$A8,Data_filtered!$F$2:$F$461,Q$1,Data_filtered!$D$2:$D$461,"eucalipto",Data_filtered!$J$2:$J$461,"&lt;&gt;Incompleto")</f>
        <v>0</v>
      </c>
      <c r="R8" s="9">
        <f>SUMIFS(Data_filtered!$G$2:$G$461,Data_filtered!$A$2:$A$461,$A8,Data_filtered!$F$2:$F$461,R$1,Data_filtered!$D$2:$D$461,"eucalipto",Data_filtered!$J$2:$J$461,"&lt;&gt;Incompleto")</f>
        <v>2</v>
      </c>
      <c r="S8" s="9">
        <f>SUMIFS(Data_filtered!$G$2:$G$461,Data_filtered!$A$2:$A$461,$A8,Data_filtered!$F$2:$F$461,S$1,Data_filtered!$D$2:$D$461,"eucalipto",Data_filtered!$J$2:$J$461,"&lt;&gt;Incompleto")</f>
        <v>0</v>
      </c>
      <c r="T8" s="9">
        <f>SUMIFS(Data_filtered!$G$2:$G$461,Data_filtered!$A$2:$A$461,$A8,Data_filtered!$F$2:$F$461,T$1,Data_filtered!$D$2:$D$461,"eucalipto",Data_filtered!$J$2:$J$461,"&lt;&gt;Incompleto")</f>
        <v>0</v>
      </c>
      <c r="U8" s="9">
        <f>SUMIFS(Data_filtered!$G$2:$G$461,Data_filtered!$A$2:$A$461,$A8,Data_filtered!$F$2:$F$461,U$1,Data_filtered!$D$2:$D$461,"eucalipto",Data_filtered!$J$2:$J$461,"&lt;&gt;Incompleto")</f>
        <v>0</v>
      </c>
      <c r="V8" s="9">
        <f>SUMIFS(Data_filtered!$G$2:$G$461,Data_filtered!$A$2:$A$461,$A8,Data_filtered!$F$2:$F$461,V$1,Data_filtered!$D$2:$D$461,"eucalipto",Data_filtered!$J$2:$J$461,"&lt;&gt;Incompleto")</f>
        <v>0</v>
      </c>
      <c r="W8" s="9">
        <f>SUMIFS(Data_filtered!$G$2:$G$461,Data_filtered!$A$2:$A$461,$A8,Data_filtered!$F$2:$F$461,W$1,Data_filtered!$D$2:$D$461,"eucalipto",Data_filtered!$J$2:$J$461,"&lt;&gt;Incompleto")</f>
        <v>1</v>
      </c>
      <c r="X8" s="9">
        <f>SUMIFS(Data_filtered!$G$2:$G$461,Data_filtered!$A$2:$A$461,$A8,Data_filtered!$F$2:$F$461,X$1,Data_filtered!$D$2:$D$461,"eucalipto",Data_filtered!$J$2:$J$461,"&lt;&gt;Incompleto")</f>
        <v>0</v>
      </c>
      <c r="Y8" s="9">
        <f>SUMIFS(Data_filtered!$G$2:$G$461,Data_filtered!$A$2:$A$461,$A8,Data_filtered!$F$2:$F$461,Y$1,Data_filtered!$D$2:$D$461,"eucalipto",Data_filtered!$J$2:$J$461,"&lt;&gt;Incompleto")</f>
        <v>1</v>
      </c>
    </row>
    <row r="9">
      <c r="A9" s="9" t="str">
        <f>IFERROR(__xludf.DUMMYFUNCTION("""COMPUTED_VALUE"""),"Ololygon obtriangulata")</f>
        <v>Ololygon obtriangulata</v>
      </c>
      <c r="B9" s="9">
        <f>SUMIFS(Data_filtered!$G$2:$G$461,Data_filtered!$A$2:$A$461,$A9,Data_filtered!$F$2:$F$461,B$1,Data_filtered!$D$2:$D$461,"eucalipto",Data_filtered!$J$2:$J$461,"&lt;&gt;Incompleto")</f>
        <v>0</v>
      </c>
      <c r="C9" s="9">
        <f>SUMIFS(Data_filtered!$G$2:$G$461,Data_filtered!$A$2:$A$461,$A9,Data_filtered!$F$2:$F$461,C$1,Data_filtered!$D$2:$D$461,"eucalipto",Data_filtered!$J$2:$J$461,"&lt;&gt;Incompleto")</f>
        <v>1</v>
      </c>
      <c r="D9" s="9">
        <f>SUMIFS(Data_filtered!$G$2:$G$461,Data_filtered!$A$2:$A$461,$A9,Data_filtered!$F$2:$F$461,D$1,Data_filtered!$D$2:$D$461,"eucalipto",Data_filtered!$J$2:$J$461,"&lt;&gt;Incompleto")</f>
        <v>0</v>
      </c>
      <c r="E9" s="9">
        <f>SUMIFS(Data_filtered!$G$2:$G$461,Data_filtered!$A$2:$A$461,$A9,Data_filtered!$F$2:$F$461,E$1,Data_filtered!$D$2:$D$461,"eucalipto",Data_filtered!$J$2:$J$461,"&lt;&gt;Incompleto")</f>
        <v>0</v>
      </c>
      <c r="F9" s="9">
        <f>SUMIFS(Data_filtered!$G$2:$G$461,Data_filtered!$A$2:$A$461,$A9,Data_filtered!$F$2:$F$461,F$1,Data_filtered!$D$2:$D$461,"eucalipto",Data_filtered!$J$2:$J$461,"&lt;&gt;Incompleto")</f>
        <v>0</v>
      </c>
      <c r="G9" s="9">
        <f>SUMIFS(Data_filtered!$G$2:$G$461,Data_filtered!$A$2:$A$461,$A9,Data_filtered!$F$2:$F$461,G$1,Data_filtered!$D$2:$D$461,"eucalipto",Data_filtered!$J$2:$J$461,"&lt;&gt;Incompleto")</f>
        <v>0</v>
      </c>
      <c r="H9" s="9">
        <f>SUMIFS(Data_filtered!$G$2:$G$461,Data_filtered!$A$2:$A$461,$A9,Data_filtered!$F$2:$F$461,H$1,Data_filtered!$D$2:$D$461,"eucalipto",Data_filtered!$J$2:$J$461,"&lt;&gt;Incompleto")</f>
        <v>0</v>
      </c>
      <c r="I9" s="9">
        <f>SUMIFS(Data_filtered!$G$2:$G$461,Data_filtered!$A$2:$A$461,$A9,Data_filtered!$F$2:$F$461,I$1,Data_filtered!$D$2:$D$461,"eucalipto",Data_filtered!$J$2:$J$461,"&lt;&gt;Incompleto")</f>
        <v>0</v>
      </c>
      <c r="J9" s="9">
        <f>SUMIFS(Data_filtered!$G$2:$G$461,Data_filtered!$A$2:$A$461,$A9,Data_filtered!$F$2:$F$461,J$1,Data_filtered!$D$2:$D$461,"eucalipto",Data_filtered!$J$2:$J$461,"&lt;&gt;Incompleto")</f>
        <v>0</v>
      </c>
      <c r="K9" s="9">
        <f>SUMIFS(Data_filtered!$G$2:$G$461,Data_filtered!$A$2:$A$461,$A9,Data_filtered!$F$2:$F$461,K$1,Data_filtered!$D$2:$D$461,"eucalipto",Data_filtered!$J$2:$J$461,"&lt;&gt;Incompleto")</f>
        <v>0</v>
      </c>
      <c r="L9" s="9">
        <f>SUMIFS(Data_filtered!$G$2:$G$461,Data_filtered!$A$2:$A$461,$A9,Data_filtered!$F$2:$F$461,L$1,Data_filtered!$D$2:$D$461,"eucalipto",Data_filtered!$J$2:$J$461,"&lt;&gt;Incompleto")</f>
        <v>0</v>
      </c>
      <c r="M9" s="9">
        <f>SUMIFS(Data_filtered!$G$2:$G$461,Data_filtered!$A$2:$A$461,$A9,Data_filtered!$F$2:$F$461,M$1,Data_filtered!$D$2:$D$461,"eucalipto",Data_filtered!$J$2:$J$461,"&lt;&gt;Incompleto")</f>
        <v>0</v>
      </c>
      <c r="N9" s="9">
        <f>SUMIFS(Data_filtered!$G$2:$G$461,Data_filtered!$A$2:$A$461,$A9,Data_filtered!$F$2:$F$461,N$1,Data_filtered!$D$2:$D$461,"eucalipto",Data_filtered!$J$2:$J$461,"&lt;&gt;Incompleto")</f>
        <v>0</v>
      </c>
      <c r="O9" s="9">
        <f>SUMIFS(Data_filtered!$G$2:$G$461,Data_filtered!$A$2:$A$461,$A9,Data_filtered!$F$2:$F$461,O$1,Data_filtered!$D$2:$D$461,"eucalipto",Data_filtered!$J$2:$J$461,"&lt;&gt;Incompleto")</f>
        <v>0</v>
      </c>
      <c r="P9" s="9">
        <f>SUMIFS(Data_filtered!$G$2:$G$461,Data_filtered!$A$2:$A$461,$A9,Data_filtered!$F$2:$F$461,P$1,Data_filtered!$D$2:$D$461,"eucalipto",Data_filtered!$J$2:$J$461,"&lt;&gt;Incompleto")</f>
        <v>0</v>
      </c>
      <c r="Q9" s="9">
        <f>SUMIFS(Data_filtered!$G$2:$G$461,Data_filtered!$A$2:$A$461,$A9,Data_filtered!$F$2:$F$461,Q$1,Data_filtered!$D$2:$D$461,"eucalipto",Data_filtered!$J$2:$J$461,"&lt;&gt;Incompleto")</f>
        <v>0</v>
      </c>
      <c r="R9" s="9">
        <f>SUMIFS(Data_filtered!$G$2:$G$461,Data_filtered!$A$2:$A$461,$A9,Data_filtered!$F$2:$F$461,R$1,Data_filtered!$D$2:$D$461,"eucalipto",Data_filtered!$J$2:$J$461,"&lt;&gt;Incompleto")</f>
        <v>0</v>
      </c>
      <c r="S9" s="9">
        <f>SUMIFS(Data_filtered!$G$2:$G$461,Data_filtered!$A$2:$A$461,$A9,Data_filtered!$F$2:$F$461,S$1,Data_filtered!$D$2:$D$461,"eucalipto",Data_filtered!$J$2:$J$461,"&lt;&gt;Incompleto")</f>
        <v>0</v>
      </c>
      <c r="T9" s="9">
        <f>SUMIFS(Data_filtered!$G$2:$G$461,Data_filtered!$A$2:$A$461,$A9,Data_filtered!$F$2:$F$461,T$1,Data_filtered!$D$2:$D$461,"eucalipto",Data_filtered!$J$2:$J$461,"&lt;&gt;Incompleto")</f>
        <v>0</v>
      </c>
      <c r="U9" s="9">
        <f>SUMIFS(Data_filtered!$G$2:$G$461,Data_filtered!$A$2:$A$461,$A9,Data_filtered!$F$2:$F$461,U$1,Data_filtered!$D$2:$D$461,"eucalipto",Data_filtered!$J$2:$J$461,"&lt;&gt;Incompleto")</f>
        <v>0</v>
      </c>
      <c r="V9" s="9">
        <f>SUMIFS(Data_filtered!$G$2:$G$461,Data_filtered!$A$2:$A$461,$A9,Data_filtered!$F$2:$F$461,V$1,Data_filtered!$D$2:$D$461,"eucalipto",Data_filtered!$J$2:$J$461,"&lt;&gt;Incompleto")</f>
        <v>0</v>
      </c>
      <c r="W9" s="9">
        <f>SUMIFS(Data_filtered!$G$2:$G$461,Data_filtered!$A$2:$A$461,$A9,Data_filtered!$F$2:$F$461,W$1,Data_filtered!$D$2:$D$461,"eucalipto",Data_filtered!$J$2:$J$461,"&lt;&gt;Incompleto")</f>
        <v>0</v>
      </c>
      <c r="X9" s="9">
        <f>SUMIFS(Data_filtered!$G$2:$G$461,Data_filtered!$A$2:$A$461,$A9,Data_filtered!$F$2:$F$461,X$1,Data_filtered!$D$2:$D$461,"eucalipto",Data_filtered!$J$2:$J$461,"&lt;&gt;Incompleto")</f>
        <v>0</v>
      </c>
      <c r="Y9" s="9">
        <f>SUMIFS(Data_filtered!$G$2:$G$461,Data_filtered!$A$2:$A$461,$A9,Data_filtered!$F$2:$F$461,Y$1,Data_filtered!$D$2:$D$461,"eucalipto",Data_filtered!$J$2:$J$461,"&lt;&gt;Incompleto")</f>
        <v>0</v>
      </c>
    </row>
    <row r="10">
      <c r="A10" s="9" t="str">
        <f>IFERROR(__xludf.DUMMYFUNCTION("""COMPUTED_VALUE"""),"Physalaemus olfersii")</f>
        <v>Physalaemus olfersii</v>
      </c>
      <c r="B10" s="9">
        <f>SUMIFS(Data_filtered!$G$2:$G$461,Data_filtered!$A$2:$A$461,$A10,Data_filtered!$F$2:$F$461,B$1,Data_filtered!$D$2:$D$461,"eucalipto",Data_filtered!$J$2:$J$461,"&lt;&gt;Incompleto")</f>
        <v>0</v>
      </c>
      <c r="C10" s="9">
        <f>SUMIFS(Data_filtered!$G$2:$G$461,Data_filtered!$A$2:$A$461,$A10,Data_filtered!$F$2:$F$461,C$1,Data_filtered!$D$2:$D$461,"eucalipto",Data_filtered!$J$2:$J$461,"&lt;&gt;Incompleto")</f>
        <v>0</v>
      </c>
      <c r="D10" s="9">
        <f>SUMIFS(Data_filtered!$G$2:$G$461,Data_filtered!$A$2:$A$461,$A10,Data_filtered!$F$2:$F$461,D$1,Data_filtered!$D$2:$D$461,"eucalipto",Data_filtered!$J$2:$J$461,"&lt;&gt;Incompleto")</f>
        <v>0</v>
      </c>
      <c r="E10" s="9">
        <f>SUMIFS(Data_filtered!$G$2:$G$461,Data_filtered!$A$2:$A$461,$A10,Data_filtered!$F$2:$F$461,E$1,Data_filtered!$D$2:$D$461,"eucalipto",Data_filtered!$J$2:$J$461,"&lt;&gt;Incompleto")</f>
        <v>0</v>
      </c>
      <c r="F10" s="9">
        <f>SUMIFS(Data_filtered!$G$2:$G$461,Data_filtered!$A$2:$A$461,$A10,Data_filtered!$F$2:$F$461,F$1,Data_filtered!$D$2:$D$461,"eucalipto",Data_filtered!$J$2:$J$461,"&lt;&gt;Incompleto")</f>
        <v>1</v>
      </c>
      <c r="G10" s="9">
        <f>SUMIFS(Data_filtered!$G$2:$G$461,Data_filtered!$A$2:$A$461,$A10,Data_filtered!$F$2:$F$461,G$1,Data_filtered!$D$2:$D$461,"eucalipto",Data_filtered!$J$2:$J$461,"&lt;&gt;Incompleto")</f>
        <v>0</v>
      </c>
      <c r="H10" s="9">
        <f>SUMIFS(Data_filtered!$G$2:$G$461,Data_filtered!$A$2:$A$461,$A10,Data_filtered!$F$2:$F$461,H$1,Data_filtered!$D$2:$D$461,"eucalipto",Data_filtered!$J$2:$J$461,"&lt;&gt;Incompleto")</f>
        <v>0</v>
      </c>
      <c r="I10" s="9">
        <f>SUMIFS(Data_filtered!$G$2:$G$461,Data_filtered!$A$2:$A$461,$A10,Data_filtered!$F$2:$F$461,I$1,Data_filtered!$D$2:$D$461,"eucalipto",Data_filtered!$J$2:$J$461,"&lt;&gt;Incompleto")</f>
        <v>0</v>
      </c>
      <c r="J10" s="9">
        <f>SUMIFS(Data_filtered!$G$2:$G$461,Data_filtered!$A$2:$A$461,$A10,Data_filtered!$F$2:$F$461,J$1,Data_filtered!$D$2:$D$461,"eucalipto",Data_filtered!$J$2:$J$461,"&lt;&gt;Incompleto")</f>
        <v>0</v>
      </c>
      <c r="K10" s="9">
        <f>SUMIFS(Data_filtered!$G$2:$G$461,Data_filtered!$A$2:$A$461,$A10,Data_filtered!$F$2:$F$461,K$1,Data_filtered!$D$2:$D$461,"eucalipto",Data_filtered!$J$2:$J$461,"&lt;&gt;Incompleto")</f>
        <v>0</v>
      </c>
      <c r="L10" s="9">
        <f>SUMIFS(Data_filtered!$G$2:$G$461,Data_filtered!$A$2:$A$461,$A10,Data_filtered!$F$2:$F$461,L$1,Data_filtered!$D$2:$D$461,"eucalipto",Data_filtered!$J$2:$J$461,"&lt;&gt;Incompleto")</f>
        <v>15</v>
      </c>
      <c r="M10" s="9">
        <f>SUMIFS(Data_filtered!$G$2:$G$461,Data_filtered!$A$2:$A$461,$A10,Data_filtered!$F$2:$F$461,M$1,Data_filtered!$D$2:$D$461,"eucalipto",Data_filtered!$J$2:$J$461,"&lt;&gt;Incompleto")</f>
        <v>0</v>
      </c>
      <c r="N10" s="9">
        <f>SUMIFS(Data_filtered!$G$2:$G$461,Data_filtered!$A$2:$A$461,$A10,Data_filtered!$F$2:$F$461,N$1,Data_filtered!$D$2:$D$461,"eucalipto",Data_filtered!$J$2:$J$461,"&lt;&gt;Incompleto")</f>
        <v>0</v>
      </c>
      <c r="O10" s="9">
        <f>SUMIFS(Data_filtered!$G$2:$G$461,Data_filtered!$A$2:$A$461,$A10,Data_filtered!$F$2:$F$461,O$1,Data_filtered!$D$2:$D$461,"eucalipto",Data_filtered!$J$2:$J$461,"&lt;&gt;Incompleto")</f>
        <v>0</v>
      </c>
      <c r="P10" s="9">
        <f>SUMIFS(Data_filtered!$G$2:$G$461,Data_filtered!$A$2:$A$461,$A10,Data_filtered!$F$2:$F$461,P$1,Data_filtered!$D$2:$D$461,"eucalipto",Data_filtered!$J$2:$J$461,"&lt;&gt;Incompleto")</f>
        <v>0</v>
      </c>
      <c r="Q10" s="9">
        <f>SUMIFS(Data_filtered!$G$2:$G$461,Data_filtered!$A$2:$A$461,$A10,Data_filtered!$F$2:$F$461,Q$1,Data_filtered!$D$2:$D$461,"eucalipto",Data_filtered!$J$2:$J$461,"&lt;&gt;Incompleto")</f>
        <v>0</v>
      </c>
      <c r="R10" s="9">
        <f>SUMIFS(Data_filtered!$G$2:$G$461,Data_filtered!$A$2:$A$461,$A10,Data_filtered!$F$2:$F$461,R$1,Data_filtered!$D$2:$D$461,"eucalipto",Data_filtered!$J$2:$J$461,"&lt;&gt;Incompleto")</f>
        <v>0</v>
      </c>
      <c r="S10" s="9">
        <f>SUMIFS(Data_filtered!$G$2:$G$461,Data_filtered!$A$2:$A$461,$A10,Data_filtered!$F$2:$F$461,S$1,Data_filtered!$D$2:$D$461,"eucalipto",Data_filtered!$J$2:$J$461,"&lt;&gt;Incompleto")</f>
        <v>0</v>
      </c>
      <c r="T10" s="9">
        <f>SUMIFS(Data_filtered!$G$2:$G$461,Data_filtered!$A$2:$A$461,$A10,Data_filtered!$F$2:$F$461,T$1,Data_filtered!$D$2:$D$461,"eucalipto",Data_filtered!$J$2:$J$461,"&lt;&gt;Incompleto")</f>
        <v>0</v>
      </c>
      <c r="U10" s="9">
        <f>SUMIFS(Data_filtered!$G$2:$G$461,Data_filtered!$A$2:$A$461,$A10,Data_filtered!$F$2:$F$461,U$1,Data_filtered!$D$2:$D$461,"eucalipto",Data_filtered!$J$2:$J$461,"&lt;&gt;Incompleto")</f>
        <v>0</v>
      </c>
      <c r="V10" s="9">
        <f>SUMIFS(Data_filtered!$G$2:$G$461,Data_filtered!$A$2:$A$461,$A10,Data_filtered!$F$2:$F$461,V$1,Data_filtered!$D$2:$D$461,"eucalipto",Data_filtered!$J$2:$J$461,"&lt;&gt;Incompleto")</f>
        <v>0</v>
      </c>
      <c r="W10" s="9">
        <f>SUMIFS(Data_filtered!$G$2:$G$461,Data_filtered!$A$2:$A$461,$A10,Data_filtered!$F$2:$F$461,W$1,Data_filtered!$D$2:$D$461,"eucalipto",Data_filtered!$J$2:$J$461,"&lt;&gt;Incompleto")</f>
        <v>0</v>
      </c>
      <c r="X10" s="9">
        <f>SUMIFS(Data_filtered!$G$2:$G$461,Data_filtered!$A$2:$A$461,$A10,Data_filtered!$F$2:$F$461,X$1,Data_filtered!$D$2:$D$461,"eucalipto",Data_filtered!$J$2:$J$461,"&lt;&gt;Incompleto")</f>
        <v>0</v>
      </c>
      <c r="Y10" s="9">
        <f>SUMIFS(Data_filtered!$G$2:$G$461,Data_filtered!$A$2:$A$461,$A10,Data_filtered!$F$2:$F$461,Y$1,Data_filtered!$D$2:$D$461,"eucalipto",Data_filtered!$J$2:$J$461,"&lt;&gt;Incompleto")</f>
        <v>0</v>
      </c>
    </row>
    <row r="11">
      <c r="A11" s="9" t="str">
        <f>IFERROR(__xludf.DUMMYFUNCTION("""COMPUTED_VALUE"""),"Proceratophrys boiei")</f>
        <v>Proceratophrys boiei</v>
      </c>
      <c r="B11" s="9">
        <f>SUMIFS(Data_filtered!$G$2:$G$461,Data_filtered!$A$2:$A$461,$A11,Data_filtered!$F$2:$F$461,B$1,Data_filtered!$D$2:$D$461,"eucalipto",Data_filtered!$J$2:$J$461,"&lt;&gt;Incompleto")</f>
        <v>0</v>
      </c>
      <c r="C11" s="9">
        <f>SUMIFS(Data_filtered!$G$2:$G$461,Data_filtered!$A$2:$A$461,$A11,Data_filtered!$F$2:$F$461,C$1,Data_filtered!$D$2:$D$461,"eucalipto",Data_filtered!$J$2:$J$461,"&lt;&gt;Incompleto")</f>
        <v>0</v>
      </c>
      <c r="D11" s="9">
        <f>SUMIFS(Data_filtered!$G$2:$G$461,Data_filtered!$A$2:$A$461,$A11,Data_filtered!$F$2:$F$461,D$1,Data_filtered!$D$2:$D$461,"eucalipto",Data_filtered!$J$2:$J$461,"&lt;&gt;Incompleto")</f>
        <v>0</v>
      </c>
      <c r="E11" s="9">
        <f>SUMIFS(Data_filtered!$G$2:$G$461,Data_filtered!$A$2:$A$461,$A11,Data_filtered!$F$2:$F$461,E$1,Data_filtered!$D$2:$D$461,"eucalipto",Data_filtered!$J$2:$J$461,"&lt;&gt;Incompleto")</f>
        <v>0</v>
      </c>
      <c r="F11" s="9">
        <f>SUMIFS(Data_filtered!$G$2:$G$461,Data_filtered!$A$2:$A$461,$A11,Data_filtered!$F$2:$F$461,F$1,Data_filtered!$D$2:$D$461,"eucalipto",Data_filtered!$J$2:$J$461,"&lt;&gt;Incompleto")</f>
        <v>1</v>
      </c>
      <c r="G11" s="9">
        <f>SUMIFS(Data_filtered!$G$2:$G$461,Data_filtered!$A$2:$A$461,$A11,Data_filtered!$F$2:$F$461,G$1,Data_filtered!$D$2:$D$461,"eucalipto",Data_filtered!$J$2:$J$461,"&lt;&gt;Incompleto")</f>
        <v>0</v>
      </c>
      <c r="H11" s="9">
        <f>SUMIFS(Data_filtered!$G$2:$G$461,Data_filtered!$A$2:$A$461,$A11,Data_filtered!$F$2:$F$461,H$1,Data_filtered!$D$2:$D$461,"eucalipto",Data_filtered!$J$2:$J$461,"&lt;&gt;Incompleto")</f>
        <v>0</v>
      </c>
      <c r="I11" s="9">
        <f>SUMIFS(Data_filtered!$G$2:$G$461,Data_filtered!$A$2:$A$461,$A11,Data_filtered!$F$2:$F$461,I$1,Data_filtered!$D$2:$D$461,"eucalipto",Data_filtered!$J$2:$J$461,"&lt;&gt;Incompleto")</f>
        <v>0</v>
      </c>
      <c r="J11" s="9">
        <f>SUMIFS(Data_filtered!$G$2:$G$461,Data_filtered!$A$2:$A$461,$A11,Data_filtered!$F$2:$F$461,J$1,Data_filtered!$D$2:$D$461,"eucalipto",Data_filtered!$J$2:$J$461,"&lt;&gt;Incompleto")</f>
        <v>0</v>
      </c>
      <c r="K11" s="9">
        <f>SUMIFS(Data_filtered!$G$2:$G$461,Data_filtered!$A$2:$A$461,$A11,Data_filtered!$F$2:$F$461,K$1,Data_filtered!$D$2:$D$461,"eucalipto",Data_filtered!$J$2:$J$461,"&lt;&gt;Incompleto")</f>
        <v>0</v>
      </c>
      <c r="L11" s="9">
        <f>SUMIFS(Data_filtered!$G$2:$G$461,Data_filtered!$A$2:$A$461,$A11,Data_filtered!$F$2:$F$461,L$1,Data_filtered!$D$2:$D$461,"eucalipto",Data_filtered!$J$2:$J$461,"&lt;&gt;Incompleto")</f>
        <v>0</v>
      </c>
      <c r="M11" s="9">
        <f>SUMIFS(Data_filtered!$G$2:$G$461,Data_filtered!$A$2:$A$461,$A11,Data_filtered!$F$2:$F$461,M$1,Data_filtered!$D$2:$D$461,"eucalipto",Data_filtered!$J$2:$J$461,"&lt;&gt;Incompleto")</f>
        <v>0</v>
      </c>
      <c r="N11" s="9">
        <f>SUMIFS(Data_filtered!$G$2:$G$461,Data_filtered!$A$2:$A$461,$A11,Data_filtered!$F$2:$F$461,N$1,Data_filtered!$D$2:$D$461,"eucalipto",Data_filtered!$J$2:$J$461,"&lt;&gt;Incompleto")</f>
        <v>0</v>
      </c>
      <c r="O11" s="9">
        <f>SUMIFS(Data_filtered!$G$2:$G$461,Data_filtered!$A$2:$A$461,$A11,Data_filtered!$F$2:$F$461,O$1,Data_filtered!$D$2:$D$461,"eucalipto",Data_filtered!$J$2:$J$461,"&lt;&gt;Incompleto")</f>
        <v>0</v>
      </c>
      <c r="P11" s="9">
        <f>SUMIFS(Data_filtered!$G$2:$G$461,Data_filtered!$A$2:$A$461,$A11,Data_filtered!$F$2:$F$461,P$1,Data_filtered!$D$2:$D$461,"eucalipto",Data_filtered!$J$2:$J$461,"&lt;&gt;Incompleto")</f>
        <v>0</v>
      </c>
      <c r="Q11" s="9">
        <f>SUMIFS(Data_filtered!$G$2:$G$461,Data_filtered!$A$2:$A$461,$A11,Data_filtered!$F$2:$F$461,Q$1,Data_filtered!$D$2:$D$461,"eucalipto",Data_filtered!$J$2:$J$461,"&lt;&gt;Incompleto")</f>
        <v>0</v>
      </c>
      <c r="R11" s="9">
        <f>SUMIFS(Data_filtered!$G$2:$G$461,Data_filtered!$A$2:$A$461,$A11,Data_filtered!$F$2:$F$461,R$1,Data_filtered!$D$2:$D$461,"eucalipto",Data_filtered!$J$2:$J$461,"&lt;&gt;Incompleto")</f>
        <v>0</v>
      </c>
      <c r="S11" s="9">
        <f>SUMIFS(Data_filtered!$G$2:$G$461,Data_filtered!$A$2:$A$461,$A11,Data_filtered!$F$2:$F$461,S$1,Data_filtered!$D$2:$D$461,"eucalipto",Data_filtered!$J$2:$J$461,"&lt;&gt;Incompleto")</f>
        <v>0</v>
      </c>
      <c r="T11" s="9">
        <f>SUMIFS(Data_filtered!$G$2:$G$461,Data_filtered!$A$2:$A$461,$A11,Data_filtered!$F$2:$F$461,T$1,Data_filtered!$D$2:$D$461,"eucalipto",Data_filtered!$J$2:$J$461,"&lt;&gt;Incompleto")</f>
        <v>0</v>
      </c>
      <c r="U11" s="9">
        <f>SUMIFS(Data_filtered!$G$2:$G$461,Data_filtered!$A$2:$A$461,$A11,Data_filtered!$F$2:$F$461,U$1,Data_filtered!$D$2:$D$461,"eucalipto",Data_filtered!$J$2:$J$461,"&lt;&gt;Incompleto")</f>
        <v>0</v>
      </c>
      <c r="V11" s="9">
        <f>SUMIFS(Data_filtered!$G$2:$G$461,Data_filtered!$A$2:$A$461,$A11,Data_filtered!$F$2:$F$461,V$1,Data_filtered!$D$2:$D$461,"eucalipto",Data_filtered!$J$2:$J$461,"&lt;&gt;Incompleto")</f>
        <v>0</v>
      </c>
      <c r="W11" s="9">
        <f>SUMIFS(Data_filtered!$G$2:$G$461,Data_filtered!$A$2:$A$461,$A11,Data_filtered!$F$2:$F$461,W$1,Data_filtered!$D$2:$D$461,"eucalipto",Data_filtered!$J$2:$J$461,"&lt;&gt;Incompleto")</f>
        <v>0</v>
      </c>
      <c r="X11" s="9">
        <f>SUMIFS(Data_filtered!$G$2:$G$461,Data_filtered!$A$2:$A$461,$A11,Data_filtered!$F$2:$F$461,X$1,Data_filtered!$D$2:$D$461,"eucalipto",Data_filtered!$J$2:$J$461,"&lt;&gt;Incompleto")</f>
        <v>0</v>
      </c>
      <c r="Y11" s="9">
        <f>SUMIFS(Data_filtered!$G$2:$G$461,Data_filtered!$A$2:$A$461,$A11,Data_filtered!$F$2:$F$461,Y$1,Data_filtered!$D$2:$D$461,"eucalipto",Data_filtered!$J$2:$J$461,"&lt;&gt;Incompleto")</f>
        <v>0</v>
      </c>
    </row>
    <row r="12">
      <c r="A12" s="9" t="str">
        <f>IFERROR(__xludf.DUMMYFUNCTION("""COMPUTED_VALUE"""),"Rhinella icterica")</f>
        <v>Rhinella icterica</v>
      </c>
      <c r="B12" s="9">
        <f>SUMIFS(Data_filtered!$G$2:$G$461,Data_filtered!$A$2:$A$461,$A12,Data_filtered!$F$2:$F$461,B$1,Data_filtered!$D$2:$D$461,"eucalipto",Data_filtered!$J$2:$J$461,"&lt;&gt;Incompleto")</f>
        <v>0</v>
      </c>
      <c r="C12" s="9">
        <f>SUMIFS(Data_filtered!$G$2:$G$461,Data_filtered!$A$2:$A$461,$A12,Data_filtered!$F$2:$F$461,C$1,Data_filtered!$D$2:$D$461,"eucalipto",Data_filtered!$J$2:$J$461,"&lt;&gt;Incompleto")</f>
        <v>0</v>
      </c>
      <c r="D12" s="9">
        <f>SUMIFS(Data_filtered!$G$2:$G$461,Data_filtered!$A$2:$A$461,$A12,Data_filtered!$F$2:$F$461,D$1,Data_filtered!$D$2:$D$461,"eucalipto",Data_filtered!$J$2:$J$461,"&lt;&gt;Incompleto")</f>
        <v>0</v>
      </c>
      <c r="E12" s="9">
        <f>SUMIFS(Data_filtered!$G$2:$G$461,Data_filtered!$A$2:$A$461,$A12,Data_filtered!$F$2:$F$461,E$1,Data_filtered!$D$2:$D$461,"eucalipto",Data_filtered!$J$2:$J$461,"&lt;&gt;Incompleto")</f>
        <v>0</v>
      </c>
      <c r="F12" s="9">
        <f>SUMIFS(Data_filtered!$G$2:$G$461,Data_filtered!$A$2:$A$461,$A12,Data_filtered!$F$2:$F$461,F$1,Data_filtered!$D$2:$D$461,"eucalipto",Data_filtered!$J$2:$J$461,"&lt;&gt;Incompleto")</f>
        <v>13</v>
      </c>
      <c r="G12" s="9">
        <f>SUMIFS(Data_filtered!$G$2:$G$461,Data_filtered!$A$2:$A$461,$A12,Data_filtered!$F$2:$F$461,G$1,Data_filtered!$D$2:$D$461,"eucalipto",Data_filtered!$J$2:$J$461,"&lt;&gt;Incompleto")</f>
        <v>0</v>
      </c>
      <c r="H12" s="9">
        <f>SUMIFS(Data_filtered!$G$2:$G$461,Data_filtered!$A$2:$A$461,$A12,Data_filtered!$F$2:$F$461,H$1,Data_filtered!$D$2:$D$461,"eucalipto",Data_filtered!$J$2:$J$461,"&lt;&gt;Incompleto")</f>
        <v>0</v>
      </c>
      <c r="I12" s="9">
        <f>SUMIFS(Data_filtered!$G$2:$G$461,Data_filtered!$A$2:$A$461,$A12,Data_filtered!$F$2:$F$461,I$1,Data_filtered!$D$2:$D$461,"eucalipto",Data_filtered!$J$2:$J$461,"&lt;&gt;Incompleto")</f>
        <v>0</v>
      </c>
      <c r="J12" s="9">
        <f>SUMIFS(Data_filtered!$G$2:$G$461,Data_filtered!$A$2:$A$461,$A12,Data_filtered!$F$2:$F$461,J$1,Data_filtered!$D$2:$D$461,"eucalipto",Data_filtered!$J$2:$J$461,"&lt;&gt;Incompleto")</f>
        <v>0</v>
      </c>
      <c r="K12" s="9">
        <f>SUMIFS(Data_filtered!$G$2:$G$461,Data_filtered!$A$2:$A$461,$A12,Data_filtered!$F$2:$F$461,K$1,Data_filtered!$D$2:$D$461,"eucalipto",Data_filtered!$J$2:$J$461,"&lt;&gt;Incompleto")</f>
        <v>0</v>
      </c>
      <c r="L12" s="9">
        <f>SUMIFS(Data_filtered!$G$2:$G$461,Data_filtered!$A$2:$A$461,$A12,Data_filtered!$F$2:$F$461,L$1,Data_filtered!$D$2:$D$461,"eucalipto",Data_filtered!$J$2:$J$461,"&lt;&gt;Incompleto")</f>
        <v>0</v>
      </c>
      <c r="M12" s="9">
        <f>SUMIFS(Data_filtered!$G$2:$G$461,Data_filtered!$A$2:$A$461,$A12,Data_filtered!$F$2:$F$461,M$1,Data_filtered!$D$2:$D$461,"eucalipto",Data_filtered!$J$2:$J$461,"&lt;&gt;Incompleto")</f>
        <v>0</v>
      </c>
      <c r="N12" s="9">
        <f>SUMIFS(Data_filtered!$G$2:$G$461,Data_filtered!$A$2:$A$461,$A12,Data_filtered!$F$2:$F$461,N$1,Data_filtered!$D$2:$D$461,"eucalipto",Data_filtered!$J$2:$J$461,"&lt;&gt;Incompleto")</f>
        <v>0</v>
      </c>
      <c r="O12" s="9">
        <f>SUMIFS(Data_filtered!$G$2:$G$461,Data_filtered!$A$2:$A$461,$A12,Data_filtered!$F$2:$F$461,O$1,Data_filtered!$D$2:$D$461,"eucalipto",Data_filtered!$J$2:$J$461,"&lt;&gt;Incompleto")</f>
        <v>0</v>
      </c>
      <c r="P12" s="9">
        <f>SUMIFS(Data_filtered!$G$2:$G$461,Data_filtered!$A$2:$A$461,$A12,Data_filtered!$F$2:$F$461,P$1,Data_filtered!$D$2:$D$461,"eucalipto",Data_filtered!$J$2:$J$461,"&lt;&gt;Incompleto")</f>
        <v>0</v>
      </c>
      <c r="Q12" s="9">
        <f>SUMIFS(Data_filtered!$G$2:$G$461,Data_filtered!$A$2:$A$461,$A12,Data_filtered!$F$2:$F$461,Q$1,Data_filtered!$D$2:$D$461,"eucalipto",Data_filtered!$J$2:$J$461,"&lt;&gt;Incompleto")</f>
        <v>0</v>
      </c>
      <c r="R12" s="9">
        <f>SUMIFS(Data_filtered!$G$2:$G$461,Data_filtered!$A$2:$A$461,$A12,Data_filtered!$F$2:$F$461,R$1,Data_filtered!$D$2:$D$461,"eucalipto",Data_filtered!$J$2:$J$461,"&lt;&gt;Incompleto")</f>
        <v>0</v>
      </c>
      <c r="S12" s="9">
        <f>SUMIFS(Data_filtered!$G$2:$G$461,Data_filtered!$A$2:$A$461,$A12,Data_filtered!$F$2:$F$461,S$1,Data_filtered!$D$2:$D$461,"eucalipto",Data_filtered!$J$2:$J$461,"&lt;&gt;Incompleto")</f>
        <v>0</v>
      </c>
      <c r="T12" s="9">
        <f>SUMIFS(Data_filtered!$G$2:$G$461,Data_filtered!$A$2:$A$461,$A12,Data_filtered!$F$2:$F$461,T$1,Data_filtered!$D$2:$D$461,"eucalipto",Data_filtered!$J$2:$J$461,"&lt;&gt;Incompleto")</f>
        <v>0</v>
      </c>
      <c r="U12" s="9">
        <f>SUMIFS(Data_filtered!$G$2:$G$461,Data_filtered!$A$2:$A$461,$A12,Data_filtered!$F$2:$F$461,U$1,Data_filtered!$D$2:$D$461,"eucalipto",Data_filtered!$J$2:$J$461,"&lt;&gt;Incompleto")</f>
        <v>0</v>
      </c>
      <c r="V12" s="9">
        <f>SUMIFS(Data_filtered!$G$2:$G$461,Data_filtered!$A$2:$A$461,$A12,Data_filtered!$F$2:$F$461,V$1,Data_filtered!$D$2:$D$461,"eucalipto",Data_filtered!$J$2:$J$461,"&lt;&gt;Incompleto")</f>
        <v>0</v>
      </c>
      <c r="W12" s="9">
        <f>SUMIFS(Data_filtered!$G$2:$G$461,Data_filtered!$A$2:$A$461,$A12,Data_filtered!$F$2:$F$461,W$1,Data_filtered!$D$2:$D$461,"eucalipto",Data_filtered!$J$2:$J$461,"&lt;&gt;Incompleto")</f>
        <v>0</v>
      </c>
      <c r="X12" s="9">
        <f>SUMIFS(Data_filtered!$G$2:$G$461,Data_filtered!$A$2:$A$461,$A12,Data_filtered!$F$2:$F$461,X$1,Data_filtered!$D$2:$D$461,"eucalipto",Data_filtered!$J$2:$J$461,"&lt;&gt;Incompleto")</f>
        <v>0</v>
      </c>
      <c r="Y12" s="9">
        <f>SUMIFS(Data_filtered!$G$2:$G$461,Data_filtered!$A$2:$A$461,$A12,Data_filtered!$F$2:$F$461,Y$1,Data_filtered!$D$2:$D$461,"eucalipto",Data_filtered!$J$2:$J$461,"&lt;&gt;Incompleto")</f>
        <v>0</v>
      </c>
    </row>
    <row r="13">
      <c r="B13" s="9">
        <f t="shared" ref="B13:Y13" si="1">COUNTIF(B2:B12,"&gt;0")</f>
        <v>1</v>
      </c>
      <c r="C13" s="9">
        <f t="shared" si="1"/>
        <v>2</v>
      </c>
      <c r="D13" s="9">
        <f t="shared" si="1"/>
        <v>2</v>
      </c>
      <c r="E13" s="9">
        <f t="shared" si="1"/>
        <v>2</v>
      </c>
      <c r="F13" s="9">
        <f t="shared" si="1"/>
        <v>8</v>
      </c>
      <c r="G13" s="9">
        <f t="shared" si="1"/>
        <v>0</v>
      </c>
      <c r="H13" s="9">
        <f t="shared" si="1"/>
        <v>1</v>
      </c>
      <c r="I13" s="9">
        <f t="shared" si="1"/>
        <v>1</v>
      </c>
      <c r="J13" s="9">
        <f t="shared" si="1"/>
        <v>0</v>
      </c>
      <c r="K13" s="9">
        <f t="shared" si="1"/>
        <v>0</v>
      </c>
      <c r="L13" s="9">
        <f t="shared" si="1"/>
        <v>3</v>
      </c>
      <c r="M13" s="9">
        <f t="shared" si="1"/>
        <v>0</v>
      </c>
      <c r="N13" s="9">
        <f t="shared" si="1"/>
        <v>0</v>
      </c>
      <c r="O13" s="9">
        <f t="shared" si="1"/>
        <v>0</v>
      </c>
      <c r="P13" s="9">
        <f t="shared" si="1"/>
        <v>0</v>
      </c>
      <c r="Q13" s="9">
        <f t="shared" si="1"/>
        <v>0</v>
      </c>
      <c r="R13" s="9">
        <f t="shared" si="1"/>
        <v>1</v>
      </c>
      <c r="S13" s="9">
        <f t="shared" si="1"/>
        <v>0</v>
      </c>
      <c r="T13" s="9">
        <f t="shared" si="1"/>
        <v>1</v>
      </c>
      <c r="U13" s="9">
        <f t="shared" si="1"/>
        <v>1</v>
      </c>
      <c r="V13" s="9">
        <f t="shared" si="1"/>
        <v>0</v>
      </c>
      <c r="W13" s="9">
        <f t="shared" si="1"/>
        <v>2</v>
      </c>
      <c r="X13" s="9">
        <f t="shared" si="1"/>
        <v>0</v>
      </c>
      <c r="Y13" s="9">
        <f t="shared" si="1"/>
        <v>1</v>
      </c>
    </row>
    <row r="14">
      <c r="B14" s="9">
        <f t="shared" ref="B14:Y14" si="2">COUNT(B2:B12)</f>
        <v>11</v>
      </c>
      <c r="C14" s="9">
        <f t="shared" si="2"/>
        <v>11</v>
      </c>
      <c r="D14" s="9">
        <f t="shared" si="2"/>
        <v>11</v>
      </c>
      <c r="E14" s="9">
        <f t="shared" si="2"/>
        <v>11</v>
      </c>
      <c r="F14" s="9">
        <f t="shared" si="2"/>
        <v>11</v>
      </c>
      <c r="G14" s="9">
        <f t="shared" si="2"/>
        <v>11</v>
      </c>
      <c r="H14" s="9">
        <f t="shared" si="2"/>
        <v>11</v>
      </c>
      <c r="I14" s="9">
        <f t="shared" si="2"/>
        <v>11</v>
      </c>
      <c r="J14" s="9">
        <f t="shared" si="2"/>
        <v>11</v>
      </c>
      <c r="K14" s="9">
        <f t="shared" si="2"/>
        <v>11</v>
      </c>
      <c r="L14" s="9">
        <f t="shared" si="2"/>
        <v>11</v>
      </c>
      <c r="M14" s="9">
        <f t="shared" si="2"/>
        <v>11</v>
      </c>
      <c r="N14" s="9">
        <f t="shared" si="2"/>
        <v>11</v>
      </c>
      <c r="O14" s="9">
        <f t="shared" si="2"/>
        <v>11</v>
      </c>
      <c r="P14" s="9">
        <f t="shared" si="2"/>
        <v>11</v>
      </c>
      <c r="Q14" s="9">
        <f t="shared" si="2"/>
        <v>11</v>
      </c>
      <c r="R14" s="9">
        <f t="shared" si="2"/>
        <v>11</v>
      </c>
      <c r="S14" s="9">
        <f t="shared" si="2"/>
        <v>11</v>
      </c>
      <c r="T14" s="9">
        <f t="shared" si="2"/>
        <v>11</v>
      </c>
      <c r="U14" s="9">
        <f t="shared" si="2"/>
        <v>11</v>
      </c>
      <c r="V14" s="9">
        <f t="shared" si="2"/>
        <v>11</v>
      </c>
      <c r="W14" s="9">
        <f t="shared" si="2"/>
        <v>11</v>
      </c>
      <c r="X14" s="9">
        <f t="shared" si="2"/>
        <v>11</v>
      </c>
      <c r="Y14" s="9">
        <f t="shared" si="2"/>
        <v>11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</cols>
  <sheetData>
    <row r="1">
      <c r="B1" s="9" t="str">
        <f>IFERROR(__xludf.DUMMYFUNCTION("TRANSPOSE(SORT(UNIQUE(FILTER(Data_filtered!F2:F461,Data_filtered!E$2:E$461&lt;&gt;""Não identificado"",Data_filtered!E$2:E$461&lt;&gt;""Semente"",Data_filtered!E$2:E$461&lt;&gt;""Semente de capim"",Data_filtered!E$2:E$461&lt;&gt;""Apenas substrato"",Data_filtered!E$2:E$461&lt;&gt;""Va"&amp;"zio"", Data_filtered!$J$2:$J$461&lt;&gt;""Incompleto""))))"),"Acari")</f>
        <v>Acari</v>
      </c>
      <c r="C1" s="9" t="str">
        <f>IFERROR(__xludf.DUMMYFUNCTION("""COMPUTED_VALUE"""),"Araneae")</f>
        <v>Araneae</v>
      </c>
      <c r="D1" s="9" t="str">
        <f>IFERROR(__xludf.DUMMYFUNCTION("""COMPUTED_VALUE"""),"Blattodea")</f>
        <v>Blattodea</v>
      </c>
      <c r="E1" s="9" t="str">
        <f>IFERROR(__xludf.DUMMYFUNCTION("""COMPUTED_VALUE"""),"Chilopoda")</f>
        <v>Chilopoda</v>
      </c>
      <c r="F1" s="9" t="str">
        <f>IFERROR(__xludf.DUMMYFUNCTION("""COMPUTED_VALUE"""),"Coleoptera")</f>
        <v>Coleoptera</v>
      </c>
      <c r="G1" s="9" t="str">
        <f>IFERROR(__xludf.DUMMYFUNCTION("""COMPUTED_VALUE"""),"Coleoptera Larva")</f>
        <v>Coleoptera Larva</v>
      </c>
      <c r="H1" s="9" t="str">
        <f>IFERROR(__xludf.DUMMYFUNCTION("""COMPUTED_VALUE"""),"Collembola")</f>
        <v>Collembola</v>
      </c>
      <c r="I1" s="9" t="str">
        <f>IFERROR(__xludf.DUMMYFUNCTION("""COMPUTED_VALUE"""),"Dermaptera")</f>
        <v>Dermaptera</v>
      </c>
      <c r="J1" s="9" t="str">
        <f>IFERROR(__xludf.DUMMYFUNCTION("""COMPUTED_VALUE"""),"Diplopoda")</f>
        <v>Diplopoda</v>
      </c>
      <c r="K1" s="9" t="str">
        <f>IFERROR(__xludf.DUMMYFUNCTION("""COMPUTED_VALUE"""),"Ensifera")</f>
        <v>Ensifera</v>
      </c>
      <c r="L1" s="9" t="str">
        <f>IFERROR(__xludf.DUMMYFUNCTION("""COMPUTED_VALUE"""),"Formicidae")</f>
        <v>Formicidae</v>
      </c>
      <c r="M1" s="9" t="str">
        <f>IFERROR(__xludf.DUMMYFUNCTION("""COMPUTED_VALUE"""),"Hemiptera")</f>
        <v>Hemiptera</v>
      </c>
      <c r="N1" s="9" t="str">
        <f>IFERROR(__xludf.DUMMYFUNCTION("""COMPUTED_VALUE"""),"Heteroptera")</f>
        <v>Heteroptera</v>
      </c>
      <c r="O1" s="9" t="str">
        <f>IFERROR(__xludf.DUMMYFUNCTION("""COMPUTED_VALUE"""),"Isópode")</f>
        <v>Isópode</v>
      </c>
      <c r="P1" s="9" t="str">
        <f>IFERROR(__xludf.DUMMYFUNCTION("""COMPUTED_VALUE"""),"Isoptera")</f>
        <v>Isoptera</v>
      </c>
      <c r="Q1" s="9" t="str">
        <f>IFERROR(__xludf.DUMMYFUNCTION("""COMPUTED_VALUE"""),"Larva")</f>
        <v>Larva</v>
      </c>
      <c r="R1" s="9" t="str">
        <f>IFERROR(__xludf.DUMMYFUNCTION("""COMPUTED_VALUE"""),"Lepidoptera Larva")</f>
        <v>Lepidoptera Larva</v>
      </c>
      <c r="S1" s="9" t="str">
        <f>IFERROR(__xludf.DUMMYFUNCTION("""COMPUTED_VALUE"""),"Mosca")</f>
        <v>Mosca</v>
      </c>
      <c r="T1" s="9" t="str">
        <f>IFERROR(__xludf.DUMMYFUNCTION("""COMPUTED_VALUE"""),"Opiliones")</f>
        <v>Opiliones</v>
      </c>
      <c r="U1" s="9" t="str">
        <f>IFERROR(__xludf.DUMMYFUNCTION("""COMPUTED_VALUE"""),"Orthoptera")</f>
        <v>Orthoptera</v>
      </c>
      <c r="V1" s="9" t="str">
        <f>IFERROR(__xludf.DUMMYFUNCTION("""COMPUTED_VALUE"""),"Pterygota")</f>
        <v>Pterygota</v>
      </c>
      <c r="W1" s="9" t="str">
        <f>IFERROR(__xludf.DUMMYFUNCTION("""COMPUTED_VALUE"""),"Staphylinidae")</f>
        <v>Staphylinidae</v>
      </c>
      <c r="X1" s="9" t="str">
        <f>IFERROR(__xludf.DUMMYFUNCTION("""COMPUTED_VALUE"""),"Thysanoptera")</f>
        <v>Thysanoptera</v>
      </c>
      <c r="Y1" s="9" t="str">
        <f>IFERROR(__xludf.DUMMYFUNCTION("""COMPUTED_VALUE"""),"Vespa")</f>
        <v>Vespa</v>
      </c>
    </row>
    <row r="2">
      <c r="A2" s="9" t="str">
        <f>IFERROR(__xludf.DUMMYFUNCTION("SORT(UNIQUE(FILTER(Data_filtered!$A$2:$A$461,Data_filtered!$E$2:$E$461&lt;&gt;""Vazio"",Data_filtered!$E$2:$E$461&lt;&gt;""Não identificado"",Data_filtered!$E$2:$E$461&lt;&gt;""Semente"",Data_filtered!$E$2:$E$461&lt;&gt;""Semente de capim"",Data_filtered!$E$2:$E$461&lt;&gt;""Apenas su"&amp;"bstrato"", Data_filtered!$D$2:$D$461 =""mata"", Data_filtered!$J$2:$J$461 &lt;&gt;""Incompleto"")))"),"Aplastodiscus albosignatus")</f>
        <v>Aplastodiscus albosignatus</v>
      </c>
      <c r="B2" s="9">
        <f>SUMIFS(Data_filtered!$G$2:$G$461,Data_filtered!$A$2:$A$461,$A2,Data_filtered!$F$2:$F$461,B$1, Data_filtered!$D$2:$D$461,"mata",Data_filtered!$J$2:$J$461,"&lt;&gt;Incompleto")</f>
        <v>0</v>
      </c>
      <c r="C2" s="9">
        <f>SUMIFS(Data_filtered!$G$2:$G$461,Data_filtered!$A$2:$A$461,$A2,Data_filtered!$F$2:$F$461,C$1, Data_filtered!$D$2:$D$461,"mata",Data_filtered!$J$2:$J$461,"&lt;&gt;Incompleto")</f>
        <v>0</v>
      </c>
      <c r="D2" s="9">
        <f>SUMIFS(Data_filtered!$G$2:$G$461,Data_filtered!$A$2:$A$461,$A2,Data_filtered!$F$2:$F$461,D$1, Data_filtered!$D$2:$D$461,"mata",Data_filtered!$J$2:$J$461,"&lt;&gt;Incompleto")</f>
        <v>0</v>
      </c>
      <c r="E2" s="9">
        <f>SUMIFS(Data_filtered!$G$2:$G$461,Data_filtered!$A$2:$A$461,$A2,Data_filtered!$F$2:$F$461,E$1, Data_filtered!$D$2:$D$461,"mata",Data_filtered!$J$2:$J$461,"&lt;&gt;Incompleto")</f>
        <v>0</v>
      </c>
      <c r="F2" s="9">
        <f>SUMIFS(Data_filtered!$G$2:$G$461,Data_filtered!$A$2:$A$461,$A2,Data_filtered!$F$2:$F$461,F$1, Data_filtered!$D$2:$D$461,"mata",Data_filtered!$J$2:$J$461,"&lt;&gt;Incompleto")</f>
        <v>1</v>
      </c>
      <c r="G2" s="9">
        <f>SUMIFS(Data_filtered!$G$2:$G$461,Data_filtered!$A$2:$A$461,$A2,Data_filtered!$F$2:$F$461,G$1, Data_filtered!$D$2:$D$461,"mata",Data_filtered!$J$2:$J$461,"&lt;&gt;Incompleto")</f>
        <v>0</v>
      </c>
      <c r="H2" s="9">
        <f>SUMIFS(Data_filtered!$G$2:$G$461,Data_filtered!$A$2:$A$461,$A2,Data_filtered!$F$2:$F$461,H$1, Data_filtered!$D$2:$D$461,"mata",Data_filtered!$J$2:$J$461,"&lt;&gt;Incompleto")</f>
        <v>0</v>
      </c>
      <c r="I2" s="9">
        <f>SUMIFS(Data_filtered!$G$2:$G$461,Data_filtered!$A$2:$A$461,$A2,Data_filtered!$F$2:$F$461,I$1, Data_filtered!$D$2:$D$461,"mata",Data_filtered!$J$2:$J$461,"&lt;&gt;Incompleto")</f>
        <v>0</v>
      </c>
      <c r="J2" s="9">
        <f>SUMIFS(Data_filtered!$G$2:$G$461,Data_filtered!$A$2:$A$461,$A2,Data_filtered!$F$2:$F$461,J$1, Data_filtered!$D$2:$D$461,"mata",Data_filtered!$J$2:$J$461,"&lt;&gt;Incompleto")</f>
        <v>0</v>
      </c>
      <c r="K2" s="9">
        <f>SUMIFS(Data_filtered!$G$2:$G$461,Data_filtered!$A$2:$A$461,$A2,Data_filtered!$F$2:$F$461,K$1, Data_filtered!$D$2:$D$461,"mata",Data_filtered!$J$2:$J$461,"&lt;&gt;Incompleto")</f>
        <v>0</v>
      </c>
      <c r="L2" s="9">
        <f>SUMIFS(Data_filtered!$G$2:$G$461,Data_filtered!$A$2:$A$461,$A2,Data_filtered!$F$2:$F$461,L$1, Data_filtered!$D$2:$D$461,"mata",Data_filtered!$J$2:$J$461,"&lt;&gt;Incompleto")</f>
        <v>0</v>
      </c>
      <c r="M2" s="9">
        <f>SUMIFS(Data_filtered!$G$2:$G$461,Data_filtered!$A$2:$A$461,$A2,Data_filtered!$F$2:$F$461,M$1, Data_filtered!$D$2:$D$461,"mata",Data_filtered!$J$2:$J$461,"&lt;&gt;Incompleto")</f>
        <v>0</v>
      </c>
      <c r="N2" s="9">
        <f>SUMIFS(Data_filtered!$G$2:$G$461,Data_filtered!$A$2:$A$461,$A2,Data_filtered!$F$2:$F$461,N$1, Data_filtered!$D$2:$D$461,"mata",Data_filtered!$J$2:$J$461,"&lt;&gt;Incompleto")</f>
        <v>0</v>
      </c>
      <c r="O2" s="9">
        <f>SUMIFS(Data_filtered!$G$2:$G$461,Data_filtered!$A$2:$A$461,$A2,Data_filtered!$F$2:$F$461,O$1, Data_filtered!$D$2:$D$461,"mata",Data_filtered!$J$2:$J$461,"&lt;&gt;Incompleto")</f>
        <v>0</v>
      </c>
      <c r="P2" s="9">
        <f>SUMIFS(Data_filtered!$G$2:$G$461,Data_filtered!$A$2:$A$461,$A2,Data_filtered!$F$2:$F$461,P$1, Data_filtered!$D$2:$D$461,"mata",Data_filtered!$J$2:$J$461,"&lt;&gt;Incompleto")</f>
        <v>0</v>
      </c>
      <c r="Q2" s="9">
        <f>SUMIFS(Data_filtered!$G$2:$G$461,Data_filtered!$A$2:$A$461,$A2,Data_filtered!$F$2:$F$461,Q$1, Data_filtered!$D$2:$D$461,"mata",Data_filtered!$J$2:$J$461,"&lt;&gt;Incompleto")</f>
        <v>0</v>
      </c>
      <c r="R2" s="9">
        <f>SUMIFS(Data_filtered!$G$2:$G$461,Data_filtered!$A$2:$A$461,$A2,Data_filtered!$F$2:$F$461,R$1, Data_filtered!$D$2:$D$461,"mata",Data_filtered!$J$2:$J$461,"&lt;&gt;Incompleto")</f>
        <v>0</v>
      </c>
      <c r="S2" s="9">
        <f>SUMIFS(Data_filtered!$G$2:$G$461,Data_filtered!$A$2:$A$461,$A2,Data_filtered!$F$2:$F$461,S$1, Data_filtered!$D$2:$D$461,"mata",Data_filtered!$J$2:$J$461,"&lt;&gt;Incompleto")</f>
        <v>0</v>
      </c>
      <c r="T2" s="9">
        <f>SUMIFS(Data_filtered!$G$2:$G$461,Data_filtered!$A$2:$A$461,$A2,Data_filtered!$F$2:$F$461,T$1, Data_filtered!$D$2:$D$461,"mata",Data_filtered!$J$2:$J$461,"&lt;&gt;Incompleto")</f>
        <v>0</v>
      </c>
      <c r="U2" s="9">
        <f>SUMIFS(Data_filtered!$G$2:$G$461,Data_filtered!$A$2:$A$461,$A2,Data_filtered!$F$2:$F$461,U$1, Data_filtered!$D$2:$D$461,"mata",Data_filtered!$J$2:$J$461,"&lt;&gt;Incompleto")</f>
        <v>0</v>
      </c>
      <c r="V2" s="9">
        <f>SUMIFS(Data_filtered!$G$2:$G$461,Data_filtered!$A$2:$A$461,$A2,Data_filtered!$F$2:$F$461,V$1, Data_filtered!$D$2:$D$461,"mata",Data_filtered!$J$2:$J$461,"&lt;&gt;Incompleto")</f>
        <v>0</v>
      </c>
      <c r="W2" s="9">
        <f>SUMIFS(Data_filtered!$G$2:$G$461,Data_filtered!$A$2:$A$461,$A2,Data_filtered!$F$2:$F$461,W$1, Data_filtered!$D$2:$D$461,"mata",Data_filtered!$J$2:$J$461,"&lt;&gt;Incompleto")</f>
        <v>0</v>
      </c>
      <c r="X2" s="9">
        <f>SUMIFS(Data_filtered!$G$2:$G$461,Data_filtered!$A$2:$A$461,$A2,Data_filtered!$F$2:$F$461,X$1, Data_filtered!$D$2:$D$461,"mata",Data_filtered!$J$2:$J$461,"&lt;&gt;Incompleto")</f>
        <v>0</v>
      </c>
      <c r="Y2" s="9">
        <f>SUMIFS(Data_filtered!$G$2:$G$461,Data_filtered!$A$2:$A$461,$A2,Data_filtered!$F$2:$F$461,Y$1, Data_filtered!$D$2:$D$461,"mata",Data_filtered!$J$2:$J$461,"&lt;&gt;Incompleto")</f>
        <v>0</v>
      </c>
    </row>
    <row r="3">
      <c r="A3" s="9" t="str">
        <f>IFERROR(__xludf.DUMMYFUNCTION("""COMPUTED_VALUE"""),"Boana faber")</f>
        <v>Boana faber</v>
      </c>
      <c r="B3" s="9">
        <f>SUMIFS(Data_filtered!$G$2:$G$461,Data_filtered!$A$2:$A$461,$A3,Data_filtered!$F$2:$F$461,B$1, Data_filtered!$D$2:$D$461,"mata",Data_filtered!$J$2:$J$461,"&lt;&gt;Incompleto")</f>
        <v>0</v>
      </c>
      <c r="C3" s="9">
        <f>SUMIFS(Data_filtered!$G$2:$G$461,Data_filtered!$A$2:$A$461,$A3,Data_filtered!$F$2:$F$461,C$1, Data_filtered!$D$2:$D$461,"mata",Data_filtered!$J$2:$J$461,"&lt;&gt;Incompleto")</f>
        <v>1</v>
      </c>
      <c r="D3" s="9">
        <f>SUMIFS(Data_filtered!$G$2:$G$461,Data_filtered!$A$2:$A$461,$A3,Data_filtered!$F$2:$F$461,D$1, Data_filtered!$D$2:$D$461,"mata",Data_filtered!$J$2:$J$461,"&lt;&gt;Incompleto")</f>
        <v>0</v>
      </c>
      <c r="E3" s="9">
        <f>SUMIFS(Data_filtered!$G$2:$G$461,Data_filtered!$A$2:$A$461,$A3,Data_filtered!$F$2:$F$461,E$1, Data_filtered!$D$2:$D$461,"mata",Data_filtered!$J$2:$J$461,"&lt;&gt;Incompleto")</f>
        <v>0</v>
      </c>
      <c r="F3" s="9">
        <f>SUMIFS(Data_filtered!$G$2:$G$461,Data_filtered!$A$2:$A$461,$A3,Data_filtered!$F$2:$F$461,F$1, Data_filtered!$D$2:$D$461,"mata",Data_filtered!$J$2:$J$461,"&lt;&gt;Incompleto")</f>
        <v>0</v>
      </c>
      <c r="G3" s="9">
        <f>SUMIFS(Data_filtered!$G$2:$G$461,Data_filtered!$A$2:$A$461,$A3,Data_filtered!$F$2:$F$461,G$1, Data_filtered!$D$2:$D$461,"mata",Data_filtered!$J$2:$J$461,"&lt;&gt;Incompleto")</f>
        <v>0</v>
      </c>
      <c r="H3" s="9">
        <f>SUMIFS(Data_filtered!$G$2:$G$461,Data_filtered!$A$2:$A$461,$A3,Data_filtered!$F$2:$F$461,H$1, Data_filtered!$D$2:$D$461,"mata",Data_filtered!$J$2:$J$461,"&lt;&gt;Incompleto")</f>
        <v>0</v>
      </c>
      <c r="I3" s="9">
        <f>SUMIFS(Data_filtered!$G$2:$G$461,Data_filtered!$A$2:$A$461,$A3,Data_filtered!$F$2:$F$461,I$1, Data_filtered!$D$2:$D$461,"mata",Data_filtered!$J$2:$J$461,"&lt;&gt;Incompleto")</f>
        <v>0</v>
      </c>
      <c r="J3" s="9">
        <f>SUMIFS(Data_filtered!$G$2:$G$461,Data_filtered!$A$2:$A$461,$A3,Data_filtered!$F$2:$F$461,J$1, Data_filtered!$D$2:$D$461,"mata",Data_filtered!$J$2:$J$461,"&lt;&gt;Incompleto")</f>
        <v>1</v>
      </c>
      <c r="K3" s="9">
        <f>SUMIFS(Data_filtered!$G$2:$G$461,Data_filtered!$A$2:$A$461,$A3,Data_filtered!$F$2:$F$461,K$1, Data_filtered!$D$2:$D$461,"mata",Data_filtered!$J$2:$J$461,"&lt;&gt;Incompleto")</f>
        <v>1</v>
      </c>
      <c r="L3" s="9">
        <f>SUMIFS(Data_filtered!$G$2:$G$461,Data_filtered!$A$2:$A$461,$A3,Data_filtered!$F$2:$F$461,L$1, Data_filtered!$D$2:$D$461,"mata",Data_filtered!$J$2:$J$461,"&lt;&gt;Incompleto")</f>
        <v>0</v>
      </c>
      <c r="M3" s="9">
        <f>SUMIFS(Data_filtered!$G$2:$G$461,Data_filtered!$A$2:$A$461,$A3,Data_filtered!$F$2:$F$461,M$1, Data_filtered!$D$2:$D$461,"mata",Data_filtered!$J$2:$J$461,"&lt;&gt;Incompleto")</f>
        <v>0</v>
      </c>
      <c r="N3" s="9">
        <f>SUMIFS(Data_filtered!$G$2:$G$461,Data_filtered!$A$2:$A$461,$A3,Data_filtered!$F$2:$F$461,N$1, Data_filtered!$D$2:$D$461,"mata",Data_filtered!$J$2:$J$461,"&lt;&gt;Incompleto")</f>
        <v>0</v>
      </c>
      <c r="O3" s="9">
        <f>SUMIFS(Data_filtered!$G$2:$G$461,Data_filtered!$A$2:$A$461,$A3,Data_filtered!$F$2:$F$461,O$1, Data_filtered!$D$2:$D$461,"mata",Data_filtered!$J$2:$J$461,"&lt;&gt;Incompleto")</f>
        <v>0</v>
      </c>
      <c r="P3" s="9">
        <f>SUMIFS(Data_filtered!$G$2:$G$461,Data_filtered!$A$2:$A$461,$A3,Data_filtered!$F$2:$F$461,P$1, Data_filtered!$D$2:$D$461,"mata",Data_filtered!$J$2:$J$461,"&lt;&gt;Incompleto")</f>
        <v>0</v>
      </c>
      <c r="Q3" s="9">
        <f>SUMIFS(Data_filtered!$G$2:$G$461,Data_filtered!$A$2:$A$461,$A3,Data_filtered!$F$2:$F$461,Q$1, Data_filtered!$D$2:$D$461,"mata",Data_filtered!$J$2:$J$461,"&lt;&gt;Incompleto")</f>
        <v>0</v>
      </c>
      <c r="R3" s="9">
        <f>SUMIFS(Data_filtered!$G$2:$G$461,Data_filtered!$A$2:$A$461,$A3,Data_filtered!$F$2:$F$461,R$1, Data_filtered!$D$2:$D$461,"mata",Data_filtered!$J$2:$J$461,"&lt;&gt;Incompleto")</f>
        <v>0</v>
      </c>
      <c r="S3" s="9">
        <f>SUMIFS(Data_filtered!$G$2:$G$461,Data_filtered!$A$2:$A$461,$A3,Data_filtered!$F$2:$F$461,S$1, Data_filtered!$D$2:$D$461,"mata",Data_filtered!$J$2:$J$461,"&lt;&gt;Incompleto")</f>
        <v>0</v>
      </c>
      <c r="T3" s="9">
        <f>SUMIFS(Data_filtered!$G$2:$G$461,Data_filtered!$A$2:$A$461,$A3,Data_filtered!$F$2:$F$461,T$1, Data_filtered!$D$2:$D$461,"mata",Data_filtered!$J$2:$J$461,"&lt;&gt;Incompleto")</f>
        <v>0</v>
      </c>
      <c r="U3" s="9">
        <f>SUMIFS(Data_filtered!$G$2:$G$461,Data_filtered!$A$2:$A$461,$A3,Data_filtered!$F$2:$F$461,U$1, Data_filtered!$D$2:$D$461,"mata",Data_filtered!$J$2:$J$461,"&lt;&gt;Incompleto")</f>
        <v>0</v>
      </c>
      <c r="V3" s="9">
        <f>SUMIFS(Data_filtered!$G$2:$G$461,Data_filtered!$A$2:$A$461,$A3,Data_filtered!$F$2:$F$461,V$1, Data_filtered!$D$2:$D$461,"mata",Data_filtered!$J$2:$J$461,"&lt;&gt;Incompleto")</f>
        <v>0</v>
      </c>
      <c r="W3" s="9">
        <f>SUMIFS(Data_filtered!$G$2:$G$461,Data_filtered!$A$2:$A$461,$A3,Data_filtered!$F$2:$F$461,W$1, Data_filtered!$D$2:$D$461,"mata",Data_filtered!$J$2:$J$461,"&lt;&gt;Incompleto")</f>
        <v>0</v>
      </c>
      <c r="X3" s="9">
        <f>SUMIFS(Data_filtered!$G$2:$G$461,Data_filtered!$A$2:$A$461,$A3,Data_filtered!$F$2:$F$461,X$1, Data_filtered!$D$2:$D$461,"mata",Data_filtered!$J$2:$J$461,"&lt;&gt;Incompleto")</f>
        <v>0</v>
      </c>
      <c r="Y3" s="9">
        <f>SUMIFS(Data_filtered!$G$2:$G$461,Data_filtered!$A$2:$A$461,$A3,Data_filtered!$F$2:$F$461,Y$1, Data_filtered!$D$2:$D$461,"mata",Data_filtered!$J$2:$J$461,"&lt;&gt;Incompleto")</f>
        <v>0</v>
      </c>
    </row>
    <row r="4">
      <c r="A4" s="9" t="str">
        <f>IFERROR(__xludf.DUMMYFUNCTION("""COMPUTED_VALUE"""),"Boana latistriata")</f>
        <v>Boana latistriata</v>
      </c>
      <c r="B4" s="9">
        <f>SUMIFS(Data_filtered!$G$2:$G$461,Data_filtered!$A$2:$A$461,$A4,Data_filtered!$F$2:$F$461,B$1, Data_filtered!$D$2:$D$461,"mata",Data_filtered!$J$2:$J$461,"&lt;&gt;Incompleto")</f>
        <v>0</v>
      </c>
      <c r="C4" s="9">
        <f>SUMIFS(Data_filtered!$G$2:$G$461,Data_filtered!$A$2:$A$461,$A4,Data_filtered!$F$2:$F$461,C$1, Data_filtered!$D$2:$D$461,"mata",Data_filtered!$J$2:$J$461,"&lt;&gt;Incompleto")</f>
        <v>1</v>
      </c>
      <c r="D4" s="9">
        <f>SUMIFS(Data_filtered!$G$2:$G$461,Data_filtered!$A$2:$A$461,$A4,Data_filtered!$F$2:$F$461,D$1, Data_filtered!$D$2:$D$461,"mata",Data_filtered!$J$2:$J$461,"&lt;&gt;Incompleto")</f>
        <v>1</v>
      </c>
      <c r="E4" s="9">
        <f>SUMIFS(Data_filtered!$G$2:$G$461,Data_filtered!$A$2:$A$461,$A4,Data_filtered!$F$2:$F$461,E$1, Data_filtered!$D$2:$D$461,"mata",Data_filtered!$J$2:$J$461,"&lt;&gt;Incompleto")</f>
        <v>0</v>
      </c>
      <c r="F4" s="9">
        <f>SUMIFS(Data_filtered!$G$2:$G$461,Data_filtered!$A$2:$A$461,$A4,Data_filtered!$F$2:$F$461,F$1, Data_filtered!$D$2:$D$461,"mata",Data_filtered!$J$2:$J$461,"&lt;&gt;Incompleto")</f>
        <v>1</v>
      </c>
      <c r="G4" s="9">
        <f>SUMIFS(Data_filtered!$G$2:$G$461,Data_filtered!$A$2:$A$461,$A4,Data_filtered!$F$2:$F$461,G$1, Data_filtered!$D$2:$D$461,"mata",Data_filtered!$J$2:$J$461,"&lt;&gt;Incompleto")</f>
        <v>0</v>
      </c>
      <c r="H4" s="9">
        <f>SUMIFS(Data_filtered!$G$2:$G$461,Data_filtered!$A$2:$A$461,$A4,Data_filtered!$F$2:$F$461,H$1, Data_filtered!$D$2:$D$461,"mata",Data_filtered!$J$2:$J$461,"&lt;&gt;Incompleto")</f>
        <v>0</v>
      </c>
      <c r="I4" s="9">
        <f>SUMIFS(Data_filtered!$G$2:$G$461,Data_filtered!$A$2:$A$461,$A4,Data_filtered!$F$2:$F$461,I$1, Data_filtered!$D$2:$D$461,"mata",Data_filtered!$J$2:$J$461,"&lt;&gt;Incompleto")</f>
        <v>0</v>
      </c>
      <c r="J4" s="9">
        <f>SUMIFS(Data_filtered!$G$2:$G$461,Data_filtered!$A$2:$A$461,$A4,Data_filtered!$F$2:$F$461,J$1, Data_filtered!$D$2:$D$461,"mata",Data_filtered!$J$2:$J$461,"&lt;&gt;Incompleto")</f>
        <v>0</v>
      </c>
      <c r="K4" s="9">
        <f>SUMIFS(Data_filtered!$G$2:$G$461,Data_filtered!$A$2:$A$461,$A4,Data_filtered!$F$2:$F$461,K$1, Data_filtered!$D$2:$D$461,"mata",Data_filtered!$J$2:$J$461,"&lt;&gt;Incompleto")</f>
        <v>0</v>
      </c>
      <c r="L4" s="9">
        <f>SUMIFS(Data_filtered!$G$2:$G$461,Data_filtered!$A$2:$A$461,$A4,Data_filtered!$F$2:$F$461,L$1, Data_filtered!$D$2:$D$461,"mata",Data_filtered!$J$2:$J$461,"&lt;&gt;Incompleto")</f>
        <v>0</v>
      </c>
      <c r="M4" s="9">
        <f>SUMIFS(Data_filtered!$G$2:$G$461,Data_filtered!$A$2:$A$461,$A4,Data_filtered!$F$2:$F$461,M$1, Data_filtered!$D$2:$D$461,"mata",Data_filtered!$J$2:$J$461,"&lt;&gt;Incompleto")</f>
        <v>0</v>
      </c>
      <c r="N4" s="9">
        <f>SUMIFS(Data_filtered!$G$2:$G$461,Data_filtered!$A$2:$A$461,$A4,Data_filtered!$F$2:$F$461,N$1, Data_filtered!$D$2:$D$461,"mata",Data_filtered!$J$2:$J$461,"&lt;&gt;Incompleto")</f>
        <v>0</v>
      </c>
      <c r="O4" s="9">
        <f>SUMIFS(Data_filtered!$G$2:$G$461,Data_filtered!$A$2:$A$461,$A4,Data_filtered!$F$2:$F$461,O$1, Data_filtered!$D$2:$D$461,"mata",Data_filtered!$J$2:$J$461,"&lt;&gt;Incompleto")</f>
        <v>0</v>
      </c>
      <c r="P4" s="9">
        <f>SUMIFS(Data_filtered!$G$2:$G$461,Data_filtered!$A$2:$A$461,$A4,Data_filtered!$F$2:$F$461,P$1, Data_filtered!$D$2:$D$461,"mata",Data_filtered!$J$2:$J$461,"&lt;&gt;Incompleto")</f>
        <v>0</v>
      </c>
      <c r="Q4" s="9">
        <f>SUMIFS(Data_filtered!$G$2:$G$461,Data_filtered!$A$2:$A$461,$A4,Data_filtered!$F$2:$F$461,Q$1, Data_filtered!$D$2:$D$461,"mata",Data_filtered!$J$2:$J$461,"&lt;&gt;Incompleto")</f>
        <v>0</v>
      </c>
      <c r="R4" s="9">
        <f>SUMIFS(Data_filtered!$G$2:$G$461,Data_filtered!$A$2:$A$461,$A4,Data_filtered!$F$2:$F$461,R$1, Data_filtered!$D$2:$D$461,"mata",Data_filtered!$J$2:$J$461,"&lt;&gt;Incompleto")</f>
        <v>0</v>
      </c>
      <c r="S4" s="9">
        <f>SUMIFS(Data_filtered!$G$2:$G$461,Data_filtered!$A$2:$A$461,$A4,Data_filtered!$F$2:$F$461,S$1, Data_filtered!$D$2:$D$461,"mata",Data_filtered!$J$2:$J$461,"&lt;&gt;Incompleto")</f>
        <v>0</v>
      </c>
      <c r="T4" s="9">
        <f>SUMIFS(Data_filtered!$G$2:$G$461,Data_filtered!$A$2:$A$461,$A4,Data_filtered!$F$2:$F$461,T$1, Data_filtered!$D$2:$D$461,"mata",Data_filtered!$J$2:$J$461,"&lt;&gt;Incompleto")</f>
        <v>0</v>
      </c>
      <c r="U4" s="9">
        <f>SUMIFS(Data_filtered!$G$2:$G$461,Data_filtered!$A$2:$A$461,$A4,Data_filtered!$F$2:$F$461,U$1, Data_filtered!$D$2:$D$461,"mata",Data_filtered!$J$2:$J$461,"&lt;&gt;Incompleto")</f>
        <v>0</v>
      </c>
      <c r="V4" s="9">
        <f>SUMIFS(Data_filtered!$G$2:$G$461,Data_filtered!$A$2:$A$461,$A4,Data_filtered!$F$2:$F$461,V$1, Data_filtered!$D$2:$D$461,"mata",Data_filtered!$J$2:$J$461,"&lt;&gt;Incompleto")</f>
        <v>0</v>
      </c>
      <c r="W4" s="9">
        <f>SUMIFS(Data_filtered!$G$2:$G$461,Data_filtered!$A$2:$A$461,$A4,Data_filtered!$F$2:$F$461,W$1, Data_filtered!$D$2:$D$461,"mata",Data_filtered!$J$2:$J$461,"&lt;&gt;Incompleto")</f>
        <v>0</v>
      </c>
      <c r="X4" s="9">
        <f>SUMIFS(Data_filtered!$G$2:$G$461,Data_filtered!$A$2:$A$461,$A4,Data_filtered!$F$2:$F$461,X$1, Data_filtered!$D$2:$D$461,"mata",Data_filtered!$J$2:$J$461,"&lt;&gt;Incompleto")</f>
        <v>0</v>
      </c>
      <c r="Y4" s="9">
        <f>SUMIFS(Data_filtered!$G$2:$G$461,Data_filtered!$A$2:$A$461,$A4,Data_filtered!$F$2:$F$461,Y$1, Data_filtered!$D$2:$D$461,"mata",Data_filtered!$J$2:$J$461,"&lt;&gt;Incompleto")</f>
        <v>0</v>
      </c>
    </row>
    <row r="5">
      <c r="A5" s="9" t="str">
        <f>IFERROR(__xludf.DUMMYFUNCTION("""COMPUTED_VALUE"""),"Bokermannohyla luctuosa")</f>
        <v>Bokermannohyla luctuosa</v>
      </c>
      <c r="B5" s="9">
        <f>SUMIFS(Data_filtered!$G$2:$G$461,Data_filtered!$A$2:$A$461,$A5,Data_filtered!$F$2:$F$461,B$1, Data_filtered!$D$2:$D$461,"mata",Data_filtered!$J$2:$J$461,"&lt;&gt;Incompleto")</f>
        <v>1</v>
      </c>
      <c r="C5" s="9">
        <f>SUMIFS(Data_filtered!$G$2:$G$461,Data_filtered!$A$2:$A$461,$A5,Data_filtered!$F$2:$F$461,C$1, Data_filtered!$D$2:$D$461,"mata",Data_filtered!$J$2:$J$461,"&lt;&gt;Incompleto")</f>
        <v>2</v>
      </c>
      <c r="D5" s="9">
        <f>SUMIFS(Data_filtered!$G$2:$G$461,Data_filtered!$A$2:$A$461,$A5,Data_filtered!$F$2:$F$461,D$1, Data_filtered!$D$2:$D$461,"mata",Data_filtered!$J$2:$J$461,"&lt;&gt;Incompleto")</f>
        <v>1</v>
      </c>
      <c r="E5" s="9">
        <f>SUMIFS(Data_filtered!$G$2:$G$461,Data_filtered!$A$2:$A$461,$A5,Data_filtered!$F$2:$F$461,E$1, Data_filtered!$D$2:$D$461,"mata",Data_filtered!$J$2:$J$461,"&lt;&gt;Incompleto")</f>
        <v>0</v>
      </c>
      <c r="F5" s="9">
        <f>SUMIFS(Data_filtered!$G$2:$G$461,Data_filtered!$A$2:$A$461,$A5,Data_filtered!$F$2:$F$461,F$1, Data_filtered!$D$2:$D$461,"mata",Data_filtered!$J$2:$J$461,"&lt;&gt;Incompleto")</f>
        <v>1</v>
      </c>
      <c r="G5" s="9">
        <f>SUMIFS(Data_filtered!$G$2:$G$461,Data_filtered!$A$2:$A$461,$A5,Data_filtered!$F$2:$F$461,G$1, Data_filtered!$D$2:$D$461,"mata",Data_filtered!$J$2:$J$461,"&lt;&gt;Incompleto")</f>
        <v>0</v>
      </c>
      <c r="H5" s="9">
        <f>SUMIFS(Data_filtered!$G$2:$G$461,Data_filtered!$A$2:$A$461,$A5,Data_filtered!$F$2:$F$461,H$1, Data_filtered!$D$2:$D$461,"mata",Data_filtered!$J$2:$J$461,"&lt;&gt;Incompleto")</f>
        <v>0</v>
      </c>
      <c r="I5" s="9">
        <f>SUMIFS(Data_filtered!$G$2:$G$461,Data_filtered!$A$2:$A$461,$A5,Data_filtered!$F$2:$F$461,I$1, Data_filtered!$D$2:$D$461,"mata",Data_filtered!$J$2:$J$461,"&lt;&gt;Incompleto")</f>
        <v>0</v>
      </c>
      <c r="J5" s="9">
        <f>SUMIFS(Data_filtered!$G$2:$G$461,Data_filtered!$A$2:$A$461,$A5,Data_filtered!$F$2:$F$461,J$1, Data_filtered!$D$2:$D$461,"mata",Data_filtered!$J$2:$J$461,"&lt;&gt;Incompleto")</f>
        <v>0</v>
      </c>
      <c r="K5" s="9">
        <f>SUMIFS(Data_filtered!$G$2:$G$461,Data_filtered!$A$2:$A$461,$A5,Data_filtered!$F$2:$F$461,K$1, Data_filtered!$D$2:$D$461,"mata",Data_filtered!$J$2:$J$461,"&lt;&gt;Incompleto")</f>
        <v>1</v>
      </c>
      <c r="L5" s="9">
        <f>SUMIFS(Data_filtered!$G$2:$G$461,Data_filtered!$A$2:$A$461,$A5,Data_filtered!$F$2:$F$461,L$1, Data_filtered!$D$2:$D$461,"mata",Data_filtered!$J$2:$J$461,"&lt;&gt;Incompleto")</f>
        <v>0</v>
      </c>
      <c r="M5" s="9">
        <f>SUMIFS(Data_filtered!$G$2:$G$461,Data_filtered!$A$2:$A$461,$A5,Data_filtered!$F$2:$F$461,M$1, Data_filtered!$D$2:$D$461,"mata",Data_filtered!$J$2:$J$461,"&lt;&gt;Incompleto")</f>
        <v>0</v>
      </c>
      <c r="N5" s="9">
        <f>SUMIFS(Data_filtered!$G$2:$G$461,Data_filtered!$A$2:$A$461,$A5,Data_filtered!$F$2:$F$461,N$1, Data_filtered!$D$2:$D$461,"mata",Data_filtered!$J$2:$J$461,"&lt;&gt;Incompleto")</f>
        <v>3</v>
      </c>
      <c r="O5" s="9">
        <f>SUMIFS(Data_filtered!$G$2:$G$461,Data_filtered!$A$2:$A$461,$A5,Data_filtered!$F$2:$F$461,O$1, Data_filtered!$D$2:$D$461,"mata",Data_filtered!$J$2:$J$461,"&lt;&gt;Incompleto")</f>
        <v>0</v>
      </c>
      <c r="P5" s="9">
        <f>SUMIFS(Data_filtered!$G$2:$G$461,Data_filtered!$A$2:$A$461,$A5,Data_filtered!$F$2:$F$461,P$1, Data_filtered!$D$2:$D$461,"mata",Data_filtered!$J$2:$J$461,"&lt;&gt;Incompleto")</f>
        <v>0</v>
      </c>
      <c r="Q5" s="9">
        <f>SUMIFS(Data_filtered!$G$2:$G$461,Data_filtered!$A$2:$A$461,$A5,Data_filtered!$F$2:$F$461,Q$1, Data_filtered!$D$2:$D$461,"mata",Data_filtered!$J$2:$J$461,"&lt;&gt;Incompleto")</f>
        <v>0</v>
      </c>
      <c r="R5" s="9">
        <f>SUMIFS(Data_filtered!$G$2:$G$461,Data_filtered!$A$2:$A$461,$A5,Data_filtered!$F$2:$F$461,R$1, Data_filtered!$D$2:$D$461,"mata",Data_filtered!$J$2:$J$461,"&lt;&gt;Incompleto")</f>
        <v>0</v>
      </c>
      <c r="S5" s="9">
        <f>SUMIFS(Data_filtered!$G$2:$G$461,Data_filtered!$A$2:$A$461,$A5,Data_filtered!$F$2:$F$461,S$1, Data_filtered!$D$2:$D$461,"mata",Data_filtered!$J$2:$J$461,"&lt;&gt;Incompleto")</f>
        <v>0</v>
      </c>
      <c r="T5" s="9">
        <f>SUMIFS(Data_filtered!$G$2:$G$461,Data_filtered!$A$2:$A$461,$A5,Data_filtered!$F$2:$F$461,T$1, Data_filtered!$D$2:$D$461,"mata",Data_filtered!$J$2:$J$461,"&lt;&gt;Incompleto")</f>
        <v>1</v>
      </c>
      <c r="U5" s="9">
        <f>SUMIFS(Data_filtered!$G$2:$G$461,Data_filtered!$A$2:$A$461,$A5,Data_filtered!$F$2:$F$461,U$1, Data_filtered!$D$2:$D$461,"mata",Data_filtered!$J$2:$J$461,"&lt;&gt;Incompleto")</f>
        <v>0</v>
      </c>
      <c r="V5" s="9">
        <f>SUMIFS(Data_filtered!$G$2:$G$461,Data_filtered!$A$2:$A$461,$A5,Data_filtered!$F$2:$F$461,V$1, Data_filtered!$D$2:$D$461,"mata",Data_filtered!$J$2:$J$461,"&lt;&gt;Incompleto")</f>
        <v>0</v>
      </c>
      <c r="W5" s="9">
        <f>SUMIFS(Data_filtered!$G$2:$G$461,Data_filtered!$A$2:$A$461,$A5,Data_filtered!$F$2:$F$461,W$1, Data_filtered!$D$2:$D$461,"mata",Data_filtered!$J$2:$J$461,"&lt;&gt;Incompleto")</f>
        <v>0</v>
      </c>
      <c r="X5" s="9">
        <f>SUMIFS(Data_filtered!$G$2:$G$461,Data_filtered!$A$2:$A$461,$A5,Data_filtered!$F$2:$F$461,X$1, Data_filtered!$D$2:$D$461,"mata",Data_filtered!$J$2:$J$461,"&lt;&gt;Incompleto")</f>
        <v>0</v>
      </c>
      <c r="Y5" s="9">
        <f>SUMIFS(Data_filtered!$G$2:$G$461,Data_filtered!$A$2:$A$461,$A5,Data_filtered!$F$2:$F$461,Y$1, Data_filtered!$D$2:$D$461,"mata",Data_filtered!$J$2:$J$461,"&lt;&gt;Incompleto")</f>
        <v>0</v>
      </c>
    </row>
    <row r="6">
      <c r="A6" s="9" t="str">
        <f>IFERROR(__xludf.DUMMYFUNCTION("""COMPUTED_VALUE"""),"Chiasmocleis mantiqueira")</f>
        <v>Chiasmocleis mantiqueira</v>
      </c>
      <c r="B6" s="9">
        <f>SUMIFS(Data_filtered!$G$2:$G$461,Data_filtered!$A$2:$A$461,$A6,Data_filtered!$F$2:$F$461,B$1, Data_filtered!$D$2:$D$461,"mata",Data_filtered!$J$2:$J$461,"&lt;&gt;Incompleto")</f>
        <v>0</v>
      </c>
      <c r="C6" s="9">
        <f>SUMIFS(Data_filtered!$G$2:$G$461,Data_filtered!$A$2:$A$461,$A6,Data_filtered!$F$2:$F$461,C$1, Data_filtered!$D$2:$D$461,"mata",Data_filtered!$J$2:$J$461,"&lt;&gt;Incompleto")</f>
        <v>0</v>
      </c>
      <c r="D6" s="9">
        <f>SUMIFS(Data_filtered!$G$2:$G$461,Data_filtered!$A$2:$A$461,$A6,Data_filtered!$F$2:$F$461,D$1, Data_filtered!$D$2:$D$461,"mata",Data_filtered!$J$2:$J$461,"&lt;&gt;Incompleto")</f>
        <v>0</v>
      </c>
      <c r="E6" s="9">
        <f>SUMIFS(Data_filtered!$G$2:$G$461,Data_filtered!$A$2:$A$461,$A6,Data_filtered!$F$2:$F$461,E$1, Data_filtered!$D$2:$D$461,"mata",Data_filtered!$J$2:$J$461,"&lt;&gt;Incompleto")</f>
        <v>0</v>
      </c>
      <c r="F6" s="9">
        <f>SUMIFS(Data_filtered!$G$2:$G$461,Data_filtered!$A$2:$A$461,$A6,Data_filtered!$F$2:$F$461,F$1, Data_filtered!$D$2:$D$461,"mata",Data_filtered!$J$2:$J$461,"&lt;&gt;Incompleto")</f>
        <v>1</v>
      </c>
      <c r="G6" s="9">
        <f>SUMIFS(Data_filtered!$G$2:$G$461,Data_filtered!$A$2:$A$461,$A6,Data_filtered!$F$2:$F$461,G$1, Data_filtered!$D$2:$D$461,"mata",Data_filtered!$J$2:$J$461,"&lt;&gt;Incompleto")</f>
        <v>0</v>
      </c>
      <c r="H6" s="9">
        <f>SUMIFS(Data_filtered!$G$2:$G$461,Data_filtered!$A$2:$A$461,$A6,Data_filtered!$F$2:$F$461,H$1, Data_filtered!$D$2:$D$461,"mata",Data_filtered!$J$2:$J$461,"&lt;&gt;Incompleto")</f>
        <v>0</v>
      </c>
      <c r="I6" s="9">
        <f>SUMIFS(Data_filtered!$G$2:$G$461,Data_filtered!$A$2:$A$461,$A6,Data_filtered!$F$2:$F$461,I$1, Data_filtered!$D$2:$D$461,"mata",Data_filtered!$J$2:$J$461,"&lt;&gt;Incompleto")</f>
        <v>0</v>
      </c>
      <c r="J6" s="9">
        <f>SUMIFS(Data_filtered!$G$2:$G$461,Data_filtered!$A$2:$A$461,$A6,Data_filtered!$F$2:$F$461,J$1, Data_filtered!$D$2:$D$461,"mata",Data_filtered!$J$2:$J$461,"&lt;&gt;Incompleto")</f>
        <v>0</v>
      </c>
      <c r="K6" s="9">
        <f>SUMIFS(Data_filtered!$G$2:$G$461,Data_filtered!$A$2:$A$461,$A6,Data_filtered!$F$2:$F$461,K$1, Data_filtered!$D$2:$D$461,"mata",Data_filtered!$J$2:$J$461,"&lt;&gt;Incompleto")</f>
        <v>0</v>
      </c>
      <c r="L6" s="9">
        <f>SUMIFS(Data_filtered!$G$2:$G$461,Data_filtered!$A$2:$A$461,$A6,Data_filtered!$F$2:$F$461,L$1, Data_filtered!$D$2:$D$461,"mata",Data_filtered!$J$2:$J$461,"&lt;&gt;Incompleto")</f>
        <v>3</v>
      </c>
      <c r="M6" s="9">
        <f>SUMIFS(Data_filtered!$G$2:$G$461,Data_filtered!$A$2:$A$461,$A6,Data_filtered!$F$2:$F$461,M$1, Data_filtered!$D$2:$D$461,"mata",Data_filtered!$J$2:$J$461,"&lt;&gt;Incompleto")</f>
        <v>0</v>
      </c>
      <c r="N6" s="9">
        <f>SUMIFS(Data_filtered!$G$2:$G$461,Data_filtered!$A$2:$A$461,$A6,Data_filtered!$F$2:$F$461,N$1, Data_filtered!$D$2:$D$461,"mata",Data_filtered!$J$2:$J$461,"&lt;&gt;Incompleto")</f>
        <v>0</v>
      </c>
      <c r="O6" s="9">
        <f>SUMIFS(Data_filtered!$G$2:$G$461,Data_filtered!$A$2:$A$461,$A6,Data_filtered!$F$2:$F$461,O$1, Data_filtered!$D$2:$D$461,"mata",Data_filtered!$J$2:$J$461,"&lt;&gt;Incompleto")</f>
        <v>0</v>
      </c>
      <c r="P6" s="9">
        <f>SUMIFS(Data_filtered!$G$2:$G$461,Data_filtered!$A$2:$A$461,$A6,Data_filtered!$F$2:$F$461,P$1, Data_filtered!$D$2:$D$461,"mata",Data_filtered!$J$2:$J$461,"&lt;&gt;Incompleto")</f>
        <v>0</v>
      </c>
      <c r="Q6" s="9">
        <f>SUMIFS(Data_filtered!$G$2:$G$461,Data_filtered!$A$2:$A$461,$A6,Data_filtered!$F$2:$F$461,Q$1, Data_filtered!$D$2:$D$461,"mata",Data_filtered!$J$2:$J$461,"&lt;&gt;Incompleto")</f>
        <v>0</v>
      </c>
      <c r="R6" s="9">
        <f>SUMIFS(Data_filtered!$G$2:$G$461,Data_filtered!$A$2:$A$461,$A6,Data_filtered!$F$2:$F$461,R$1, Data_filtered!$D$2:$D$461,"mata",Data_filtered!$J$2:$J$461,"&lt;&gt;Incompleto")</f>
        <v>0</v>
      </c>
      <c r="S6" s="9">
        <f>SUMIFS(Data_filtered!$G$2:$G$461,Data_filtered!$A$2:$A$461,$A6,Data_filtered!$F$2:$F$461,S$1, Data_filtered!$D$2:$D$461,"mata",Data_filtered!$J$2:$J$461,"&lt;&gt;Incompleto")</f>
        <v>0</v>
      </c>
      <c r="T6" s="9">
        <f>SUMIFS(Data_filtered!$G$2:$G$461,Data_filtered!$A$2:$A$461,$A6,Data_filtered!$F$2:$F$461,T$1, Data_filtered!$D$2:$D$461,"mata",Data_filtered!$J$2:$J$461,"&lt;&gt;Incompleto")</f>
        <v>0</v>
      </c>
      <c r="U6" s="9">
        <f>SUMIFS(Data_filtered!$G$2:$G$461,Data_filtered!$A$2:$A$461,$A6,Data_filtered!$F$2:$F$461,U$1, Data_filtered!$D$2:$D$461,"mata",Data_filtered!$J$2:$J$461,"&lt;&gt;Incompleto")</f>
        <v>0</v>
      </c>
      <c r="V6" s="9">
        <f>SUMIFS(Data_filtered!$G$2:$G$461,Data_filtered!$A$2:$A$461,$A6,Data_filtered!$F$2:$F$461,V$1, Data_filtered!$D$2:$D$461,"mata",Data_filtered!$J$2:$J$461,"&lt;&gt;Incompleto")</f>
        <v>0</v>
      </c>
      <c r="W6" s="9">
        <f>SUMIFS(Data_filtered!$G$2:$G$461,Data_filtered!$A$2:$A$461,$A6,Data_filtered!$F$2:$F$461,W$1, Data_filtered!$D$2:$D$461,"mata",Data_filtered!$J$2:$J$461,"&lt;&gt;Incompleto")</f>
        <v>0</v>
      </c>
      <c r="X6" s="9">
        <f>SUMIFS(Data_filtered!$G$2:$G$461,Data_filtered!$A$2:$A$461,$A6,Data_filtered!$F$2:$F$461,X$1, Data_filtered!$D$2:$D$461,"mata",Data_filtered!$J$2:$J$461,"&lt;&gt;Incompleto")</f>
        <v>0</v>
      </c>
      <c r="Y6" s="9">
        <f>SUMIFS(Data_filtered!$G$2:$G$461,Data_filtered!$A$2:$A$461,$A6,Data_filtered!$F$2:$F$461,Y$1, Data_filtered!$D$2:$D$461,"mata",Data_filtered!$J$2:$J$461,"&lt;&gt;Incompleto")</f>
        <v>0</v>
      </c>
    </row>
    <row r="7">
      <c r="A7" s="9" t="str">
        <f>IFERROR(__xludf.DUMMYFUNCTION("""COMPUTED_VALUE"""),"Dendropsophus microps")</f>
        <v>Dendropsophus microps</v>
      </c>
      <c r="B7" s="9">
        <f>SUMIFS(Data_filtered!$G$2:$G$461,Data_filtered!$A$2:$A$461,$A7,Data_filtered!$F$2:$F$461,B$1, Data_filtered!$D$2:$D$461,"mata",Data_filtered!$J$2:$J$461,"&lt;&gt;Incompleto")</f>
        <v>0</v>
      </c>
      <c r="C7" s="9">
        <f>SUMIFS(Data_filtered!$G$2:$G$461,Data_filtered!$A$2:$A$461,$A7,Data_filtered!$F$2:$F$461,C$1, Data_filtered!$D$2:$D$461,"mata",Data_filtered!$J$2:$J$461,"&lt;&gt;Incompleto")</f>
        <v>1</v>
      </c>
      <c r="D7" s="9">
        <f>SUMIFS(Data_filtered!$G$2:$G$461,Data_filtered!$A$2:$A$461,$A7,Data_filtered!$F$2:$F$461,D$1, Data_filtered!$D$2:$D$461,"mata",Data_filtered!$J$2:$J$461,"&lt;&gt;Incompleto")</f>
        <v>0</v>
      </c>
      <c r="E7" s="9">
        <f>SUMIFS(Data_filtered!$G$2:$G$461,Data_filtered!$A$2:$A$461,$A7,Data_filtered!$F$2:$F$461,E$1, Data_filtered!$D$2:$D$461,"mata",Data_filtered!$J$2:$J$461,"&lt;&gt;Incompleto")</f>
        <v>0</v>
      </c>
      <c r="F7" s="9">
        <f>SUMIFS(Data_filtered!$G$2:$G$461,Data_filtered!$A$2:$A$461,$A7,Data_filtered!$F$2:$F$461,F$1, Data_filtered!$D$2:$D$461,"mata",Data_filtered!$J$2:$J$461,"&lt;&gt;Incompleto")</f>
        <v>6</v>
      </c>
      <c r="G7" s="9">
        <f>SUMIFS(Data_filtered!$G$2:$G$461,Data_filtered!$A$2:$A$461,$A7,Data_filtered!$F$2:$F$461,G$1, Data_filtered!$D$2:$D$461,"mata",Data_filtered!$J$2:$J$461,"&lt;&gt;Incompleto")</f>
        <v>0</v>
      </c>
      <c r="H7" s="9">
        <f>SUMIFS(Data_filtered!$G$2:$G$461,Data_filtered!$A$2:$A$461,$A7,Data_filtered!$F$2:$F$461,H$1, Data_filtered!$D$2:$D$461,"mata",Data_filtered!$J$2:$J$461,"&lt;&gt;Incompleto")</f>
        <v>0</v>
      </c>
      <c r="I7" s="9">
        <f>SUMIFS(Data_filtered!$G$2:$G$461,Data_filtered!$A$2:$A$461,$A7,Data_filtered!$F$2:$F$461,I$1, Data_filtered!$D$2:$D$461,"mata",Data_filtered!$J$2:$J$461,"&lt;&gt;Incompleto")</f>
        <v>0</v>
      </c>
      <c r="J7" s="9">
        <f>SUMIFS(Data_filtered!$G$2:$G$461,Data_filtered!$A$2:$A$461,$A7,Data_filtered!$F$2:$F$461,J$1, Data_filtered!$D$2:$D$461,"mata",Data_filtered!$J$2:$J$461,"&lt;&gt;Incompleto")</f>
        <v>0</v>
      </c>
      <c r="K7" s="9">
        <f>SUMIFS(Data_filtered!$G$2:$G$461,Data_filtered!$A$2:$A$461,$A7,Data_filtered!$F$2:$F$461,K$1, Data_filtered!$D$2:$D$461,"mata",Data_filtered!$J$2:$J$461,"&lt;&gt;Incompleto")</f>
        <v>0</v>
      </c>
      <c r="L7" s="9">
        <f>SUMIFS(Data_filtered!$G$2:$G$461,Data_filtered!$A$2:$A$461,$A7,Data_filtered!$F$2:$F$461,L$1, Data_filtered!$D$2:$D$461,"mata",Data_filtered!$J$2:$J$461,"&lt;&gt;Incompleto")</f>
        <v>0</v>
      </c>
      <c r="M7" s="9">
        <f>SUMIFS(Data_filtered!$G$2:$G$461,Data_filtered!$A$2:$A$461,$A7,Data_filtered!$F$2:$F$461,M$1, Data_filtered!$D$2:$D$461,"mata",Data_filtered!$J$2:$J$461,"&lt;&gt;Incompleto")</f>
        <v>0</v>
      </c>
      <c r="N7" s="9">
        <f>SUMIFS(Data_filtered!$G$2:$G$461,Data_filtered!$A$2:$A$461,$A7,Data_filtered!$F$2:$F$461,N$1, Data_filtered!$D$2:$D$461,"mata",Data_filtered!$J$2:$J$461,"&lt;&gt;Incompleto")</f>
        <v>0</v>
      </c>
      <c r="O7" s="9">
        <f>SUMIFS(Data_filtered!$G$2:$G$461,Data_filtered!$A$2:$A$461,$A7,Data_filtered!$F$2:$F$461,O$1, Data_filtered!$D$2:$D$461,"mata",Data_filtered!$J$2:$J$461,"&lt;&gt;Incompleto")</f>
        <v>0</v>
      </c>
      <c r="P7" s="9">
        <f>SUMIFS(Data_filtered!$G$2:$G$461,Data_filtered!$A$2:$A$461,$A7,Data_filtered!$F$2:$F$461,P$1, Data_filtered!$D$2:$D$461,"mata",Data_filtered!$J$2:$J$461,"&lt;&gt;Incompleto")</f>
        <v>13</v>
      </c>
      <c r="Q7" s="9">
        <f>SUMIFS(Data_filtered!$G$2:$G$461,Data_filtered!$A$2:$A$461,$A7,Data_filtered!$F$2:$F$461,Q$1, Data_filtered!$D$2:$D$461,"mata",Data_filtered!$J$2:$J$461,"&lt;&gt;Incompleto")</f>
        <v>0</v>
      </c>
      <c r="R7" s="9">
        <f>SUMIFS(Data_filtered!$G$2:$G$461,Data_filtered!$A$2:$A$461,$A7,Data_filtered!$F$2:$F$461,R$1, Data_filtered!$D$2:$D$461,"mata",Data_filtered!$J$2:$J$461,"&lt;&gt;Incompleto")</f>
        <v>0</v>
      </c>
      <c r="S7" s="9">
        <f>SUMIFS(Data_filtered!$G$2:$G$461,Data_filtered!$A$2:$A$461,$A7,Data_filtered!$F$2:$F$461,S$1, Data_filtered!$D$2:$D$461,"mata",Data_filtered!$J$2:$J$461,"&lt;&gt;Incompleto")</f>
        <v>1</v>
      </c>
      <c r="T7" s="9">
        <f>SUMIFS(Data_filtered!$G$2:$G$461,Data_filtered!$A$2:$A$461,$A7,Data_filtered!$F$2:$F$461,T$1, Data_filtered!$D$2:$D$461,"mata",Data_filtered!$J$2:$J$461,"&lt;&gt;Incompleto")</f>
        <v>0</v>
      </c>
      <c r="U7" s="9">
        <f>SUMIFS(Data_filtered!$G$2:$G$461,Data_filtered!$A$2:$A$461,$A7,Data_filtered!$F$2:$F$461,U$1, Data_filtered!$D$2:$D$461,"mata",Data_filtered!$J$2:$J$461,"&lt;&gt;Incompleto")</f>
        <v>0</v>
      </c>
      <c r="V7" s="9">
        <f>SUMIFS(Data_filtered!$G$2:$G$461,Data_filtered!$A$2:$A$461,$A7,Data_filtered!$F$2:$F$461,V$1, Data_filtered!$D$2:$D$461,"mata",Data_filtered!$J$2:$J$461,"&lt;&gt;Incompleto")</f>
        <v>0</v>
      </c>
      <c r="W7" s="9">
        <f>SUMIFS(Data_filtered!$G$2:$G$461,Data_filtered!$A$2:$A$461,$A7,Data_filtered!$F$2:$F$461,W$1, Data_filtered!$D$2:$D$461,"mata",Data_filtered!$J$2:$J$461,"&lt;&gt;Incompleto")</f>
        <v>0</v>
      </c>
      <c r="X7" s="9">
        <f>SUMIFS(Data_filtered!$G$2:$G$461,Data_filtered!$A$2:$A$461,$A7,Data_filtered!$F$2:$F$461,X$1, Data_filtered!$D$2:$D$461,"mata",Data_filtered!$J$2:$J$461,"&lt;&gt;Incompleto")</f>
        <v>0</v>
      </c>
      <c r="Y7" s="9">
        <f>SUMIFS(Data_filtered!$G$2:$G$461,Data_filtered!$A$2:$A$461,$A7,Data_filtered!$F$2:$F$461,Y$1, Data_filtered!$D$2:$D$461,"mata",Data_filtered!$J$2:$J$461,"&lt;&gt;Incompleto")</f>
        <v>0</v>
      </c>
    </row>
    <row r="8">
      <c r="A8" s="9" t="str">
        <f>IFERROR(__xludf.DUMMYFUNCTION("""COMPUTED_VALUE"""),"Dendropsophus minutus")</f>
        <v>Dendropsophus minutus</v>
      </c>
      <c r="B8" s="9">
        <f>SUMIFS(Data_filtered!$G$2:$G$461,Data_filtered!$A$2:$A$461,$A8,Data_filtered!$F$2:$F$461,B$1, Data_filtered!$D$2:$D$461,"mata",Data_filtered!$J$2:$J$461,"&lt;&gt;Incompleto")</f>
        <v>0</v>
      </c>
      <c r="C8" s="9">
        <f>SUMIFS(Data_filtered!$G$2:$G$461,Data_filtered!$A$2:$A$461,$A8,Data_filtered!$F$2:$F$461,C$1, Data_filtered!$D$2:$D$461,"mata",Data_filtered!$J$2:$J$461,"&lt;&gt;Incompleto")</f>
        <v>0</v>
      </c>
      <c r="D8" s="9">
        <f>SUMIFS(Data_filtered!$G$2:$G$461,Data_filtered!$A$2:$A$461,$A8,Data_filtered!$F$2:$F$461,D$1, Data_filtered!$D$2:$D$461,"mata",Data_filtered!$J$2:$J$461,"&lt;&gt;Incompleto")</f>
        <v>0</v>
      </c>
      <c r="E8" s="9">
        <f>SUMIFS(Data_filtered!$G$2:$G$461,Data_filtered!$A$2:$A$461,$A8,Data_filtered!$F$2:$F$461,E$1, Data_filtered!$D$2:$D$461,"mata",Data_filtered!$J$2:$J$461,"&lt;&gt;Incompleto")</f>
        <v>0</v>
      </c>
      <c r="F8" s="9">
        <f>SUMIFS(Data_filtered!$G$2:$G$461,Data_filtered!$A$2:$A$461,$A8,Data_filtered!$F$2:$F$461,F$1, Data_filtered!$D$2:$D$461,"mata",Data_filtered!$J$2:$J$461,"&lt;&gt;Incompleto")</f>
        <v>0</v>
      </c>
      <c r="G8" s="9">
        <f>SUMIFS(Data_filtered!$G$2:$G$461,Data_filtered!$A$2:$A$461,$A8,Data_filtered!$F$2:$F$461,G$1, Data_filtered!$D$2:$D$461,"mata",Data_filtered!$J$2:$J$461,"&lt;&gt;Incompleto")</f>
        <v>0</v>
      </c>
      <c r="H8" s="9">
        <f>SUMIFS(Data_filtered!$G$2:$G$461,Data_filtered!$A$2:$A$461,$A8,Data_filtered!$F$2:$F$461,H$1, Data_filtered!$D$2:$D$461,"mata",Data_filtered!$J$2:$J$461,"&lt;&gt;Incompleto")</f>
        <v>0</v>
      </c>
      <c r="I8" s="9">
        <f>SUMIFS(Data_filtered!$G$2:$G$461,Data_filtered!$A$2:$A$461,$A8,Data_filtered!$F$2:$F$461,I$1, Data_filtered!$D$2:$D$461,"mata",Data_filtered!$J$2:$J$461,"&lt;&gt;Incompleto")</f>
        <v>0</v>
      </c>
      <c r="J8" s="9">
        <f>SUMIFS(Data_filtered!$G$2:$G$461,Data_filtered!$A$2:$A$461,$A8,Data_filtered!$F$2:$F$461,J$1, Data_filtered!$D$2:$D$461,"mata",Data_filtered!$J$2:$J$461,"&lt;&gt;Incompleto")</f>
        <v>0</v>
      </c>
      <c r="K8" s="9">
        <f>SUMIFS(Data_filtered!$G$2:$G$461,Data_filtered!$A$2:$A$461,$A8,Data_filtered!$F$2:$F$461,K$1, Data_filtered!$D$2:$D$461,"mata",Data_filtered!$J$2:$J$461,"&lt;&gt;Incompleto")</f>
        <v>0</v>
      </c>
      <c r="L8" s="9">
        <f>SUMIFS(Data_filtered!$G$2:$G$461,Data_filtered!$A$2:$A$461,$A8,Data_filtered!$F$2:$F$461,L$1, Data_filtered!$D$2:$D$461,"mata",Data_filtered!$J$2:$J$461,"&lt;&gt;Incompleto")</f>
        <v>0</v>
      </c>
      <c r="M8" s="9">
        <f>SUMIFS(Data_filtered!$G$2:$G$461,Data_filtered!$A$2:$A$461,$A8,Data_filtered!$F$2:$F$461,M$1, Data_filtered!$D$2:$D$461,"mata",Data_filtered!$J$2:$J$461,"&lt;&gt;Incompleto")</f>
        <v>0</v>
      </c>
      <c r="N8" s="9">
        <f>SUMIFS(Data_filtered!$G$2:$G$461,Data_filtered!$A$2:$A$461,$A8,Data_filtered!$F$2:$F$461,N$1, Data_filtered!$D$2:$D$461,"mata",Data_filtered!$J$2:$J$461,"&lt;&gt;Incompleto")</f>
        <v>0</v>
      </c>
      <c r="O8" s="9">
        <f>SUMIFS(Data_filtered!$G$2:$G$461,Data_filtered!$A$2:$A$461,$A8,Data_filtered!$F$2:$F$461,O$1, Data_filtered!$D$2:$D$461,"mata",Data_filtered!$J$2:$J$461,"&lt;&gt;Incompleto")</f>
        <v>0</v>
      </c>
      <c r="P8" s="9">
        <f>SUMIFS(Data_filtered!$G$2:$G$461,Data_filtered!$A$2:$A$461,$A8,Data_filtered!$F$2:$F$461,P$1, Data_filtered!$D$2:$D$461,"mata",Data_filtered!$J$2:$J$461,"&lt;&gt;Incompleto")</f>
        <v>0</v>
      </c>
      <c r="Q8" s="9">
        <f>SUMIFS(Data_filtered!$G$2:$G$461,Data_filtered!$A$2:$A$461,$A8,Data_filtered!$F$2:$F$461,Q$1, Data_filtered!$D$2:$D$461,"mata",Data_filtered!$J$2:$J$461,"&lt;&gt;Incompleto")</f>
        <v>0</v>
      </c>
      <c r="R8" s="9">
        <f>SUMIFS(Data_filtered!$G$2:$G$461,Data_filtered!$A$2:$A$461,$A8,Data_filtered!$F$2:$F$461,R$1, Data_filtered!$D$2:$D$461,"mata",Data_filtered!$J$2:$J$461,"&lt;&gt;Incompleto")</f>
        <v>0</v>
      </c>
      <c r="S8" s="9">
        <f>SUMIFS(Data_filtered!$G$2:$G$461,Data_filtered!$A$2:$A$461,$A8,Data_filtered!$F$2:$F$461,S$1, Data_filtered!$D$2:$D$461,"mata",Data_filtered!$J$2:$J$461,"&lt;&gt;Incompleto")</f>
        <v>0</v>
      </c>
      <c r="T8" s="9">
        <f>SUMIFS(Data_filtered!$G$2:$G$461,Data_filtered!$A$2:$A$461,$A8,Data_filtered!$F$2:$F$461,T$1, Data_filtered!$D$2:$D$461,"mata",Data_filtered!$J$2:$J$461,"&lt;&gt;Incompleto")</f>
        <v>0</v>
      </c>
      <c r="U8" s="9">
        <f>SUMIFS(Data_filtered!$G$2:$G$461,Data_filtered!$A$2:$A$461,$A8,Data_filtered!$F$2:$F$461,U$1, Data_filtered!$D$2:$D$461,"mata",Data_filtered!$J$2:$J$461,"&lt;&gt;Incompleto")</f>
        <v>0</v>
      </c>
      <c r="V8" s="9">
        <f>SUMIFS(Data_filtered!$G$2:$G$461,Data_filtered!$A$2:$A$461,$A8,Data_filtered!$F$2:$F$461,V$1, Data_filtered!$D$2:$D$461,"mata",Data_filtered!$J$2:$J$461,"&lt;&gt;Incompleto")</f>
        <v>0</v>
      </c>
      <c r="W8" s="9">
        <f>SUMIFS(Data_filtered!$G$2:$G$461,Data_filtered!$A$2:$A$461,$A8,Data_filtered!$F$2:$F$461,W$1, Data_filtered!$D$2:$D$461,"mata",Data_filtered!$J$2:$J$461,"&lt;&gt;Incompleto")</f>
        <v>0</v>
      </c>
      <c r="X8" s="9">
        <f>SUMIFS(Data_filtered!$G$2:$G$461,Data_filtered!$A$2:$A$461,$A8,Data_filtered!$F$2:$F$461,X$1, Data_filtered!$D$2:$D$461,"mata",Data_filtered!$J$2:$J$461,"&lt;&gt;Incompleto")</f>
        <v>1</v>
      </c>
      <c r="Y8" s="9">
        <f>SUMIFS(Data_filtered!$G$2:$G$461,Data_filtered!$A$2:$A$461,$A8,Data_filtered!$F$2:$F$461,Y$1, Data_filtered!$D$2:$D$461,"mata",Data_filtered!$J$2:$J$461,"&lt;&gt;Incompleto")</f>
        <v>0</v>
      </c>
    </row>
    <row r="9">
      <c r="A9" s="9" t="str">
        <f>IFERROR(__xludf.DUMMYFUNCTION("""COMPUTED_VALUE"""),"Hylodes aff. sazimai")</f>
        <v>Hylodes aff. sazimai</v>
      </c>
      <c r="B9" s="9">
        <f>SUMIFS(Data_filtered!$G$2:$G$461,Data_filtered!$A$2:$A$461,$A9,Data_filtered!$F$2:$F$461,B$1, Data_filtered!$D$2:$D$461,"mata",Data_filtered!$J$2:$J$461,"&lt;&gt;Incompleto")</f>
        <v>0</v>
      </c>
      <c r="C9" s="9">
        <f>SUMIFS(Data_filtered!$G$2:$G$461,Data_filtered!$A$2:$A$461,$A9,Data_filtered!$F$2:$F$461,C$1, Data_filtered!$D$2:$D$461,"mata",Data_filtered!$J$2:$J$461,"&lt;&gt;Incompleto")</f>
        <v>1</v>
      </c>
      <c r="D9" s="9">
        <f>SUMIFS(Data_filtered!$G$2:$G$461,Data_filtered!$A$2:$A$461,$A9,Data_filtered!$F$2:$F$461,D$1, Data_filtered!$D$2:$D$461,"mata",Data_filtered!$J$2:$J$461,"&lt;&gt;Incompleto")</f>
        <v>0</v>
      </c>
      <c r="E9" s="9">
        <f>SUMIFS(Data_filtered!$G$2:$G$461,Data_filtered!$A$2:$A$461,$A9,Data_filtered!$F$2:$F$461,E$1, Data_filtered!$D$2:$D$461,"mata",Data_filtered!$J$2:$J$461,"&lt;&gt;Incompleto")</f>
        <v>0</v>
      </c>
      <c r="F9" s="9">
        <f>SUMIFS(Data_filtered!$G$2:$G$461,Data_filtered!$A$2:$A$461,$A9,Data_filtered!$F$2:$F$461,F$1, Data_filtered!$D$2:$D$461,"mata",Data_filtered!$J$2:$J$461,"&lt;&gt;Incompleto")</f>
        <v>2</v>
      </c>
      <c r="G9" s="9">
        <f>SUMIFS(Data_filtered!$G$2:$G$461,Data_filtered!$A$2:$A$461,$A9,Data_filtered!$F$2:$F$461,G$1, Data_filtered!$D$2:$D$461,"mata",Data_filtered!$J$2:$J$461,"&lt;&gt;Incompleto")</f>
        <v>0</v>
      </c>
      <c r="H9" s="9">
        <f>SUMIFS(Data_filtered!$G$2:$G$461,Data_filtered!$A$2:$A$461,$A9,Data_filtered!$F$2:$F$461,H$1, Data_filtered!$D$2:$D$461,"mata",Data_filtered!$J$2:$J$461,"&lt;&gt;Incompleto")</f>
        <v>1</v>
      </c>
      <c r="I9" s="9">
        <f>SUMIFS(Data_filtered!$G$2:$G$461,Data_filtered!$A$2:$A$461,$A9,Data_filtered!$F$2:$F$461,I$1, Data_filtered!$D$2:$D$461,"mata",Data_filtered!$J$2:$J$461,"&lt;&gt;Incompleto")</f>
        <v>0</v>
      </c>
      <c r="J9" s="9">
        <f>SUMIFS(Data_filtered!$G$2:$G$461,Data_filtered!$A$2:$A$461,$A9,Data_filtered!$F$2:$F$461,J$1, Data_filtered!$D$2:$D$461,"mata",Data_filtered!$J$2:$J$461,"&lt;&gt;Incompleto")</f>
        <v>0</v>
      </c>
      <c r="K9" s="9">
        <f>SUMIFS(Data_filtered!$G$2:$G$461,Data_filtered!$A$2:$A$461,$A9,Data_filtered!$F$2:$F$461,K$1, Data_filtered!$D$2:$D$461,"mata",Data_filtered!$J$2:$J$461,"&lt;&gt;Incompleto")</f>
        <v>0</v>
      </c>
      <c r="L9" s="9">
        <f>SUMIFS(Data_filtered!$G$2:$G$461,Data_filtered!$A$2:$A$461,$A9,Data_filtered!$F$2:$F$461,L$1, Data_filtered!$D$2:$D$461,"mata",Data_filtered!$J$2:$J$461,"&lt;&gt;Incompleto")</f>
        <v>0</v>
      </c>
      <c r="M9" s="9">
        <f>SUMIFS(Data_filtered!$G$2:$G$461,Data_filtered!$A$2:$A$461,$A9,Data_filtered!$F$2:$F$461,M$1, Data_filtered!$D$2:$D$461,"mata",Data_filtered!$J$2:$J$461,"&lt;&gt;Incompleto")</f>
        <v>0</v>
      </c>
      <c r="N9" s="9">
        <f>SUMIFS(Data_filtered!$G$2:$G$461,Data_filtered!$A$2:$A$461,$A9,Data_filtered!$F$2:$F$461,N$1, Data_filtered!$D$2:$D$461,"mata",Data_filtered!$J$2:$J$461,"&lt;&gt;Incompleto")</f>
        <v>0</v>
      </c>
      <c r="O9" s="9">
        <f>SUMIFS(Data_filtered!$G$2:$G$461,Data_filtered!$A$2:$A$461,$A9,Data_filtered!$F$2:$F$461,O$1, Data_filtered!$D$2:$D$461,"mata",Data_filtered!$J$2:$J$461,"&lt;&gt;Incompleto")</f>
        <v>0</v>
      </c>
      <c r="P9" s="9">
        <f>SUMIFS(Data_filtered!$G$2:$G$461,Data_filtered!$A$2:$A$461,$A9,Data_filtered!$F$2:$F$461,P$1, Data_filtered!$D$2:$D$461,"mata",Data_filtered!$J$2:$J$461,"&lt;&gt;Incompleto")</f>
        <v>0</v>
      </c>
      <c r="Q9" s="9">
        <f>SUMIFS(Data_filtered!$G$2:$G$461,Data_filtered!$A$2:$A$461,$A9,Data_filtered!$F$2:$F$461,Q$1, Data_filtered!$D$2:$D$461,"mata",Data_filtered!$J$2:$J$461,"&lt;&gt;Incompleto")</f>
        <v>0</v>
      </c>
      <c r="R9" s="9">
        <f>SUMIFS(Data_filtered!$G$2:$G$461,Data_filtered!$A$2:$A$461,$A9,Data_filtered!$F$2:$F$461,R$1, Data_filtered!$D$2:$D$461,"mata",Data_filtered!$J$2:$J$461,"&lt;&gt;Incompleto")</f>
        <v>0</v>
      </c>
      <c r="S9" s="9">
        <f>SUMIFS(Data_filtered!$G$2:$G$461,Data_filtered!$A$2:$A$461,$A9,Data_filtered!$F$2:$F$461,S$1, Data_filtered!$D$2:$D$461,"mata",Data_filtered!$J$2:$J$461,"&lt;&gt;Incompleto")</f>
        <v>0</v>
      </c>
      <c r="T9" s="9">
        <f>SUMIFS(Data_filtered!$G$2:$G$461,Data_filtered!$A$2:$A$461,$A9,Data_filtered!$F$2:$F$461,T$1, Data_filtered!$D$2:$D$461,"mata",Data_filtered!$J$2:$J$461,"&lt;&gt;Incompleto")</f>
        <v>0</v>
      </c>
      <c r="U9" s="9">
        <f>SUMIFS(Data_filtered!$G$2:$G$461,Data_filtered!$A$2:$A$461,$A9,Data_filtered!$F$2:$F$461,U$1, Data_filtered!$D$2:$D$461,"mata",Data_filtered!$J$2:$J$461,"&lt;&gt;Incompleto")</f>
        <v>0</v>
      </c>
      <c r="V9" s="9">
        <f>SUMIFS(Data_filtered!$G$2:$G$461,Data_filtered!$A$2:$A$461,$A9,Data_filtered!$F$2:$F$461,V$1, Data_filtered!$D$2:$D$461,"mata",Data_filtered!$J$2:$J$461,"&lt;&gt;Incompleto")</f>
        <v>0</v>
      </c>
      <c r="W9" s="9">
        <f>SUMIFS(Data_filtered!$G$2:$G$461,Data_filtered!$A$2:$A$461,$A9,Data_filtered!$F$2:$F$461,W$1, Data_filtered!$D$2:$D$461,"mata",Data_filtered!$J$2:$J$461,"&lt;&gt;Incompleto")</f>
        <v>0</v>
      </c>
      <c r="X9" s="9">
        <f>SUMIFS(Data_filtered!$G$2:$G$461,Data_filtered!$A$2:$A$461,$A9,Data_filtered!$F$2:$F$461,X$1, Data_filtered!$D$2:$D$461,"mata",Data_filtered!$J$2:$J$461,"&lt;&gt;Incompleto")</f>
        <v>0</v>
      </c>
      <c r="Y9" s="9">
        <f>SUMIFS(Data_filtered!$G$2:$G$461,Data_filtered!$A$2:$A$461,$A9,Data_filtered!$F$2:$F$461,Y$1, Data_filtered!$D$2:$D$461,"mata",Data_filtered!$J$2:$J$461,"&lt;&gt;Incompleto")</f>
        <v>1</v>
      </c>
    </row>
    <row r="10">
      <c r="A10" s="9" t="str">
        <f>IFERROR(__xludf.DUMMYFUNCTION("""COMPUTED_VALUE"""),"Ischnocnema guentheri")</f>
        <v>Ischnocnema guentheri</v>
      </c>
      <c r="B10" s="9">
        <f>SUMIFS(Data_filtered!$G$2:$G$461,Data_filtered!$A$2:$A$461,$A10,Data_filtered!$F$2:$F$461,B$1, Data_filtered!$D$2:$D$461,"mata",Data_filtered!$J$2:$J$461,"&lt;&gt;Incompleto")</f>
        <v>0</v>
      </c>
      <c r="C10" s="9">
        <f>SUMIFS(Data_filtered!$G$2:$G$461,Data_filtered!$A$2:$A$461,$A10,Data_filtered!$F$2:$F$461,C$1, Data_filtered!$D$2:$D$461,"mata",Data_filtered!$J$2:$J$461,"&lt;&gt;Incompleto")</f>
        <v>4</v>
      </c>
      <c r="D10" s="9">
        <f>SUMIFS(Data_filtered!$G$2:$G$461,Data_filtered!$A$2:$A$461,$A10,Data_filtered!$F$2:$F$461,D$1, Data_filtered!$D$2:$D$461,"mata",Data_filtered!$J$2:$J$461,"&lt;&gt;Incompleto")</f>
        <v>0</v>
      </c>
      <c r="E10" s="9">
        <f>SUMIFS(Data_filtered!$G$2:$G$461,Data_filtered!$A$2:$A$461,$A10,Data_filtered!$F$2:$F$461,E$1, Data_filtered!$D$2:$D$461,"mata",Data_filtered!$J$2:$J$461,"&lt;&gt;Incompleto")</f>
        <v>0</v>
      </c>
      <c r="F10" s="9">
        <f>SUMIFS(Data_filtered!$G$2:$G$461,Data_filtered!$A$2:$A$461,$A10,Data_filtered!$F$2:$F$461,F$1, Data_filtered!$D$2:$D$461,"mata",Data_filtered!$J$2:$J$461,"&lt;&gt;Incompleto")</f>
        <v>1</v>
      </c>
      <c r="G10" s="9">
        <f>SUMIFS(Data_filtered!$G$2:$G$461,Data_filtered!$A$2:$A$461,$A10,Data_filtered!$F$2:$F$461,G$1, Data_filtered!$D$2:$D$461,"mata",Data_filtered!$J$2:$J$461,"&lt;&gt;Incompleto")</f>
        <v>0</v>
      </c>
      <c r="H10" s="9">
        <f>SUMIFS(Data_filtered!$G$2:$G$461,Data_filtered!$A$2:$A$461,$A10,Data_filtered!$F$2:$F$461,H$1, Data_filtered!$D$2:$D$461,"mata",Data_filtered!$J$2:$J$461,"&lt;&gt;Incompleto")</f>
        <v>0</v>
      </c>
      <c r="I10" s="9">
        <f>SUMIFS(Data_filtered!$G$2:$G$461,Data_filtered!$A$2:$A$461,$A10,Data_filtered!$F$2:$F$461,I$1, Data_filtered!$D$2:$D$461,"mata",Data_filtered!$J$2:$J$461,"&lt;&gt;Incompleto")</f>
        <v>1</v>
      </c>
      <c r="J10" s="9">
        <f>SUMIFS(Data_filtered!$G$2:$G$461,Data_filtered!$A$2:$A$461,$A10,Data_filtered!$F$2:$F$461,J$1, Data_filtered!$D$2:$D$461,"mata",Data_filtered!$J$2:$J$461,"&lt;&gt;Incompleto")</f>
        <v>0</v>
      </c>
      <c r="K10" s="9">
        <f>SUMIFS(Data_filtered!$G$2:$G$461,Data_filtered!$A$2:$A$461,$A10,Data_filtered!$F$2:$F$461,K$1, Data_filtered!$D$2:$D$461,"mata",Data_filtered!$J$2:$J$461,"&lt;&gt;Incompleto")</f>
        <v>0</v>
      </c>
      <c r="L10" s="9">
        <f>SUMIFS(Data_filtered!$G$2:$G$461,Data_filtered!$A$2:$A$461,$A10,Data_filtered!$F$2:$F$461,L$1, Data_filtered!$D$2:$D$461,"mata",Data_filtered!$J$2:$J$461,"&lt;&gt;Incompleto")</f>
        <v>1</v>
      </c>
      <c r="M10" s="9">
        <f>SUMIFS(Data_filtered!$G$2:$G$461,Data_filtered!$A$2:$A$461,$A10,Data_filtered!$F$2:$F$461,M$1, Data_filtered!$D$2:$D$461,"mata",Data_filtered!$J$2:$J$461,"&lt;&gt;Incompleto")</f>
        <v>0</v>
      </c>
      <c r="N10" s="9">
        <f>SUMIFS(Data_filtered!$G$2:$G$461,Data_filtered!$A$2:$A$461,$A10,Data_filtered!$F$2:$F$461,N$1, Data_filtered!$D$2:$D$461,"mata",Data_filtered!$J$2:$J$461,"&lt;&gt;Incompleto")</f>
        <v>0</v>
      </c>
      <c r="O10" s="9">
        <f>SUMIFS(Data_filtered!$G$2:$G$461,Data_filtered!$A$2:$A$461,$A10,Data_filtered!$F$2:$F$461,O$1, Data_filtered!$D$2:$D$461,"mata",Data_filtered!$J$2:$J$461,"&lt;&gt;Incompleto")</f>
        <v>0</v>
      </c>
      <c r="P10" s="9">
        <f>SUMIFS(Data_filtered!$G$2:$G$461,Data_filtered!$A$2:$A$461,$A10,Data_filtered!$F$2:$F$461,P$1, Data_filtered!$D$2:$D$461,"mata",Data_filtered!$J$2:$J$461,"&lt;&gt;Incompleto")</f>
        <v>0</v>
      </c>
      <c r="Q10" s="9">
        <f>SUMIFS(Data_filtered!$G$2:$G$461,Data_filtered!$A$2:$A$461,$A10,Data_filtered!$F$2:$F$461,Q$1, Data_filtered!$D$2:$D$461,"mata",Data_filtered!$J$2:$J$461,"&lt;&gt;Incompleto")</f>
        <v>0</v>
      </c>
      <c r="R10" s="9">
        <f>SUMIFS(Data_filtered!$G$2:$G$461,Data_filtered!$A$2:$A$461,$A10,Data_filtered!$F$2:$F$461,R$1, Data_filtered!$D$2:$D$461,"mata",Data_filtered!$J$2:$J$461,"&lt;&gt;Incompleto")</f>
        <v>0</v>
      </c>
      <c r="S10" s="9">
        <f>SUMIFS(Data_filtered!$G$2:$G$461,Data_filtered!$A$2:$A$461,$A10,Data_filtered!$F$2:$F$461,S$1, Data_filtered!$D$2:$D$461,"mata",Data_filtered!$J$2:$J$461,"&lt;&gt;Incompleto")</f>
        <v>0</v>
      </c>
      <c r="T10" s="9">
        <f>SUMIFS(Data_filtered!$G$2:$G$461,Data_filtered!$A$2:$A$461,$A10,Data_filtered!$F$2:$F$461,T$1, Data_filtered!$D$2:$D$461,"mata",Data_filtered!$J$2:$J$461,"&lt;&gt;Incompleto")</f>
        <v>0</v>
      </c>
      <c r="U10" s="9">
        <f>SUMIFS(Data_filtered!$G$2:$G$461,Data_filtered!$A$2:$A$461,$A10,Data_filtered!$F$2:$F$461,U$1, Data_filtered!$D$2:$D$461,"mata",Data_filtered!$J$2:$J$461,"&lt;&gt;Incompleto")</f>
        <v>0</v>
      </c>
      <c r="V10" s="9">
        <f>SUMIFS(Data_filtered!$G$2:$G$461,Data_filtered!$A$2:$A$461,$A10,Data_filtered!$F$2:$F$461,V$1, Data_filtered!$D$2:$D$461,"mata",Data_filtered!$J$2:$J$461,"&lt;&gt;Incompleto")</f>
        <v>0</v>
      </c>
      <c r="W10" s="9">
        <f>SUMIFS(Data_filtered!$G$2:$G$461,Data_filtered!$A$2:$A$461,$A10,Data_filtered!$F$2:$F$461,W$1, Data_filtered!$D$2:$D$461,"mata",Data_filtered!$J$2:$J$461,"&lt;&gt;Incompleto")</f>
        <v>0</v>
      </c>
      <c r="X10" s="9">
        <f>SUMIFS(Data_filtered!$G$2:$G$461,Data_filtered!$A$2:$A$461,$A10,Data_filtered!$F$2:$F$461,X$1, Data_filtered!$D$2:$D$461,"mata",Data_filtered!$J$2:$J$461,"&lt;&gt;Incompleto")</f>
        <v>0</v>
      </c>
      <c r="Y10" s="9">
        <f>SUMIFS(Data_filtered!$G$2:$G$461,Data_filtered!$A$2:$A$461,$A10,Data_filtered!$F$2:$F$461,Y$1, Data_filtered!$D$2:$D$461,"mata",Data_filtered!$J$2:$J$461,"&lt;&gt;Incompleto")</f>
        <v>0</v>
      </c>
    </row>
    <row r="11">
      <c r="A11" s="9" t="str">
        <f>IFERROR(__xludf.DUMMYFUNCTION("""COMPUTED_VALUE"""),"Ischnocnema holti")</f>
        <v>Ischnocnema holti</v>
      </c>
      <c r="B11" s="9">
        <f>SUMIFS(Data_filtered!$G$2:$G$461,Data_filtered!$A$2:$A$461,$A11,Data_filtered!$F$2:$F$461,B$1, Data_filtered!$D$2:$D$461,"mata",Data_filtered!$J$2:$J$461,"&lt;&gt;Incompleto")</f>
        <v>0</v>
      </c>
      <c r="C11" s="9">
        <f>SUMIFS(Data_filtered!$G$2:$G$461,Data_filtered!$A$2:$A$461,$A11,Data_filtered!$F$2:$F$461,C$1, Data_filtered!$D$2:$D$461,"mata",Data_filtered!$J$2:$J$461,"&lt;&gt;Incompleto")</f>
        <v>0</v>
      </c>
      <c r="D11" s="9">
        <f>SUMIFS(Data_filtered!$G$2:$G$461,Data_filtered!$A$2:$A$461,$A11,Data_filtered!$F$2:$F$461,D$1, Data_filtered!$D$2:$D$461,"mata",Data_filtered!$J$2:$J$461,"&lt;&gt;Incompleto")</f>
        <v>1</v>
      </c>
      <c r="E11" s="9">
        <f>SUMIFS(Data_filtered!$G$2:$G$461,Data_filtered!$A$2:$A$461,$A11,Data_filtered!$F$2:$F$461,E$1, Data_filtered!$D$2:$D$461,"mata",Data_filtered!$J$2:$J$461,"&lt;&gt;Incompleto")</f>
        <v>0</v>
      </c>
      <c r="F11" s="9">
        <f>SUMIFS(Data_filtered!$G$2:$G$461,Data_filtered!$A$2:$A$461,$A11,Data_filtered!$F$2:$F$461,F$1, Data_filtered!$D$2:$D$461,"mata",Data_filtered!$J$2:$J$461,"&lt;&gt;Incompleto")</f>
        <v>2</v>
      </c>
      <c r="G11" s="9">
        <f>SUMIFS(Data_filtered!$G$2:$G$461,Data_filtered!$A$2:$A$461,$A11,Data_filtered!$F$2:$F$461,G$1, Data_filtered!$D$2:$D$461,"mata",Data_filtered!$J$2:$J$461,"&lt;&gt;Incompleto")</f>
        <v>1</v>
      </c>
      <c r="H11" s="9">
        <f>SUMIFS(Data_filtered!$G$2:$G$461,Data_filtered!$A$2:$A$461,$A11,Data_filtered!$F$2:$F$461,H$1, Data_filtered!$D$2:$D$461,"mata",Data_filtered!$J$2:$J$461,"&lt;&gt;Incompleto")</f>
        <v>0</v>
      </c>
      <c r="I11" s="9">
        <f>SUMIFS(Data_filtered!$G$2:$G$461,Data_filtered!$A$2:$A$461,$A11,Data_filtered!$F$2:$F$461,I$1, Data_filtered!$D$2:$D$461,"mata",Data_filtered!$J$2:$J$461,"&lt;&gt;Incompleto")</f>
        <v>0</v>
      </c>
      <c r="J11" s="9">
        <f>SUMIFS(Data_filtered!$G$2:$G$461,Data_filtered!$A$2:$A$461,$A11,Data_filtered!$F$2:$F$461,J$1, Data_filtered!$D$2:$D$461,"mata",Data_filtered!$J$2:$J$461,"&lt;&gt;Incompleto")</f>
        <v>0</v>
      </c>
      <c r="K11" s="9">
        <f>SUMIFS(Data_filtered!$G$2:$G$461,Data_filtered!$A$2:$A$461,$A11,Data_filtered!$F$2:$F$461,K$1, Data_filtered!$D$2:$D$461,"mata",Data_filtered!$J$2:$J$461,"&lt;&gt;Incompleto")</f>
        <v>0</v>
      </c>
      <c r="L11" s="9">
        <f>SUMIFS(Data_filtered!$G$2:$G$461,Data_filtered!$A$2:$A$461,$A11,Data_filtered!$F$2:$F$461,L$1, Data_filtered!$D$2:$D$461,"mata",Data_filtered!$J$2:$J$461,"&lt;&gt;Incompleto")</f>
        <v>0</v>
      </c>
      <c r="M11" s="9">
        <f>SUMIFS(Data_filtered!$G$2:$G$461,Data_filtered!$A$2:$A$461,$A11,Data_filtered!$F$2:$F$461,M$1, Data_filtered!$D$2:$D$461,"mata",Data_filtered!$J$2:$J$461,"&lt;&gt;Incompleto")</f>
        <v>0</v>
      </c>
      <c r="N11" s="9">
        <f>SUMIFS(Data_filtered!$G$2:$G$461,Data_filtered!$A$2:$A$461,$A11,Data_filtered!$F$2:$F$461,N$1, Data_filtered!$D$2:$D$461,"mata",Data_filtered!$J$2:$J$461,"&lt;&gt;Incompleto")</f>
        <v>1</v>
      </c>
      <c r="O11" s="9">
        <f>SUMIFS(Data_filtered!$G$2:$G$461,Data_filtered!$A$2:$A$461,$A11,Data_filtered!$F$2:$F$461,O$1, Data_filtered!$D$2:$D$461,"mata",Data_filtered!$J$2:$J$461,"&lt;&gt;Incompleto")</f>
        <v>0</v>
      </c>
      <c r="P11" s="9">
        <f>SUMIFS(Data_filtered!$G$2:$G$461,Data_filtered!$A$2:$A$461,$A11,Data_filtered!$F$2:$F$461,P$1, Data_filtered!$D$2:$D$461,"mata",Data_filtered!$J$2:$J$461,"&lt;&gt;Incompleto")</f>
        <v>0</v>
      </c>
      <c r="Q11" s="9">
        <f>SUMIFS(Data_filtered!$G$2:$G$461,Data_filtered!$A$2:$A$461,$A11,Data_filtered!$F$2:$F$461,Q$1, Data_filtered!$D$2:$D$461,"mata",Data_filtered!$J$2:$J$461,"&lt;&gt;Incompleto")</f>
        <v>0</v>
      </c>
      <c r="R11" s="9">
        <f>SUMIFS(Data_filtered!$G$2:$G$461,Data_filtered!$A$2:$A$461,$A11,Data_filtered!$F$2:$F$461,R$1, Data_filtered!$D$2:$D$461,"mata",Data_filtered!$J$2:$J$461,"&lt;&gt;Incompleto")</f>
        <v>0</v>
      </c>
      <c r="S11" s="9">
        <f>SUMIFS(Data_filtered!$G$2:$G$461,Data_filtered!$A$2:$A$461,$A11,Data_filtered!$F$2:$F$461,S$1, Data_filtered!$D$2:$D$461,"mata",Data_filtered!$J$2:$J$461,"&lt;&gt;Incompleto")</f>
        <v>0</v>
      </c>
      <c r="T11" s="9">
        <f>SUMIFS(Data_filtered!$G$2:$G$461,Data_filtered!$A$2:$A$461,$A11,Data_filtered!$F$2:$F$461,T$1, Data_filtered!$D$2:$D$461,"mata",Data_filtered!$J$2:$J$461,"&lt;&gt;Incompleto")</f>
        <v>0</v>
      </c>
      <c r="U11" s="9">
        <f>SUMIFS(Data_filtered!$G$2:$G$461,Data_filtered!$A$2:$A$461,$A11,Data_filtered!$F$2:$F$461,U$1, Data_filtered!$D$2:$D$461,"mata",Data_filtered!$J$2:$J$461,"&lt;&gt;Incompleto")</f>
        <v>0</v>
      </c>
      <c r="V11" s="9">
        <f>SUMIFS(Data_filtered!$G$2:$G$461,Data_filtered!$A$2:$A$461,$A11,Data_filtered!$F$2:$F$461,V$1, Data_filtered!$D$2:$D$461,"mata",Data_filtered!$J$2:$J$461,"&lt;&gt;Incompleto")</f>
        <v>0</v>
      </c>
      <c r="W11" s="9">
        <f>SUMIFS(Data_filtered!$G$2:$G$461,Data_filtered!$A$2:$A$461,$A11,Data_filtered!$F$2:$F$461,W$1, Data_filtered!$D$2:$D$461,"mata",Data_filtered!$J$2:$J$461,"&lt;&gt;Incompleto")</f>
        <v>0</v>
      </c>
      <c r="X11" s="9">
        <f>SUMIFS(Data_filtered!$G$2:$G$461,Data_filtered!$A$2:$A$461,$A11,Data_filtered!$F$2:$F$461,X$1, Data_filtered!$D$2:$D$461,"mata",Data_filtered!$J$2:$J$461,"&lt;&gt;Incompleto")</f>
        <v>0</v>
      </c>
      <c r="Y11" s="9">
        <f>SUMIFS(Data_filtered!$G$2:$G$461,Data_filtered!$A$2:$A$461,$A11,Data_filtered!$F$2:$F$461,Y$1, Data_filtered!$D$2:$D$461,"mata",Data_filtered!$J$2:$J$461,"&lt;&gt;Incompleto")</f>
        <v>1</v>
      </c>
    </row>
    <row r="12">
      <c r="A12" s="9" t="str">
        <f>IFERROR(__xludf.DUMMYFUNCTION("""COMPUTED_VALUE"""),"Ischnocnema juipoca")</f>
        <v>Ischnocnema juipoca</v>
      </c>
      <c r="B12" s="9">
        <f>SUMIFS(Data_filtered!$G$2:$G$461,Data_filtered!$A$2:$A$461,$A12,Data_filtered!$F$2:$F$461,B$1, Data_filtered!$D$2:$D$461,"mata",Data_filtered!$J$2:$J$461,"&lt;&gt;Incompleto")</f>
        <v>0</v>
      </c>
      <c r="C12" s="9">
        <f>SUMIFS(Data_filtered!$G$2:$G$461,Data_filtered!$A$2:$A$461,$A12,Data_filtered!$F$2:$F$461,C$1, Data_filtered!$D$2:$D$461,"mata",Data_filtered!$J$2:$J$461,"&lt;&gt;Incompleto")</f>
        <v>0</v>
      </c>
      <c r="D12" s="9">
        <f>SUMIFS(Data_filtered!$G$2:$G$461,Data_filtered!$A$2:$A$461,$A12,Data_filtered!$F$2:$F$461,D$1, Data_filtered!$D$2:$D$461,"mata",Data_filtered!$J$2:$J$461,"&lt;&gt;Incompleto")</f>
        <v>0</v>
      </c>
      <c r="E12" s="9">
        <f>SUMIFS(Data_filtered!$G$2:$G$461,Data_filtered!$A$2:$A$461,$A12,Data_filtered!$F$2:$F$461,E$1, Data_filtered!$D$2:$D$461,"mata",Data_filtered!$J$2:$J$461,"&lt;&gt;Incompleto")</f>
        <v>0</v>
      </c>
      <c r="F12" s="9">
        <f>SUMIFS(Data_filtered!$G$2:$G$461,Data_filtered!$A$2:$A$461,$A12,Data_filtered!$F$2:$F$461,F$1, Data_filtered!$D$2:$D$461,"mata",Data_filtered!$J$2:$J$461,"&lt;&gt;Incompleto")</f>
        <v>1</v>
      </c>
      <c r="G12" s="9">
        <f>SUMIFS(Data_filtered!$G$2:$G$461,Data_filtered!$A$2:$A$461,$A12,Data_filtered!$F$2:$F$461,G$1, Data_filtered!$D$2:$D$461,"mata",Data_filtered!$J$2:$J$461,"&lt;&gt;Incompleto")</f>
        <v>0</v>
      </c>
      <c r="H12" s="9">
        <f>SUMIFS(Data_filtered!$G$2:$G$461,Data_filtered!$A$2:$A$461,$A12,Data_filtered!$F$2:$F$461,H$1, Data_filtered!$D$2:$D$461,"mata",Data_filtered!$J$2:$J$461,"&lt;&gt;Incompleto")</f>
        <v>0</v>
      </c>
      <c r="I12" s="9">
        <f>SUMIFS(Data_filtered!$G$2:$G$461,Data_filtered!$A$2:$A$461,$A12,Data_filtered!$F$2:$F$461,I$1, Data_filtered!$D$2:$D$461,"mata",Data_filtered!$J$2:$J$461,"&lt;&gt;Incompleto")</f>
        <v>0</v>
      </c>
      <c r="J12" s="9">
        <f>SUMIFS(Data_filtered!$G$2:$G$461,Data_filtered!$A$2:$A$461,$A12,Data_filtered!$F$2:$F$461,J$1, Data_filtered!$D$2:$D$461,"mata",Data_filtered!$J$2:$J$461,"&lt;&gt;Incompleto")</f>
        <v>0</v>
      </c>
      <c r="K12" s="9">
        <f>SUMIFS(Data_filtered!$G$2:$G$461,Data_filtered!$A$2:$A$461,$A12,Data_filtered!$F$2:$F$461,K$1, Data_filtered!$D$2:$D$461,"mata",Data_filtered!$J$2:$J$461,"&lt;&gt;Incompleto")</f>
        <v>0</v>
      </c>
      <c r="L12" s="9">
        <f>SUMIFS(Data_filtered!$G$2:$G$461,Data_filtered!$A$2:$A$461,$A12,Data_filtered!$F$2:$F$461,L$1, Data_filtered!$D$2:$D$461,"mata",Data_filtered!$J$2:$J$461,"&lt;&gt;Incompleto")</f>
        <v>0</v>
      </c>
      <c r="M12" s="9">
        <f>SUMIFS(Data_filtered!$G$2:$G$461,Data_filtered!$A$2:$A$461,$A12,Data_filtered!$F$2:$F$461,M$1, Data_filtered!$D$2:$D$461,"mata",Data_filtered!$J$2:$J$461,"&lt;&gt;Incompleto")</f>
        <v>0</v>
      </c>
      <c r="N12" s="9">
        <f>SUMIFS(Data_filtered!$G$2:$G$461,Data_filtered!$A$2:$A$461,$A12,Data_filtered!$F$2:$F$461,N$1, Data_filtered!$D$2:$D$461,"mata",Data_filtered!$J$2:$J$461,"&lt;&gt;Incompleto")</f>
        <v>0</v>
      </c>
      <c r="O12" s="9">
        <f>SUMIFS(Data_filtered!$G$2:$G$461,Data_filtered!$A$2:$A$461,$A12,Data_filtered!$F$2:$F$461,O$1, Data_filtered!$D$2:$D$461,"mata",Data_filtered!$J$2:$J$461,"&lt;&gt;Incompleto")</f>
        <v>0</v>
      </c>
      <c r="P12" s="9">
        <f>SUMIFS(Data_filtered!$G$2:$G$461,Data_filtered!$A$2:$A$461,$A12,Data_filtered!$F$2:$F$461,P$1, Data_filtered!$D$2:$D$461,"mata",Data_filtered!$J$2:$J$461,"&lt;&gt;Incompleto")</f>
        <v>0</v>
      </c>
      <c r="Q12" s="9">
        <f>SUMIFS(Data_filtered!$G$2:$G$461,Data_filtered!$A$2:$A$461,$A12,Data_filtered!$F$2:$F$461,Q$1, Data_filtered!$D$2:$D$461,"mata",Data_filtered!$J$2:$J$461,"&lt;&gt;Incompleto")</f>
        <v>0</v>
      </c>
      <c r="R12" s="9">
        <f>SUMIFS(Data_filtered!$G$2:$G$461,Data_filtered!$A$2:$A$461,$A12,Data_filtered!$F$2:$F$461,R$1, Data_filtered!$D$2:$D$461,"mata",Data_filtered!$J$2:$J$461,"&lt;&gt;Incompleto")</f>
        <v>0</v>
      </c>
      <c r="S12" s="9">
        <f>SUMIFS(Data_filtered!$G$2:$G$461,Data_filtered!$A$2:$A$461,$A12,Data_filtered!$F$2:$F$461,S$1, Data_filtered!$D$2:$D$461,"mata",Data_filtered!$J$2:$J$461,"&lt;&gt;Incompleto")</f>
        <v>0</v>
      </c>
      <c r="T12" s="9">
        <f>SUMIFS(Data_filtered!$G$2:$G$461,Data_filtered!$A$2:$A$461,$A12,Data_filtered!$F$2:$F$461,T$1, Data_filtered!$D$2:$D$461,"mata",Data_filtered!$J$2:$J$461,"&lt;&gt;Incompleto")</f>
        <v>0</v>
      </c>
      <c r="U12" s="9">
        <f>SUMIFS(Data_filtered!$G$2:$G$461,Data_filtered!$A$2:$A$461,$A12,Data_filtered!$F$2:$F$461,U$1, Data_filtered!$D$2:$D$461,"mata",Data_filtered!$J$2:$J$461,"&lt;&gt;Incompleto")</f>
        <v>0</v>
      </c>
      <c r="V12" s="9">
        <f>SUMIFS(Data_filtered!$G$2:$G$461,Data_filtered!$A$2:$A$461,$A12,Data_filtered!$F$2:$F$461,V$1, Data_filtered!$D$2:$D$461,"mata",Data_filtered!$J$2:$J$461,"&lt;&gt;Incompleto")</f>
        <v>0</v>
      </c>
      <c r="W12" s="9">
        <f>SUMIFS(Data_filtered!$G$2:$G$461,Data_filtered!$A$2:$A$461,$A12,Data_filtered!$F$2:$F$461,W$1, Data_filtered!$D$2:$D$461,"mata",Data_filtered!$J$2:$J$461,"&lt;&gt;Incompleto")</f>
        <v>0</v>
      </c>
      <c r="X12" s="9">
        <f>SUMIFS(Data_filtered!$G$2:$G$461,Data_filtered!$A$2:$A$461,$A12,Data_filtered!$F$2:$F$461,X$1, Data_filtered!$D$2:$D$461,"mata",Data_filtered!$J$2:$J$461,"&lt;&gt;Incompleto")</f>
        <v>0</v>
      </c>
      <c r="Y12" s="9">
        <f>SUMIFS(Data_filtered!$G$2:$G$461,Data_filtered!$A$2:$A$461,$A12,Data_filtered!$F$2:$F$461,Y$1, Data_filtered!$D$2:$D$461,"mata",Data_filtered!$J$2:$J$461,"&lt;&gt;Incompleto")</f>
        <v>0</v>
      </c>
    </row>
    <row r="13">
      <c r="A13" s="9" t="str">
        <f>IFERROR(__xludf.DUMMYFUNCTION("""COMPUTED_VALUE"""),"Ischnocnema vizottoi")</f>
        <v>Ischnocnema vizottoi</v>
      </c>
      <c r="B13" s="9">
        <f>SUMIFS(Data_filtered!$G$2:$G$461,Data_filtered!$A$2:$A$461,$A13,Data_filtered!$F$2:$F$461,B$1, Data_filtered!$D$2:$D$461,"mata",Data_filtered!$J$2:$J$461,"&lt;&gt;Incompleto")</f>
        <v>0</v>
      </c>
      <c r="C13" s="9">
        <f>SUMIFS(Data_filtered!$G$2:$G$461,Data_filtered!$A$2:$A$461,$A13,Data_filtered!$F$2:$F$461,C$1, Data_filtered!$D$2:$D$461,"mata",Data_filtered!$J$2:$J$461,"&lt;&gt;Incompleto")</f>
        <v>0</v>
      </c>
      <c r="D13" s="9">
        <f>SUMIFS(Data_filtered!$G$2:$G$461,Data_filtered!$A$2:$A$461,$A13,Data_filtered!$F$2:$F$461,D$1, Data_filtered!$D$2:$D$461,"mata",Data_filtered!$J$2:$J$461,"&lt;&gt;Incompleto")</f>
        <v>0</v>
      </c>
      <c r="E13" s="9">
        <f>SUMIFS(Data_filtered!$G$2:$G$461,Data_filtered!$A$2:$A$461,$A13,Data_filtered!$F$2:$F$461,E$1, Data_filtered!$D$2:$D$461,"mata",Data_filtered!$J$2:$J$461,"&lt;&gt;Incompleto")</f>
        <v>0</v>
      </c>
      <c r="F13" s="9">
        <f>SUMIFS(Data_filtered!$G$2:$G$461,Data_filtered!$A$2:$A$461,$A13,Data_filtered!$F$2:$F$461,F$1, Data_filtered!$D$2:$D$461,"mata",Data_filtered!$J$2:$J$461,"&lt;&gt;Incompleto")</f>
        <v>0</v>
      </c>
      <c r="G13" s="9">
        <f>SUMIFS(Data_filtered!$G$2:$G$461,Data_filtered!$A$2:$A$461,$A13,Data_filtered!$F$2:$F$461,G$1, Data_filtered!$D$2:$D$461,"mata",Data_filtered!$J$2:$J$461,"&lt;&gt;Incompleto")</f>
        <v>0</v>
      </c>
      <c r="H13" s="9">
        <f>SUMIFS(Data_filtered!$G$2:$G$461,Data_filtered!$A$2:$A$461,$A13,Data_filtered!$F$2:$F$461,H$1, Data_filtered!$D$2:$D$461,"mata",Data_filtered!$J$2:$J$461,"&lt;&gt;Incompleto")</f>
        <v>0</v>
      </c>
      <c r="I13" s="9">
        <f>SUMIFS(Data_filtered!$G$2:$G$461,Data_filtered!$A$2:$A$461,$A13,Data_filtered!$F$2:$F$461,I$1, Data_filtered!$D$2:$D$461,"mata",Data_filtered!$J$2:$J$461,"&lt;&gt;Incompleto")</f>
        <v>0</v>
      </c>
      <c r="J13" s="9">
        <f>SUMIFS(Data_filtered!$G$2:$G$461,Data_filtered!$A$2:$A$461,$A13,Data_filtered!$F$2:$F$461,J$1, Data_filtered!$D$2:$D$461,"mata",Data_filtered!$J$2:$J$461,"&lt;&gt;Incompleto")</f>
        <v>0</v>
      </c>
      <c r="K13" s="9">
        <f>SUMIFS(Data_filtered!$G$2:$G$461,Data_filtered!$A$2:$A$461,$A13,Data_filtered!$F$2:$F$461,K$1, Data_filtered!$D$2:$D$461,"mata",Data_filtered!$J$2:$J$461,"&lt;&gt;Incompleto")</f>
        <v>0</v>
      </c>
      <c r="L13" s="9">
        <f>SUMIFS(Data_filtered!$G$2:$G$461,Data_filtered!$A$2:$A$461,$A13,Data_filtered!$F$2:$F$461,L$1, Data_filtered!$D$2:$D$461,"mata",Data_filtered!$J$2:$J$461,"&lt;&gt;Incompleto")</f>
        <v>1</v>
      </c>
      <c r="M13" s="9">
        <f>SUMIFS(Data_filtered!$G$2:$G$461,Data_filtered!$A$2:$A$461,$A13,Data_filtered!$F$2:$F$461,M$1, Data_filtered!$D$2:$D$461,"mata",Data_filtered!$J$2:$J$461,"&lt;&gt;Incompleto")</f>
        <v>0</v>
      </c>
      <c r="N13" s="9">
        <f>SUMIFS(Data_filtered!$G$2:$G$461,Data_filtered!$A$2:$A$461,$A13,Data_filtered!$F$2:$F$461,N$1, Data_filtered!$D$2:$D$461,"mata",Data_filtered!$J$2:$J$461,"&lt;&gt;Incompleto")</f>
        <v>1</v>
      </c>
      <c r="O13" s="9">
        <f>SUMIFS(Data_filtered!$G$2:$G$461,Data_filtered!$A$2:$A$461,$A13,Data_filtered!$F$2:$F$461,O$1, Data_filtered!$D$2:$D$461,"mata",Data_filtered!$J$2:$J$461,"&lt;&gt;Incompleto")</f>
        <v>0</v>
      </c>
      <c r="P13" s="9">
        <f>SUMIFS(Data_filtered!$G$2:$G$461,Data_filtered!$A$2:$A$461,$A13,Data_filtered!$F$2:$F$461,P$1, Data_filtered!$D$2:$D$461,"mata",Data_filtered!$J$2:$J$461,"&lt;&gt;Incompleto")</f>
        <v>0</v>
      </c>
      <c r="Q13" s="9">
        <f>SUMIFS(Data_filtered!$G$2:$G$461,Data_filtered!$A$2:$A$461,$A13,Data_filtered!$F$2:$F$461,Q$1, Data_filtered!$D$2:$D$461,"mata",Data_filtered!$J$2:$J$461,"&lt;&gt;Incompleto")</f>
        <v>0</v>
      </c>
      <c r="R13" s="9">
        <f>SUMIFS(Data_filtered!$G$2:$G$461,Data_filtered!$A$2:$A$461,$A13,Data_filtered!$F$2:$F$461,R$1, Data_filtered!$D$2:$D$461,"mata",Data_filtered!$J$2:$J$461,"&lt;&gt;Incompleto")</f>
        <v>0</v>
      </c>
      <c r="S13" s="9">
        <f>SUMIFS(Data_filtered!$G$2:$G$461,Data_filtered!$A$2:$A$461,$A13,Data_filtered!$F$2:$F$461,S$1, Data_filtered!$D$2:$D$461,"mata",Data_filtered!$J$2:$J$461,"&lt;&gt;Incompleto")</f>
        <v>0</v>
      </c>
      <c r="T13" s="9">
        <f>SUMIFS(Data_filtered!$G$2:$G$461,Data_filtered!$A$2:$A$461,$A13,Data_filtered!$F$2:$F$461,T$1, Data_filtered!$D$2:$D$461,"mata",Data_filtered!$J$2:$J$461,"&lt;&gt;Incompleto")</f>
        <v>0</v>
      </c>
      <c r="U13" s="9">
        <f>SUMIFS(Data_filtered!$G$2:$G$461,Data_filtered!$A$2:$A$461,$A13,Data_filtered!$F$2:$F$461,U$1, Data_filtered!$D$2:$D$461,"mata",Data_filtered!$J$2:$J$461,"&lt;&gt;Incompleto")</f>
        <v>0</v>
      </c>
      <c r="V13" s="9">
        <f>SUMIFS(Data_filtered!$G$2:$G$461,Data_filtered!$A$2:$A$461,$A13,Data_filtered!$F$2:$F$461,V$1, Data_filtered!$D$2:$D$461,"mata",Data_filtered!$J$2:$J$461,"&lt;&gt;Incompleto")</f>
        <v>0</v>
      </c>
      <c r="W13" s="9">
        <f>SUMIFS(Data_filtered!$G$2:$G$461,Data_filtered!$A$2:$A$461,$A13,Data_filtered!$F$2:$F$461,W$1, Data_filtered!$D$2:$D$461,"mata",Data_filtered!$J$2:$J$461,"&lt;&gt;Incompleto")</f>
        <v>0</v>
      </c>
      <c r="X13" s="9">
        <f>SUMIFS(Data_filtered!$G$2:$G$461,Data_filtered!$A$2:$A$461,$A13,Data_filtered!$F$2:$F$461,X$1, Data_filtered!$D$2:$D$461,"mata",Data_filtered!$J$2:$J$461,"&lt;&gt;Incompleto")</f>
        <v>0</v>
      </c>
      <c r="Y13" s="9">
        <f>SUMIFS(Data_filtered!$G$2:$G$461,Data_filtered!$A$2:$A$461,$A13,Data_filtered!$F$2:$F$461,Y$1, Data_filtered!$D$2:$D$461,"mata",Data_filtered!$J$2:$J$461,"&lt;&gt;Incompleto")</f>
        <v>0</v>
      </c>
    </row>
    <row r="14">
      <c r="A14" s="9" t="str">
        <f>IFERROR(__xludf.DUMMYFUNCTION("""COMPUTED_VALUE"""),"Ololygon obtriangulata")</f>
        <v>Ololygon obtriangulata</v>
      </c>
      <c r="B14" s="9">
        <f>SUMIFS(Data_filtered!$G$2:$G$461,Data_filtered!$A$2:$A$461,$A14,Data_filtered!$F$2:$F$461,B$1, Data_filtered!$D$2:$D$461,"mata",Data_filtered!$J$2:$J$461,"&lt;&gt;Incompleto")</f>
        <v>0</v>
      </c>
      <c r="C14" s="9">
        <f>SUMIFS(Data_filtered!$G$2:$G$461,Data_filtered!$A$2:$A$461,$A14,Data_filtered!$F$2:$F$461,C$1, Data_filtered!$D$2:$D$461,"mata",Data_filtered!$J$2:$J$461,"&lt;&gt;Incompleto")</f>
        <v>5</v>
      </c>
      <c r="D14" s="9">
        <f>SUMIFS(Data_filtered!$G$2:$G$461,Data_filtered!$A$2:$A$461,$A14,Data_filtered!$F$2:$F$461,D$1, Data_filtered!$D$2:$D$461,"mata",Data_filtered!$J$2:$J$461,"&lt;&gt;Incompleto")</f>
        <v>0</v>
      </c>
      <c r="E14" s="9">
        <f>SUMIFS(Data_filtered!$G$2:$G$461,Data_filtered!$A$2:$A$461,$A14,Data_filtered!$F$2:$F$461,E$1, Data_filtered!$D$2:$D$461,"mata",Data_filtered!$J$2:$J$461,"&lt;&gt;Incompleto")</f>
        <v>0</v>
      </c>
      <c r="F14" s="9">
        <f>SUMIFS(Data_filtered!$G$2:$G$461,Data_filtered!$A$2:$A$461,$A14,Data_filtered!$F$2:$F$461,F$1, Data_filtered!$D$2:$D$461,"mata",Data_filtered!$J$2:$J$461,"&lt;&gt;Incompleto")</f>
        <v>1</v>
      </c>
      <c r="G14" s="9">
        <f>SUMIFS(Data_filtered!$G$2:$G$461,Data_filtered!$A$2:$A$461,$A14,Data_filtered!$F$2:$F$461,G$1, Data_filtered!$D$2:$D$461,"mata",Data_filtered!$J$2:$J$461,"&lt;&gt;Incompleto")</f>
        <v>0</v>
      </c>
      <c r="H14" s="9">
        <f>SUMIFS(Data_filtered!$G$2:$G$461,Data_filtered!$A$2:$A$461,$A14,Data_filtered!$F$2:$F$461,H$1, Data_filtered!$D$2:$D$461,"mata",Data_filtered!$J$2:$J$461,"&lt;&gt;Incompleto")</f>
        <v>0</v>
      </c>
      <c r="I14" s="9">
        <f>SUMIFS(Data_filtered!$G$2:$G$461,Data_filtered!$A$2:$A$461,$A14,Data_filtered!$F$2:$F$461,I$1, Data_filtered!$D$2:$D$461,"mata",Data_filtered!$J$2:$J$461,"&lt;&gt;Incompleto")</f>
        <v>0</v>
      </c>
      <c r="J14" s="9">
        <f>SUMIFS(Data_filtered!$G$2:$G$461,Data_filtered!$A$2:$A$461,$A14,Data_filtered!$F$2:$F$461,J$1, Data_filtered!$D$2:$D$461,"mata",Data_filtered!$J$2:$J$461,"&lt;&gt;Incompleto")</f>
        <v>0</v>
      </c>
      <c r="K14" s="9">
        <f>SUMIFS(Data_filtered!$G$2:$G$461,Data_filtered!$A$2:$A$461,$A14,Data_filtered!$F$2:$F$461,K$1, Data_filtered!$D$2:$D$461,"mata",Data_filtered!$J$2:$J$461,"&lt;&gt;Incompleto")</f>
        <v>0</v>
      </c>
      <c r="L14" s="9">
        <f>SUMIFS(Data_filtered!$G$2:$G$461,Data_filtered!$A$2:$A$461,$A14,Data_filtered!$F$2:$F$461,L$1, Data_filtered!$D$2:$D$461,"mata",Data_filtered!$J$2:$J$461,"&lt;&gt;Incompleto")</f>
        <v>0</v>
      </c>
      <c r="M14" s="9">
        <f>SUMIFS(Data_filtered!$G$2:$G$461,Data_filtered!$A$2:$A$461,$A14,Data_filtered!$F$2:$F$461,M$1, Data_filtered!$D$2:$D$461,"mata",Data_filtered!$J$2:$J$461,"&lt;&gt;Incompleto")</f>
        <v>0</v>
      </c>
      <c r="N14" s="9">
        <f>SUMIFS(Data_filtered!$G$2:$G$461,Data_filtered!$A$2:$A$461,$A14,Data_filtered!$F$2:$F$461,N$1, Data_filtered!$D$2:$D$461,"mata",Data_filtered!$J$2:$J$461,"&lt;&gt;Incompleto")</f>
        <v>0</v>
      </c>
      <c r="O14" s="9">
        <f>SUMIFS(Data_filtered!$G$2:$G$461,Data_filtered!$A$2:$A$461,$A14,Data_filtered!$F$2:$F$461,O$1, Data_filtered!$D$2:$D$461,"mata",Data_filtered!$J$2:$J$461,"&lt;&gt;Incompleto")</f>
        <v>0</v>
      </c>
      <c r="P14" s="9">
        <f>SUMIFS(Data_filtered!$G$2:$G$461,Data_filtered!$A$2:$A$461,$A14,Data_filtered!$F$2:$F$461,P$1, Data_filtered!$D$2:$D$461,"mata",Data_filtered!$J$2:$J$461,"&lt;&gt;Incompleto")</f>
        <v>0</v>
      </c>
      <c r="Q14" s="9">
        <f>SUMIFS(Data_filtered!$G$2:$G$461,Data_filtered!$A$2:$A$461,$A14,Data_filtered!$F$2:$F$461,Q$1, Data_filtered!$D$2:$D$461,"mata",Data_filtered!$J$2:$J$461,"&lt;&gt;Incompleto")</f>
        <v>0</v>
      </c>
      <c r="R14" s="9">
        <f>SUMIFS(Data_filtered!$G$2:$G$461,Data_filtered!$A$2:$A$461,$A14,Data_filtered!$F$2:$F$461,R$1, Data_filtered!$D$2:$D$461,"mata",Data_filtered!$J$2:$J$461,"&lt;&gt;Incompleto")</f>
        <v>0</v>
      </c>
      <c r="S14" s="9">
        <f>SUMIFS(Data_filtered!$G$2:$G$461,Data_filtered!$A$2:$A$461,$A14,Data_filtered!$F$2:$F$461,S$1, Data_filtered!$D$2:$D$461,"mata",Data_filtered!$J$2:$J$461,"&lt;&gt;Incompleto")</f>
        <v>0</v>
      </c>
      <c r="T14" s="9">
        <f>SUMIFS(Data_filtered!$G$2:$G$461,Data_filtered!$A$2:$A$461,$A14,Data_filtered!$F$2:$F$461,T$1, Data_filtered!$D$2:$D$461,"mata",Data_filtered!$J$2:$J$461,"&lt;&gt;Incompleto")</f>
        <v>0</v>
      </c>
      <c r="U14" s="9">
        <f>SUMIFS(Data_filtered!$G$2:$G$461,Data_filtered!$A$2:$A$461,$A14,Data_filtered!$F$2:$F$461,U$1, Data_filtered!$D$2:$D$461,"mata",Data_filtered!$J$2:$J$461,"&lt;&gt;Incompleto")</f>
        <v>0</v>
      </c>
      <c r="V14" s="9">
        <f>SUMIFS(Data_filtered!$G$2:$G$461,Data_filtered!$A$2:$A$461,$A14,Data_filtered!$F$2:$F$461,V$1, Data_filtered!$D$2:$D$461,"mata",Data_filtered!$J$2:$J$461,"&lt;&gt;Incompleto")</f>
        <v>1</v>
      </c>
      <c r="W14" s="9">
        <f>SUMIFS(Data_filtered!$G$2:$G$461,Data_filtered!$A$2:$A$461,$A14,Data_filtered!$F$2:$F$461,W$1, Data_filtered!$D$2:$D$461,"mata",Data_filtered!$J$2:$J$461,"&lt;&gt;Incompleto")</f>
        <v>0</v>
      </c>
      <c r="X14" s="9">
        <f>SUMIFS(Data_filtered!$G$2:$G$461,Data_filtered!$A$2:$A$461,$A14,Data_filtered!$F$2:$F$461,X$1, Data_filtered!$D$2:$D$461,"mata",Data_filtered!$J$2:$J$461,"&lt;&gt;Incompleto")</f>
        <v>0</v>
      </c>
      <c r="Y14" s="9">
        <f>SUMIFS(Data_filtered!$G$2:$G$461,Data_filtered!$A$2:$A$461,$A14,Data_filtered!$F$2:$F$461,Y$1, Data_filtered!$D$2:$D$461,"mata",Data_filtered!$J$2:$J$461,"&lt;&gt;Incompleto")</f>
        <v>0</v>
      </c>
    </row>
    <row r="15">
      <c r="A15" s="9" t="str">
        <f>IFERROR(__xludf.DUMMYFUNCTION("""COMPUTED_VALUE"""),"Paratelmatobius mantiqueira")</f>
        <v>Paratelmatobius mantiqueira</v>
      </c>
      <c r="B15" s="9">
        <f>SUMIFS(Data_filtered!$G$2:$G$461,Data_filtered!$A$2:$A$461,$A15,Data_filtered!$F$2:$F$461,B$1, Data_filtered!$D$2:$D$461,"mata",Data_filtered!$J$2:$J$461,"&lt;&gt;Incompleto")</f>
        <v>0</v>
      </c>
      <c r="C15" s="9">
        <f>SUMIFS(Data_filtered!$G$2:$G$461,Data_filtered!$A$2:$A$461,$A15,Data_filtered!$F$2:$F$461,C$1, Data_filtered!$D$2:$D$461,"mata",Data_filtered!$J$2:$J$461,"&lt;&gt;Incompleto")</f>
        <v>1</v>
      </c>
      <c r="D15" s="9">
        <f>SUMIFS(Data_filtered!$G$2:$G$461,Data_filtered!$A$2:$A$461,$A15,Data_filtered!$F$2:$F$461,D$1, Data_filtered!$D$2:$D$461,"mata",Data_filtered!$J$2:$J$461,"&lt;&gt;Incompleto")</f>
        <v>0</v>
      </c>
      <c r="E15" s="9">
        <f>SUMIFS(Data_filtered!$G$2:$G$461,Data_filtered!$A$2:$A$461,$A15,Data_filtered!$F$2:$F$461,E$1, Data_filtered!$D$2:$D$461,"mata",Data_filtered!$J$2:$J$461,"&lt;&gt;Incompleto")</f>
        <v>0</v>
      </c>
      <c r="F15" s="9">
        <f>SUMIFS(Data_filtered!$G$2:$G$461,Data_filtered!$A$2:$A$461,$A15,Data_filtered!$F$2:$F$461,F$1, Data_filtered!$D$2:$D$461,"mata",Data_filtered!$J$2:$J$461,"&lt;&gt;Incompleto")</f>
        <v>0</v>
      </c>
      <c r="G15" s="9">
        <f>SUMIFS(Data_filtered!$G$2:$G$461,Data_filtered!$A$2:$A$461,$A15,Data_filtered!$F$2:$F$461,G$1, Data_filtered!$D$2:$D$461,"mata",Data_filtered!$J$2:$J$461,"&lt;&gt;Incompleto")</f>
        <v>0</v>
      </c>
      <c r="H15" s="9">
        <f>SUMIFS(Data_filtered!$G$2:$G$461,Data_filtered!$A$2:$A$461,$A15,Data_filtered!$F$2:$F$461,H$1, Data_filtered!$D$2:$D$461,"mata",Data_filtered!$J$2:$J$461,"&lt;&gt;Incompleto")</f>
        <v>0</v>
      </c>
      <c r="I15" s="9">
        <f>SUMIFS(Data_filtered!$G$2:$G$461,Data_filtered!$A$2:$A$461,$A15,Data_filtered!$F$2:$F$461,I$1, Data_filtered!$D$2:$D$461,"mata",Data_filtered!$J$2:$J$461,"&lt;&gt;Incompleto")</f>
        <v>0</v>
      </c>
      <c r="J15" s="9">
        <f>SUMIFS(Data_filtered!$G$2:$G$461,Data_filtered!$A$2:$A$461,$A15,Data_filtered!$F$2:$F$461,J$1, Data_filtered!$D$2:$D$461,"mata",Data_filtered!$J$2:$J$461,"&lt;&gt;Incompleto")</f>
        <v>0</v>
      </c>
      <c r="K15" s="9">
        <f>SUMIFS(Data_filtered!$G$2:$G$461,Data_filtered!$A$2:$A$461,$A15,Data_filtered!$F$2:$F$461,K$1, Data_filtered!$D$2:$D$461,"mata",Data_filtered!$J$2:$J$461,"&lt;&gt;Incompleto")</f>
        <v>0</v>
      </c>
      <c r="L15" s="9">
        <f>SUMIFS(Data_filtered!$G$2:$G$461,Data_filtered!$A$2:$A$461,$A15,Data_filtered!$F$2:$F$461,L$1, Data_filtered!$D$2:$D$461,"mata",Data_filtered!$J$2:$J$461,"&lt;&gt;Incompleto")</f>
        <v>0</v>
      </c>
      <c r="M15" s="9">
        <f>SUMIFS(Data_filtered!$G$2:$G$461,Data_filtered!$A$2:$A$461,$A15,Data_filtered!$F$2:$F$461,M$1, Data_filtered!$D$2:$D$461,"mata",Data_filtered!$J$2:$J$461,"&lt;&gt;Incompleto")</f>
        <v>0</v>
      </c>
      <c r="N15" s="9">
        <f>SUMIFS(Data_filtered!$G$2:$G$461,Data_filtered!$A$2:$A$461,$A15,Data_filtered!$F$2:$F$461,N$1, Data_filtered!$D$2:$D$461,"mata",Data_filtered!$J$2:$J$461,"&lt;&gt;Incompleto")</f>
        <v>0</v>
      </c>
      <c r="O15" s="9">
        <f>SUMIFS(Data_filtered!$G$2:$G$461,Data_filtered!$A$2:$A$461,$A15,Data_filtered!$F$2:$F$461,O$1, Data_filtered!$D$2:$D$461,"mata",Data_filtered!$J$2:$J$461,"&lt;&gt;Incompleto")</f>
        <v>2</v>
      </c>
      <c r="P15" s="9">
        <f>SUMIFS(Data_filtered!$G$2:$G$461,Data_filtered!$A$2:$A$461,$A15,Data_filtered!$F$2:$F$461,P$1, Data_filtered!$D$2:$D$461,"mata",Data_filtered!$J$2:$J$461,"&lt;&gt;Incompleto")</f>
        <v>0</v>
      </c>
      <c r="Q15" s="9">
        <f>SUMIFS(Data_filtered!$G$2:$G$461,Data_filtered!$A$2:$A$461,$A15,Data_filtered!$F$2:$F$461,Q$1, Data_filtered!$D$2:$D$461,"mata",Data_filtered!$J$2:$J$461,"&lt;&gt;Incompleto")</f>
        <v>0</v>
      </c>
      <c r="R15" s="9">
        <f>SUMIFS(Data_filtered!$G$2:$G$461,Data_filtered!$A$2:$A$461,$A15,Data_filtered!$F$2:$F$461,R$1, Data_filtered!$D$2:$D$461,"mata",Data_filtered!$J$2:$J$461,"&lt;&gt;Incompleto")</f>
        <v>0</v>
      </c>
      <c r="S15" s="9">
        <f>SUMIFS(Data_filtered!$G$2:$G$461,Data_filtered!$A$2:$A$461,$A15,Data_filtered!$F$2:$F$461,S$1, Data_filtered!$D$2:$D$461,"mata",Data_filtered!$J$2:$J$461,"&lt;&gt;Incompleto")</f>
        <v>0</v>
      </c>
      <c r="T15" s="9">
        <f>SUMIFS(Data_filtered!$G$2:$G$461,Data_filtered!$A$2:$A$461,$A15,Data_filtered!$F$2:$F$461,T$1, Data_filtered!$D$2:$D$461,"mata",Data_filtered!$J$2:$J$461,"&lt;&gt;Incompleto")</f>
        <v>0</v>
      </c>
      <c r="U15" s="9">
        <f>SUMIFS(Data_filtered!$G$2:$G$461,Data_filtered!$A$2:$A$461,$A15,Data_filtered!$F$2:$F$461,U$1, Data_filtered!$D$2:$D$461,"mata",Data_filtered!$J$2:$J$461,"&lt;&gt;Incompleto")</f>
        <v>0</v>
      </c>
      <c r="V15" s="9">
        <f>SUMIFS(Data_filtered!$G$2:$G$461,Data_filtered!$A$2:$A$461,$A15,Data_filtered!$F$2:$F$461,V$1, Data_filtered!$D$2:$D$461,"mata",Data_filtered!$J$2:$J$461,"&lt;&gt;Incompleto")</f>
        <v>0</v>
      </c>
      <c r="W15" s="9">
        <f>SUMIFS(Data_filtered!$G$2:$G$461,Data_filtered!$A$2:$A$461,$A15,Data_filtered!$F$2:$F$461,W$1, Data_filtered!$D$2:$D$461,"mata",Data_filtered!$J$2:$J$461,"&lt;&gt;Incompleto")</f>
        <v>0</v>
      </c>
      <c r="X15" s="9">
        <f>SUMIFS(Data_filtered!$G$2:$G$461,Data_filtered!$A$2:$A$461,$A15,Data_filtered!$F$2:$F$461,X$1, Data_filtered!$D$2:$D$461,"mata",Data_filtered!$J$2:$J$461,"&lt;&gt;Incompleto")</f>
        <v>0</v>
      </c>
      <c r="Y15" s="9">
        <f>SUMIFS(Data_filtered!$G$2:$G$461,Data_filtered!$A$2:$A$461,$A15,Data_filtered!$F$2:$F$461,Y$1, Data_filtered!$D$2:$D$461,"mata",Data_filtered!$J$2:$J$461,"&lt;&gt;Incompleto")</f>
        <v>0</v>
      </c>
    </row>
    <row r="16">
      <c r="A16" s="9" t="str">
        <f>IFERROR(__xludf.DUMMYFUNCTION("""COMPUTED_VALUE"""),"Physalaemus cuvieri")</f>
        <v>Physalaemus cuvieri</v>
      </c>
      <c r="B16" s="9">
        <f>SUMIFS(Data_filtered!$G$2:$G$461,Data_filtered!$A$2:$A$461,$A16,Data_filtered!$F$2:$F$461,B$1, Data_filtered!$D$2:$D$461,"mata",Data_filtered!$J$2:$J$461,"&lt;&gt;Incompleto")</f>
        <v>0</v>
      </c>
      <c r="C16" s="9">
        <f>SUMIFS(Data_filtered!$G$2:$G$461,Data_filtered!$A$2:$A$461,$A16,Data_filtered!$F$2:$F$461,C$1, Data_filtered!$D$2:$D$461,"mata",Data_filtered!$J$2:$J$461,"&lt;&gt;Incompleto")</f>
        <v>0</v>
      </c>
      <c r="D16" s="9">
        <f>SUMIFS(Data_filtered!$G$2:$G$461,Data_filtered!$A$2:$A$461,$A16,Data_filtered!$F$2:$F$461,D$1, Data_filtered!$D$2:$D$461,"mata",Data_filtered!$J$2:$J$461,"&lt;&gt;Incompleto")</f>
        <v>0</v>
      </c>
      <c r="E16" s="9">
        <f>SUMIFS(Data_filtered!$G$2:$G$461,Data_filtered!$A$2:$A$461,$A16,Data_filtered!$F$2:$F$461,E$1, Data_filtered!$D$2:$D$461,"mata",Data_filtered!$J$2:$J$461,"&lt;&gt;Incompleto")</f>
        <v>0</v>
      </c>
      <c r="F16" s="9">
        <f>SUMIFS(Data_filtered!$G$2:$G$461,Data_filtered!$A$2:$A$461,$A16,Data_filtered!$F$2:$F$461,F$1, Data_filtered!$D$2:$D$461,"mata",Data_filtered!$J$2:$J$461,"&lt;&gt;Incompleto")</f>
        <v>0</v>
      </c>
      <c r="G16" s="9">
        <f>SUMIFS(Data_filtered!$G$2:$G$461,Data_filtered!$A$2:$A$461,$A16,Data_filtered!$F$2:$F$461,G$1, Data_filtered!$D$2:$D$461,"mata",Data_filtered!$J$2:$J$461,"&lt;&gt;Incompleto")</f>
        <v>0</v>
      </c>
      <c r="H16" s="9">
        <f>SUMIFS(Data_filtered!$G$2:$G$461,Data_filtered!$A$2:$A$461,$A16,Data_filtered!$F$2:$F$461,H$1, Data_filtered!$D$2:$D$461,"mata",Data_filtered!$J$2:$J$461,"&lt;&gt;Incompleto")</f>
        <v>0</v>
      </c>
      <c r="I16" s="9">
        <f>SUMIFS(Data_filtered!$G$2:$G$461,Data_filtered!$A$2:$A$461,$A16,Data_filtered!$F$2:$F$461,I$1, Data_filtered!$D$2:$D$461,"mata",Data_filtered!$J$2:$J$461,"&lt;&gt;Incompleto")</f>
        <v>0</v>
      </c>
      <c r="J16" s="9">
        <f>SUMIFS(Data_filtered!$G$2:$G$461,Data_filtered!$A$2:$A$461,$A16,Data_filtered!$F$2:$F$461,J$1, Data_filtered!$D$2:$D$461,"mata",Data_filtered!$J$2:$J$461,"&lt;&gt;Incompleto")</f>
        <v>0</v>
      </c>
      <c r="K16" s="9">
        <f>SUMIFS(Data_filtered!$G$2:$G$461,Data_filtered!$A$2:$A$461,$A16,Data_filtered!$F$2:$F$461,K$1, Data_filtered!$D$2:$D$461,"mata",Data_filtered!$J$2:$J$461,"&lt;&gt;Incompleto")</f>
        <v>0</v>
      </c>
      <c r="L16" s="9">
        <f>SUMIFS(Data_filtered!$G$2:$G$461,Data_filtered!$A$2:$A$461,$A16,Data_filtered!$F$2:$F$461,L$1, Data_filtered!$D$2:$D$461,"mata",Data_filtered!$J$2:$J$461,"&lt;&gt;Incompleto")</f>
        <v>2</v>
      </c>
      <c r="M16" s="9">
        <f>SUMIFS(Data_filtered!$G$2:$G$461,Data_filtered!$A$2:$A$461,$A16,Data_filtered!$F$2:$F$461,M$1, Data_filtered!$D$2:$D$461,"mata",Data_filtered!$J$2:$J$461,"&lt;&gt;Incompleto")</f>
        <v>0</v>
      </c>
      <c r="N16" s="9">
        <f>SUMIFS(Data_filtered!$G$2:$G$461,Data_filtered!$A$2:$A$461,$A16,Data_filtered!$F$2:$F$461,N$1, Data_filtered!$D$2:$D$461,"mata",Data_filtered!$J$2:$J$461,"&lt;&gt;Incompleto")</f>
        <v>0</v>
      </c>
      <c r="O16" s="9">
        <f>SUMIFS(Data_filtered!$G$2:$G$461,Data_filtered!$A$2:$A$461,$A16,Data_filtered!$F$2:$F$461,O$1, Data_filtered!$D$2:$D$461,"mata",Data_filtered!$J$2:$J$461,"&lt;&gt;Incompleto")</f>
        <v>0</v>
      </c>
      <c r="P16" s="9">
        <f>SUMIFS(Data_filtered!$G$2:$G$461,Data_filtered!$A$2:$A$461,$A16,Data_filtered!$F$2:$F$461,P$1, Data_filtered!$D$2:$D$461,"mata",Data_filtered!$J$2:$J$461,"&lt;&gt;Incompleto")</f>
        <v>0</v>
      </c>
      <c r="Q16" s="9">
        <f>SUMIFS(Data_filtered!$G$2:$G$461,Data_filtered!$A$2:$A$461,$A16,Data_filtered!$F$2:$F$461,Q$1, Data_filtered!$D$2:$D$461,"mata",Data_filtered!$J$2:$J$461,"&lt;&gt;Incompleto")</f>
        <v>0</v>
      </c>
      <c r="R16" s="9">
        <f>SUMIFS(Data_filtered!$G$2:$G$461,Data_filtered!$A$2:$A$461,$A16,Data_filtered!$F$2:$F$461,R$1, Data_filtered!$D$2:$D$461,"mata",Data_filtered!$J$2:$J$461,"&lt;&gt;Incompleto")</f>
        <v>0</v>
      </c>
      <c r="S16" s="9">
        <f>SUMIFS(Data_filtered!$G$2:$G$461,Data_filtered!$A$2:$A$461,$A16,Data_filtered!$F$2:$F$461,S$1, Data_filtered!$D$2:$D$461,"mata",Data_filtered!$J$2:$J$461,"&lt;&gt;Incompleto")</f>
        <v>0</v>
      </c>
      <c r="T16" s="9">
        <f>SUMIFS(Data_filtered!$G$2:$G$461,Data_filtered!$A$2:$A$461,$A16,Data_filtered!$F$2:$F$461,T$1, Data_filtered!$D$2:$D$461,"mata",Data_filtered!$J$2:$J$461,"&lt;&gt;Incompleto")</f>
        <v>0</v>
      </c>
      <c r="U16" s="9">
        <f>SUMIFS(Data_filtered!$G$2:$G$461,Data_filtered!$A$2:$A$461,$A16,Data_filtered!$F$2:$F$461,U$1, Data_filtered!$D$2:$D$461,"mata",Data_filtered!$J$2:$J$461,"&lt;&gt;Incompleto")</f>
        <v>0</v>
      </c>
      <c r="V16" s="9">
        <f>SUMIFS(Data_filtered!$G$2:$G$461,Data_filtered!$A$2:$A$461,$A16,Data_filtered!$F$2:$F$461,V$1, Data_filtered!$D$2:$D$461,"mata",Data_filtered!$J$2:$J$461,"&lt;&gt;Incompleto")</f>
        <v>0</v>
      </c>
      <c r="W16" s="9">
        <f>SUMIFS(Data_filtered!$G$2:$G$461,Data_filtered!$A$2:$A$461,$A16,Data_filtered!$F$2:$F$461,W$1, Data_filtered!$D$2:$D$461,"mata",Data_filtered!$J$2:$J$461,"&lt;&gt;Incompleto")</f>
        <v>0</v>
      </c>
      <c r="X16" s="9">
        <f>SUMIFS(Data_filtered!$G$2:$G$461,Data_filtered!$A$2:$A$461,$A16,Data_filtered!$F$2:$F$461,X$1, Data_filtered!$D$2:$D$461,"mata",Data_filtered!$J$2:$J$461,"&lt;&gt;Incompleto")</f>
        <v>0</v>
      </c>
      <c r="Y16" s="9">
        <f>SUMIFS(Data_filtered!$G$2:$G$461,Data_filtered!$A$2:$A$461,$A16,Data_filtered!$F$2:$F$461,Y$1, Data_filtered!$D$2:$D$461,"mata",Data_filtered!$J$2:$J$461,"&lt;&gt;Incompleto")</f>
        <v>0</v>
      </c>
    </row>
    <row r="17">
      <c r="A17" s="9" t="str">
        <f>IFERROR(__xludf.DUMMYFUNCTION("""COMPUTED_VALUE"""),"Physalaemus olfersii")</f>
        <v>Physalaemus olfersii</v>
      </c>
      <c r="B17" s="9">
        <f>SUMIFS(Data_filtered!$G$2:$G$461,Data_filtered!$A$2:$A$461,$A17,Data_filtered!$F$2:$F$461,B$1, Data_filtered!$D$2:$D$461,"mata",Data_filtered!$J$2:$J$461,"&lt;&gt;Incompleto")</f>
        <v>0</v>
      </c>
      <c r="C17" s="9">
        <f>SUMIFS(Data_filtered!$G$2:$G$461,Data_filtered!$A$2:$A$461,$A17,Data_filtered!$F$2:$F$461,C$1, Data_filtered!$D$2:$D$461,"mata",Data_filtered!$J$2:$J$461,"&lt;&gt;Incompleto")</f>
        <v>2</v>
      </c>
      <c r="D17" s="9">
        <f>SUMIFS(Data_filtered!$G$2:$G$461,Data_filtered!$A$2:$A$461,$A17,Data_filtered!$F$2:$F$461,D$1, Data_filtered!$D$2:$D$461,"mata",Data_filtered!$J$2:$J$461,"&lt;&gt;Incompleto")</f>
        <v>0</v>
      </c>
      <c r="E17" s="9">
        <f>SUMIFS(Data_filtered!$G$2:$G$461,Data_filtered!$A$2:$A$461,$A17,Data_filtered!$F$2:$F$461,E$1, Data_filtered!$D$2:$D$461,"mata",Data_filtered!$J$2:$J$461,"&lt;&gt;Incompleto")</f>
        <v>0</v>
      </c>
      <c r="F17" s="9">
        <f>SUMIFS(Data_filtered!$G$2:$G$461,Data_filtered!$A$2:$A$461,$A17,Data_filtered!$F$2:$F$461,F$1, Data_filtered!$D$2:$D$461,"mata",Data_filtered!$J$2:$J$461,"&lt;&gt;Incompleto")</f>
        <v>4</v>
      </c>
      <c r="G17" s="9">
        <f>SUMIFS(Data_filtered!$G$2:$G$461,Data_filtered!$A$2:$A$461,$A17,Data_filtered!$F$2:$F$461,G$1, Data_filtered!$D$2:$D$461,"mata",Data_filtered!$J$2:$J$461,"&lt;&gt;Incompleto")</f>
        <v>0</v>
      </c>
      <c r="H17" s="9">
        <f>SUMIFS(Data_filtered!$G$2:$G$461,Data_filtered!$A$2:$A$461,$A17,Data_filtered!$F$2:$F$461,H$1, Data_filtered!$D$2:$D$461,"mata",Data_filtered!$J$2:$J$461,"&lt;&gt;Incompleto")</f>
        <v>0</v>
      </c>
      <c r="I17" s="9">
        <f>SUMIFS(Data_filtered!$G$2:$G$461,Data_filtered!$A$2:$A$461,$A17,Data_filtered!$F$2:$F$461,I$1, Data_filtered!$D$2:$D$461,"mata",Data_filtered!$J$2:$J$461,"&lt;&gt;Incompleto")</f>
        <v>0</v>
      </c>
      <c r="J17" s="9">
        <f>SUMIFS(Data_filtered!$G$2:$G$461,Data_filtered!$A$2:$A$461,$A17,Data_filtered!$F$2:$F$461,J$1, Data_filtered!$D$2:$D$461,"mata",Data_filtered!$J$2:$J$461,"&lt;&gt;Incompleto")</f>
        <v>0</v>
      </c>
      <c r="K17" s="9">
        <f>SUMIFS(Data_filtered!$G$2:$G$461,Data_filtered!$A$2:$A$461,$A17,Data_filtered!$F$2:$F$461,K$1, Data_filtered!$D$2:$D$461,"mata",Data_filtered!$J$2:$J$461,"&lt;&gt;Incompleto")</f>
        <v>0</v>
      </c>
      <c r="L17" s="9">
        <f>SUMIFS(Data_filtered!$G$2:$G$461,Data_filtered!$A$2:$A$461,$A17,Data_filtered!$F$2:$F$461,L$1, Data_filtered!$D$2:$D$461,"mata",Data_filtered!$J$2:$J$461,"&lt;&gt;Incompleto")</f>
        <v>20</v>
      </c>
      <c r="M17" s="9">
        <f>SUMIFS(Data_filtered!$G$2:$G$461,Data_filtered!$A$2:$A$461,$A17,Data_filtered!$F$2:$F$461,M$1, Data_filtered!$D$2:$D$461,"mata",Data_filtered!$J$2:$J$461,"&lt;&gt;Incompleto")</f>
        <v>0</v>
      </c>
      <c r="N17" s="9">
        <f>SUMIFS(Data_filtered!$G$2:$G$461,Data_filtered!$A$2:$A$461,$A17,Data_filtered!$F$2:$F$461,N$1, Data_filtered!$D$2:$D$461,"mata",Data_filtered!$J$2:$J$461,"&lt;&gt;Incompleto")</f>
        <v>0</v>
      </c>
      <c r="O17" s="9">
        <f>SUMIFS(Data_filtered!$G$2:$G$461,Data_filtered!$A$2:$A$461,$A17,Data_filtered!$F$2:$F$461,O$1, Data_filtered!$D$2:$D$461,"mata",Data_filtered!$J$2:$J$461,"&lt;&gt;Incompleto")</f>
        <v>0</v>
      </c>
      <c r="P17" s="9">
        <f>SUMIFS(Data_filtered!$G$2:$G$461,Data_filtered!$A$2:$A$461,$A17,Data_filtered!$F$2:$F$461,P$1, Data_filtered!$D$2:$D$461,"mata",Data_filtered!$J$2:$J$461,"&lt;&gt;Incompleto")</f>
        <v>0</v>
      </c>
      <c r="Q17" s="9">
        <f>SUMIFS(Data_filtered!$G$2:$G$461,Data_filtered!$A$2:$A$461,$A17,Data_filtered!$F$2:$F$461,Q$1, Data_filtered!$D$2:$D$461,"mata",Data_filtered!$J$2:$J$461,"&lt;&gt;Incompleto")</f>
        <v>0</v>
      </c>
      <c r="R17" s="9">
        <f>SUMIFS(Data_filtered!$G$2:$G$461,Data_filtered!$A$2:$A$461,$A17,Data_filtered!$F$2:$F$461,R$1, Data_filtered!$D$2:$D$461,"mata",Data_filtered!$J$2:$J$461,"&lt;&gt;Incompleto")</f>
        <v>0</v>
      </c>
      <c r="S17" s="9">
        <f>SUMIFS(Data_filtered!$G$2:$G$461,Data_filtered!$A$2:$A$461,$A17,Data_filtered!$F$2:$F$461,S$1, Data_filtered!$D$2:$D$461,"mata",Data_filtered!$J$2:$J$461,"&lt;&gt;Incompleto")</f>
        <v>0</v>
      </c>
      <c r="T17" s="9">
        <f>SUMIFS(Data_filtered!$G$2:$G$461,Data_filtered!$A$2:$A$461,$A17,Data_filtered!$F$2:$F$461,T$1, Data_filtered!$D$2:$D$461,"mata",Data_filtered!$J$2:$J$461,"&lt;&gt;Incompleto")</f>
        <v>0</v>
      </c>
      <c r="U17" s="9">
        <f>SUMIFS(Data_filtered!$G$2:$G$461,Data_filtered!$A$2:$A$461,$A17,Data_filtered!$F$2:$F$461,U$1, Data_filtered!$D$2:$D$461,"mata",Data_filtered!$J$2:$J$461,"&lt;&gt;Incompleto")</f>
        <v>0</v>
      </c>
      <c r="V17" s="9">
        <f>SUMIFS(Data_filtered!$G$2:$G$461,Data_filtered!$A$2:$A$461,$A17,Data_filtered!$F$2:$F$461,V$1, Data_filtered!$D$2:$D$461,"mata",Data_filtered!$J$2:$J$461,"&lt;&gt;Incompleto")</f>
        <v>0</v>
      </c>
      <c r="W17" s="9">
        <f>SUMIFS(Data_filtered!$G$2:$G$461,Data_filtered!$A$2:$A$461,$A17,Data_filtered!$F$2:$F$461,W$1, Data_filtered!$D$2:$D$461,"mata",Data_filtered!$J$2:$J$461,"&lt;&gt;Incompleto")</f>
        <v>2</v>
      </c>
      <c r="X17" s="9">
        <f>SUMIFS(Data_filtered!$G$2:$G$461,Data_filtered!$A$2:$A$461,$A17,Data_filtered!$F$2:$F$461,X$1, Data_filtered!$D$2:$D$461,"mata",Data_filtered!$J$2:$J$461,"&lt;&gt;Incompleto")</f>
        <v>0</v>
      </c>
      <c r="Y17" s="9">
        <f>SUMIFS(Data_filtered!$G$2:$G$461,Data_filtered!$A$2:$A$461,$A17,Data_filtered!$F$2:$F$461,Y$1, Data_filtered!$D$2:$D$461,"mata",Data_filtered!$J$2:$J$461,"&lt;&gt;Incompleto")</f>
        <v>0</v>
      </c>
    </row>
    <row r="18">
      <c r="A18" s="9" t="str">
        <f>IFERROR(__xludf.DUMMYFUNCTION("""COMPUTED_VALUE"""),"Proceratophrys boiei")</f>
        <v>Proceratophrys boiei</v>
      </c>
      <c r="B18" s="9">
        <f>SUMIFS(Data_filtered!$G$2:$G$461,Data_filtered!$A$2:$A$461,$A18,Data_filtered!$F$2:$F$461,B$1, Data_filtered!$D$2:$D$461,"mata",Data_filtered!$J$2:$J$461,"&lt;&gt;Incompleto")</f>
        <v>1</v>
      </c>
      <c r="C18" s="9">
        <f>SUMIFS(Data_filtered!$G$2:$G$461,Data_filtered!$A$2:$A$461,$A18,Data_filtered!$F$2:$F$461,C$1, Data_filtered!$D$2:$D$461,"mata",Data_filtered!$J$2:$J$461,"&lt;&gt;Incompleto")</f>
        <v>0</v>
      </c>
      <c r="D18" s="9">
        <f>SUMIFS(Data_filtered!$G$2:$G$461,Data_filtered!$A$2:$A$461,$A18,Data_filtered!$F$2:$F$461,D$1, Data_filtered!$D$2:$D$461,"mata",Data_filtered!$J$2:$J$461,"&lt;&gt;Incompleto")</f>
        <v>0</v>
      </c>
      <c r="E18" s="9">
        <f>SUMIFS(Data_filtered!$G$2:$G$461,Data_filtered!$A$2:$A$461,$A18,Data_filtered!$F$2:$F$461,E$1, Data_filtered!$D$2:$D$461,"mata",Data_filtered!$J$2:$J$461,"&lt;&gt;Incompleto")</f>
        <v>1</v>
      </c>
      <c r="F18" s="9">
        <f>SUMIFS(Data_filtered!$G$2:$G$461,Data_filtered!$A$2:$A$461,$A18,Data_filtered!$F$2:$F$461,F$1, Data_filtered!$D$2:$D$461,"mata",Data_filtered!$J$2:$J$461,"&lt;&gt;Incompleto")</f>
        <v>11</v>
      </c>
      <c r="G18" s="9">
        <f>SUMIFS(Data_filtered!$G$2:$G$461,Data_filtered!$A$2:$A$461,$A18,Data_filtered!$F$2:$F$461,G$1, Data_filtered!$D$2:$D$461,"mata",Data_filtered!$J$2:$J$461,"&lt;&gt;Incompleto")</f>
        <v>0</v>
      </c>
      <c r="H18" s="9">
        <f>SUMIFS(Data_filtered!$G$2:$G$461,Data_filtered!$A$2:$A$461,$A18,Data_filtered!$F$2:$F$461,H$1, Data_filtered!$D$2:$D$461,"mata",Data_filtered!$J$2:$J$461,"&lt;&gt;Incompleto")</f>
        <v>0</v>
      </c>
      <c r="I18" s="9">
        <f>SUMIFS(Data_filtered!$G$2:$G$461,Data_filtered!$A$2:$A$461,$A18,Data_filtered!$F$2:$F$461,I$1, Data_filtered!$D$2:$D$461,"mata",Data_filtered!$J$2:$J$461,"&lt;&gt;Incompleto")</f>
        <v>0</v>
      </c>
      <c r="J18" s="9">
        <f>SUMIFS(Data_filtered!$G$2:$G$461,Data_filtered!$A$2:$A$461,$A18,Data_filtered!$F$2:$F$461,J$1, Data_filtered!$D$2:$D$461,"mata",Data_filtered!$J$2:$J$461,"&lt;&gt;Incompleto")</f>
        <v>1</v>
      </c>
      <c r="K18" s="9">
        <f>SUMIFS(Data_filtered!$G$2:$G$461,Data_filtered!$A$2:$A$461,$A18,Data_filtered!$F$2:$F$461,K$1, Data_filtered!$D$2:$D$461,"mata",Data_filtered!$J$2:$J$461,"&lt;&gt;Incompleto")</f>
        <v>1</v>
      </c>
      <c r="L18" s="9">
        <f>SUMIFS(Data_filtered!$G$2:$G$461,Data_filtered!$A$2:$A$461,$A18,Data_filtered!$F$2:$F$461,L$1, Data_filtered!$D$2:$D$461,"mata",Data_filtered!$J$2:$J$461,"&lt;&gt;Incompleto")</f>
        <v>0</v>
      </c>
      <c r="M18" s="9">
        <f>SUMIFS(Data_filtered!$G$2:$G$461,Data_filtered!$A$2:$A$461,$A18,Data_filtered!$F$2:$F$461,M$1, Data_filtered!$D$2:$D$461,"mata",Data_filtered!$J$2:$J$461,"&lt;&gt;Incompleto")</f>
        <v>0</v>
      </c>
      <c r="N18" s="9">
        <f>SUMIFS(Data_filtered!$G$2:$G$461,Data_filtered!$A$2:$A$461,$A18,Data_filtered!$F$2:$F$461,N$1, Data_filtered!$D$2:$D$461,"mata",Data_filtered!$J$2:$J$461,"&lt;&gt;Incompleto")</f>
        <v>0</v>
      </c>
      <c r="O18" s="9">
        <f>SUMIFS(Data_filtered!$G$2:$G$461,Data_filtered!$A$2:$A$461,$A18,Data_filtered!$F$2:$F$461,O$1, Data_filtered!$D$2:$D$461,"mata",Data_filtered!$J$2:$J$461,"&lt;&gt;Incompleto")</f>
        <v>1</v>
      </c>
      <c r="P18" s="9">
        <f>SUMIFS(Data_filtered!$G$2:$G$461,Data_filtered!$A$2:$A$461,$A18,Data_filtered!$F$2:$F$461,P$1, Data_filtered!$D$2:$D$461,"mata",Data_filtered!$J$2:$J$461,"&lt;&gt;Incompleto")</f>
        <v>0</v>
      </c>
      <c r="Q18" s="9">
        <f>SUMIFS(Data_filtered!$G$2:$G$461,Data_filtered!$A$2:$A$461,$A18,Data_filtered!$F$2:$F$461,Q$1, Data_filtered!$D$2:$D$461,"mata",Data_filtered!$J$2:$J$461,"&lt;&gt;Incompleto")</f>
        <v>0</v>
      </c>
      <c r="R18" s="9">
        <f>SUMIFS(Data_filtered!$G$2:$G$461,Data_filtered!$A$2:$A$461,$A18,Data_filtered!$F$2:$F$461,R$1, Data_filtered!$D$2:$D$461,"mata",Data_filtered!$J$2:$J$461,"&lt;&gt;Incompleto")</f>
        <v>0</v>
      </c>
      <c r="S18" s="9">
        <f>SUMIFS(Data_filtered!$G$2:$G$461,Data_filtered!$A$2:$A$461,$A18,Data_filtered!$F$2:$F$461,S$1, Data_filtered!$D$2:$D$461,"mata",Data_filtered!$J$2:$J$461,"&lt;&gt;Incompleto")</f>
        <v>0</v>
      </c>
      <c r="T18" s="9">
        <f>SUMIFS(Data_filtered!$G$2:$G$461,Data_filtered!$A$2:$A$461,$A18,Data_filtered!$F$2:$F$461,T$1, Data_filtered!$D$2:$D$461,"mata",Data_filtered!$J$2:$J$461,"&lt;&gt;Incompleto")</f>
        <v>0</v>
      </c>
      <c r="U18" s="9">
        <f>SUMIFS(Data_filtered!$G$2:$G$461,Data_filtered!$A$2:$A$461,$A18,Data_filtered!$F$2:$F$461,U$1, Data_filtered!$D$2:$D$461,"mata",Data_filtered!$J$2:$J$461,"&lt;&gt;Incompleto")</f>
        <v>0</v>
      </c>
      <c r="V18" s="9">
        <f>SUMIFS(Data_filtered!$G$2:$G$461,Data_filtered!$A$2:$A$461,$A18,Data_filtered!$F$2:$F$461,V$1, Data_filtered!$D$2:$D$461,"mata",Data_filtered!$J$2:$J$461,"&lt;&gt;Incompleto")</f>
        <v>0</v>
      </c>
      <c r="W18" s="9">
        <f>SUMIFS(Data_filtered!$G$2:$G$461,Data_filtered!$A$2:$A$461,$A18,Data_filtered!$F$2:$F$461,W$1, Data_filtered!$D$2:$D$461,"mata",Data_filtered!$J$2:$J$461,"&lt;&gt;Incompleto")</f>
        <v>1</v>
      </c>
      <c r="X18" s="9">
        <f>SUMIFS(Data_filtered!$G$2:$G$461,Data_filtered!$A$2:$A$461,$A18,Data_filtered!$F$2:$F$461,X$1, Data_filtered!$D$2:$D$461,"mata",Data_filtered!$J$2:$J$461,"&lt;&gt;Incompleto")</f>
        <v>0</v>
      </c>
      <c r="Y18" s="9">
        <f>SUMIFS(Data_filtered!$G$2:$G$461,Data_filtered!$A$2:$A$461,$A18,Data_filtered!$F$2:$F$461,Y$1, Data_filtered!$D$2:$D$461,"mata",Data_filtered!$J$2:$J$461,"&lt;&gt;Incompleto")</f>
        <v>0</v>
      </c>
    </row>
    <row r="19">
      <c r="A19" s="9" t="str">
        <f>IFERROR(__xludf.DUMMYFUNCTION("""COMPUTED_VALUE"""),"Proceratophrys itamari")</f>
        <v>Proceratophrys itamari</v>
      </c>
      <c r="B19" s="9">
        <f>SUMIFS(Data_filtered!$G$2:$G$461,Data_filtered!$A$2:$A$461,$A19,Data_filtered!$F$2:$F$461,B$1, Data_filtered!$D$2:$D$461,"mata",Data_filtered!$J$2:$J$461,"&lt;&gt;Incompleto")</f>
        <v>0</v>
      </c>
      <c r="C19" s="9">
        <f>SUMIFS(Data_filtered!$G$2:$G$461,Data_filtered!$A$2:$A$461,$A19,Data_filtered!$F$2:$F$461,C$1, Data_filtered!$D$2:$D$461,"mata",Data_filtered!$J$2:$J$461,"&lt;&gt;Incompleto")</f>
        <v>1</v>
      </c>
      <c r="D19" s="9">
        <f>SUMIFS(Data_filtered!$G$2:$G$461,Data_filtered!$A$2:$A$461,$A19,Data_filtered!$F$2:$F$461,D$1, Data_filtered!$D$2:$D$461,"mata",Data_filtered!$J$2:$J$461,"&lt;&gt;Incompleto")</f>
        <v>0</v>
      </c>
      <c r="E19" s="9">
        <f>SUMIFS(Data_filtered!$G$2:$G$461,Data_filtered!$A$2:$A$461,$A19,Data_filtered!$F$2:$F$461,E$1, Data_filtered!$D$2:$D$461,"mata",Data_filtered!$J$2:$J$461,"&lt;&gt;Incompleto")</f>
        <v>0</v>
      </c>
      <c r="F19" s="9">
        <f>SUMIFS(Data_filtered!$G$2:$G$461,Data_filtered!$A$2:$A$461,$A19,Data_filtered!$F$2:$F$461,F$1, Data_filtered!$D$2:$D$461,"mata",Data_filtered!$J$2:$J$461,"&lt;&gt;Incompleto")</f>
        <v>2</v>
      </c>
      <c r="G19" s="9">
        <f>SUMIFS(Data_filtered!$G$2:$G$461,Data_filtered!$A$2:$A$461,$A19,Data_filtered!$F$2:$F$461,G$1, Data_filtered!$D$2:$D$461,"mata",Data_filtered!$J$2:$J$461,"&lt;&gt;Incompleto")</f>
        <v>0</v>
      </c>
      <c r="H19" s="9">
        <f>SUMIFS(Data_filtered!$G$2:$G$461,Data_filtered!$A$2:$A$461,$A19,Data_filtered!$F$2:$F$461,H$1, Data_filtered!$D$2:$D$461,"mata",Data_filtered!$J$2:$J$461,"&lt;&gt;Incompleto")</f>
        <v>0</v>
      </c>
      <c r="I19" s="9">
        <f>SUMIFS(Data_filtered!$G$2:$G$461,Data_filtered!$A$2:$A$461,$A19,Data_filtered!$F$2:$F$461,I$1, Data_filtered!$D$2:$D$461,"mata",Data_filtered!$J$2:$J$461,"&lt;&gt;Incompleto")</f>
        <v>0</v>
      </c>
      <c r="J19" s="9">
        <f>SUMIFS(Data_filtered!$G$2:$G$461,Data_filtered!$A$2:$A$461,$A19,Data_filtered!$F$2:$F$461,J$1, Data_filtered!$D$2:$D$461,"mata",Data_filtered!$J$2:$J$461,"&lt;&gt;Incompleto")</f>
        <v>0</v>
      </c>
      <c r="K19" s="9">
        <f>SUMIFS(Data_filtered!$G$2:$G$461,Data_filtered!$A$2:$A$461,$A19,Data_filtered!$F$2:$F$461,K$1, Data_filtered!$D$2:$D$461,"mata",Data_filtered!$J$2:$J$461,"&lt;&gt;Incompleto")</f>
        <v>0</v>
      </c>
      <c r="L19" s="9">
        <f>SUMIFS(Data_filtered!$G$2:$G$461,Data_filtered!$A$2:$A$461,$A19,Data_filtered!$F$2:$F$461,L$1, Data_filtered!$D$2:$D$461,"mata",Data_filtered!$J$2:$J$461,"&lt;&gt;Incompleto")</f>
        <v>0</v>
      </c>
      <c r="M19" s="9">
        <f>SUMIFS(Data_filtered!$G$2:$G$461,Data_filtered!$A$2:$A$461,$A19,Data_filtered!$F$2:$F$461,M$1, Data_filtered!$D$2:$D$461,"mata",Data_filtered!$J$2:$J$461,"&lt;&gt;Incompleto")</f>
        <v>0</v>
      </c>
      <c r="N19" s="9">
        <f>SUMIFS(Data_filtered!$G$2:$G$461,Data_filtered!$A$2:$A$461,$A19,Data_filtered!$F$2:$F$461,N$1, Data_filtered!$D$2:$D$461,"mata",Data_filtered!$J$2:$J$461,"&lt;&gt;Incompleto")</f>
        <v>1</v>
      </c>
      <c r="O19" s="9">
        <f>SUMIFS(Data_filtered!$G$2:$G$461,Data_filtered!$A$2:$A$461,$A19,Data_filtered!$F$2:$F$461,O$1, Data_filtered!$D$2:$D$461,"mata",Data_filtered!$J$2:$J$461,"&lt;&gt;Incompleto")</f>
        <v>2</v>
      </c>
      <c r="P19" s="9">
        <f>SUMIFS(Data_filtered!$G$2:$G$461,Data_filtered!$A$2:$A$461,$A19,Data_filtered!$F$2:$F$461,P$1, Data_filtered!$D$2:$D$461,"mata",Data_filtered!$J$2:$J$461,"&lt;&gt;Incompleto")</f>
        <v>0</v>
      </c>
      <c r="Q19" s="9">
        <f>SUMIFS(Data_filtered!$G$2:$G$461,Data_filtered!$A$2:$A$461,$A19,Data_filtered!$F$2:$F$461,Q$1, Data_filtered!$D$2:$D$461,"mata",Data_filtered!$J$2:$J$461,"&lt;&gt;Incompleto")</f>
        <v>0</v>
      </c>
      <c r="R19" s="9">
        <f>SUMIFS(Data_filtered!$G$2:$G$461,Data_filtered!$A$2:$A$461,$A19,Data_filtered!$F$2:$F$461,R$1, Data_filtered!$D$2:$D$461,"mata",Data_filtered!$J$2:$J$461,"&lt;&gt;Incompleto")</f>
        <v>0</v>
      </c>
      <c r="S19" s="9">
        <f>SUMIFS(Data_filtered!$G$2:$G$461,Data_filtered!$A$2:$A$461,$A19,Data_filtered!$F$2:$F$461,S$1, Data_filtered!$D$2:$D$461,"mata",Data_filtered!$J$2:$J$461,"&lt;&gt;Incompleto")</f>
        <v>0</v>
      </c>
      <c r="T19" s="9">
        <f>SUMIFS(Data_filtered!$G$2:$G$461,Data_filtered!$A$2:$A$461,$A19,Data_filtered!$F$2:$F$461,T$1, Data_filtered!$D$2:$D$461,"mata",Data_filtered!$J$2:$J$461,"&lt;&gt;Incompleto")</f>
        <v>0</v>
      </c>
      <c r="U19" s="9">
        <f>SUMIFS(Data_filtered!$G$2:$G$461,Data_filtered!$A$2:$A$461,$A19,Data_filtered!$F$2:$F$461,U$1, Data_filtered!$D$2:$D$461,"mata",Data_filtered!$J$2:$J$461,"&lt;&gt;Incompleto")</f>
        <v>0</v>
      </c>
      <c r="V19" s="9">
        <f>SUMIFS(Data_filtered!$G$2:$G$461,Data_filtered!$A$2:$A$461,$A19,Data_filtered!$F$2:$F$461,V$1, Data_filtered!$D$2:$D$461,"mata",Data_filtered!$J$2:$J$461,"&lt;&gt;Incompleto")</f>
        <v>0</v>
      </c>
      <c r="W19" s="9">
        <f>SUMIFS(Data_filtered!$G$2:$G$461,Data_filtered!$A$2:$A$461,$A19,Data_filtered!$F$2:$F$461,W$1, Data_filtered!$D$2:$D$461,"mata",Data_filtered!$J$2:$J$461,"&lt;&gt;Incompleto")</f>
        <v>0</v>
      </c>
      <c r="X19" s="9">
        <f>SUMIFS(Data_filtered!$G$2:$G$461,Data_filtered!$A$2:$A$461,$A19,Data_filtered!$F$2:$F$461,X$1, Data_filtered!$D$2:$D$461,"mata",Data_filtered!$J$2:$J$461,"&lt;&gt;Incompleto")</f>
        <v>0</v>
      </c>
      <c r="Y19" s="9">
        <f>SUMIFS(Data_filtered!$G$2:$G$461,Data_filtered!$A$2:$A$461,$A19,Data_filtered!$F$2:$F$461,Y$1, Data_filtered!$D$2:$D$461,"mata",Data_filtered!$J$2:$J$461,"&lt;&gt;Incompleto")</f>
        <v>0</v>
      </c>
    </row>
    <row r="20">
      <c r="A20" s="9" t="str">
        <f>IFERROR(__xludf.DUMMYFUNCTION("""COMPUTED_VALUE"""),"Rhinella icterica")</f>
        <v>Rhinella icterica</v>
      </c>
      <c r="B20" s="9">
        <f>SUMIFS(Data_filtered!$G$2:$G$461,Data_filtered!$A$2:$A$461,$A20,Data_filtered!$F$2:$F$461,B$1, Data_filtered!$D$2:$D$461,"mata",Data_filtered!$J$2:$J$461,"&lt;&gt;Incompleto")</f>
        <v>0</v>
      </c>
      <c r="C20" s="9">
        <f>SUMIFS(Data_filtered!$G$2:$G$461,Data_filtered!$A$2:$A$461,$A20,Data_filtered!$F$2:$F$461,C$1, Data_filtered!$D$2:$D$461,"mata",Data_filtered!$J$2:$J$461,"&lt;&gt;Incompleto")</f>
        <v>0</v>
      </c>
      <c r="D20" s="9">
        <f>SUMIFS(Data_filtered!$G$2:$G$461,Data_filtered!$A$2:$A$461,$A20,Data_filtered!$F$2:$F$461,D$1, Data_filtered!$D$2:$D$461,"mata",Data_filtered!$J$2:$J$461,"&lt;&gt;Incompleto")</f>
        <v>0</v>
      </c>
      <c r="E20" s="9">
        <f>SUMIFS(Data_filtered!$G$2:$G$461,Data_filtered!$A$2:$A$461,$A20,Data_filtered!$F$2:$F$461,E$1, Data_filtered!$D$2:$D$461,"mata",Data_filtered!$J$2:$J$461,"&lt;&gt;Incompleto")</f>
        <v>0</v>
      </c>
      <c r="F20" s="9">
        <f>SUMIFS(Data_filtered!$G$2:$G$461,Data_filtered!$A$2:$A$461,$A20,Data_filtered!$F$2:$F$461,F$1, Data_filtered!$D$2:$D$461,"mata",Data_filtered!$J$2:$J$461,"&lt;&gt;Incompleto")</f>
        <v>119</v>
      </c>
      <c r="G20" s="9">
        <f>SUMIFS(Data_filtered!$G$2:$G$461,Data_filtered!$A$2:$A$461,$A20,Data_filtered!$F$2:$F$461,G$1, Data_filtered!$D$2:$D$461,"mata",Data_filtered!$J$2:$J$461,"&lt;&gt;Incompleto")</f>
        <v>2</v>
      </c>
      <c r="H20" s="9">
        <f>SUMIFS(Data_filtered!$G$2:$G$461,Data_filtered!$A$2:$A$461,$A20,Data_filtered!$F$2:$F$461,H$1, Data_filtered!$D$2:$D$461,"mata",Data_filtered!$J$2:$J$461,"&lt;&gt;Incompleto")</f>
        <v>0</v>
      </c>
      <c r="I20" s="9">
        <f>SUMIFS(Data_filtered!$G$2:$G$461,Data_filtered!$A$2:$A$461,$A20,Data_filtered!$F$2:$F$461,I$1, Data_filtered!$D$2:$D$461,"mata",Data_filtered!$J$2:$J$461,"&lt;&gt;Incompleto")</f>
        <v>5</v>
      </c>
      <c r="J20" s="9">
        <f>SUMIFS(Data_filtered!$G$2:$G$461,Data_filtered!$A$2:$A$461,$A20,Data_filtered!$F$2:$F$461,J$1, Data_filtered!$D$2:$D$461,"mata",Data_filtered!$J$2:$J$461,"&lt;&gt;Incompleto")</f>
        <v>3</v>
      </c>
      <c r="K20" s="9">
        <f>SUMIFS(Data_filtered!$G$2:$G$461,Data_filtered!$A$2:$A$461,$A20,Data_filtered!$F$2:$F$461,K$1, Data_filtered!$D$2:$D$461,"mata",Data_filtered!$J$2:$J$461,"&lt;&gt;Incompleto")</f>
        <v>0</v>
      </c>
      <c r="L20" s="9">
        <f>SUMIFS(Data_filtered!$G$2:$G$461,Data_filtered!$A$2:$A$461,$A20,Data_filtered!$F$2:$F$461,L$1, Data_filtered!$D$2:$D$461,"mata",Data_filtered!$J$2:$J$461,"&lt;&gt;Incompleto")</f>
        <v>48</v>
      </c>
      <c r="M20" s="9">
        <f>SUMIFS(Data_filtered!$G$2:$G$461,Data_filtered!$A$2:$A$461,$A20,Data_filtered!$F$2:$F$461,M$1, Data_filtered!$D$2:$D$461,"mata",Data_filtered!$J$2:$J$461,"&lt;&gt;Incompleto")</f>
        <v>0</v>
      </c>
      <c r="N20" s="9">
        <f>SUMIFS(Data_filtered!$G$2:$G$461,Data_filtered!$A$2:$A$461,$A20,Data_filtered!$F$2:$F$461,N$1, Data_filtered!$D$2:$D$461,"mata",Data_filtered!$J$2:$J$461,"&lt;&gt;Incompleto")</f>
        <v>2</v>
      </c>
      <c r="O20" s="9">
        <f>SUMIFS(Data_filtered!$G$2:$G$461,Data_filtered!$A$2:$A$461,$A20,Data_filtered!$F$2:$F$461,O$1, Data_filtered!$D$2:$D$461,"mata",Data_filtered!$J$2:$J$461,"&lt;&gt;Incompleto")</f>
        <v>1</v>
      </c>
      <c r="P20" s="9">
        <f>SUMIFS(Data_filtered!$G$2:$G$461,Data_filtered!$A$2:$A$461,$A20,Data_filtered!$F$2:$F$461,P$1, Data_filtered!$D$2:$D$461,"mata",Data_filtered!$J$2:$J$461,"&lt;&gt;Incompleto")</f>
        <v>0</v>
      </c>
      <c r="Q20" s="9">
        <f>SUMIFS(Data_filtered!$G$2:$G$461,Data_filtered!$A$2:$A$461,$A20,Data_filtered!$F$2:$F$461,Q$1, Data_filtered!$D$2:$D$461,"mata",Data_filtered!$J$2:$J$461,"&lt;&gt;Incompleto")</f>
        <v>1</v>
      </c>
      <c r="R20" s="9">
        <f>SUMIFS(Data_filtered!$G$2:$G$461,Data_filtered!$A$2:$A$461,$A20,Data_filtered!$F$2:$F$461,R$1, Data_filtered!$D$2:$D$461,"mata",Data_filtered!$J$2:$J$461,"&lt;&gt;Incompleto")</f>
        <v>1</v>
      </c>
      <c r="S20" s="9">
        <f>SUMIFS(Data_filtered!$G$2:$G$461,Data_filtered!$A$2:$A$461,$A20,Data_filtered!$F$2:$F$461,S$1, Data_filtered!$D$2:$D$461,"mata",Data_filtered!$J$2:$J$461,"&lt;&gt;Incompleto")</f>
        <v>0</v>
      </c>
      <c r="T20" s="9">
        <f>SUMIFS(Data_filtered!$G$2:$G$461,Data_filtered!$A$2:$A$461,$A20,Data_filtered!$F$2:$F$461,T$1, Data_filtered!$D$2:$D$461,"mata",Data_filtered!$J$2:$J$461,"&lt;&gt;Incompleto")</f>
        <v>7</v>
      </c>
      <c r="U20" s="9">
        <f>SUMIFS(Data_filtered!$G$2:$G$461,Data_filtered!$A$2:$A$461,$A20,Data_filtered!$F$2:$F$461,U$1, Data_filtered!$D$2:$D$461,"mata",Data_filtered!$J$2:$J$461,"&lt;&gt;Incompleto")</f>
        <v>0</v>
      </c>
      <c r="V20" s="9">
        <f>SUMIFS(Data_filtered!$G$2:$G$461,Data_filtered!$A$2:$A$461,$A20,Data_filtered!$F$2:$F$461,V$1, Data_filtered!$D$2:$D$461,"mata",Data_filtered!$J$2:$J$461,"&lt;&gt;Incompleto")</f>
        <v>0</v>
      </c>
      <c r="W20" s="9">
        <f>SUMIFS(Data_filtered!$G$2:$G$461,Data_filtered!$A$2:$A$461,$A20,Data_filtered!$F$2:$F$461,W$1, Data_filtered!$D$2:$D$461,"mata",Data_filtered!$J$2:$J$461,"&lt;&gt;Incompleto")</f>
        <v>4</v>
      </c>
      <c r="X20" s="9">
        <f>SUMIFS(Data_filtered!$G$2:$G$461,Data_filtered!$A$2:$A$461,$A20,Data_filtered!$F$2:$F$461,X$1, Data_filtered!$D$2:$D$461,"mata",Data_filtered!$J$2:$J$461,"&lt;&gt;Incompleto")</f>
        <v>0</v>
      </c>
      <c r="Y20" s="9">
        <f>SUMIFS(Data_filtered!$G$2:$G$461,Data_filtered!$A$2:$A$461,$A20,Data_filtered!$F$2:$F$461,Y$1, Data_filtered!$D$2:$D$461,"mata",Data_filtered!$J$2:$J$461,"&lt;&gt;Incompleto")</f>
        <v>0</v>
      </c>
    </row>
    <row r="21">
      <c r="A21" s="9" t="str">
        <f>IFERROR(__xludf.DUMMYFUNCTION("""COMPUTED_VALUE"""),"Rhinella ornata")</f>
        <v>Rhinella ornata</v>
      </c>
      <c r="B21" s="9">
        <f>SUMIFS(Data_filtered!$G$2:$G$461,Data_filtered!$A$2:$A$461,$A21,Data_filtered!$F$2:$F$461,B$1, Data_filtered!$D$2:$D$461,"mata",Data_filtered!$J$2:$J$461,"&lt;&gt;Incompleto")</f>
        <v>0</v>
      </c>
      <c r="C21" s="9">
        <f>SUMIFS(Data_filtered!$G$2:$G$461,Data_filtered!$A$2:$A$461,$A21,Data_filtered!$F$2:$F$461,C$1, Data_filtered!$D$2:$D$461,"mata",Data_filtered!$J$2:$J$461,"&lt;&gt;Incompleto")</f>
        <v>0</v>
      </c>
      <c r="D21" s="9">
        <f>SUMIFS(Data_filtered!$G$2:$G$461,Data_filtered!$A$2:$A$461,$A21,Data_filtered!$F$2:$F$461,D$1, Data_filtered!$D$2:$D$461,"mata",Data_filtered!$J$2:$J$461,"&lt;&gt;Incompleto")</f>
        <v>0</v>
      </c>
      <c r="E21" s="9">
        <f>SUMIFS(Data_filtered!$G$2:$G$461,Data_filtered!$A$2:$A$461,$A21,Data_filtered!$F$2:$F$461,E$1, Data_filtered!$D$2:$D$461,"mata",Data_filtered!$J$2:$J$461,"&lt;&gt;Incompleto")</f>
        <v>0</v>
      </c>
      <c r="F21" s="9">
        <f>SUMIFS(Data_filtered!$G$2:$G$461,Data_filtered!$A$2:$A$461,$A21,Data_filtered!$F$2:$F$461,F$1, Data_filtered!$D$2:$D$461,"mata",Data_filtered!$J$2:$J$461,"&lt;&gt;Incompleto")</f>
        <v>7</v>
      </c>
      <c r="G21" s="9">
        <f>SUMIFS(Data_filtered!$G$2:$G$461,Data_filtered!$A$2:$A$461,$A21,Data_filtered!$F$2:$F$461,G$1, Data_filtered!$D$2:$D$461,"mata",Data_filtered!$J$2:$J$461,"&lt;&gt;Incompleto")</f>
        <v>0</v>
      </c>
      <c r="H21" s="9">
        <f>SUMIFS(Data_filtered!$G$2:$G$461,Data_filtered!$A$2:$A$461,$A21,Data_filtered!$F$2:$F$461,H$1, Data_filtered!$D$2:$D$461,"mata",Data_filtered!$J$2:$J$461,"&lt;&gt;Incompleto")</f>
        <v>0</v>
      </c>
      <c r="I21" s="9">
        <f>SUMIFS(Data_filtered!$G$2:$G$461,Data_filtered!$A$2:$A$461,$A21,Data_filtered!$F$2:$F$461,I$1, Data_filtered!$D$2:$D$461,"mata",Data_filtered!$J$2:$J$461,"&lt;&gt;Incompleto")</f>
        <v>0</v>
      </c>
      <c r="J21" s="9">
        <f>SUMIFS(Data_filtered!$G$2:$G$461,Data_filtered!$A$2:$A$461,$A21,Data_filtered!$F$2:$F$461,J$1, Data_filtered!$D$2:$D$461,"mata",Data_filtered!$J$2:$J$461,"&lt;&gt;Incompleto")</f>
        <v>1</v>
      </c>
      <c r="K21" s="9">
        <f>SUMIFS(Data_filtered!$G$2:$G$461,Data_filtered!$A$2:$A$461,$A21,Data_filtered!$F$2:$F$461,K$1, Data_filtered!$D$2:$D$461,"mata",Data_filtered!$J$2:$J$461,"&lt;&gt;Incompleto")</f>
        <v>0</v>
      </c>
      <c r="L21" s="9">
        <f>SUMIFS(Data_filtered!$G$2:$G$461,Data_filtered!$A$2:$A$461,$A21,Data_filtered!$F$2:$F$461,L$1, Data_filtered!$D$2:$D$461,"mata",Data_filtered!$J$2:$J$461,"&lt;&gt;Incompleto")</f>
        <v>59</v>
      </c>
      <c r="M21" s="9">
        <f>SUMIFS(Data_filtered!$G$2:$G$461,Data_filtered!$A$2:$A$461,$A21,Data_filtered!$F$2:$F$461,M$1, Data_filtered!$D$2:$D$461,"mata",Data_filtered!$J$2:$J$461,"&lt;&gt;Incompleto")</f>
        <v>1</v>
      </c>
      <c r="N21" s="9">
        <f>SUMIFS(Data_filtered!$G$2:$G$461,Data_filtered!$A$2:$A$461,$A21,Data_filtered!$F$2:$F$461,N$1, Data_filtered!$D$2:$D$461,"mata",Data_filtered!$J$2:$J$461,"&lt;&gt;Incompleto")</f>
        <v>0</v>
      </c>
      <c r="O21" s="9">
        <f>SUMIFS(Data_filtered!$G$2:$G$461,Data_filtered!$A$2:$A$461,$A21,Data_filtered!$F$2:$F$461,O$1, Data_filtered!$D$2:$D$461,"mata",Data_filtered!$J$2:$J$461,"&lt;&gt;Incompleto")</f>
        <v>0</v>
      </c>
      <c r="P21" s="9">
        <f>SUMIFS(Data_filtered!$G$2:$G$461,Data_filtered!$A$2:$A$461,$A21,Data_filtered!$F$2:$F$461,P$1, Data_filtered!$D$2:$D$461,"mata",Data_filtered!$J$2:$J$461,"&lt;&gt;Incompleto")</f>
        <v>0</v>
      </c>
      <c r="Q21" s="9">
        <f>SUMIFS(Data_filtered!$G$2:$G$461,Data_filtered!$A$2:$A$461,$A21,Data_filtered!$F$2:$F$461,Q$1, Data_filtered!$D$2:$D$461,"mata",Data_filtered!$J$2:$J$461,"&lt;&gt;Incompleto")</f>
        <v>0</v>
      </c>
      <c r="R21" s="9">
        <f>SUMIFS(Data_filtered!$G$2:$G$461,Data_filtered!$A$2:$A$461,$A21,Data_filtered!$F$2:$F$461,R$1, Data_filtered!$D$2:$D$461,"mata",Data_filtered!$J$2:$J$461,"&lt;&gt;Incompleto")</f>
        <v>0</v>
      </c>
      <c r="S21" s="9">
        <f>SUMIFS(Data_filtered!$G$2:$G$461,Data_filtered!$A$2:$A$461,$A21,Data_filtered!$F$2:$F$461,S$1, Data_filtered!$D$2:$D$461,"mata",Data_filtered!$J$2:$J$461,"&lt;&gt;Incompleto")</f>
        <v>0</v>
      </c>
      <c r="T21" s="9">
        <f>SUMIFS(Data_filtered!$G$2:$G$461,Data_filtered!$A$2:$A$461,$A21,Data_filtered!$F$2:$F$461,T$1, Data_filtered!$D$2:$D$461,"mata",Data_filtered!$J$2:$J$461,"&lt;&gt;Incompleto")</f>
        <v>1</v>
      </c>
      <c r="U21" s="9">
        <f>SUMIFS(Data_filtered!$G$2:$G$461,Data_filtered!$A$2:$A$461,$A21,Data_filtered!$F$2:$F$461,U$1, Data_filtered!$D$2:$D$461,"mata",Data_filtered!$J$2:$J$461,"&lt;&gt;Incompleto")</f>
        <v>0</v>
      </c>
      <c r="V21" s="9">
        <f>SUMIFS(Data_filtered!$G$2:$G$461,Data_filtered!$A$2:$A$461,$A21,Data_filtered!$F$2:$F$461,V$1, Data_filtered!$D$2:$D$461,"mata",Data_filtered!$J$2:$J$461,"&lt;&gt;Incompleto")</f>
        <v>0</v>
      </c>
      <c r="W21" s="9">
        <f>SUMIFS(Data_filtered!$G$2:$G$461,Data_filtered!$A$2:$A$461,$A21,Data_filtered!$F$2:$F$461,W$1, Data_filtered!$D$2:$D$461,"mata",Data_filtered!$J$2:$J$461,"&lt;&gt;Incompleto")</f>
        <v>0</v>
      </c>
      <c r="X21" s="9">
        <f>SUMIFS(Data_filtered!$G$2:$G$461,Data_filtered!$A$2:$A$461,$A21,Data_filtered!$F$2:$F$461,X$1, Data_filtered!$D$2:$D$461,"mata",Data_filtered!$J$2:$J$461,"&lt;&gt;Incompleto")</f>
        <v>0</v>
      </c>
      <c r="Y21" s="9">
        <f>SUMIFS(Data_filtered!$G$2:$G$461,Data_filtered!$A$2:$A$461,$A21,Data_filtered!$F$2:$F$461,Y$1, Data_filtered!$D$2:$D$461,"mata",Data_filtered!$J$2:$J$461,"&lt;&gt;Incompleto")</f>
        <v>0</v>
      </c>
    </row>
    <row r="22">
      <c r="A22" s="9" t="str">
        <f>IFERROR(__xludf.DUMMYFUNCTION("""COMPUTED_VALUE"""),"Scinax aff. dolloi")</f>
        <v>Scinax aff. dolloi</v>
      </c>
      <c r="B22" s="9">
        <f>SUMIFS(Data_filtered!$G$2:$G$461,Data_filtered!$A$2:$A$461,$A22,Data_filtered!$F$2:$F$461,B$1, Data_filtered!$D$2:$D$461,"mata",Data_filtered!$J$2:$J$461,"&lt;&gt;Incompleto")</f>
        <v>0</v>
      </c>
      <c r="C22" s="9">
        <f>SUMIFS(Data_filtered!$G$2:$G$461,Data_filtered!$A$2:$A$461,$A22,Data_filtered!$F$2:$F$461,C$1, Data_filtered!$D$2:$D$461,"mata",Data_filtered!$J$2:$J$461,"&lt;&gt;Incompleto")</f>
        <v>4</v>
      </c>
      <c r="D22" s="9">
        <f>SUMIFS(Data_filtered!$G$2:$G$461,Data_filtered!$A$2:$A$461,$A22,Data_filtered!$F$2:$F$461,D$1, Data_filtered!$D$2:$D$461,"mata",Data_filtered!$J$2:$J$461,"&lt;&gt;Incompleto")</f>
        <v>0</v>
      </c>
      <c r="E22" s="9">
        <f>SUMIFS(Data_filtered!$G$2:$G$461,Data_filtered!$A$2:$A$461,$A22,Data_filtered!$F$2:$F$461,E$1, Data_filtered!$D$2:$D$461,"mata",Data_filtered!$J$2:$J$461,"&lt;&gt;Incompleto")</f>
        <v>0</v>
      </c>
      <c r="F22" s="9">
        <f>SUMIFS(Data_filtered!$G$2:$G$461,Data_filtered!$A$2:$A$461,$A22,Data_filtered!$F$2:$F$461,F$1, Data_filtered!$D$2:$D$461,"mata",Data_filtered!$J$2:$J$461,"&lt;&gt;Incompleto")</f>
        <v>3</v>
      </c>
      <c r="G22" s="9">
        <f>SUMIFS(Data_filtered!$G$2:$G$461,Data_filtered!$A$2:$A$461,$A22,Data_filtered!$F$2:$F$461,G$1, Data_filtered!$D$2:$D$461,"mata",Data_filtered!$J$2:$J$461,"&lt;&gt;Incompleto")</f>
        <v>0</v>
      </c>
      <c r="H22" s="9">
        <f>SUMIFS(Data_filtered!$G$2:$G$461,Data_filtered!$A$2:$A$461,$A22,Data_filtered!$F$2:$F$461,H$1, Data_filtered!$D$2:$D$461,"mata",Data_filtered!$J$2:$J$461,"&lt;&gt;Incompleto")</f>
        <v>0</v>
      </c>
      <c r="I22" s="9">
        <f>SUMIFS(Data_filtered!$G$2:$G$461,Data_filtered!$A$2:$A$461,$A22,Data_filtered!$F$2:$F$461,I$1, Data_filtered!$D$2:$D$461,"mata",Data_filtered!$J$2:$J$461,"&lt;&gt;Incompleto")</f>
        <v>0</v>
      </c>
      <c r="J22" s="9">
        <f>SUMIFS(Data_filtered!$G$2:$G$461,Data_filtered!$A$2:$A$461,$A22,Data_filtered!$F$2:$F$461,J$1, Data_filtered!$D$2:$D$461,"mata",Data_filtered!$J$2:$J$461,"&lt;&gt;Incompleto")</f>
        <v>0</v>
      </c>
      <c r="K22" s="9">
        <f>SUMIFS(Data_filtered!$G$2:$G$461,Data_filtered!$A$2:$A$461,$A22,Data_filtered!$F$2:$F$461,K$1, Data_filtered!$D$2:$D$461,"mata",Data_filtered!$J$2:$J$461,"&lt;&gt;Incompleto")</f>
        <v>0</v>
      </c>
      <c r="L22" s="9">
        <f>SUMIFS(Data_filtered!$G$2:$G$461,Data_filtered!$A$2:$A$461,$A22,Data_filtered!$F$2:$F$461,L$1, Data_filtered!$D$2:$D$461,"mata",Data_filtered!$J$2:$J$461,"&lt;&gt;Incompleto")</f>
        <v>0</v>
      </c>
      <c r="M22" s="9">
        <f>SUMIFS(Data_filtered!$G$2:$G$461,Data_filtered!$A$2:$A$461,$A22,Data_filtered!$F$2:$F$461,M$1, Data_filtered!$D$2:$D$461,"mata",Data_filtered!$J$2:$J$461,"&lt;&gt;Incompleto")</f>
        <v>0</v>
      </c>
      <c r="N22" s="9">
        <f>SUMIFS(Data_filtered!$G$2:$G$461,Data_filtered!$A$2:$A$461,$A22,Data_filtered!$F$2:$F$461,N$1, Data_filtered!$D$2:$D$461,"mata",Data_filtered!$J$2:$J$461,"&lt;&gt;Incompleto")</f>
        <v>0</v>
      </c>
      <c r="O22" s="9">
        <f>SUMIFS(Data_filtered!$G$2:$G$461,Data_filtered!$A$2:$A$461,$A22,Data_filtered!$F$2:$F$461,O$1, Data_filtered!$D$2:$D$461,"mata",Data_filtered!$J$2:$J$461,"&lt;&gt;Incompleto")</f>
        <v>0</v>
      </c>
      <c r="P22" s="9">
        <f>SUMIFS(Data_filtered!$G$2:$G$461,Data_filtered!$A$2:$A$461,$A22,Data_filtered!$F$2:$F$461,P$1, Data_filtered!$D$2:$D$461,"mata",Data_filtered!$J$2:$J$461,"&lt;&gt;Incompleto")</f>
        <v>0</v>
      </c>
      <c r="Q22" s="9">
        <f>SUMIFS(Data_filtered!$G$2:$G$461,Data_filtered!$A$2:$A$461,$A22,Data_filtered!$F$2:$F$461,Q$1, Data_filtered!$D$2:$D$461,"mata",Data_filtered!$J$2:$J$461,"&lt;&gt;Incompleto")</f>
        <v>0</v>
      </c>
      <c r="R22" s="9">
        <f>SUMIFS(Data_filtered!$G$2:$G$461,Data_filtered!$A$2:$A$461,$A22,Data_filtered!$F$2:$F$461,R$1, Data_filtered!$D$2:$D$461,"mata",Data_filtered!$J$2:$J$461,"&lt;&gt;Incompleto")</f>
        <v>0</v>
      </c>
      <c r="S22" s="9">
        <f>SUMIFS(Data_filtered!$G$2:$G$461,Data_filtered!$A$2:$A$461,$A22,Data_filtered!$F$2:$F$461,S$1, Data_filtered!$D$2:$D$461,"mata",Data_filtered!$J$2:$J$461,"&lt;&gt;Incompleto")</f>
        <v>0</v>
      </c>
      <c r="T22" s="9">
        <f>SUMIFS(Data_filtered!$G$2:$G$461,Data_filtered!$A$2:$A$461,$A22,Data_filtered!$F$2:$F$461,T$1, Data_filtered!$D$2:$D$461,"mata",Data_filtered!$J$2:$J$461,"&lt;&gt;Incompleto")</f>
        <v>0</v>
      </c>
      <c r="U22" s="9">
        <f>SUMIFS(Data_filtered!$G$2:$G$461,Data_filtered!$A$2:$A$461,$A22,Data_filtered!$F$2:$F$461,U$1, Data_filtered!$D$2:$D$461,"mata",Data_filtered!$J$2:$J$461,"&lt;&gt;Incompleto")</f>
        <v>0</v>
      </c>
      <c r="V22" s="9">
        <f>SUMIFS(Data_filtered!$G$2:$G$461,Data_filtered!$A$2:$A$461,$A22,Data_filtered!$F$2:$F$461,V$1, Data_filtered!$D$2:$D$461,"mata",Data_filtered!$J$2:$J$461,"&lt;&gt;Incompleto")</f>
        <v>0</v>
      </c>
      <c r="W22" s="9">
        <f>SUMIFS(Data_filtered!$G$2:$G$461,Data_filtered!$A$2:$A$461,$A22,Data_filtered!$F$2:$F$461,W$1, Data_filtered!$D$2:$D$461,"mata",Data_filtered!$J$2:$J$461,"&lt;&gt;Incompleto")</f>
        <v>0</v>
      </c>
      <c r="X22" s="9">
        <f>SUMIFS(Data_filtered!$G$2:$G$461,Data_filtered!$A$2:$A$461,$A22,Data_filtered!$F$2:$F$461,X$1, Data_filtered!$D$2:$D$461,"mata",Data_filtered!$J$2:$J$461,"&lt;&gt;Incompleto")</f>
        <v>0</v>
      </c>
      <c r="Y22" s="9">
        <f>SUMIFS(Data_filtered!$G$2:$G$461,Data_filtered!$A$2:$A$461,$A22,Data_filtered!$F$2:$F$461,Y$1, Data_filtered!$D$2:$D$461,"mata",Data_filtered!$J$2:$J$461,"&lt;&gt;Incompleto")</f>
        <v>0</v>
      </c>
    </row>
    <row r="23">
      <c r="A23" s="9" t="str">
        <f>IFERROR(__xludf.DUMMYFUNCTION("""COMPUTED_VALUE"""),"Trachycephalus imitatrix")</f>
        <v>Trachycephalus imitatrix</v>
      </c>
      <c r="B23" s="9">
        <f>SUMIFS(Data_filtered!$G$2:$G$461,Data_filtered!$A$2:$A$461,$A23,Data_filtered!$F$2:$F$461,B$1, Data_filtered!$D$2:$D$461,"mata",Data_filtered!$J$2:$J$461,"&lt;&gt;Incompleto")</f>
        <v>0</v>
      </c>
      <c r="C23" s="9">
        <f>SUMIFS(Data_filtered!$G$2:$G$461,Data_filtered!$A$2:$A$461,$A23,Data_filtered!$F$2:$F$461,C$1, Data_filtered!$D$2:$D$461,"mata",Data_filtered!$J$2:$J$461,"&lt;&gt;Incompleto")</f>
        <v>0</v>
      </c>
      <c r="D23" s="9">
        <f>SUMIFS(Data_filtered!$G$2:$G$461,Data_filtered!$A$2:$A$461,$A23,Data_filtered!$F$2:$F$461,D$1, Data_filtered!$D$2:$D$461,"mata",Data_filtered!$J$2:$J$461,"&lt;&gt;Incompleto")</f>
        <v>0</v>
      </c>
      <c r="E23" s="9">
        <f>SUMIFS(Data_filtered!$G$2:$G$461,Data_filtered!$A$2:$A$461,$A23,Data_filtered!$F$2:$F$461,E$1, Data_filtered!$D$2:$D$461,"mata",Data_filtered!$J$2:$J$461,"&lt;&gt;Incompleto")</f>
        <v>0</v>
      </c>
      <c r="F23" s="9">
        <f>SUMIFS(Data_filtered!$G$2:$G$461,Data_filtered!$A$2:$A$461,$A23,Data_filtered!$F$2:$F$461,F$1, Data_filtered!$D$2:$D$461,"mata",Data_filtered!$J$2:$J$461,"&lt;&gt;Incompleto")</f>
        <v>1</v>
      </c>
      <c r="G23" s="9">
        <f>SUMIFS(Data_filtered!$G$2:$G$461,Data_filtered!$A$2:$A$461,$A23,Data_filtered!$F$2:$F$461,G$1, Data_filtered!$D$2:$D$461,"mata",Data_filtered!$J$2:$J$461,"&lt;&gt;Incompleto")</f>
        <v>0</v>
      </c>
      <c r="H23" s="9">
        <f>SUMIFS(Data_filtered!$G$2:$G$461,Data_filtered!$A$2:$A$461,$A23,Data_filtered!$F$2:$F$461,H$1, Data_filtered!$D$2:$D$461,"mata",Data_filtered!$J$2:$J$461,"&lt;&gt;Incompleto")</f>
        <v>0</v>
      </c>
      <c r="I23" s="9">
        <f>SUMIFS(Data_filtered!$G$2:$G$461,Data_filtered!$A$2:$A$461,$A23,Data_filtered!$F$2:$F$461,I$1, Data_filtered!$D$2:$D$461,"mata",Data_filtered!$J$2:$J$461,"&lt;&gt;Incompleto")</f>
        <v>0</v>
      </c>
      <c r="J23" s="9">
        <f>SUMIFS(Data_filtered!$G$2:$G$461,Data_filtered!$A$2:$A$461,$A23,Data_filtered!$F$2:$F$461,J$1, Data_filtered!$D$2:$D$461,"mata",Data_filtered!$J$2:$J$461,"&lt;&gt;Incompleto")</f>
        <v>0</v>
      </c>
      <c r="K23" s="9">
        <f>SUMIFS(Data_filtered!$G$2:$G$461,Data_filtered!$A$2:$A$461,$A23,Data_filtered!$F$2:$F$461,K$1, Data_filtered!$D$2:$D$461,"mata",Data_filtered!$J$2:$J$461,"&lt;&gt;Incompleto")</f>
        <v>0</v>
      </c>
      <c r="L23" s="9">
        <f>SUMIFS(Data_filtered!$G$2:$G$461,Data_filtered!$A$2:$A$461,$A23,Data_filtered!$F$2:$F$461,L$1, Data_filtered!$D$2:$D$461,"mata",Data_filtered!$J$2:$J$461,"&lt;&gt;Incompleto")</f>
        <v>0</v>
      </c>
      <c r="M23" s="9">
        <f>SUMIFS(Data_filtered!$G$2:$G$461,Data_filtered!$A$2:$A$461,$A23,Data_filtered!$F$2:$F$461,M$1, Data_filtered!$D$2:$D$461,"mata",Data_filtered!$J$2:$J$461,"&lt;&gt;Incompleto")</f>
        <v>0</v>
      </c>
      <c r="N23" s="9">
        <f>SUMIFS(Data_filtered!$G$2:$G$461,Data_filtered!$A$2:$A$461,$A23,Data_filtered!$F$2:$F$461,N$1, Data_filtered!$D$2:$D$461,"mata",Data_filtered!$J$2:$J$461,"&lt;&gt;Incompleto")</f>
        <v>0</v>
      </c>
      <c r="O23" s="9">
        <f>SUMIFS(Data_filtered!$G$2:$G$461,Data_filtered!$A$2:$A$461,$A23,Data_filtered!$F$2:$F$461,O$1, Data_filtered!$D$2:$D$461,"mata",Data_filtered!$J$2:$J$461,"&lt;&gt;Incompleto")</f>
        <v>0</v>
      </c>
      <c r="P23" s="9">
        <f>SUMIFS(Data_filtered!$G$2:$G$461,Data_filtered!$A$2:$A$461,$A23,Data_filtered!$F$2:$F$461,P$1, Data_filtered!$D$2:$D$461,"mata",Data_filtered!$J$2:$J$461,"&lt;&gt;Incompleto")</f>
        <v>0</v>
      </c>
      <c r="Q23" s="9">
        <f>SUMIFS(Data_filtered!$G$2:$G$461,Data_filtered!$A$2:$A$461,$A23,Data_filtered!$F$2:$F$461,Q$1, Data_filtered!$D$2:$D$461,"mata",Data_filtered!$J$2:$J$461,"&lt;&gt;Incompleto")</f>
        <v>0</v>
      </c>
      <c r="R23" s="9">
        <f>SUMIFS(Data_filtered!$G$2:$G$461,Data_filtered!$A$2:$A$461,$A23,Data_filtered!$F$2:$F$461,R$1, Data_filtered!$D$2:$D$461,"mata",Data_filtered!$J$2:$J$461,"&lt;&gt;Incompleto")</f>
        <v>0</v>
      </c>
      <c r="S23" s="9">
        <f>SUMIFS(Data_filtered!$G$2:$G$461,Data_filtered!$A$2:$A$461,$A23,Data_filtered!$F$2:$F$461,S$1, Data_filtered!$D$2:$D$461,"mata",Data_filtered!$J$2:$J$461,"&lt;&gt;Incompleto")</f>
        <v>0</v>
      </c>
      <c r="T23" s="9">
        <f>SUMIFS(Data_filtered!$G$2:$G$461,Data_filtered!$A$2:$A$461,$A23,Data_filtered!$F$2:$F$461,T$1, Data_filtered!$D$2:$D$461,"mata",Data_filtered!$J$2:$J$461,"&lt;&gt;Incompleto")</f>
        <v>0</v>
      </c>
      <c r="U23" s="9">
        <f>SUMIFS(Data_filtered!$G$2:$G$461,Data_filtered!$A$2:$A$461,$A23,Data_filtered!$F$2:$F$461,U$1, Data_filtered!$D$2:$D$461,"mata",Data_filtered!$J$2:$J$461,"&lt;&gt;Incompleto")</f>
        <v>0</v>
      </c>
      <c r="V23" s="9">
        <f>SUMIFS(Data_filtered!$G$2:$G$461,Data_filtered!$A$2:$A$461,$A23,Data_filtered!$F$2:$F$461,V$1, Data_filtered!$D$2:$D$461,"mata",Data_filtered!$J$2:$J$461,"&lt;&gt;Incompleto")</f>
        <v>0</v>
      </c>
      <c r="W23" s="9">
        <f>SUMIFS(Data_filtered!$G$2:$G$461,Data_filtered!$A$2:$A$461,$A23,Data_filtered!$F$2:$F$461,W$1, Data_filtered!$D$2:$D$461,"mata",Data_filtered!$J$2:$J$461,"&lt;&gt;Incompleto")</f>
        <v>0</v>
      </c>
      <c r="X23" s="9">
        <f>SUMIFS(Data_filtered!$G$2:$G$461,Data_filtered!$A$2:$A$461,$A23,Data_filtered!$F$2:$F$461,X$1, Data_filtered!$D$2:$D$461,"mata",Data_filtered!$J$2:$J$461,"&lt;&gt;Incompleto")</f>
        <v>0</v>
      </c>
      <c r="Y23" s="9">
        <f>SUMIFS(Data_filtered!$G$2:$G$461,Data_filtered!$A$2:$A$461,$A23,Data_filtered!$F$2:$F$461,Y$1, Data_filtered!$D$2:$D$461,"mata",Data_filtered!$J$2:$J$461,"&lt;&gt;Incompleto")</f>
        <v>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</cols>
  <sheetData>
    <row r="1">
      <c r="B1" s="9" t="str">
        <f>IFERROR(__xludf.DUMMYFUNCTION("TRANSPOSE(SORT(UNIQUE(FILTER(Data_filtered!F2:F461,Data_filtered!E$2:E$461&lt;&gt;""Não identificado"",Data_filtered!E$2:E$461&lt;&gt;""Semente"",Data_filtered!E$2:E$461&lt;&gt;""Semente de capim"",Data_filtered!E$2:E$461&lt;&gt;""Apenas substrato"",Data_filtered!E$2:E$461&lt;&gt;""Va"&amp;"zio"", Data_filtered!$J$2:$J$461&lt;&gt;""Incompleto""))))"),"Acari")</f>
        <v>Acari</v>
      </c>
      <c r="C1" s="9" t="str">
        <f>IFERROR(__xludf.DUMMYFUNCTION("""COMPUTED_VALUE"""),"Araneae")</f>
        <v>Araneae</v>
      </c>
      <c r="D1" s="9" t="str">
        <f>IFERROR(__xludf.DUMMYFUNCTION("""COMPUTED_VALUE"""),"Blattodea")</f>
        <v>Blattodea</v>
      </c>
      <c r="E1" s="9" t="str">
        <f>IFERROR(__xludf.DUMMYFUNCTION("""COMPUTED_VALUE"""),"Chilopoda")</f>
        <v>Chilopoda</v>
      </c>
      <c r="F1" s="9" t="str">
        <f>IFERROR(__xludf.DUMMYFUNCTION("""COMPUTED_VALUE"""),"Coleoptera")</f>
        <v>Coleoptera</v>
      </c>
      <c r="G1" s="9" t="str">
        <f>IFERROR(__xludf.DUMMYFUNCTION("""COMPUTED_VALUE"""),"Coleoptera Larva")</f>
        <v>Coleoptera Larva</v>
      </c>
      <c r="H1" s="9" t="str">
        <f>IFERROR(__xludf.DUMMYFUNCTION("""COMPUTED_VALUE"""),"Collembola")</f>
        <v>Collembola</v>
      </c>
      <c r="I1" s="9" t="str">
        <f>IFERROR(__xludf.DUMMYFUNCTION("""COMPUTED_VALUE"""),"Dermaptera")</f>
        <v>Dermaptera</v>
      </c>
      <c r="J1" s="9" t="str">
        <f>IFERROR(__xludf.DUMMYFUNCTION("""COMPUTED_VALUE"""),"Diplopoda")</f>
        <v>Diplopoda</v>
      </c>
      <c r="K1" s="9" t="str">
        <f>IFERROR(__xludf.DUMMYFUNCTION("""COMPUTED_VALUE"""),"Ensifera")</f>
        <v>Ensifera</v>
      </c>
      <c r="L1" s="9" t="str">
        <f>IFERROR(__xludf.DUMMYFUNCTION("""COMPUTED_VALUE"""),"Formicidae")</f>
        <v>Formicidae</v>
      </c>
      <c r="M1" s="9" t="str">
        <f>IFERROR(__xludf.DUMMYFUNCTION("""COMPUTED_VALUE"""),"Hemiptera")</f>
        <v>Hemiptera</v>
      </c>
      <c r="N1" s="9" t="str">
        <f>IFERROR(__xludf.DUMMYFUNCTION("""COMPUTED_VALUE"""),"Heteroptera")</f>
        <v>Heteroptera</v>
      </c>
      <c r="O1" s="9" t="str">
        <f>IFERROR(__xludf.DUMMYFUNCTION("""COMPUTED_VALUE"""),"Isópode")</f>
        <v>Isópode</v>
      </c>
      <c r="P1" s="9" t="str">
        <f>IFERROR(__xludf.DUMMYFUNCTION("""COMPUTED_VALUE"""),"Isoptera")</f>
        <v>Isoptera</v>
      </c>
      <c r="Q1" s="9" t="str">
        <f>IFERROR(__xludf.DUMMYFUNCTION("""COMPUTED_VALUE"""),"Larva")</f>
        <v>Larva</v>
      </c>
      <c r="R1" s="9" t="str">
        <f>IFERROR(__xludf.DUMMYFUNCTION("""COMPUTED_VALUE"""),"Lepidoptera Larva")</f>
        <v>Lepidoptera Larva</v>
      </c>
      <c r="S1" s="9" t="str">
        <f>IFERROR(__xludf.DUMMYFUNCTION("""COMPUTED_VALUE"""),"Mosca")</f>
        <v>Mosca</v>
      </c>
      <c r="T1" s="9" t="str">
        <f>IFERROR(__xludf.DUMMYFUNCTION("""COMPUTED_VALUE"""),"Opiliones")</f>
        <v>Opiliones</v>
      </c>
      <c r="U1" s="9" t="str">
        <f>IFERROR(__xludf.DUMMYFUNCTION("""COMPUTED_VALUE"""),"Orthoptera")</f>
        <v>Orthoptera</v>
      </c>
      <c r="V1" s="9" t="str">
        <f>IFERROR(__xludf.DUMMYFUNCTION("""COMPUTED_VALUE"""),"Pterygota")</f>
        <v>Pterygota</v>
      </c>
      <c r="W1" s="9" t="str">
        <f>IFERROR(__xludf.DUMMYFUNCTION("""COMPUTED_VALUE"""),"Staphylinidae")</f>
        <v>Staphylinidae</v>
      </c>
      <c r="X1" s="9" t="str">
        <f>IFERROR(__xludf.DUMMYFUNCTION("""COMPUTED_VALUE"""),"Thysanoptera")</f>
        <v>Thysanoptera</v>
      </c>
      <c r="Y1" s="9" t="str">
        <f>IFERROR(__xludf.DUMMYFUNCTION("""COMPUTED_VALUE"""),"Vespa")</f>
        <v>Vespa</v>
      </c>
    </row>
    <row r="2">
      <c r="A2" s="9" t="str">
        <f>IFERROR(__xludf.DUMMYFUNCTION("SORT(UNIQUE(FILTER(Data_filtered!$A$2:$A$461,Data_filtered!$E$2:$E$461&lt;&gt;""Vazio"",Data_filtered!$E$2:$E$461&lt;&gt;""Não identificado"",Data_filtered!$E$2:$E$461&lt;&gt;""Semente"",Data_filtered!$E$2:$E$461&lt;&gt;""Semente de capim"",Data_filtered!$E$2:$E$461&lt;&gt;""Apenas su"&amp;"bstrato"", Data_filtered!$D$2:$D$461 =""eucalipto"", Data_filtered!$J$2:$J$461 &lt;&gt;""Incompleto"")))"),"Aplastodiscus albosignatus")</f>
        <v>Aplastodiscus albosignatus</v>
      </c>
      <c r="B2" s="111">
        <f>SUMIFS(Data_filtered!$K$2:$K$461,Data_filtered!$A$2:$A$461,$A2,Data_filtered!$F$2:$F$461,B$1,Data_filtered!$D$2:$D$461,"eucalipto",Data_filtered!$J$2:$J$461,"&lt;&gt;Incompleto")</f>
        <v>0</v>
      </c>
      <c r="C2" s="111">
        <f>SUMIFS(Data_filtered!$K$2:$K$461,Data_filtered!$A$2:$A$461,$A2,Data_filtered!$F$2:$F$461,C$1,Data_filtered!$D$2:$D$461,"eucalipto",Data_filtered!$J$2:$J$461,"&lt;&gt;Incompleto")</f>
        <v>0</v>
      </c>
      <c r="D2" s="111">
        <f>SUMIFS(Data_filtered!$K$2:$K$461,Data_filtered!$A$2:$A$461,$A2,Data_filtered!$F$2:$F$461,D$1,Data_filtered!$D$2:$D$461,"eucalipto",Data_filtered!$J$2:$J$461,"&lt;&gt;Incompleto")</f>
        <v>0</v>
      </c>
      <c r="E2" s="111">
        <f>SUMIFS(Data_filtered!$K$2:$K$461,Data_filtered!$A$2:$A$461,$A2,Data_filtered!$F$2:$F$461,E$1,Data_filtered!$D$2:$D$461,"eucalipto",Data_filtered!$J$2:$J$461,"&lt;&gt;Incompleto")</f>
        <v>0</v>
      </c>
      <c r="F2" s="111">
        <f>SUMIFS(Data_filtered!$K$2:$K$461,Data_filtered!$A$2:$A$461,$A2,Data_filtered!$F$2:$F$461,F$1,Data_filtered!$D$2:$D$461,"eucalipto",Data_filtered!$J$2:$J$461,"&lt;&gt;Incompleto")</f>
        <v>301.5928947</v>
      </c>
      <c r="G2" s="111">
        <f>SUMIFS(Data_filtered!$K$2:$K$461,Data_filtered!$A$2:$A$461,$A2,Data_filtered!$F$2:$F$461,G$1,Data_filtered!$D$2:$D$461,"eucalipto",Data_filtered!$J$2:$J$461,"&lt;&gt;Incompleto")</f>
        <v>0</v>
      </c>
      <c r="H2" s="111">
        <f>SUMIFS(Data_filtered!$K$2:$K$461,Data_filtered!$A$2:$A$461,$A2,Data_filtered!$F$2:$F$461,H$1,Data_filtered!$D$2:$D$461,"eucalipto",Data_filtered!$J$2:$J$461,"&lt;&gt;Incompleto")</f>
        <v>0</v>
      </c>
      <c r="I2" s="111">
        <f>SUMIFS(Data_filtered!$K$2:$K$461,Data_filtered!$A$2:$A$461,$A2,Data_filtered!$F$2:$F$461,I$1,Data_filtered!$D$2:$D$461,"eucalipto",Data_filtered!$J$2:$J$461,"&lt;&gt;Incompleto")</f>
        <v>0</v>
      </c>
      <c r="J2" s="111">
        <f>SUMIFS(Data_filtered!$K$2:$K$461,Data_filtered!$A$2:$A$461,$A2,Data_filtered!$F$2:$F$461,J$1,Data_filtered!$D$2:$D$461,"eucalipto",Data_filtered!$J$2:$J$461,"&lt;&gt;Incompleto")</f>
        <v>0</v>
      </c>
      <c r="K2" s="111">
        <f>SUMIFS(Data_filtered!$K$2:$K$461,Data_filtered!$A$2:$A$461,$A2,Data_filtered!$F$2:$F$461,K$1,Data_filtered!$D$2:$D$461,"eucalipto",Data_filtered!$J$2:$J$461,"&lt;&gt;Incompleto")</f>
        <v>0</v>
      </c>
      <c r="L2" s="111">
        <f>SUMIFS(Data_filtered!$K$2:$K$461,Data_filtered!$A$2:$A$461,$A2,Data_filtered!$F$2:$F$461,L$1,Data_filtered!$D$2:$D$461,"eucalipto",Data_filtered!$J$2:$J$461,"&lt;&gt;Incompleto")</f>
        <v>0</v>
      </c>
      <c r="M2" s="111">
        <f>SUMIFS(Data_filtered!$K$2:$K$461,Data_filtered!$A$2:$A$461,$A2,Data_filtered!$F$2:$F$461,M$1,Data_filtered!$D$2:$D$461,"eucalipto",Data_filtered!$J$2:$J$461,"&lt;&gt;Incompleto")</f>
        <v>0</v>
      </c>
      <c r="N2" s="111">
        <f>SUMIFS(Data_filtered!$K$2:$K$461,Data_filtered!$A$2:$A$461,$A2,Data_filtered!$F$2:$F$461,N$1,Data_filtered!$D$2:$D$461,"eucalipto",Data_filtered!$J$2:$J$461,"&lt;&gt;Incompleto")</f>
        <v>0</v>
      </c>
      <c r="O2" s="111">
        <f>SUMIFS(Data_filtered!$K$2:$K$461,Data_filtered!$A$2:$A$461,$A2,Data_filtered!$F$2:$F$461,O$1,Data_filtered!$D$2:$D$461,"eucalipto",Data_filtered!$J$2:$J$461,"&lt;&gt;Incompleto")</f>
        <v>0</v>
      </c>
      <c r="P2" s="111">
        <f>SUMIFS(Data_filtered!$K$2:$K$461,Data_filtered!$A$2:$A$461,$A2,Data_filtered!$F$2:$F$461,P$1,Data_filtered!$D$2:$D$461,"eucalipto",Data_filtered!$J$2:$J$461,"&lt;&gt;Incompleto")</f>
        <v>0</v>
      </c>
      <c r="Q2" s="111">
        <f>SUMIFS(Data_filtered!$K$2:$K$461,Data_filtered!$A$2:$A$461,$A2,Data_filtered!$F$2:$F$461,Q$1,Data_filtered!$D$2:$D$461,"eucalipto",Data_filtered!$J$2:$J$461,"&lt;&gt;Incompleto")</f>
        <v>0</v>
      </c>
      <c r="R2" s="111">
        <f>SUMIFS(Data_filtered!$K$2:$K$461,Data_filtered!$A$2:$A$461,$A2,Data_filtered!$F$2:$F$461,R$1,Data_filtered!$D$2:$D$461,"eucalipto",Data_filtered!$J$2:$J$461,"&lt;&gt;Incompleto")</f>
        <v>0</v>
      </c>
      <c r="S2" s="111">
        <f>SUMIFS(Data_filtered!$K$2:$K$461,Data_filtered!$A$2:$A$461,$A2,Data_filtered!$F$2:$F$461,S$1,Data_filtered!$D$2:$D$461,"eucalipto",Data_filtered!$J$2:$J$461,"&lt;&gt;Incompleto")</f>
        <v>0</v>
      </c>
      <c r="T2" s="111">
        <f>SUMIFS(Data_filtered!$K$2:$K$461,Data_filtered!$A$2:$A$461,$A2,Data_filtered!$F$2:$F$461,T$1,Data_filtered!$D$2:$D$461,"eucalipto",Data_filtered!$J$2:$J$461,"&lt;&gt;Incompleto")</f>
        <v>0</v>
      </c>
      <c r="U2" s="111">
        <f>SUMIFS(Data_filtered!$K$2:$K$461,Data_filtered!$A$2:$A$461,$A2,Data_filtered!$F$2:$F$461,U$1,Data_filtered!$D$2:$D$461,"eucalipto",Data_filtered!$J$2:$J$461,"&lt;&gt;Incompleto")</f>
        <v>0</v>
      </c>
      <c r="V2" s="111">
        <f>SUMIFS(Data_filtered!$K$2:$K$461,Data_filtered!$A$2:$A$461,$A2,Data_filtered!$F$2:$F$461,V$1,Data_filtered!$D$2:$D$461,"eucalipto",Data_filtered!$J$2:$J$461,"&lt;&gt;Incompleto")</f>
        <v>0</v>
      </c>
      <c r="W2" s="111">
        <f>SUMIFS(Data_filtered!$K$2:$K$461,Data_filtered!$A$2:$A$461,$A2,Data_filtered!$F$2:$F$461,W$1,Data_filtered!$D$2:$D$461,"eucalipto",Data_filtered!$J$2:$J$461,"&lt;&gt;Incompleto")</f>
        <v>0</v>
      </c>
      <c r="X2" s="111">
        <f>SUMIFS(Data_filtered!$K$2:$K$461,Data_filtered!$A$2:$A$461,$A2,Data_filtered!$F$2:$F$461,X$1,Data_filtered!$D$2:$D$461,"eucalipto",Data_filtered!$J$2:$J$461,"&lt;&gt;Incompleto")</f>
        <v>0</v>
      </c>
      <c r="Y2" s="111">
        <f>SUMIFS(Data_filtered!$K$2:$K$461,Data_filtered!$A$2:$A$461,$A2,Data_filtered!$F$2:$F$461,Y$1,Data_filtered!$D$2:$D$461,"eucalipto",Data_filtered!$J$2:$J$461,"&lt;&gt;Incompleto")</f>
        <v>0</v>
      </c>
      <c r="Z2" s="111"/>
    </row>
    <row r="3">
      <c r="A3" s="9" t="str">
        <f>IFERROR(__xludf.DUMMYFUNCTION("""COMPUTED_VALUE"""),"Boana faber")</f>
        <v>Boana faber</v>
      </c>
      <c r="B3" s="111">
        <f>SUMIFS(Data_filtered!$K$2:$K$461,Data_filtered!$A$2:$A$461,$A3,Data_filtered!$F$2:$F$461,B$1,Data_filtered!$D$2:$D$461,"eucalipto",Data_filtered!$J$2:$J$461,"&lt;&gt;Incompleto")</f>
        <v>0</v>
      </c>
      <c r="C3" s="111">
        <f>SUMIFS(Data_filtered!$K$2:$K$461,Data_filtered!$A$2:$A$461,$A3,Data_filtered!$F$2:$F$461,C$1,Data_filtered!$D$2:$D$461,"eucalipto",Data_filtered!$J$2:$J$461,"&lt;&gt;Incompleto")</f>
        <v>0</v>
      </c>
      <c r="D3" s="111">
        <f>SUMIFS(Data_filtered!$K$2:$K$461,Data_filtered!$A$2:$A$461,$A3,Data_filtered!$F$2:$F$461,D$1,Data_filtered!$D$2:$D$461,"eucalipto",Data_filtered!$J$2:$J$461,"&lt;&gt;Incompleto")</f>
        <v>871.2683626</v>
      </c>
      <c r="E3" s="111">
        <f>SUMIFS(Data_filtered!$K$2:$K$461,Data_filtered!$A$2:$A$461,$A3,Data_filtered!$F$2:$F$461,E$1,Data_filtered!$D$2:$D$461,"eucalipto",Data_filtered!$J$2:$J$461,"&lt;&gt;Incompleto")</f>
        <v>0</v>
      </c>
      <c r="F3" s="111">
        <f>SUMIFS(Data_filtered!$K$2:$K$461,Data_filtered!$A$2:$A$461,$A3,Data_filtered!$F$2:$F$461,F$1,Data_filtered!$D$2:$D$461,"eucalipto",Data_filtered!$J$2:$J$461,"&lt;&gt;Incompleto")</f>
        <v>0</v>
      </c>
      <c r="G3" s="111">
        <f>SUMIFS(Data_filtered!$K$2:$K$461,Data_filtered!$A$2:$A$461,$A3,Data_filtered!$F$2:$F$461,G$1,Data_filtered!$D$2:$D$461,"eucalipto",Data_filtered!$J$2:$J$461,"&lt;&gt;Incompleto")</f>
        <v>0</v>
      </c>
      <c r="H3" s="111">
        <f>SUMIFS(Data_filtered!$K$2:$K$461,Data_filtered!$A$2:$A$461,$A3,Data_filtered!$F$2:$F$461,H$1,Data_filtered!$D$2:$D$461,"eucalipto",Data_filtered!$J$2:$J$461,"&lt;&gt;Incompleto")</f>
        <v>0</v>
      </c>
      <c r="I3" s="111">
        <f>SUMIFS(Data_filtered!$K$2:$K$461,Data_filtered!$A$2:$A$461,$A3,Data_filtered!$F$2:$F$461,I$1,Data_filtered!$D$2:$D$461,"eucalipto",Data_filtered!$J$2:$J$461,"&lt;&gt;Incompleto")</f>
        <v>0</v>
      </c>
      <c r="J3" s="111">
        <f>SUMIFS(Data_filtered!$K$2:$K$461,Data_filtered!$A$2:$A$461,$A3,Data_filtered!$F$2:$F$461,J$1,Data_filtered!$D$2:$D$461,"eucalipto",Data_filtered!$J$2:$J$461,"&lt;&gt;Incompleto")</f>
        <v>0</v>
      </c>
      <c r="K3" s="111">
        <f>SUMIFS(Data_filtered!$K$2:$K$461,Data_filtered!$A$2:$A$461,$A3,Data_filtered!$F$2:$F$461,K$1,Data_filtered!$D$2:$D$461,"eucalipto",Data_filtered!$J$2:$J$461,"&lt;&gt;Incompleto")</f>
        <v>0</v>
      </c>
      <c r="L3" s="111">
        <f>SUMIFS(Data_filtered!$K$2:$K$461,Data_filtered!$A$2:$A$461,$A3,Data_filtered!$F$2:$F$461,L$1,Data_filtered!$D$2:$D$461,"eucalipto",Data_filtered!$J$2:$J$461,"&lt;&gt;Incompleto")</f>
        <v>0</v>
      </c>
      <c r="M3" s="111">
        <f>SUMIFS(Data_filtered!$K$2:$K$461,Data_filtered!$A$2:$A$461,$A3,Data_filtered!$F$2:$F$461,M$1,Data_filtered!$D$2:$D$461,"eucalipto",Data_filtered!$J$2:$J$461,"&lt;&gt;Incompleto")</f>
        <v>0</v>
      </c>
      <c r="N3" s="111">
        <f>SUMIFS(Data_filtered!$K$2:$K$461,Data_filtered!$A$2:$A$461,$A3,Data_filtered!$F$2:$F$461,N$1,Data_filtered!$D$2:$D$461,"eucalipto",Data_filtered!$J$2:$J$461,"&lt;&gt;Incompleto")</f>
        <v>0</v>
      </c>
      <c r="O3" s="111">
        <f>SUMIFS(Data_filtered!$K$2:$K$461,Data_filtered!$A$2:$A$461,$A3,Data_filtered!$F$2:$F$461,O$1,Data_filtered!$D$2:$D$461,"eucalipto",Data_filtered!$J$2:$J$461,"&lt;&gt;Incompleto")</f>
        <v>0</v>
      </c>
      <c r="P3" s="111">
        <f>SUMIFS(Data_filtered!$K$2:$K$461,Data_filtered!$A$2:$A$461,$A3,Data_filtered!$F$2:$F$461,P$1,Data_filtered!$D$2:$D$461,"eucalipto",Data_filtered!$J$2:$J$461,"&lt;&gt;Incompleto")</f>
        <v>0</v>
      </c>
      <c r="Q3" s="111">
        <f>SUMIFS(Data_filtered!$K$2:$K$461,Data_filtered!$A$2:$A$461,$A3,Data_filtered!$F$2:$F$461,Q$1,Data_filtered!$D$2:$D$461,"eucalipto",Data_filtered!$J$2:$J$461,"&lt;&gt;Incompleto")</f>
        <v>0</v>
      </c>
      <c r="R3" s="111">
        <f>SUMIFS(Data_filtered!$K$2:$K$461,Data_filtered!$A$2:$A$461,$A3,Data_filtered!$F$2:$F$461,R$1,Data_filtered!$D$2:$D$461,"eucalipto",Data_filtered!$J$2:$J$461,"&lt;&gt;Incompleto")</f>
        <v>0</v>
      </c>
      <c r="S3" s="111">
        <f>SUMIFS(Data_filtered!$K$2:$K$461,Data_filtered!$A$2:$A$461,$A3,Data_filtered!$F$2:$F$461,S$1,Data_filtered!$D$2:$D$461,"eucalipto",Data_filtered!$J$2:$J$461,"&lt;&gt;Incompleto")</f>
        <v>0</v>
      </c>
      <c r="T3" s="111">
        <f>SUMIFS(Data_filtered!$K$2:$K$461,Data_filtered!$A$2:$A$461,$A3,Data_filtered!$F$2:$F$461,T$1,Data_filtered!$D$2:$D$461,"eucalipto",Data_filtered!$J$2:$J$461,"&lt;&gt;Incompleto")</f>
        <v>0</v>
      </c>
      <c r="U3" s="111">
        <f>SUMIFS(Data_filtered!$K$2:$K$461,Data_filtered!$A$2:$A$461,$A3,Data_filtered!$F$2:$F$461,U$1,Data_filtered!$D$2:$D$461,"eucalipto",Data_filtered!$J$2:$J$461,"&lt;&gt;Incompleto")</f>
        <v>0</v>
      </c>
      <c r="V3" s="111">
        <f>SUMIFS(Data_filtered!$K$2:$K$461,Data_filtered!$A$2:$A$461,$A3,Data_filtered!$F$2:$F$461,V$1,Data_filtered!$D$2:$D$461,"eucalipto",Data_filtered!$J$2:$J$461,"&lt;&gt;Incompleto")</f>
        <v>0</v>
      </c>
      <c r="W3" s="111">
        <f>SUMIFS(Data_filtered!$K$2:$K$461,Data_filtered!$A$2:$A$461,$A3,Data_filtered!$F$2:$F$461,W$1,Data_filtered!$D$2:$D$461,"eucalipto",Data_filtered!$J$2:$J$461,"&lt;&gt;Incompleto")</f>
        <v>0</v>
      </c>
      <c r="X3" s="111">
        <f>SUMIFS(Data_filtered!$K$2:$K$461,Data_filtered!$A$2:$A$461,$A3,Data_filtered!$F$2:$F$461,X$1,Data_filtered!$D$2:$D$461,"eucalipto",Data_filtered!$J$2:$J$461,"&lt;&gt;Incompleto")</f>
        <v>0</v>
      </c>
      <c r="Y3" s="111">
        <f>SUMIFS(Data_filtered!$K$2:$K$461,Data_filtered!$A$2:$A$461,$A3,Data_filtered!$F$2:$F$461,Y$1,Data_filtered!$D$2:$D$461,"eucalipto",Data_filtered!$J$2:$J$461,"&lt;&gt;Incompleto")</f>
        <v>0</v>
      </c>
      <c r="Z3" s="111"/>
    </row>
    <row r="4">
      <c r="A4" s="9" t="str">
        <f>IFERROR(__xludf.DUMMYFUNCTION("""COMPUTED_VALUE"""),"Boana prasina")</f>
        <v>Boana prasina</v>
      </c>
      <c r="B4" s="111">
        <f>SUMIFS(Data_filtered!$K$2:$K$461,Data_filtered!$A$2:$A$461,$A4,Data_filtered!$F$2:$F$461,B$1,Data_filtered!$D$2:$D$461,"eucalipto",Data_filtered!$J$2:$J$461,"&lt;&gt;Incompleto")</f>
        <v>0</v>
      </c>
      <c r="C4" s="111">
        <f>SUMIFS(Data_filtered!$K$2:$K$461,Data_filtered!$A$2:$A$461,$A4,Data_filtered!$F$2:$F$461,C$1,Data_filtered!$D$2:$D$461,"eucalipto",Data_filtered!$J$2:$J$461,"&lt;&gt;Incompleto")</f>
        <v>0</v>
      </c>
      <c r="D4" s="111">
        <f>SUMIFS(Data_filtered!$K$2:$K$461,Data_filtered!$A$2:$A$461,$A4,Data_filtered!$F$2:$F$461,D$1,Data_filtered!$D$2:$D$461,"eucalipto",Data_filtered!$J$2:$J$461,"&lt;&gt;Incompleto")</f>
        <v>0</v>
      </c>
      <c r="E4" s="111">
        <f>SUMIFS(Data_filtered!$K$2:$K$461,Data_filtered!$A$2:$A$461,$A4,Data_filtered!$F$2:$F$461,E$1,Data_filtered!$D$2:$D$461,"eucalipto",Data_filtered!$J$2:$J$461,"&lt;&gt;Incompleto")</f>
        <v>0</v>
      </c>
      <c r="F4" s="111">
        <f>SUMIFS(Data_filtered!$K$2:$K$461,Data_filtered!$A$2:$A$461,$A4,Data_filtered!$F$2:$F$461,F$1,Data_filtered!$D$2:$D$461,"eucalipto",Data_filtered!$J$2:$J$461,"&lt;&gt;Incompleto")</f>
        <v>0</v>
      </c>
      <c r="G4" s="111">
        <f>SUMIFS(Data_filtered!$K$2:$K$461,Data_filtered!$A$2:$A$461,$A4,Data_filtered!$F$2:$F$461,G$1,Data_filtered!$D$2:$D$461,"eucalipto",Data_filtered!$J$2:$J$461,"&lt;&gt;Incompleto")</f>
        <v>0</v>
      </c>
      <c r="H4" s="111">
        <f>SUMIFS(Data_filtered!$K$2:$K$461,Data_filtered!$A$2:$A$461,$A4,Data_filtered!$F$2:$F$461,H$1,Data_filtered!$D$2:$D$461,"eucalipto",Data_filtered!$J$2:$J$461,"&lt;&gt;Incompleto")</f>
        <v>0</v>
      </c>
      <c r="I4" s="111">
        <f>SUMIFS(Data_filtered!$K$2:$K$461,Data_filtered!$A$2:$A$461,$A4,Data_filtered!$F$2:$F$461,I$1,Data_filtered!$D$2:$D$461,"eucalipto",Data_filtered!$J$2:$J$461,"&lt;&gt;Incompleto")</f>
        <v>0</v>
      </c>
      <c r="J4" s="111">
        <f>SUMIFS(Data_filtered!$K$2:$K$461,Data_filtered!$A$2:$A$461,$A4,Data_filtered!$F$2:$F$461,J$1,Data_filtered!$D$2:$D$461,"eucalipto",Data_filtered!$J$2:$J$461,"&lt;&gt;Incompleto")</f>
        <v>0</v>
      </c>
      <c r="K4" s="111">
        <f>SUMIFS(Data_filtered!$K$2:$K$461,Data_filtered!$A$2:$A$461,$A4,Data_filtered!$F$2:$F$461,K$1,Data_filtered!$D$2:$D$461,"eucalipto",Data_filtered!$J$2:$J$461,"&lt;&gt;Incompleto")</f>
        <v>0</v>
      </c>
      <c r="L4" s="111">
        <f>SUMIFS(Data_filtered!$K$2:$K$461,Data_filtered!$A$2:$A$461,$A4,Data_filtered!$F$2:$F$461,L$1,Data_filtered!$D$2:$D$461,"eucalipto",Data_filtered!$J$2:$J$461,"&lt;&gt;Incompleto")</f>
        <v>0</v>
      </c>
      <c r="M4" s="111">
        <f>SUMIFS(Data_filtered!$K$2:$K$461,Data_filtered!$A$2:$A$461,$A4,Data_filtered!$F$2:$F$461,M$1,Data_filtered!$D$2:$D$461,"eucalipto",Data_filtered!$J$2:$J$461,"&lt;&gt;Incompleto")</f>
        <v>0</v>
      </c>
      <c r="N4" s="111">
        <f>SUMIFS(Data_filtered!$K$2:$K$461,Data_filtered!$A$2:$A$461,$A4,Data_filtered!$F$2:$F$461,N$1,Data_filtered!$D$2:$D$461,"eucalipto",Data_filtered!$J$2:$J$461,"&lt;&gt;Incompleto")</f>
        <v>0</v>
      </c>
      <c r="O4" s="111">
        <f>SUMIFS(Data_filtered!$K$2:$K$461,Data_filtered!$A$2:$A$461,$A4,Data_filtered!$F$2:$F$461,O$1,Data_filtered!$D$2:$D$461,"eucalipto",Data_filtered!$J$2:$J$461,"&lt;&gt;Incompleto")</f>
        <v>0</v>
      </c>
      <c r="P4" s="111">
        <f>SUMIFS(Data_filtered!$K$2:$K$461,Data_filtered!$A$2:$A$461,$A4,Data_filtered!$F$2:$F$461,P$1,Data_filtered!$D$2:$D$461,"eucalipto",Data_filtered!$J$2:$J$461,"&lt;&gt;Incompleto")</f>
        <v>0</v>
      </c>
      <c r="Q4" s="111">
        <f>SUMIFS(Data_filtered!$K$2:$K$461,Data_filtered!$A$2:$A$461,$A4,Data_filtered!$F$2:$F$461,Q$1,Data_filtered!$D$2:$D$461,"eucalipto",Data_filtered!$J$2:$J$461,"&lt;&gt;Incompleto")</f>
        <v>0</v>
      </c>
      <c r="R4" s="111">
        <f>SUMIFS(Data_filtered!$K$2:$K$461,Data_filtered!$A$2:$A$461,$A4,Data_filtered!$F$2:$F$461,R$1,Data_filtered!$D$2:$D$461,"eucalipto",Data_filtered!$J$2:$J$461,"&lt;&gt;Incompleto")</f>
        <v>0</v>
      </c>
      <c r="S4" s="111">
        <f>SUMIFS(Data_filtered!$K$2:$K$461,Data_filtered!$A$2:$A$461,$A4,Data_filtered!$F$2:$F$461,S$1,Data_filtered!$D$2:$D$461,"eucalipto",Data_filtered!$J$2:$J$461,"&lt;&gt;Incompleto")</f>
        <v>0</v>
      </c>
      <c r="T4" s="111">
        <f>SUMIFS(Data_filtered!$K$2:$K$461,Data_filtered!$A$2:$A$461,$A4,Data_filtered!$F$2:$F$461,T$1,Data_filtered!$D$2:$D$461,"eucalipto",Data_filtered!$J$2:$J$461,"&lt;&gt;Incompleto")</f>
        <v>0</v>
      </c>
      <c r="U4" s="111">
        <f>SUMIFS(Data_filtered!$K$2:$K$461,Data_filtered!$A$2:$A$461,$A4,Data_filtered!$F$2:$F$461,U$1,Data_filtered!$D$2:$D$461,"eucalipto",Data_filtered!$J$2:$J$461,"&lt;&gt;Incompleto")</f>
        <v>871.2683626</v>
      </c>
      <c r="V4" s="111">
        <f>SUMIFS(Data_filtered!$K$2:$K$461,Data_filtered!$A$2:$A$461,$A4,Data_filtered!$F$2:$F$461,V$1,Data_filtered!$D$2:$D$461,"eucalipto",Data_filtered!$J$2:$J$461,"&lt;&gt;Incompleto")</f>
        <v>0</v>
      </c>
      <c r="W4" s="111">
        <f>SUMIFS(Data_filtered!$K$2:$K$461,Data_filtered!$A$2:$A$461,$A4,Data_filtered!$F$2:$F$461,W$1,Data_filtered!$D$2:$D$461,"eucalipto",Data_filtered!$J$2:$J$461,"&lt;&gt;Incompleto")</f>
        <v>0</v>
      </c>
      <c r="X4" s="111">
        <f>SUMIFS(Data_filtered!$K$2:$K$461,Data_filtered!$A$2:$A$461,$A4,Data_filtered!$F$2:$F$461,X$1,Data_filtered!$D$2:$D$461,"eucalipto",Data_filtered!$J$2:$J$461,"&lt;&gt;Incompleto")</f>
        <v>0</v>
      </c>
      <c r="Y4" s="111">
        <f>SUMIFS(Data_filtered!$K$2:$K$461,Data_filtered!$A$2:$A$461,$A4,Data_filtered!$F$2:$F$461,Y$1,Data_filtered!$D$2:$D$461,"eucalipto",Data_filtered!$J$2:$J$461,"&lt;&gt;Incompleto")</f>
        <v>0</v>
      </c>
      <c r="Z4" s="111"/>
    </row>
    <row r="5">
      <c r="A5" s="9" t="str">
        <f>IFERROR(__xludf.DUMMYFUNCTION("""COMPUTED_VALUE"""),"Chiasmocleis mantiqueira")</f>
        <v>Chiasmocleis mantiqueira</v>
      </c>
      <c r="B5" s="111">
        <f>SUMIFS(Data_filtered!$K$2:$K$461,Data_filtered!$A$2:$A$461,$A5,Data_filtered!$F$2:$F$461,B$1,Data_filtered!$D$2:$D$461,"eucalipto",Data_filtered!$J$2:$J$461,"&lt;&gt;Incompleto")</f>
        <v>0.5235987756</v>
      </c>
      <c r="C5" s="111">
        <f>SUMIFS(Data_filtered!$K$2:$K$461,Data_filtered!$A$2:$A$461,$A5,Data_filtered!$F$2:$F$461,C$1,Data_filtered!$D$2:$D$461,"eucalipto",Data_filtered!$J$2:$J$461,"&lt;&gt;Incompleto")</f>
        <v>0</v>
      </c>
      <c r="D5" s="111">
        <f>SUMIFS(Data_filtered!$K$2:$K$461,Data_filtered!$A$2:$A$461,$A5,Data_filtered!$F$2:$F$461,D$1,Data_filtered!$D$2:$D$461,"eucalipto",Data_filtered!$J$2:$J$461,"&lt;&gt;Incompleto")</f>
        <v>0</v>
      </c>
      <c r="E5" s="111">
        <f>SUMIFS(Data_filtered!$K$2:$K$461,Data_filtered!$A$2:$A$461,$A5,Data_filtered!$F$2:$F$461,E$1,Data_filtered!$D$2:$D$461,"eucalipto",Data_filtered!$J$2:$J$461,"&lt;&gt;Incompleto")</f>
        <v>0</v>
      </c>
      <c r="F5" s="111">
        <f>SUMIFS(Data_filtered!$K$2:$K$461,Data_filtered!$A$2:$A$461,$A5,Data_filtered!$F$2:$F$461,F$1,Data_filtered!$D$2:$D$461,"eucalipto",Data_filtered!$J$2:$J$461,"&lt;&gt;Incompleto")</f>
        <v>37.69911184</v>
      </c>
      <c r="G5" s="111">
        <f>SUMIFS(Data_filtered!$K$2:$K$461,Data_filtered!$A$2:$A$461,$A5,Data_filtered!$F$2:$F$461,G$1,Data_filtered!$D$2:$D$461,"eucalipto",Data_filtered!$J$2:$J$461,"&lt;&gt;Incompleto")</f>
        <v>0</v>
      </c>
      <c r="H5" s="111">
        <f>SUMIFS(Data_filtered!$K$2:$K$461,Data_filtered!$A$2:$A$461,$A5,Data_filtered!$F$2:$F$461,H$1,Data_filtered!$D$2:$D$461,"eucalipto",Data_filtered!$J$2:$J$461,"&lt;&gt;Incompleto")</f>
        <v>0</v>
      </c>
      <c r="I5" s="111">
        <f>SUMIFS(Data_filtered!$K$2:$K$461,Data_filtered!$A$2:$A$461,$A5,Data_filtered!$F$2:$F$461,I$1,Data_filtered!$D$2:$D$461,"eucalipto",Data_filtered!$J$2:$J$461,"&lt;&gt;Incompleto")</f>
        <v>0</v>
      </c>
      <c r="J5" s="111">
        <f>SUMIFS(Data_filtered!$K$2:$K$461,Data_filtered!$A$2:$A$461,$A5,Data_filtered!$F$2:$F$461,J$1,Data_filtered!$D$2:$D$461,"eucalipto",Data_filtered!$J$2:$J$461,"&lt;&gt;Incompleto")</f>
        <v>0</v>
      </c>
      <c r="K5" s="111">
        <f>SUMIFS(Data_filtered!$K$2:$K$461,Data_filtered!$A$2:$A$461,$A5,Data_filtered!$F$2:$F$461,K$1,Data_filtered!$D$2:$D$461,"eucalipto",Data_filtered!$J$2:$J$461,"&lt;&gt;Incompleto")</f>
        <v>0</v>
      </c>
      <c r="L5" s="111">
        <f>SUMIFS(Data_filtered!$K$2:$K$461,Data_filtered!$A$2:$A$461,$A5,Data_filtered!$F$2:$F$461,L$1,Data_filtered!$D$2:$D$461,"eucalipto",Data_filtered!$J$2:$J$461,"&lt;&gt;Incompleto")</f>
        <v>756.076632</v>
      </c>
      <c r="M5" s="111">
        <f>SUMIFS(Data_filtered!$K$2:$K$461,Data_filtered!$A$2:$A$461,$A5,Data_filtered!$F$2:$F$461,M$1,Data_filtered!$D$2:$D$461,"eucalipto",Data_filtered!$J$2:$J$461,"&lt;&gt;Incompleto")</f>
        <v>0</v>
      </c>
      <c r="N5" s="111">
        <f>SUMIFS(Data_filtered!$K$2:$K$461,Data_filtered!$A$2:$A$461,$A5,Data_filtered!$F$2:$F$461,N$1,Data_filtered!$D$2:$D$461,"eucalipto",Data_filtered!$J$2:$J$461,"&lt;&gt;Incompleto")</f>
        <v>0</v>
      </c>
      <c r="O5" s="111">
        <f>SUMIFS(Data_filtered!$K$2:$K$461,Data_filtered!$A$2:$A$461,$A5,Data_filtered!$F$2:$F$461,O$1,Data_filtered!$D$2:$D$461,"eucalipto",Data_filtered!$J$2:$J$461,"&lt;&gt;Incompleto")</f>
        <v>0</v>
      </c>
      <c r="P5" s="111">
        <f>SUMIFS(Data_filtered!$K$2:$K$461,Data_filtered!$A$2:$A$461,$A5,Data_filtered!$F$2:$F$461,P$1,Data_filtered!$D$2:$D$461,"eucalipto",Data_filtered!$J$2:$J$461,"&lt;&gt;Incompleto")</f>
        <v>0</v>
      </c>
      <c r="Q5" s="111">
        <f>SUMIFS(Data_filtered!$K$2:$K$461,Data_filtered!$A$2:$A$461,$A5,Data_filtered!$F$2:$F$461,Q$1,Data_filtered!$D$2:$D$461,"eucalipto",Data_filtered!$J$2:$J$461,"&lt;&gt;Incompleto")</f>
        <v>0</v>
      </c>
      <c r="R5" s="111">
        <f>SUMIFS(Data_filtered!$K$2:$K$461,Data_filtered!$A$2:$A$461,$A5,Data_filtered!$F$2:$F$461,R$1,Data_filtered!$D$2:$D$461,"eucalipto",Data_filtered!$J$2:$J$461,"&lt;&gt;Incompleto")</f>
        <v>0</v>
      </c>
      <c r="S5" s="111">
        <f>SUMIFS(Data_filtered!$K$2:$K$461,Data_filtered!$A$2:$A$461,$A5,Data_filtered!$F$2:$F$461,S$1,Data_filtered!$D$2:$D$461,"eucalipto",Data_filtered!$J$2:$J$461,"&lt;&gt;Incompleto")</f>
        <v>0</v>
      </c>
      <c r="T5" s="111">
        <f>SUMIFS(Data_filtered!$K$2:$K$461,Data_filtered!$A$2:$A$461,$A5,Data_filtered!$F$2:$F$461,T$1,Data_filtered!$D$2:$D$461,"eucalipto",Data_filtered!$J$2:$J$461,"&lt;&gt;Incompleto")</f>
        <v>0</v>
      </c>
      <c r="U5" s="111">
        <f>SUMIFS(Data_filtered!$K$2:$K$461,Data_filtered!$A$2:$A$461,$A5,Data_filtered!$F$2:$F$461,U$1,Data_filtered!$D$2:$D$461,"eucalipto",Data_filtered!$J$2:$J$461,"&lt;&gt;Incompleto")</f>
        <v>0</v>
      </c>
      <c r="V5" s="111">
        <f>SUMIFS(Data_filtered!$K$2:$K$461,Data_filtered!$A$2:$A$461,$A5,Data_filtered!$F$2:$F$461,V$1,Data_filtered!$D$2:$D$461,"eucalipto",Data_filtered!$J$2:$J$461,"&lt;&gt;Incompleto")</f>
        <v>0</v>
      </c>
      <c r="W5" s="111">
        <f>SUMIFS(Data_filtered!$K$2:$K$461,Data_filtered!$A$2:$A$461,$A5,Data_filtered!$F$2:$F$461,W$1,Data_filtered!$D$2:$D$461,"eucalipto",Data_filtered!$J$2:$J$461,"&lt;&gt;Incompleto")</f>
        <v>0</v>
      </c>
      <c r="X5" s="111">
        <f>SUMIFS(Data_filtered!$K$2:$K$461,Data_filtered!$A$2:$A$461,$A5,Data_filtered!$F$2:$F$461,X$1,Data_filtered!$D$2:$D$461,"eucalipto",Data_filtered!$J$2:$J$461,"&lt;&gt;Incompleto")</f>
        <v>0</v>
      </c>
      <c r="Y5" s="111">
        <f>SUMIFS(Data_filtered!$K$2:$K$461,Data_filtered!$A$2:$A$461,$A5,Data_filtered!$F$2:$F$461,Y$1,Data_filtered!$D$2:$D$461,"eucalipto",Data_filtered!$J$2:$J$461,"&lt;&gt;Incompleto")</f>
        <v>0</v>
      </c>
      <c r="Z5" s="111"/>
    </row>
    <row r="6">
      <c r="A6" s="9" t="str">
        <f>IFERROR(__xludf.DUMMYFUNCTION("""COMPUTED_VALUE"""),"Hylodes aff. sazimai")</f>
        <v>Hylodes aff. sazimai</v>
      </c>
      <c r="B6" s="111">
        <f>SUMIFS(Data_filtered!$K$2:$K$461,Data_filtered!$A$2:$A$461,$A6,Data_filtered!$F$2:$F$461,B$1,Data_filtered!$D$2:$D$461,"eucalipto",Data_filtered!$J$2:$J$461,"&lt;&gt;Incompleto")</f>
        <v>0</v>
      </c>
      <c r="C6" s="111">
        <f>SUMIFS(Data_filtered!$K$2:$K$461,Data_filtered!$A$2:$A$461,$A6,Data_filtered!$F$2:$F$461,C$1,Data_filtered!$D$2:$D$461,"eucalipto",Data_filtered!$J$2:$J$461,"&lt;&gt;Incompleto")</f>
        <v>0</v>
      </c>
      <c r="D6" s="111">
        <f>SUMIFS(Data_filtered!$K$2:$K$461,Data_filtered!$A$2:$A$461,$A6,Data_filtered!$F$2:$F$461,D$1,Data_filtered!$D$2:$D$461,"eucalipto",Data_filtered!$J$2:$J$461,"&lt;&gt;Incompleto")</f>
        <v>0</v>
      </c>
      <c r="E6" s="111">
        <f>SUMIFS(Data_filtered!$K$2:$K$461,Data_filtered!$A$2:$A$461,$A6,Data_filtered!$F$2:$F$461,E$1,Data_filtered!$D$2:$D$461,"eucalipto",Data_filtered!$J$2:$J$461,"&lt;&gt;Incompleto")</f>
        <v>0</v>
      </c>
      <c r="F6" s="111">
        <f>SUMIFS(Data_filtered!$K$2:$K$461,Data_filtered!$A$2:$A$461,$A6,Data_filtered!$F$2:$F$461,F$1,Data_filtered!$D$2:$D$461,"eucalipto",Data_filtered!$J$2:$J$461,"&lt;&gt;Incompleto")</f>
        <v>12.56637061</v>
      </c>
      <c r="G6" s="111">
        <f>SUMIFS(Data_filtered!$K$2:$K$461,Data_filtered!$A$2:$A$461,$A6,Data_filtered!$F$2:$F$461,G$1,Data_filtered!$D$2:$D$461,"eucalipto",Data_filtered!$J$2:$J$461,"&lt;&gt;Incompleto")</f>
        <v>0</v>
      </c>
      <c r="H6" s="111">
        <f>SUMIFS(Data_filtered!$K$2:$K$461,Data_filtered!$A$2:$A$461,$A6,Data_filtered!$F$2:$F$461,H$1,Data_filtered!$D$2:$D$461,"eucalipto",Data_filtered!$J$2:$J$461,"&lt;&gt;Incompleto")</f>
        <v>0</v>
      </c>
      <c r="I6" s="111">
        <f>SUMIFS(Data_filtered!$K$2:$K$461,Data_filtered!$A$2:$A$461,$A6,Data_filtered!$F$2:$F$461,I$1,Data_filtered!$D$2:$D$461,"eucalipto",Data_filtered!$J$2:$J$461,"&lt;&gt;Incompleto")</f>
        <v>0</v>
      </c>
      <c r="J6" s="111">
        <f>SUMIFS(Data_filtered!$K$2:$K$461,Data_filtered!$A$2:$A$461,$A6,Data_filtered!$F$2:$F$461,J$1,Data_filtered!$D$2:$D$461,"eucalipto",Data_filtered!$J$2:$J$461,"&lt;&gt;Incompleto")</f>
        <v>0</v>
      </c>
      <c r="K6" s="111">
        <f>SUMIFS(Data_filtered!$K$2:$K$461,Data_filtered!$A$2:$A$461,$A6,Data_filtered!$F$2:$F$461,K$1,Data_filtered!$D$2:$D$461,"eucalipto",Data_filtered!$J$2:$J$461,"&lt;&gt;Incompleto")</f>
        <v>0</v>
      </c>
      <c r="L6" s="111">
        <f>SUMIFS(Data_filtered!$K$2:$K$461,Data_filtered!$A$2:$A$461,$A6,Data_filtered!$F$2:$F$461,L$1,Data_filtered!$D$2:$D$461,"eucalipto",Data_filtered!$J$2:$J$461,"&lt;&gt;Incompleto")</f>
        <v>0</v>
      </c>
      <c r="M6" s="111">
        <f>SUMIFS(Data_filtered!$K$2:$K$461,Data_filtered!$A$2:$A$461,$A6,Data_filtered!$F$2:$F$461,M$1,Data_filtered!$D$2:$D$461,"eucalipto",Data_filtered!$J$2:$J$461,"&lt;&gt;Incompleto")</f>
        <v>0</v>
      </c>
      <c r="N6" s="111">
        <f>SUMIFS(Data_filtered!$K$2:$K$461,Data_filtered!$A$2:$A$461,$A6,Data_filtered!$F$2:$F$461,N$1,Data_filtered!$D$2:$D$461,"eucalipto",Data_filtered!$J$2:$J$461,"&lt;&gt;Incompleto")</f>
        <v>0</v>
      </c>
      <c r="O6" s="111">
        <f>SUMIFS(Data_filtered!$K$2:$K$461,Data_filtered!$A$2:$A$461,$A6,Data_filtered!$F$2:$F$461,O$1,Data_filtered!$D$2:$D$461,"eucalipto",Data_filtered!$J$2:$J$461,"&lt;&gt;Incompleto")</f>
        <v>0</v>
      </c>
      <c r="P6" s="111">
        <f>SUMIFS(Data_filtered!$K$2:$K$461,Data_filtered!$A$2:$A$461,$A6,Data_filtered!$F$2:$F$461,P$1,Data_filtered!$D$2:$D$461,"eucalipto",Data_filtered!$J$2:$J$461,"&lt;&gt;Incompleto")</f>
        <v>0</v>
      </c>
      <c r="Q6" s="111">
        <f>SUMIFS(Data_filtered!$K$2:$K$461,Data_filtered!$A$2:$A$461,$A6,Data_filtered!$F$2:$F$461,Q$1,Data_filtered!$D$2:$D$461,"eucalipto",Data_filtered!$J$2:$J$461,"&lt;&gt;Incompleto")</f>
        <v>0</v>
      </c>
      <c r="R6" s="111">
        <f>SUMIFS(Data_filtered!$K$2:$K$461,Data_filtered!$A$2:$A$461,$A6,Data_filtered!$F$2:$F$461,R$1,Data_filtered!$D$2:$D$461,"eucalipto",Data_filtered!$J$2:$J$461,"&lt;&gt;Incompleto")</f>
        <v>0</v>
      </c>
      <c r="S6" s="111">
        <f>SUMIFS(Data_filtered!$K$2:$K$461,Data_filtered!$A$2:$A$461,$A6,Data_filtered!$F$2:$F$461,S$1,Data_filtered!$D$2:$D$461,"eucalipto",Data_filtered!$J$2:$J$461,"&lt;&gt;Incompleto")</f>
        <v>0</v>
      </c>
      <c r="T6" s="111">
        <f>SUMIFS(Data_filtered!$K$2:$K$461,Data_filtered!$A$2:$A$461,$A6,Data_filtered!$F$2:$F$461,T$1,Data_filtered!$D$2:$D$461,"eucalipto",Data_filtered!$J$2:$J$461,"&lt;&gt;Incompleto")</f>
        <v>0</v>
      </c>
      <c r="U6" s="111">
        <f>SUMIFS(Data_filtered!$K$2:$K$461,Data_filtered!$A$2:$A$461,$A6,Data_filtered!$F$2:$F$461,U$1,Data_filtered!$D$2:$D$461,"eucalipto",Data_filtered!$J$2:$J$461,"&lt;&gt;Incompleto")</f>
        <v>0</v>
      </c>
      <c r="V6" s="111">
        <f>SUMIFS(Data_filtered!$K$2:$K$461,Data_filtered!$A$2:$A$461,$A6,Data_filtered!$F$2:$F$461,V$1,Data_filtered!$D$2:$D$461,"eucalipto",Data_filtered!$J$2:$J$461,"&lt;&gt;Incompleto")</f>
        <v>0</v>
      </c>
      <c r="W6" s="111">
        <f>SUMIFS(Data_filtered!$K$2:$K$461,Data_filtered!$A$2:$A$461,$A6,Data_filtered!$F$2:$F$461,W$1,Data_filtered!$D$2:$D$461,"eucalipto",Data_filtered!$J$2:$J$461,"&lt;&gt;Incompleto")</f>
        <v>0</v>
      </c>
      <c r="X6" s="111">
        <f>SUMIFS(Data_filtered!$K$2:$K$461,Data_filtered!$A$2:$A$461,$A6,Data_filtered!$F$2:$F$461,X$1,Data_filtered!$D$2:$D$461,"eucalipto",Data_filtered!$J$2:$J$461,"&lt;&gt;Incompleto")</f>
        <v>0</v>
      </c>
      <c r="Y6" s="111">
        <f>SUMIFS(Data_filtered!$K$2:$K$461,Data_filtered!$A$2:$A$461,$A6,Data_filtered!$F$2:$F$461,Y$1,Data_filtered!$D$2:$D$461,"eucalipto",Data_filtered!$J$2:$J$461,"&lt;&gt;Incompleto")</f>
        <v>0</v>
      </c>
      <c r="Z6" s="111"/>
    </row>
    <row r="7">
      <c r="A7" s="9" t="str">
        <f>IFERROR(__xludf.DUMMYFUNCTION("""COMPUTED_VALUE"""),"Ischnocnema guentheri")</f>
        <v>Ischnocnema guentheri</v>
      </c>
      <c r="B7" s="111">
        <f>SUMIFS(Data_filtered!$K$2:$K$461,Data_filtered!$A$2:$A$461,$A7,Data_filtered!$F$2:$F$461,B$1,Data_filtered!$D$2:$D$461,"eucalipto",Data_filtered!$J$2:$J$461,"&lt;&gt;Incompleto")</f>
        <v>0</v>
      </c>
      <c r="C7" s="111">
        <f>SUMIFS(Data_filtered!$K$2:$K$461,Data_filtered!$A$2:$A$461,$A7,Data_filtered!$F$2:$F$461,C$1,Data_filtered!$D$2:$D$461,"eucalipto",Data_filtered!$J$2:$J$461,"&lt;&gt;Incompleto")</f>
        <v>0</v>
      </c>
      <c r="D7" s="111">
        <f>SUMIFS(Data_filtered!$K$2:$K$461,Data_filtered!$A$2:$A$461,$A7,Data_filtered!$F$2:$F$461,D$1,Data_filtered!$D$2:$D$461,"eucalipto",Data_filtered!$J$2:$J$461,"&lt;&gt;Incompleto")</f>
        <v>201.0619298</v>
      </c>
      <c r="E7" s="111">
        <f>SUMIFS(Data_filtered!$K$2:$K$461,Data_filtered!$A$2:$A$461,$A7,Data_filtered!$F$2:$F$461,E$1,Data_filtered!$D$2:$D$461,"eucalipto",Data_filtered!$J$2:$J$461,"&lt;&gt;Incompleto")</f>
        <v>506.8436148</v>
      </c>
      <c r="F7" s="111">
        <f>SUMIFS(Data_filtered!$K$2:$K$461,Data_filtered!$A$2:$A$461,$A7,Data_filtered!$F$2:$F$461,F$1,Data_filtered!$D$2:$D$461,"eucalipto",Data_filtered!$J$2:$J$461,"&lt;&gt;Incompleto")</f>
        <v>929.9114255</v>
      </c>
      <c r="G7" s="111">
        <f>SUMIFS(Data_filtered!$K$2:$K$461,Data_filtered!$A$2:$A$461,$A7,Data_filtered!$F$2:$F$461,G$1,Data_filtered!$D$2:$D$461,"eucalipto",Data_filtered!$J$2:$J$461,"&lt;&gt;Incompleto")</f>
        <v>0</v>
      </c>
      <c r="H7" s="111">
        <f>SUMIFS(Data_filtered!$K$2:$K$461,Data_filtered!$A$2:$A$461,$A7,Data_filtered!$F$2:$F$461,H$1,Data_filtered!$D$2:$D$461,"eucalipto",Data_filtered!$J$2:$J$461,"&lt;&gt;Incompleto")</f>
        <v>0</v>
      </c>
      <c r="I7" s="111">
        <f>SUMIFS(Data_filtered!$K$2:$K$461,Data_filtered!$A$2:$A$461,$A7,Data_filtered!$F$2:$F$461,I$1,Data_filtered!$D$2:$D$461,"eucalipto",Data_filtered!$J$2:$J$461,"&lt;&gt;Incompleto")</f>
        <v>201.0619298</v>
      </c>
      <c r="J7" s="111">
        <f>SUMIFS(Data_filtered!$K$2:$K$461,Data_filtered!$A$2:$A$461,$A7,Data_filtered!$F$2:$F$461,J$1,Data_filtered!$D$2:$D$461,"eucalipto",Data_filtered!$J$2:$J$461,"&lt;&gt;Incompleto")</f>
        <v>0</v>
      </c>
      <c r="K7" s="111">
        <f>SUMIFS(Data_filtered!$K$2:$K$461,Data_filtered!$A$2:$A$461,$A7,Data_filtered!$F$2:$F$461,K$1,Data_filtered!$D$2:$D$461,"eucalipto",Data_filtered!$J$2:$J$461,"&lt;&gt;Incompleto")</f>
        <v>0</v>
      </c>
      <c r="L7" s="111">
        <f>SUMIFS(Data_filtered!$K$2:$K$461,Data_filtered!$A$2:$A$461,$A7,Data_filtered!$F$2:$F$461,L$1,Data_filtered!$D$2:$D$461,"eucalipto",Data_filtered!$J$2:$J$461,"&lt;&gt;Incompleto")</f>
        <v>0</v>
      </c>
      <c r="M7" s="111">
        <f>SUMIFS(Data_filtered!$K$2:$K$461,Data_filtered!$A$2:$A$461,$A7,Data_filtered!$F$2:$F$461,M$1,Data_filtered!$D$2:$D$461,"eucalipto",Data_filtered!$J$2:$J$461,"&lt;&gt;Incompleto")</f>
        <v>0</v>
      </c>
      <c r="N7" s="111">
        <f>SUMIFS(Data_filtered!$K$2:$K$461,Data_filtered!$A$2:$A$461,$A7,Data_filtered!$F$2:$F$461,N$1,Data_filtered!$D$2:$D$461,"eucalipto",Data_filtered!$J$2:$J$461,"&lt;&gt;Incompleto")</f>
        <v>0</v>
      </c>
      <c r="O7" s="111">
        <f>SUMIFS(Data_filtered!$K$2:$K$461,Data_filtered!$A$2:$A$461,$A7,Data_filtered!$F$2:$F$461,O$1,Data_filtered!$D$2:$D$461,"eucalipto",Data_filtered!$J$2:$J$461,"&lt;&gt;Incompleto")</f>
        <v>0</v>
      </c>
      <c r="P7" s="111">
        <f>SUMIFS(Data_filtered!$K$2:$K$461,Data_filtered!$A$2:$A$461,$A7,Data_filtered!$F$2:$F$461,P$1,Data_filtered!$D$2:$D$461,"eucalipto",Data_filtered!$J$2:$J$461,"&lt;&gt;Incompleto")</f>
        <v>0</v>
      </c>
      <c r="Q7" s="111">
        <f>SUMIFS(Data_filtered!$K$2:$K$461,Data_filtered!$A$2:$A$461,$A7,Data_filtered!$F$2:$F$461,Q$1,Data_filtered!$D$2:$D$461,"eucalipto",Data_filtered!$J$2:$J$461,"&lt;&gt;Incompleto")</f>
        <v>0</v>
      </c>
      <c r="R7" s="111">
        <f>SUMIFS(Data_filtered!$K$2:$K$461,Data_filtered!$A$2:$A$461,$A7,Data_filtered!$F$2:$F$461,R$1,Data_filtered!$D$2:$D$461,"eucalipto",Data_filtered!$J$2:$J$461,"&lt;&gt;Incompleto")</f>
        <v>0</v>
      </c>
      <c r="S7" s="111">
        <f>SUMIFS(Data_filtered!$K$2:$K$461,Data_filtered!$A$2:$A$461,$A7,Data_filtered!$F$2:$F$461,S$1,Data_filtered!$D$2:$D$461,"eucalipto",Data_filtered!$J$2:$J$461,"&lt;&gt;Incompleto")</f>
        <v>0</v>
      </c>
      <c r="T7" s="111">
        <f>SUMIFS(Data_filtered!$K$2:$K$461,Data_filtered!$A$2:$A$461,$A7,Data_filtered!$F$2:$F$461,T$1,Data_filtered!$D$2:$D$461,"eucalipto",Data_filtered!$J$2:$J$461,"&lt;&gt;Incompleto")</f>
        <v>737.227076</v>
      </c>
      <c r="U7" s="111">
        <f>SUMIFS(Data_filtered!$K$2:$K$461,Data_filtered!$A$2:$A$461,$A7,Data_filtered!$F$2:$F$461,U$1,Data_filtered!$D$2:$D$461,"eucalipto",Data_filtered!$J$2:$J$461,"&lt;&gt;Incompleto")</f>
        <v>0</v>
      </c>
      <c r="V7" s="111">
        <f>SUMIFS(Data_filtered!$K$2:$K$461,Data_filtered!$A$2:$A$461,$A7,Data_filtered!$F$2:$F$461,V$1,Data_filtered!$D$2:$D$461,"eucalipto",Data_filtered!$J$2:$J$461,"&lt;&gt;Incompleto")</f>
        <v>0</v>
      </c>
      <c r="W7" s="111">
        <f>SUMIFS(Data_filtered!$K$2:$K$461,Data_filtered!$A$2:$A$461,$A7,Data_filtered!$F$2:$F$461,W$1,Data_filtered!$D$2:$D$461,"eucalipto",Data_filtered!$J$2:$J$461,"&lt;&gt;Incompleto")</f>
        <v>134.0412866</v>
      </c>
      <c r="X7" s="111">
        <f>SUMIFS(Data_filtered!$K$2:$K$461,Data_filtered!$A$2:$A$461,$A7,Data_filtered!$F$2:$F$461,X$1,Data_filtered!$D$2:$D$461,"eucalipto",Data_filtered!$J$2:$J$461,"&lt;&gt;Incompleto")</f>
        <v>0</v>
      </c>
      <c r="Y7" s="111">
        <f>SUMIFS(Data_filtered!$K$2:$K$461,Data_filtered!$A$2:$A$461,$A7,Data_filtered!$F$2:$F$461,Y$1,Data_filtered!$D$2:$D$461,"eucalipto",Data_filtered!$J$2:$J$461,"&lt;&gt;Incompleto")</f>
        <v>0</v>
      </c>
      <c r="Z7" s="111"/>
    </row>
    <row r="8">
      <c r="A8" s="9" t="str">
        <f>IFERROR(__xludf.DUMMYFUNCTION("""COMPUTED_VALUE"""),"Ischnocnema juipoca")</f>
        <v>Ischnocnema juipoca</v>
      </c>
      <c r="B8" s="111">
        <f>SUMIFS(Data_filtered!$K$2:$K$461,Data_filtered!$A$2:$A$461,$A8,Data_filtered!$F$2:$F$461,B$1,Data_filtered!$D$2:$D$461,"eucalipto",Data_filtered!$J$2:$J$461,"&lt;&gt;Incompleto")</f>
        <v>0</v>
      </c>
      <c r="C8" s="111">
        <f>SUMIFS(Data_filtered!$K$2:$K$461,Data_filtered!$A$2:$A$461,$A8,Data_filtered!$F$2:$F$461,C$1,Data_filtered!$D$2:$D$461,"eucalipto",Data_filtered!$J$2:$J$461,"&lt;&gt;Incompleto")</f>
        <v>397.9350695</v>
      </c>
      <c r="D8" s="111">
        <f>SUMIFS(Data_filtered!$K$2:$K$461,Data_filtered!$A$2:$A$461,$A8,Data_filtered!$F$2:$F$461,D$1,Data_filtered!$D$2:$D$461,"eucalipto",Data_filtered!$J$2:$J$461,"&lt;&gt;Incompleto")</f>
        <v>0</v>
      </c>
      <c r="E8" s="111">
        <f>SUMIFS(Data_filtered!$K$2:$K$461,Data_filtered!$A$2:$A$461,$A8,Data_filtered!$F$2:$F$461,E$1,Data_filtered!$D$2:$D$461,"eucalipto",Data_filtered!$J$2:$J$461,"&lt;&gt;Incompleto")</f>
        <v>41.88790205</v>
      </c>
      <c r="F8" s="111">
        <f>SUMIFS(Data_filtered!$K$2:$K$461,Data_filtered!$A$2:$A$461,$A8,Data_filtered!$F$2:$F$461,F$1,Data_filtered!$D$2:$D$461,"eucalipto",Data_filtered!$J$2:$J$461,"&lt;&gt;Incompleto")</f>
        <v>117.2861257</v>
      </c>
      <c r="G8" s="111">
        <f>SUMIFS(Data_filtered!$K$2:$K$461,Data_filtered!$A$2:$A$461,$A8,Data_filtered!$F$2:$F$461,G$1,Data_filtered!$D$2:$D$461,"eucalipto",Data_filtered!$J$2:$J$461,"&lt;&gt;Incompleto")</f>
        <v>0</v>
      </c>
      <c r="H8" s="111">
        <f>SUMIFS(Data_filtered!$K$2:$K$461,Data_filtered!$A$2:$A$461,$A8,Data_filtered!$F$2:$F$461,H$1,Data_filtered!$D$2:$D$461,"eucalipto",Data_filtered!$J$2:$J$461,"&lt;&gt;Incompleto")</f>
        <v>1.047197551</v>
      </c>
      <c r="I8" s="111">
        <f>SUMIFS(Data_filtered!$K$2:$K$461,Data_filtered!$A$2:$A$461,$A8,Data_filtered!$F$2:$F$461,I$1,Data_filtered!$D$2:$D$461,"eucalipto",Data_filtered!$J$2:$J$461,"&lt;&gt;Incompleto")</f>
        <v>0</v>
      </c>
      <c r="J8" s="111">
        <f>SUMIFS(Data_filtered!$K$2:$K$461,Data_filtered!$A$2:$A$461,$A8,Data_filtered!$F$2:$F$461,J$1,Data_filtered!$D$2:$D$461,"eucalipto",Data_filtered!$J$2:$J$461,"&lt;&gt;Incompleto")</f>
        <v>0</v>
      </c>
      <c r="K8" s="111">
        <f>SUMIFS(Data_filtered!$K$2:$K$461,Data_filtered!$A$2:$A$461,$A8,Data_filtered!$F$2:$F$461,K$1,Data_filtered!$D$2:$D$461,"eucalipto",Data_filtered!$J$2:$J$461,"&lt;&gt;Incompleto")</f>
        <v>0</v>
      </c>
      <c r="L8" s="111">
        <f>SUMIFS(Data_filtered!$K$2:$K$461,Data_filtered!$A$2:$A$461,$A8,Data_filtered!$F$2:$F$461,L$1,Data_filtered!$D$2:$D$461,"eucalipto",Data_filtered!$J$2:$J$461,"&lt;&gt;Incompleto")</f>
        <v>4.188790205</v>
      </c>
      <c r="M8" s="111">
        <f>SUMIFS(Data_filtered!$K$2:$K$461,Data_filtered!$A$2:$A$461,$A8,Data_filtered!$F$2:$F$461,M$1,Data_filtered!$D$2:$D$461,"eucalipto",Data_filtered!$J$2:$J$461,"&lt;&gt;Incompleto")</f>
        <v>0</v>
      </c>
      <c r="N8" s="111">
        <f>SUMIFS(Data_filtered!$K$2:$K$461,Data_filtered!$A$2:$A$461,$A8,Data_filtered!$F$2:$F$461,N$1,Data_filtered!$D$2:$D$461,"eucalipto",Data_filtered!$J$2:$J$461,"&lt;&gt;Incompleto")</f>
        <v>0</v>
      </c>
      <c r="O8" s="111">
        <f>SUMIFS(Data_filtered!$K$2:$K$461,Data_filtered!$A$2:$A$461,$A8,Data_filtered!$F$2:$F$461,O$1,Data_filtered!$D$2:$D$461,"eucalipto",Data_filtered!$J$2:$J$461,"&lt;&gt;Incompleto")</f>
        <v>0</v>
      </c>
      <c r="P8" s="111">
        <f>SUMIFS(Data_filtered!$K$2:$K$461,Data_filtered!$A$2:$A$461,$A8,Data_filtered!$F$2:$F$461,P$1,Data_filtered!$D$2:$D$461,"eucalipto",Data_filtered!$J$2:$J$461,"&lt;&gt;Incompleto")</f>
        <v>0</v>
      </c>
      <c r="Q8" s="111">
        <f>SUMIFS(Data_filtered!$K$2:$K$461,Data_filtered!$A$2:$A$461,$A8,Data_filtered!$F$2:$F$461,Q$1,Data_filtered!$D$2:$D$461,"eucalipto",Data_filtered!$J$2:$J$461,"&lt;&gt;Incompleto")</f>
        <v>0</v>
      </c>
      <c r="R8" s="111">
        <f>SUMIFS(Data_filtered!$K$2:$K$461,Data_filtered!$A$2:$A$461,$A8,Data_filtered!$F$2:$F$461,R$1,Data_filtered!$D$2:$D$461,"eucalipto",Data_filtered!$J$2:$J$461,"&lt;&gt;Incompleto")</f>
        <v>242.9498319</v>
      </c>
      <c r="S8" s="111">
        <f>SUMIFS(Data_filtered!$K$2:$K$461,Data_filtered!$A$2:$A$461,$A8,Data_filtered!$F$2:$F$461,S$1,Data_filtered!$D$2:$D$461,"eucalipto",Data_filtered!$J$2:$J$461,"&lt;&gt;Incompleto")</f>
        <v>0</v>
      </c>
      <c r="T8" s="111">
        <f>SUMIFS(Data_filtered!$K$2:$K$461,Data_filtered!$A$2:$A$461,$A8,Data_filtered!$F$2:$F$461,T$1,Data_filtered!$D$2:$D$461,"eucalipto",Data_filtered!$J$2:$J$461,"&lt;&gt;Incompleto")</f>
        <v>0</v>
      </c>
      <c r="U8" s="111">
        <f>SUMIFS(Data_filtered!$K$2:$K$461,Data_filtered!$A$2:$A$461,$A8,Data_filtered!$F$2:$F$461,U$1,Data_filtered!$D$2:$D$461,"eucalipto",Data_filtered!$J$2:$J$461,"&lt;&gt;Incompleto")</f>
        <v>0</v>
      </c>
      <c r="V8" s="111">
        <f>SUMIFS(Data_filtered!$K$2:$K$461,Data_filtered!$A$2:$A$461,$A8,Data_filtered!$F$2:$F$461,V$1,Data_filtered!$D$2:$D$461,"eucalipto",Data_filtered!$J$2:$J$461,"&lt;&gt;Incompleto")</f>
        <v>0</v>
      </c>
      <c r="W8" s="111">
        <f>SUMIFS(Data_filtered!$K$2:$K$461,Data_filtered!$A$2:$A$461,$A8,Data_filtered!$F$2:$F$461,W$1,Data_filtered!$D$2:$D$461,"eucalipto",Data_filtered!$J$2:$J$461,"&lt;&gt;Incompleto")</f>
        <v>20.94395102</v>
      </c>
      <c r="X8" s="111">
        <f>SUMIFS(Data_filtered!$K$2:$K$461,Data_filtered!$A$2:$A$461,$A8,Data_filtered!$F$2:$F$461,X$1,Data_filtered!$D$2:$D$461,"eucalipto",Data_filtered!$J$2:$J$461,"&lt;&gt;Incompleto")</f>
        <v>0</v>
      </c>
      <c r="Y8" s="111">
        <f>SUMIFS(Data_filtered!$K$2:$K$461,Data_filtered!$A$2:$A$461,$A8,Data_filtered!$F$2:$F$461,Y$1,Data_filtered!$D$2:$D$461,"eucalipto",Data_filtered!$J$2:$J$461,"&lt;&gt;Incompleto")</f>
        <v>8.37758041</v>
      </c>
      <c r="Z8" s="111"/>
    </row>
    <row r="9">
      <c r="A9" s="9" t="str">
        <f>IFERROR(__xludf.DUMMYFUNCTION("""COMPUTED_VALUE"""),"Ololygon obtriangulata")</f>
        <v>Ololygon obtriangulata</v>
      </c>
      <c r="B9" s="111">
        <f>SUMIFS(Data_filtered!$K$2:$K$461,Data_filtered!$A$2:$A$461,$A9,Data_filtered!$F$2:$F$461,B$1,Data_filtered!$D$2:$D$461,"eucalipto",Data_filtered!$J$2:$J$461,"&lt;&gt;Incompleto")</f>
        <v>0</v>
      </c>
      <c r="C9" s="111">
        <f>SUMIFS(Data_filtered!$K$2:$K$461,Data_filtered!$A$2:$A$461,$A9,Data_filtered!$F$2:$F$461,C$1,Data_filtered!$D$2:$D$461,"eucalipto",Data_filtered!$J$2:$J$461,"&lt;&gt;Incompleto")</f>
        <v>67.02064328</v>
      </c>
      <c r="D9" s="111">
        <f>SUMIFS(Data_filtered!$K$2:$K$461,Data_filtered!$A$2:$A$461,$A9,Data_filtered!$F$2:$F$461,D$1,Data_filtered!$D$2:$D$461,"eucalipto",Data_filtered!$J$2:$J$461,"&lt;&gt;Incompleto")</f>
        <v>0</v>
      </c>
      <c r="E9" s="111">
        <f>SUMIFS(Data_filtered!$K$2:$K$461,Data_filtered!$A$2:$A$461,$A9,Data_filtered!$F$2:$F$461,E$1,Data_filtered!$D$2:$D$461,"eucalipto",Data_filtered!$J$2:$J$461,"&lt;&gt;Incompleto")</f>
        <v>0</v>
      </c>
      <c r="F9" s="111">
        <f>SUMIFS(Data_filtered!$K$2:$K$461,Data_filtered!$A$2:$A$461,$A9,Data_filtered!$F$2:$F$461,F$1,Data_filtered!$D$2:$D$461,"eucalipto",Data_filtered!$J$2:$J$461,"&lt;&gt;Incompleto")</f>
        <v>0</v>
      </c>
      <c r="G9" s="111">
        <f>SUMIFS(Data_filtered!$K$2:$K$461,Data_filtered!$A$2:$A$461,$A9,Data_filtered!$F$2:$F$461,G$1,Data_filtered!$D$2:$D$461,"eucalipto",Data_filtered!$J$2:$J$461,"&lt;&gt;Incompleto")</f>
        <v>0</v>
      </c>
      <c r="H9" s="111">
        <f>SUMIFS(Data_filtered!$K$2:$K$461,Data_filtered!$A$2:$A$461,$A9,Data_filtered!$F$2:$F$461,H$1,Data_filtered!$D$2:$D$461,"eucalipto",Data_filtered!$J$2:$J$461,"&lt;&gt;Incompleto")</f>
        <v>0</v>
      </c>
      <c r="I9" s="111">
        <f>SUMIFS(Data_filtered!$K$2:$K$461,Data_filtered!$A$2:$A$461,$A9,Data_filtered!$F$2:$F$461,I$1,Data_filtered!$D$2:$D$461,"eucalipto",Data_filtered!$J$2:$J$461,"&lt;&gt;Incompleto")</f>
        <v>0</v>
      </c>
      <c r="J9" s="111">
        <f>SUMIFS(Data_filtered!$K$2:$K$461,Data_filtered!$A$2:$A$461,$A9,Data_filtered!$F$2:$F$461,J$1,Data_filtered!$D$2:$D$461,"eucalipto",Data_filtered!$J$2:$J$461,"&lt;&gt;Incompleto")</f>
        <v>0</v>
      </c>
      <c r="K9" s="111">
        <f>SUMIFS(Data_filtered!$K$2:$K$461,Data_filtered!$A$2:$A$461,$A9,Data_filtered!$F$2:$F$461,K$1,Data_filtered!$D$2:$D$461,"eucalipto",Data_filtered!$J$2:$J$461,"&lt;&gt;Incompleto")</f>
        <v>0</v>
      </c>
      <c r="L9" s="111">
        <f>SUMIFS(Data_filtered!$K$2:$K$461,Data_filtered!$A$2:$A$461,$A9,Data_filtered!$F$2:$F$461,L$1,Data_filtered!$D$2:$D$461,"eucalipto",Data_filtered!$J$2:$J$461,"&lt;&gt;Incompleto")</f>
        <v>0</v>
      </c>
      <c r="M9" s="111">
        <f>SUMIFS(Data_filtered!$K$2:$K$461,Data_filtered!$A$2:$A$461,$A9,Data_filtered!$F$2:$F$461,M$1,Data_filtered!$D$2:$D$461,"eucalipto",Data_filtered!$J$2:$J$461,"&lt;&gt;Incompleto")</f>
        <v>0</v>
      </c>
      <c r="N9" s="111">
        <f>SUMIFS(Data_filtered!$K$2:$K$461,Data_filtered!$A$2:$A$461,$A9,Data_filtered!$F$2:$F$461,N$1,Data_filtered!$D$2:$D$461,"eucalipto",Data_filtered!$J$2:$J$461,"&lt;&gt;Incompleto")</f>
        <v>0</v>
      </c>
      <c r="O9" s="111">
        <f>SUMIFS(Data_filtered!$K$2:$K$461,Data_filtered!$A$2:$A$461,$A9,Data_filtered!$F$2:$F$461,O$1,Data_filtered!$D$2:$D$461,"eucalipto",Data_filtered!$J$2:$J$461,"&lt;&gt;Incompleto")</f>
        <v>0</v>
      </c>
      <c r="P9" s="111">
        <f>SUMIFS(Data_filtered!$K$2:$K$461,Data_filtered!$A$2:$A$461,$A9,Data_filtered!$F$2:$F$461,P$1,Data_filtered!$D$2:$D$461,"eucalipto",Data_filtered!$J$2:$J$461,"&lt;&gt;Incompleto")</f>
        <v>0</v>
      </c>
      <c r="Q9" s="111">
        <f>SUMIFS(Data_filtered!$K$2:$K$461,Data_filtered!$A$2:$A$461,$A9,Data_filtered!$F$2:$F$461,Q$1,Data_filtered!$D$2:$D$461,"eucalipto",Data_filtered!$J$2:$J$461,"&lt;&gt;Incompleto")</f>
        <v>0</v>
      </c>
      <c r="R9" s="111">
        <f>SUMIFS(Data_filtered!$K$2:$K$461,Data_filtered!$A$2:$A$461,$A9,Data_filtered!$F$2:$F$461,R$1,Data_filtered!$D$2:$D$461,"eucalipto",Data_filtered!$J$2:$J$461,"&lt;&gt;Incompleto")</f>
        <v>0</v>
      </c>
      <c r="S9" s="111">
        <f>SUMIFS(Data_filtered!$K$2:$K$461,Data_filtered!$A$2:$A$461,$A9,Data_filtered!$F$2:$F$461,S$1,Data_filtered!$D$2:$D$461,"eucalipto",Data_filtered!$J$2:$J$461,"&lt;&gt;Incompleto")</f>
        <v>0</v>
      </c>
      <c r="T9" s="111">
        <f>SUMIFS(Data_filtered!$K$2:$K$461,Data_filtered!$A$2:$A$461,$A9,Data_filtered!$F$2:$F$461,T$1,Data_filtered!$D$2:$D$461,"eucalipto",Data_filtered!$J$2:$J$461,"&lt;&gt;Incompleto")</f>
        <v>0</v>
      </c>
      <c r="U9" s="111">
        <f>SUMIFS(Data_filtered!$K$2:$K$461,Data_filtered!$A$2:$A$461,$A9,Data_filtered!$F$2:$F$461,U$1,Data_filtered!$D$2:$D$461,"eucalipto",Data_filtered!$J$2:$J$461,"&lt;&gt;Incompleto")</f>
        <v>0</v>
      </c>
      <c r="V9" s="111">
        <f>SUMIFS(Data_filtered!$K$2:$K$461,Data_filtered!$A$2:$A$461,$A9,Data_filtered!$F$2:$F$461,V$1,Data_filtered!$D$2:$D$461,"eucalipto",Data_filtered!$J$2:$J$461,"&lt;&gt;Incompleto")</f>
        <v>0</v>
      </c>
      <c r="W9" s="111">
        <f>SUMIFS(Data_filtered!$K$2:$K$461,Data_filtered!$A$2:$A$461,$A9,Data_filtered!$F$2:$F$461,W$1,Data_filtered!$D$2:$D$461,"eucalipto",Data_filtered!$J$2:$J$461,"&lt;&gt;Incompleto")</f>
        <v>0</v>
      </c>
      <c r="X9" s="111">
        <f>SUMIFS(Data_filtered!$K$2:$K$461,Data_filtered!$A$2:$A$461,$A9,Data_filtered!$F$2:$F$461,X$1,Data_filtered!$D$2:$D$461,"eucalipto",Data_filtered!$J$2:$J$461,"&lt;&gt;Incompleto")</f>
        <v>0</v>
      </c>
      <c r="Y9" s="111">
        <f>SUMIFS(Data_filtered!$K$2:$K$461,Data_filtered!$A$2:$A$461,$A9,Data_filtered!$F$2:$F$461,Y$1,Data_filtered!$D$2:$D$461,"eucalipto",Data_filtered!$J$2:$J$461,"&lt;&gt;Incompleto")</f>
        <v>0</v>
      </c>
      <c r="Z9" s="111"/>
    </row>
    <row r="10">
      <c r="A10" s="9" t="str">
        <f>IFERROR(__xludf.DUMMYFUNCTION("""COMPUTED_VALUE"""),"Physalaemus olfersii")</f>
        <v>Physalaemus olfersii</v>
      </c>
      <c r="B10" s="111">
        <f>SUMIFS(Data_filtered!$K$2:$K$461,Data_filtered!$A$2:$A$461,$A10,Data_filtered!$F$2:$F$461,B$1,Data_filtered!$D$2:$D$461,"eucalipto",Data_filtered!$J$2:$J$461,"&lt;&gt;Incompleto")</f>
        <v>0</v>
      </c>
      <c r="C10" s="111">
        <f>SUMIFS(Data_filtered!$K$2:$K$461,Data_filtered!$A$2:$A$461,$A10,Data_filtered!$F$2:$F$461,C$1,Data_filtered!$D$2:$D$461,"eucalipto",Data_filtered!$J$2:$J$461,"&lt;&gt;Incompleto")</f>
        <v>0</v>
      </c>
      <c r="D10" s="111">
        <f>SUMIFS(Data_filtered!$K$2:$K$461,Data_filtered!$A$2:$A$461,$A10,Data_filtered!$F$2:$F$461,D$1,Data_filtered!$D$2:$D$461,"eucalipto",Data_filtered!$J$2:$J$461,"&lt;&gt;Incompleto")</f>
        <v>0</v>
      </c>
      <c r="E10" s="111">
        <f>SUMIFS(Data_filtered!$K$2:$K$461,Data_filtered!$A$2:$A$461,$A10,Data_filtered!$F$2:$F$461,E$1,Data_filtered!$D$2:$D$461,"eucalipto",Data_filtered!$J$2:$J$461,"&lt;&gt;Incompleto")</f>
        <v>0</v>
      </c>
      <c r="F10" s="111">
        <f>SUMIFS(Data_filtered!$K$2:$K$461,Data_filtered!$A$2:$A$461,$A10,Data_filtered!$F$2:$F$461,F$1,Data_filtered!$D$2:$D$461,"eucalipto",Data_filtered!$J$2:$J$461,"&lt;&gt;Incompleto")</f>
        <v>8.37758041</v>
      </c>
      <c r="G10" s="111">
        <f>SUMIFS(Data_filtered!$K$2:$K$461,Data_filtered!$A$2:$A$461,$A10,Data_filtered!$F$2:$F$461,G$1,Data_filtered!$D$2:$D$461,"eucalipto",Data_filtered!$J$2:$J$461,"&lt;&gt;Incompleto")</f>
        <v>0</v>
      </c>
      <c r="H10" s="111">
        <f>SUMIFS(Data_filtered!$K$2:$K$461,Data_filtered!$A$2:$A$461,$A10,Data_filtered!$F$2:$F$461,H$1,Data_filtered!$D$2:$D$461,"eucalipto",Data_filtered!$J$2:$J$461,"&lt;&gt;Incompleto")</f>
        <v>0</v>
      </c>
      <c r="I10" s="111">
        <f>SUMIFS(Data_filtered!$K$2:$K$461,Data_filtered!$A$2:$A$461,$A10,Data_filtered!$F$2:$F$461,I$1,Data_filtered!$D$2:$D$461,"eucalipto",Data_filtered!$J$2:$J$461,"&lt;&gt;Incompleto")</f>
        <v>0</v>
      </c>
      <c r="J10" s="111">
        <f>SUMIFS(Data_filtered!$K$2:$K$461,Data_filtered!$A$2:$A$461,$A10,Data_filtered!$F$2:$F$461,J$1,Data_filtered!$D$2:$D$461,"eucalipto",Data_filtered!$J$2:$J$461,"&lt;&gt;Incompleto")</f>
        <v>0</v>
      </c>
      <c r="K10" s="111">
        <f>SUMIFS(Data_filtered!$K$2:$K$461,Data_filtered!$A$2:$A$461,$A10,Data_filtered!$F$2:$F$461,K$1,Data_filtered!$D$2:$D$461,"eucalipto",Data_filtered!$J$2:$J$461,"&lt;&gt;Incompleto")</f>
        <v>0</v>
      </c>
      <c r="L10" s="111">
        <f>SUMIFS(Data_filtered!$K$2:$K$461,Data_filtered!$A$2:$A$461,$A10,Data_filtered!$F$2:$F$461,L$1,Data_filtered!$D$2:$D$461,"eucalipto",Data_filtered!$J$2:$J$461,"&lt;&gt;Incompleto")</f>
        <v>184.306769</v>
      </c>
      <c r="M10" s="111">
        <f>SUMIFS(Data_filtered!$K$2:$K$461,Data_filtered!$A$2:$A$461,$A10,Data_filtered!$F$2:$F$461,M$1,Data_filtered!$D$2:$D$461,"eucalipto",Data_filtered!$J$2:$J$461,"&lt;&gt;Incompleto")</f>
        <v>0</v>
      </c>
      <c r="N10" s="111">
        <f>SUMIFS(Data_filtered!$K$2:$K$461,Data_filtered!$A$2:$A$461,$A10,Data_filtered!$F$2:$F$461,N$1,Data_filtered!$D$2:$D$461,"eucalipto",Data_filtered!$J$2:$J$461,"&lt;&gt;Incompleto")</f>
        <v>0</v>
      </c>
      <c r="O10" s="111">
        <f>SUMIFS(Data_filtered!$K$2:$K$461,Data_filtered!$A$2:$A$461,$A10,Data_filtered!$F$2:$F$461,O$1,Data_filtered!$D$2:$D$461,"eucalipto",Data_filtered!$J$2:$J$461,"&lt;&gt;Incompleto")</f>
        <v>0</v>
      </c>
      <c r="P10" s="111">
        <f>SUMIFS(Data_filtered!$K$2:$K$461,Data_filtered!$A$2:$A$461,$A10,Data_filtered!$F$2:$F$461,P$1,Data_filtered!$D$2:$D$461,"eucalipto",Data_filtered!$J$2:$J$461,"&lt;&gt;Incompleto")</f>
        <v>0</v>
      </c>
      <c r="Q10" s="111">
        <f>SUMIFS(Data_filtered!$K$2:$K$461,Data_filtered!$A$2:$A$461,$A10,Data_filtered!$F$2:$F$461,Q$1,Data_filtered!$D$2:$D$461,"eucalipto",Data_filtered!$J$2:$J$461,"&lt;&gt;Incompleto")</f>
        <v>0</v>
      </c>
      <c r="R10" s="111">
        <f>SUMIFS(Data_filtered!$K$2:$K$461,Data_filtered!$A$2:$A$461,$A10,Data_filtered!$F$2:$F$461,R$1,Data_filtered!$D$2:$D$461,"eucalipto",Data_filtered!$J$2:$J$461,"&lt;&gt;Incompleto")</f>
        <v>0</v>
      </c>
      <c r="S10" s="111">
        <f>SUMIFS(Data_filtered!$K$2:$K$461,Data_filtered!$A$2:$A$461,$A10,Data_filtered!$F$2:$F$461,S$1,Data_filtered!$D$2:$D$461,"eucalipto",Data_filtered!$J$2:$J$461,"&lt;&gt;Incompleto")</f>
        <v>0</v>
      </c>
      <c r="T10" s="111">
        <f>SUMIFS(Data_filtered!$K$2:$K$461,Data_filtered!$A$2:$A$461,$A10,Data_filtered!$F$2:$F$461,T$1,Data_filtered!$D$2:$D$461,"eucalipto",Data_filtered!$J$2:$J$461,"&lt;&gt;Incompleto")</f>
        <v>0</v>
      </c>
      <c r="U10" s="111">
        <f>SUMIFS(Data_filtered!$K$2:$K$461,Data_filtered!$A$2:$A$461,$A10,Data_filtered!$F$2:$F$461,U$1,Data_filtered!$D$2:$D$461,"eucalipto",Data_filtered!$J$2:$J$461,"&lt;&gt;Incompleto")</f>
        <v>0</v>
      </c>
      <c r="V10" s="111">
        <f>SUMIFS(Data_filtered!$K$2:$K$461,Data_filtered!$A$2:$A$461,$A10,Data_filtered!$F$2:$F$461,V$1,Data_filtered!$D$2:$D$461,"eucalipto",Data_filtered!$J$2:$J$461,"&lt;&gt;Incompleto")</f>
        <v>0</v>
      </c>
      <c r="W10" s="111">
        <f>SUMIFS(Data_filtered!$K$2:$K$461,Data_filtered!$A$2:$A$461,$A10,Data_filtered!$F$2:$F$461,W$1,Data_filtered!$D$2:$D$461,"eucalipto",Data_filtered!$J$2:$J$461,"&lt;&gt;Incompleto")</f>
        <v>0</v>
      </c>
      <c r="X10" s="111">
        <f>SUMIFS(Data_filtered!$K$2:$K$461,Data_filtered!$A$2:$A$461,$A10,Data_filtered!$F$2:$F$461,X$1,Data_filtered!$D$2:$D$461,"eucalipto",Data_filtered!$J$2:$J$461,"&lt;&gt;Incompleto")</f>
        <v>0</v>
      </c>
      <c r="Y10" s="111">
        <f>SUMIFS(Data_filtered!$K$2:$K$461,Data_filtered!$A$2:$A$461,$A10,Data_filtered!$F$2:$F$461,Y$1,Data_filtered!$D$2:$D$461,"eucalipto",Data_filtered!$J$2:$J$461,"&lt;&gt;Incompleto")</f>
        <v>0</v>
      </c>
      <c r="Z10" s="111"/>
    </row>
    <row r="11">
      <c r="A11" s="9" t="str">
        <f>IFERROR(__xludf.DUMMYFUNCTION("""COMPUTED_VALUE"""),"Proceratophrys boiei")</f>
        <v>Proceratophrys boiei</v>
      </c>
      <c r="B11" s="111">
        <f>SUMIFS(Data_filtered!$K$2:$K$461,Data_filtered!$A$2:$A$461,$A11,Data_filtered!$F$2:$F$461,B$1,Data_filtered!$D$2:$D$461,"eucalipto",Data_filtered!$J$2:$J$461,"&lt;&gt;Incompleto")</f>
        <v>0</v>
      </c>
      <c r="C11" s="111">
        <f>SUMIFS(Data_filtered!$K$2:$K$461,Data_filtered!$A$2:$A$461,$A11,Data_filtered!$F$2:$F$461,C$1,Data_filtered!$D$2:$D$461,"eucalipto",Data_filtered!$J$2:$J$461,"&lt;&gt;Incompleto")</f>
        <v>0</v>
      </c>
      <c r="D11" s="111">
        <f>SUMIFS(Data_filtered!$K$2:$K$461,Data_filtered!$A$2:$A$461,$A11,Data_filtered!$F$2:$F$461,D$1,Data_filtered!$D$2:$D$461,"eucalipto",Data_filtered!$J$2:$J$461,"&lt;&gt;Incompleto")</f>
        <v>0</v>
      </c>
      <c r="E11" s="111">
        <f>SUMIFS(Data_filtered!$K$2:$K$461,Data_filtered!$A$2:$A$461,$A11,Data_filtered!$F$2:$F$461,E$1,Data_filtered!$D$2:$D$461,"eucalipto",Data_filtered!$J$2:$J$461,"&lt;&gt;Incompleto")</f>
        <v>0</v>
      </c>
      <c r="F11" s="111">
        <f>SUMIFS(Data_filtered!$K$2:$K$461,Data_filtered!$A$2:$A$461,$A11,Data_filtered!$F$2:$F$461,F$1,Data_filtered!$D$2:$D$461,"eucalipto",Data_filtered!$J$2:$J$461,"&lt;&gt;Incompleto")</f>
        <v>2412.743158</v>
      </c>
      <c r="G11" s="111">
        <f>SUMIFS(Data_filtered!$K$2:$K$461,Data_filtered!$A$2:$A$461,$A11,Data_filtered!$F$2:$F$461,G$1,Data_filtered!$D$2:$D$461,"eucalipto",Data_filtered!$J$2:$J$461,"&lt;&gt;Incompleto")</f>
        <v>0</v>
      </c>
      <c r="H11" s="111">
        <f>SUMIFS(Data_filtered!$K$2:$K$461,Data_filtered!$A$2:$A$461,$A11,Data_filtered!$F$2:$F$461,H$1,Data_filtered!$D$2:$D$461,"eucalipto",Data_filtered!$J$2:$J$461,"&lt;&gt;Incompleto")</f>
        <v>0</v>
      </c>
      <c r="I11" s="111">
        <f>SUMIFS(Data_filtered!$K$2:$K$461,Data_filtered!$A$2:$A$461,$A11,Data_filtered!$F$2:$F$461,I$1,Data_filtered!$D$2:$D$461,"eucalipto",Data_filtered!$J$2:$J$461,"&lt;&gt;Incompleto")</f>
        <v>0</v>
      </c>
      <c r="J11" s="111">
        <f>SUMIFS(Data_filtered!$K$2:$K$461,Data_filtered!$A$2:$A$461,$A11,Data_filtered!$F$2:$F$461,J$1,Data_filtered!$D$2:$D$461,"eucalipto",Data_filtered!$J$2:$J$461,"&lt;&gt;Incompleto")</f>
        <v>0</v>
      </c>
      <c r="K11" s="111">
        <f>SUMIFS(Data_filtered!$K$2:$K$461,Data_filtered!$A$2:$A$461,$A11,Data_filtered!$F$2:$F$461,K$1,Data_filtered!$D$2:$D$461,"eucalipto",Data_filtered!$J$2:$J$461,"&lt;&gt;Incompleto")</f>
        <v>0</v>
      </c>
      <c r="L11" s="111">
        <f>SUMIFS(Data_filtered!$K$2:$K$461,Data_filtered!$A$2:$A$461,$A11,Data_filtered!$F$2:$F$461,L$1,Data_filtered!$D$2:$D$461,"eucalipto",Data_filtered!$J$2:$J$461,"&lt;&gt;Incompleto")</f>
        <v>0</v>
      </c>
      <c r="M11" s="111">
        <f>SUMIFS(Data_filtered!$K$2:$K$461,Data_filtered!$A$2:$A$461,$A11,Data_filtered!$F$2:$F$461,M$1,Data_filtered!$D$2:$D$461,"eucalipto",Data_filtered!$J$2:$J$461,"&lt;&gt;Incompleto")</f>
        <v>0</v>
      </c>
      <c r="N11" s="111">
        <f>SUMIFS(Data_filtered!$K$2:$K$461,Data_filtered!$A$2:$A$461,$A11,Data_filtered!$F$2:$F$461,N$1,Data_filtered!$D$2:$D$461,"eucalipto",Data_filtered!$J$2:$J$461,"&lt;&gt;Incompleto")</f>
        <v>0</v>
      </c>
      <c r="O11" s="111">
        <f>SUMIFS(Data_filtered!$K$2:$K$461,Data_filtered!$A$2:$A$461,$A11,Data_filtered!$F$2:$F$461,O$1,Data_filtered!$D$2:$D$461,"eucalipto",Data_filtered!$J$2:$J$461,"&lt;&gt;Incompleto")</f>
        <v>0</v>
      </c>
      <c r="P11" s="111">
        <f>SUMIFS(Data_filtered!$K$2:$K$461,Data_filtered!$A$2:$A$461,$A11,Data_filtered!$F$2:$F$461,P$1,Data_filtered!$D$2:$D$461,"eucalipto",Data_filtered!$J$2:$J$461,"&lt;&gt;Incompleto")</f>
        <v>0</v>
      </c>
      <c r="Q11" s="111">
        <f>SUMIFS(Data_filtered!$K$2:$K$461,Data_filtered!$A$2:$A$461,$A11,Data_filtered!$F$2:$F$461,Q$1,Data_filtered!$D$2:$D$461,"eucalipto",Data_filtered!$J$2:$J$461,"&lt;&gt;Incompleto")</f>
        <v>0</v>
      </c>
      <c r="R11" s="111">
        <f>SUMIFS(Data_filtered!$K$2:$K$461,Data_filtered!$A$2:$A$461,$A11,Data_filtered!$F$2:$F$461,R$1,Data_filtered!$D$2:$D$461,"eucalipto",Data_filtered!$J$2:$J$461,"&lt;&gt;Incompleto")</f>
        <v>0</v>
      </c>
      <c r="S11" s="111">
        <f>SUMIFS(Data_filtered!$K$2:$K$461,Data_filtered!$A$2:$A$461,$A11,Data_filtered!$F$2:$F$461,S$1,Data_filtered!$D$2:$D$461,"eucalipto",Data_filtered!$J$2:$J$461,"&lt;&gt;Incompleto")</f>
        <v>0</v>
      </c>
      <c r="T11" s="111">
        <f>SUMIFS(Data_filtered!$K$2:$K$461,Data_filtered!$A$2:$A$461,$A11,Data_filtered!$F$2:$F$461,T$1,Data_filtered!$D$2:$D$461,"eucalipto",Data_filtered!$J$2:$J$461,"&lt;&gt;Incompleto")</f>
        <v>0</v>
      </c>
      <c r="U11" s="111">
        <f>SUMIFS(Data_filtered!$K$2:$K$461,Data_filtered!$A$2:$A$461,$A11,Data_filtered!$F$2:$F$461,U$1,Data_filtered!$D$2:$D$461,"eucalipto",Data_filtered!$J$2:$J$461,"&lt;&gt;Incompleto")</f>
        <v>0</v>
      </c>
      <c r="V11" s="111">
        <f>SUMIFS(Data_filtered!$K$2:$K$461,Data_filtered!$A$2:$A$461,$A11,Data_filtered!$F$2:$F$461,V$1,Data_filtered!$D$2:$D$461,"eucalipto",Data_filtered!$J$2:$J$461,"&lt;&gt;Incompleto")</f>
        <v>0</v>
      </c>
      <c r="W11" s="111">
        <f>SUMIFS(Data_filtered!$K$2:$K$461,Data_filtered!$A$2:$A$461,$A11,Data_filtered!$F$2:$F$461,W$1,Data_filtered!$D$2:$D$461,"eucalipto",Data_filtered!$J$2:$J$461,"&lt;&gt;Incompleto")</f>
        <v>0</v>
      </c>
      <c r="X11" s="111">
        <f>SUMIFS(Data_filtered!$K$2:$K$461,Data_filtered!$A$2:$A$461,$A11,Data_filtered!$F$2:$F$461,X$1,Data_filtered!$D$2:$D$461,"eucalipto",Data_filtered!$J$2:$J$461,"&lt;&gt;Incompleto")</f>
        <v>0</v>
      </c>
      <c r="Y11" s="111">
        <f>SUMIFS(Data_filtered!$K$2:$K$461,Data_filtered!$A$2:$A$461,$A11,Data_filtered!$F$2:$F$461,Y$1,Data_filtered!$D$2:$D$461,"eucalipto",Data_filtered!$J$2:$J$461,"&lt;&gt;Incompleto")</f>
        <v>0</v>
      </c>
      <c r="Z11" s="111"/>
    </row>
    <row r="12">
      <c r="A12" s="9" t="str">
        <f>IFERROR(__xludf.DUMMYFUNCTION("""COMPUTED_VALUE"""),"Rhinella icterica")</f>
        <v>Rhinella icterica</v>
      </c>
      <c r="B12" s="111">
        <f>SUMIFS(Data_filtered!$K$2:$K$461,Data_filtered!$A$2:$A$461,$A12,Data_filtered!$F$2:$F$461,B$1,Data_filtered!$D$2:$D$461,"eucalipto",Data_filtered!$J$2:$J$461,"&lt;&gt;Incompleto")</f>
        <v>0</v>
      </c>
      <c r="C12" s="111">
        <f>SUMIFS(Data_filtered!$K$2:$K$461,Data_filtered!$A$2:$A$461,$A12,Data_filtered!$F$2:$F$461,C$1,Data_filtered!$D$2:$D$461,"eucalipto",Data_filtered!$J$2:$J$461,"&lt;&gt;Incompleto")</f>
        <v>0</v>
      </c>
      <c r="D12" s="111">
        <f>SUMIFS(Data_filtered!$K$2:$K$461,Data_filtered!$A$2:$A$461,$A12,Data_filtered!$F$2:$F$461,D$1,Data_filtered!$D$2:$D$461,"eucalipto",Data_filtered!$J$2:$J$461,"&lt;&gt;Incompleto")</f>
        <v>0</v>
      </c>
      <c r="E12" s="111">
        <f>SUMIFS(Data_filtered!$K$2:$K$461,Data_filtered!$A$2:$A$461,$A12,Data_filtered!$F$2:$F$461,E$1,Data_filtered!$D$2:$D$461,"eucalipto",Data_filtered!$J$2:$J$461,"&lt;&gt;Incompleto")</f>
        <v>0</v>
      </c>
      <c r="F12" s="111">
        <f>SUMIFS(Data_filtered!$K$2:$K$461,Data_filtered!$A$2:$A$461,$A12,Data_filtered!$F$2:$F$461,F$1,Data_filtered!$D$2:$D$461,"eucalipto",Data_filtered!$J$2:$J$461,"&lt;&gt;Incompleto")</f>
        <v>33095.63141</v>
      </c>
      <c r="G12" s="111">
        <f>SUMIFS(Data_filtered!$K$2:$K$461,Data_filtered!$A$2:$A$461,$A12,Data_filtered!$F$2:$F$461,G$1,Data_filtered!$D$2:$D$461,"eucalipto",Data_filtered!$J$2:$J$461,"&lt;&gt;Incompleto")</f>
        <v>0</v>
      </c>
      <c r="H12" s="111">
        <f>SUMIFS(Data_filtered!$K$2:$K$461,Data_filtered!$A$2:$A$461,$A12,Data_filtered!$F$2:$F$461,H$1,Data_filtered!$D$2:$D$461,"eucalipto",Data_filtered!$J$2:$J$461,"&lt;&gt;Incompleto")</f>
        <v>0</v>
      </c>
      <c r="I12" s="111">
        <f>SUMIFS(Data_filtered!$K$2:$K$461,Data_filtered!$A$2:$A$461,$A12,Data_filtered!$F$2:$F$461,I$1,Data_filtered!$D$2:$D$461,"eucalipto",Data_filtered!$J$2:$J$461,"&lt;&gt;Incompleto")</f>
        <v>0</v>
      </c>
      <c r="J12" s="111">
        <f>SUMIFS(Data_filtered!$K$2:$K$461,Data_filtered!$A$2:$A$461,$A12,Data_filtered!$F$2:$F$461,J$1,Data_filtered!$D$2:$D$461,"eucalipto",Data_filtered!$J$2:$J$461,"&lt;&gt;Incompleto")</f>
        <v>0</v>
      </c>
      <c r="K12" s="111">
        <f>SUMIFS(Data_filtered!$K$2:$K$461,Data_filtered!$A$2:$A$461,$A12,Data_filtered!$F$2:$F$461,K$1,Data_filtered!$D$2:$D$461,"eucalipto",Data_filtered!$J$2:$J$461,"&lt;&gt;Incompleto")</f>
        <v>0</v>
      </c>
      <c r="L12" s="111">
        <f>SUMIFS(Data_filtered!$K$2:$K$461,Data_filtered!$A$2:$A$461,$A12,Data_filtered!$F$2:$F$461,L$1,Data_filtered!$D$2:$D$461,"eucalipto",Data_filtered!$J$2:$J$461,"&lt;&gt;Incompleto")</f>
        <v>0</v>
      </c>
      <c r="M12" s="111">
        <f>SUMIFS(Data_filtered!$K$2:$K$461,Data_filtered!$A$2:$A$461,$A12,Data_filtered!$F$2:$F$461,M$1,Data_filtered!$D$2:$D$461,"eucalipto",Data_filtered!$J$2:$J$461,"&lt;&gt;Incompleto")</f>
        <v>0</v>
      </c>
      <c r="N12" s="111">
        <f>SUMIFS(Data_filtered!$K$2:$K$461,Data_filtered!$A$2:$A$461,$A12,Data_filtered!$F$2:$F$461,N$1,Data_filtered!$D$2:$D$461,"eucalipto",Data_filtered!$J$2:$J$461,"&lt;&gt;Incompleto")</f>
        <v>0</v>
      </c>
      <c r="O12" s="111">
        <f>SUMIFS(Data_filtered!$K$2:$K$461,Data_filtered!$A$2:$A$461,$A12,Data_filtered!$F$2:$F$461,O$1,Data_filtered!$D$2:$D$461,"eucalipto",Data_filtered!$J$2:$J$461,"&lt;&gt;Incompleto")</f>
        <v>0</v>
      </c>
      <c r="P12" s="111">
        <f>SUMIFS(Data_filtered!$K$2:$K$461,Data_filtered!$A$2:$A$461,$A12,Data_filtered!$F$2:$F$461,P$1,Data_filtered!$D$2:$D$461,"eucalipto",Data_filtered!$J$2:$J$461,"&lt;&gt;Incompleto")</f>
        <v>0</v>
      </c>
      <c r="Q12" s="111">
        <f>SUMIFS(Data_filtered!$K$2:$K$461,Data_filtered!$A$2:$A$461,$A12,Data_filtered!$F$2:$F$461,Q$1,Data_filtered!$D$2:$D$461,"eucalipto",Data_filtered!$J$2:$J$461,"&lt;&gt;Incompleto")</f>
        <v>0</v>
      </c>
      <c r="R12" s="111">
        <f>SUMIFS(Data_filtered!$K$2:$K$461,Data_filtered!$A$2:$A$461,$A12,Data_filtered!$F$2:$F$461,R$1,Data_filtered!$D$2:$D$461,"eucalipto",Data_filtered!$J$2:$J$461,"&lt;&gt;Incompleto")</f>
        <v>0</v>
      </c>
      <c r="S12" s="111">
        <f>SUMIFS(Data_filtered!$K$2:$K$461,Data_filtered!$A$2:$A$461,$A12,Data_filtered!$F$2:$F$461,S$1,Data_filtered!$D$2:$D$461,"eucalipto",Data_filtered!$J$2:$J$461,"&lt;&gt;Incompleto")</f>
        <v>0</v>
      </c>
      <c r="T12" s="111">
        <f>SUMIFS(Data_filtered!$K$2:$K$461,Data_filtered!$A$2:$A$461,$A12,Data_filtered!$F$2:$F$461,T$1,Data_filtered!$D$2:$D$461,"eucalipto",Data_filtered!$J$2:$J$461,"&lt;&gt;Incompleto")</f>
        <v>0</v>
      </c>
      <c r="U12" s="111">
        <f>SUMIFS(Data_filtered!$K$2:$K$461,Data_filtered!$A$2:$A$461,$A12,Data_filtered!$F$2:$F$461,U$1,Data_filtered!$D$2:$D$461,"eucalipto",Data_filtered!$J$2:$J$461,"&lt;&gt;Incompleto")</f>
        <v>0</v>
      </c>
      <c r="V12" s="111">
        <f>SUMIFS(Data_filtered!$K$2:$K$461,Data_filtered!$A$2:$A$461,$A12,Data_filtered!$F$2:$F$461,V$1,Data_filtered!$D$2:$D$461,"eucalipto",Data_filtered!$J$2:$J$461,"&lt;&gt;Incompleto")</f>
        <v>0</v>
      </c>
      <c r="W12" s="111">
        <f>SUMIFS(Data_filtered!$K$2:$K$461,Data_filtered!$A$2:$A$461,$A12,Data_filtered!$F$2:$F$461,W$1,Data_filtered!$D$2:$D$461,"eucalipto",Data_filtered!$J$2:$J$461,"&lt;&gt;Incompleto")</f>
        <v>0</v>
      </c>
      <c r="X12" s="111">
        <f>SUMIFS(Data_filtered!$K$2:$K$461,Data_filtered!$A$2:$A$461,$A12,Data_filtered!$F$2:$F$461,X$1,Data_filtered!$D$2:$D$461,"eucalipto",Data_filtered!$J$2:$J$461,"&lt;&gt;Incompleto")</f>
        <v>0</v>
      </c>
      <c r="Y12" s="111">
        <f>SUMIFS(Data_filtered!$K$2:$K$461,Data_filtered!$A$2:$A$461,$A12,Data_filtered!$F$2:$F$461,Y$1,Data_filtered!$D$2:$D$461,"eucalipto",Data_filtered!$J$2:$J$461,"&lt;&gt;Incompleto")</f>
        <v>0</v>
      </c>
      <c r="Z12" s="11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</cols>
  <sheetData>
    <row r="1">
      <c r="B1" s="9" t="str">
        <f>IFERROR(__xludf.DUMMYFUNCTION("TRANSPOSE(SORT(UNIQUE(FILTER(Data_filtered!F2:F461,Data_filtered!E$2:E$461&lt;&gt;""Não identificado"",Data_filtered!E$2:E$461&lt;&gt;""Semente"",Data_filtered!E$2:E$461&lt;&gt;""Semente de capim"",Data_filtered!E$2:E$461&lt;&gt;""Apenas substrato"",Data_filtered!E$2:E$461&lt;&gt;""Va"&amp;"zio"",Data_filtered!$J$2:$J$461 &lt;&gt; ""Incompleto""))))"),"Acari")</f>
        <v>Acari</v>
      </c>
      <c r="C1" s="9" t="str">
        <f>IFERROR(__xludf.DUMMYFUNCTION("""COMPUTED_VALUE"""),"Araneae")</f>
        <v>Araneae</v>
      </c>
      <c r="D1" s="9" t="str">
        <f>IFERROR(__xludf.DUMMYFUNCTION("""COMPUTED_VALUE"""),"Blattodea")</f>
        <v>Blattodea</v>
      </c>
      <c r="E1" s="9" t="str">
        <f>IFERROR(__xludf.DUMMYFUNCTION("""COMPUTED_VALUE"""),"Chilopoda")</f>
        <v>Chilopoda</v>
      </c>
      <c r="F1" s="9" t="str">
        <f>IFERROR(__xludf.DUMMYFUNCTION("""COMPUTED_VALUE"""),"Coleoptera")</f>
        <v>Coleoptera</v>
      </c>
      <c r="G1" s="9" t="str">
        <f>IFERROR(__xludf.DUMMYFUNCTION("""COMPUTED_VALUE"""),"Coleoptera Larva")</f>
        <v>Coleoptera Larva</v>
      </c>
      <c r="H1" s="9" t="str">
        <f>IFERROR(__xludf.DUMMYFUNCTION("""COMPUTED_VALUE"""),"Collembola")</f>
        <v>Collembola</v>
      </c>
      <c r="I1" s="9" t="str">
        <f>IFERROR(__xludf.DUMMYFUNCTION("""COMPUTED_VALUE"""),"Dermaptera")</f>
        <v>Dermaptera</v>
      </c>
      <c r="J1" s="9" t="str">
        <f>IFERROR(__xludf.DUMMYFUNCTION("""COMPUTED_VALUE"""),"Diplopoda")</f>
        <v>Diplopoda</v>
      </c>
      <c r="K1" s="9" t="str">
        <f>IFERROR(__xludf.DUMMYFUNCTION("""COMPUTED_VALUE"""),"Ensifera")</f>
        <v>Ensifera</v>
      </c>
      <c r="L1" s="9" t="str">
        <f>IFERROR(__xludf.DUMMYFUNCTION("""COMPUTED_VALUE"""),"Formicidae")</f>
        <v>Formicidae</v>
      </c>
      <c r="M1" s="9" t="str">
        <f>IFERROR(__xludf.DUMMYFUNCTION("""COMPUTED_VALUE"""),"Hemiptera")</f>
        <v>Hemiptera</v>
      </c>
      <c r="N1" s="9" t="str">
        <f>IFERROR(__xludf.DUMMYFUNCTION("""COMPUTED_VALUE"""),"Heteroptera")</f>
        <v>Heteroptera</v>
      </c>
      <c r="O1" s="9" t="str">
        <f>IFERROR(__xludf.DUMMYFUNCTION("""COMPUTED_VALUE"""),"Isópode")</f>
        <v>Isópode</v>
      </c>
      <c r="P1" s="9" t="str">
        <f>IFERROR(__xludf.DUMMYFUNCTION("""COMPUTED_VALUE"""),"Isoptera")</f>
        <v>Isoptera</v>
      </c>
      <c r="Q1" s="9" t="str">
        <f>IFERROR(__xludf.DUMMYFUNCTION("""COMPUTED_VALUE"""),"Larva")</f>
        <v>Larva</v>
      </c>
      <c r="R1" s="9" t="str">
        <f>IFERROR(__xludf.DUMMYFUNCTION("""COMPUTED_VALUE"""),"Lepidoptera Larva")</f>
        <v>Lepidoptera Larva</v>
      </c>
      <c r="S1" s="9" t="str">
        <f>IFERROR(__xludf.DUMMYFUNCTION("""COMPUTED_VALUE"""),"Mosca")</f>
        <v>Mosca</v>
      </c>
      <c r="T1" s="9" t="str">
        <f>IFERROR(__xludf.DUMMYFUNCTION("""COMPUTED_VALUE"""),"Opiliones")</f>
        <v>Opiliones</v>
      </c>
      <c r="U1" s="9" t="str">
        <f>IFERROR(__xludf.DUMMYFUNCTION("""COMPUTED_VALUE"""),"Orthoptera")</f>
        <v>Orthoptera</v>
      </c>
      <c r="V1" s="9" t="str">
        <f>IFERROR(__xludf.DUMMYFUNCTION("""COMPUTED_VALUE"""),"Pterygota")</f>
        <v>Pterygota</v>
      </c>
      <c r="W1" s="9" t="str">
        <f>IFERROR(__xludf.DUMMYFUNCTION("""COMPUTED_VALUE"""),"Staphylinidae")</f>
        <v>Staphylinidae</v>
      </c>
      <c r="X1" s="9" t="str">
        <f>IFERROR(__xludf.DUMMYFUNCTION("""COMPUTED_VALUE"""),"Thysanoptera")</f>
        <v>Thysanoptera</v>
      </c>
      <c r="Y1" s="9" t="str">
        <f>IFERROR(__xludf.DUMMYFUNCTION("""COMPUTED_VALUE"""),"Vespa")</f>
        <v>Vespa</v>
      </c>
    </row>
    <row r="2">
      <c r="A2" s="9" t="str">
        <f>IFERROR(__xludf.DUMMYFUNCTION("SORT(UNIQUE(FILTER(Data_filtered!$A$2:$A$461,Data_filtered!$E$2:$E$461&lt;&gt;""Vazio"",Data_filtered!$E$2:$E$461&lt;&gt;""Não identificado"",Data_filtered!$E$2:$E$461&lt;&gt;""Semente"",Data_filtered!$E$2:$E$461&lt;&gt;""Semente de capim"",Data_filtered!$E$2:$E$461&lt;&gt;""Apenas su"&amp;"bstrato"", Data_filtered!$D$2:$D$461 =""mata"", Data_filtered!$J$2:$J$461 &lt;&gt;""Incompleto"")))"),"Aplastodiscus albosignatus")</f>
        <v>Aplastodiscus albosignatus</v>
      </c>
      <c r="B2" s="111">
        <f>SUMIFS(Data_filtered!$K$2:$K$461,Data_filtered!$A$2:$A$461,$A2,Data_filtered!$F$2:$F$461,B$1, Data_filtered!$D$2:$D$461,"mata",Data_filtered!$J$2:$J$461,"&lt;&gt;Incompleto")</f>
        <v>0</v>
      </c>
      <c r="C2" s="111">
        <f>SUMIFS(Data_filtered!$K$2:$K$461,Data_filtered!$A$2:$A$461,$A2,Data_filtered!$F$2:$F$461,C$1, Data_filtered!$D$2:$D$461,"mata",Data_filtered!$J$2:$J$461,"&lt;&gt;Incompleto")</f>
        <v>0</v>
      </c>
      <c r="D2" s="111">
        <f>SUMIFS(Data_filtered!$K$2:$K$461,Data_filtered!$A$2:$A$461,$A2,Data_filtered!$F$2:$F$461,D$1, Data_filtered!$D$2:$D$461,"mata",Data_filtered!$J$2:$J$461,"&lt;&gt;Incompleto")</f>
        <v>0</v>
      </c>
      <c r="E2" s="111">
        <f>SUMIFS(Data_filtered!$K$2:$K$461,Data_filtered!$A$2:$A$461,$A2,Data_filtered!$F$2:$F$461,E$1, Data_filtered!$D$2:$D$461,"mata",Data_filtered!$J$2:$J$461,"&lt;&gt;Incompleto")</f>
        <v>0</v>
      </c>
      <c r="F2" s="111">
        <f>SUMIFS(Data_filtered!$K$2:$K$461,Data_filtered!$A$2:$A$461,$A2,Data_filtered!$F$2:$F$461,F$1, Data_filtered!$D$2:$D$461,"mata",Data_filtered!$J$2:$J$461,"&lt;&gt;Incompleto")</f>
        <v>737.227076</v>
      </c>
      <c r="G2" s="111">
        <f>SUMIFS(Data_filtered!$K$2:$K$461,Data_filtered!$A$2:$A$461,$A2,Data_filtered!$F$2:$F$461,G$1, Data_filtered!$D$2:$D$461,"mata",Data_filtered!$J$2:$J$461,"&lt;&gt;Incompleto")</f>
        <v>0</v>
      </c>
      <c r="H2" s="111">
        <f>SUMIFS(Data_filtered!$K$2:$K$461,Data_filtered!$A$2:$A$461,$A2,Data_filtered!$F$2:$F$461,H$1, Data_filtered!$D$2:$D$461,"mata",Data_filtered!$J$2:$J$461,"&lt;&gt;Incompleto")</f>
        <v>0</v>
      </c>
      <c r="I2" s="111">
        <f>SUMIFS(Data_filtered!$K$2:$K$461,Data_filtered!$A$2:$A$461,$A2,Data_filtered!$F$2:$F$461,I$1, Data_filtered!$D$2:$D$461,"mata",Data_filtered!$J$2:$J$461,"&lt;&gt;Incompleto")</f>
        <v>0</v>
      </c>
      <c r="J2" s="111">
        <f>SUMIFS(Data_filtered!$K$2:$K$461,Data_filtered!$A$2:$A$461,$A2,Data_filtered!$F$2:$F$461,J$1, Data_filtered!$D$2:$D$461,"mata",Data_filtered!$J$2:$J$461,"&lt;&gt;Incompleto")</f>
        <v>0</v>
      </c>
      <c r="K2" s="111">
        <f>SUMIFS(Data_filtered!$K$2:$K$461,Data_filtered!$A$2:$A$461,$A2,Data_filtered!$F$2:$F$461,K$1, Data_filtered!$D$2:$D$461,"mata",Data_filtered!$J$2:$J$461,"&lt;&gt;Incompleto")</f>
        <v>0</v>
      </c>
      <c r="L2" s="111">
        <f>SUMIFS(Data_filtered!$K$2:$K$461,Data_filtered!$A$2:$A$461,$A2,Data_filtered!$F$2:$F$461,L$1, Data_filtered!$D$2:$D$461,"mata",Data_filtered!$J$2:$J$461,"&lt;&gt;Incompleto")</f>
        <v>0</v>
      </c>
      <c r="M2" s="111">
        <f>SUMIFS(Data_filtered!$K$2:$K$461,Data_filtered!$A$2:$A$461,$A2,Data_filtered!$F$2:$F$461,M$1, Data_filtered!$D$2:$D$461,"mata",Data_filtered!$J$2:$J$461,"&lt;&gt;Incompleto")</f>
        <v>0</v>
      </c>
      <c r="N2" s="111">
        <f>SUMIFS(Data_filtered!$K$2:$K$461,Data_filtered!$A$2:$A$461,$A2,Data_filtered!$F$2:$F$461,N$1, Data_filtered!$D$2:$D$461,"mata",Data_filtered!$J$2:$J$461,"&lt;&gt;Incompleto")</f>
        <v>0</v>
      </c>
      <c r="O2" s="111">
        <f>SUMIFS(Data_filtered!$K$2:$K$461,Data_filtered!$A$2:$A$461,$A2,Data_filtered!$F$2:$F$461,O$1, Data_filtered!$D$2:$D$461,"mata",Data_filtered!$J$2:$J$461,"&lt;&gt;Incompleto")</f>
        <v>0</v>
      </c>
      <c r="P2" s="111">
        <f>SUMIFS(Data_filtered!$K$2:$K$461,Data_filtered!$A$2:$A$461,$A2,Data_filtered!$F$2:$F$461,P$1, Data_filtered!$D$2:$D$461,"mata",Data_filtered!$J$2:$J$461,"&lt;&gt;Incompleto")</f>
        <v>0</v>
      </c>
      <c r="Q2" s="111">
        <f>SUMIFS(Data_filtered!$K$2:$K$461,Data_filtered!$A$2:$A$461,$A2,Data_filtered!$F$2:$F$461,Q$1, Data_filtered!$D$2:$D$461,"mata",Data_filtered!$J$2:$J$461,"&lt;&gt;Incompleto")</f>
        <v>0</v>
      </c>
      <c r="R2" s="111">
        <f>SUMIFS(Data_filtered!$K$2:$K$461,Data_filtered!$A$2:$A$461,$A2,Data_filtered!$F$2:$F$461,R$1, Data_filtered!$D$2:$D$461,"mata",Data_filtered!$J$2:$J$461,"&lt;&gt;Incompleto")</f>
        <v>0</v>
      </c>
      <c r="S2" s="111">
        <f>SUMIFS(Data_filtered!$K$2:$K$461,Data_filtered!$A$2:$A$461,$A2,Data_filtered!$F$2:$F$461,S$1, Data_filtered!$D$2:$D$461,"mata",Data_filtered!$J$2:$J$461,"&lt;&gt;Incompleto")</f>
        <v>0</v>
      </c>
      <c r="T2" s="111">
        <f>SUMIFS(Data_filtered!$K$2:$K$461,Data_filtered!$A$2:$A$461,$A2,Data_filtered!$F$2:$F$461,T$1, Data_filtered!$D$2:$D$461,"mata",Data_filtered!$J$2:$J$461,"&lt;&gt;Incompleto")</f>
        <v>0</v>
      </c>
      <c r="U2" s="111">
        <f>SUMIFS(Data_filtered!$K$2:$K$461,Data_filtered!$A$2:$A$461,$A2,Data_filtered!$F$2:$F$461,U$1, Data_filtered!$D$2:$D$461,"mata",Data_filtered!$J$2:$J$461,"&lt;&gt;Incompleto")</f>
        <v>0</v>
      </c>
      <c r="V2" s="111">
        <f>SUMIFS(Data_filtered!$K$2:$K$461,Data_filtered!$A$2:$A$461,$A2,Data_filtered!$F$2:$F$461,V$1, Data_filtered!$D$2:$D$461,"mata",Data_filtered!$J$2:$J$461,"&lt;&gt;Incompleto")</f>
        <v>0</v>
      </c>
      <c r="W2" s="111">
        <f>SUMIFS(Data_filtered!$K$2:$K$461,Data_filtered!$A$2:$A$461,$A2,Data_filtered!$F$2:$F$461,W$1, Data_filtered!$D$2:$D$461,"mata",Data_filtered!$J$2:$J$461,"&lt;&gt;Incompleto")</f>
        <v>0</v>
      </c>
      <c r="X2" s="111">
        <f>SUMIFS(Data_filtered!$K$2:$K$461,Data_filtered!$A$2:$A$461,$A2,Data_filtered!$F$2:$F$461,X$1, Data_filtered!$D$2:$D$461,"mata",Data_filtered!$J$2:$J$461,"&lt;&gt;Incompleto")</f>
        <v>0</v>
      </c>
      <c r="Y2" s="111">
        <f>SUMIFS(Data_filtered!$K$2:$K$461,Data_filtered!$A$2:$A$461,$A2,Data_filtered!$F$2:$F$461,Y$1, Data_filtered!$D$2:$D$461,"mata",Data_filtered!$J$2:$J$461,"&lt;&gt;Incompleto")</f>
        <v>0</v>
      </c>
      <c r="Z2" s="111"/>
      <c r="AA2" s="111"/>
      <c r="AB2" s="111"/>
      <c r="AC2" s="111"/>
      <c r="AD2" s="111"/>
    </row>
    <row r="3">
      <c r="A3" s="9" t="str">
        <f>IFERROR(__xludf.DUMMYFUNCTION("""COMPUTED_VALUE"""),"Boana faber")</f>
        <v>Boana faber</v>
      </c>
      <c r="B3" s="111">
        <f>SUMIFS(Data_filtered!$K$2:$K$461,Data_filtered!$A$2:$A$461,$A3,Data_filtered!$F$2:$F$461,B$1, Data_filtered!$D$2:$D$461,"mata",Data_filtered!$J$2:$J$461,"&lt;&gt;Incompleto")</f>
        <v>0</v>
      </c>
      <c r="C3" s="111">
        <f>SUMIFS(Data_filtered!$K$2:$K$461,Data_filtered!$A$2:$A$461,$A3,Data_filtered!$F$2:$F$461,C$1, Data_filtered!$D$2:$D$461,"mata",Data_filtered!$J$2:$J$461,"&lt;&gt;Incompleto")</f>
        <v>4105.014401</v>
      </c>
      <c r="D3" s="111">
        <f>SUMIFS(Data_filtered!$K$2:$K$461,Data_filtered!$A$2:$A$461,$A3,Data_filtered!$F$2:$F$461,D$1, Data_filtered!$D$2:$D$461,"mata",Data_filtered!$J$2:$J$461,"&lt;&gt;Incompleto")</f>
        <v>0</v>
      </c>
      <c r="E3" s="111">
        <f>SUMIFS(Data_filtered!$K$2:$K$461,Data_filtered!$A$2:$A$461,$A3,Data_filtered!$F$2:$F$461,E$1, Data_filtered!$D$2:$D$461,"mata",Data_filtered!$J$2:$J$461,"&lt;&gt;Incompleto")</f>
        <v>0</v>
      </c>
      <c r="F3" s="111">
        <f>SUMIFS(Data_filtered!$K$2:$K$461,Data_filtered!$A$2:$A$461,$A3,Data_filtered!$F$2:$F$461,F$1, Data_filtered!$D$2:$D$461,"mata",Data_filtered!$J$2:$J$461,"&lt;&gt;Incompleto")</f>
        <v>0</v>
      </c>
      <c r="G3" s="111">
        <f>SUMIFS(Data_filtered!$K$2:$K$461,Data_filtered!$A$2:$A$461,$A3,Data_filtered!$F$2:$F$461,G$1, Data_filtered!$D$2:$D$461,"mata",Data_filtered!$J$2:$J$461,"&lt;&gt;Incompleto")</f>
        <v>0</v>
      </c>
      <c r="H3" s="111">
        <f>SUMIFS(Data_filtered!$K$2:$K$461,Data_filtered!$A$2:$A$461,$A3,Data_filtered!$F$2:$F$461,H$1, Data_filtered!$D$2:$D$461,"mata",Data_filtered!$J$2:$J$461,"&lt;&gt;Incompleto")</f>
        <v>0</v>
      </c>
      <c r="I3" s="111">
        <f>SUMIFS(Data_filtered!$K$2:$K$461,Data_filtered!$A$2:$A$461,$A3,Data_filtered!$F$2:$F$461,I$1, Data_filtered!$D$2:$D$461,"mata",Data_filtered!$J$2:$J$461,"&lt;&gt;Incompleto")</f>
        <v>0</v>
      </c>
      <c r="J3" s="111">
        <f>SUMIFS(Data_filtered!$K$2:$K$461,Data_filtered!$A$2:$A$461,$A3,Data_filtered!$F$2:$F$461,J$1, Data_filtered!$D$2:$D$461,"mata",Data_filtered!$J$2:$J$461,"&lt;&gt;Incompleto")</f>
        <v>678.5840132</v>
      </c>
      <c r="K3" s="111">
        <f>SUMIFS(Data_filtered!$K$2:$K$461,Data_filtered!$A$2:$A$461,$A3,Data_filtered!$F$2:$F$461,K$1, Data_filtered!$D$2:$D$461,"mata",Data_filtered!$J$2:$J$461,"&lt;&gt;Incompleto")</f>
        <v>7539.822369</v>
      </c>
      <c r="L3" s="111">
        <f>SUMIFS(Data_filtered!$K$2:$K$461,Data_filtered!$A$2:$A$461,$A3,Data_filtered!$F$2:$F$461,L$1, Data_filtered!$D$2:$D$461,"mata",Data_filtered!$J$2:$J$461,"&lt;&gt;Incompleto")</f>
        <v>0</v>
      </c>
      <c r="M3" s="111">
        <f>SUMIFS(Data_filtered!$K$2:$K$461,Data_filtered!$A$2:$A$461,$A3,Data_filtered!$F$2:$F$461,M$1, Data_filtered!$D$2:$D$461,"mata",Data_filtered!$J$2:$J$461,"&lt;&gt;Incompleto")</f>
        <v>0</v>
      </c>
      <c r="N3" s="111">
        <f>SUMIFS(Data_filtered!$K$2:$K$461,Data_filtered!$A$2:$A$461,$A3,Data_filtered!$F$2:$F$461,N$1, Data_filtered!$D$2:$D$461,"mata",Data_filtered!$J$2:$J$461,"&lt;&gt;Incompleto")</f>
        <v>0</v>
      </c>
      <c r="O3" s="111">
        <f>SUMIFS(Data_filtered!$K$2:$K$461,Data_filtered!$A$2:$A$461,$A3,Data_filtered!$F$2:$F$461,O$1, Data_filtered!$D$2:$D$461,"mata",Data_filtered!$J$2:$J$461,"&lt;&gt;Incompleto")</f>
        <v>0</v>
      </c>
      <c r="P3" s="111">
        <f>SUMIFS(Data_filtered!$K$2:$K$461,Data_filtered!$A$2:$A$461,$A3,Data_filtered!$F$2:$F$461,P$1, Data_filtered!$D$2:$D$461,"mata",Data_filtered!$J$2:$J$461,"&lt;&gt;Incompleto")</f>
        <v>0</v>
      </c>
      <c r="Q3" s="111">
        <f>SUMIFS(Data_filtered!$K$2:$K$461,Data_filtered!$A$2:$A$461,$A3,Data_filtered!$F$2:$F$461,Q$1, Data_filtered!$D$2:$D$461,"mata",Data_filtered!$J$2:$J$461,"&lt;&gt;Incompleto")</f>
        <v>0</v>
      </c>
      <c r="R3" s="111">
        <f>SUMIFS(Data_filtered!$K$2:$K$461,Data_filtered!$A$2:$A$461,$A3,Data_filtered!$F$2:$F$461,R$1, Data_filtered!$D$2:$D$461,"mata",Data_filtered!$J$2:$J$461,"&lt;&gt;Incompleto")</f>
        <v>0</v>
      </c>
      <c r="S3" s="111">
        <f>SUMIFS(Data_filtered!$K$2:$K$461,Data_filtered!$A$2:$A$461,$A3,Data_filtered!$F$2:$F$461,S$1, Data_filtered!$D$2:$D$461,"mata",Data_filtered!$J$2:$J$461,"&lt;&gt;Incompleto")</f>
        <v>0</v>
      </c>
      <c r="T3" s="111">
        <f>SUMIFS(Data_filtered!$K$2:$K$461,Data_filtered!$A$2:$A$461,$A3,Data_filtered!$F$2:$F$461,T$1, Data_filtered!$D$2:$D$461,"mata",Data_filtered!$J$2:$J$461,"&lt;&gt;Incompleto")</f>
        <v>0</v>
      </c>
      <c r="U3" s="111">
        <f>SUMIFS(Data_filtered!$K$2:$K$461,Data_filtered!$A$2:$A$461,$A3,Data_filtered!$F$2:$F$461,U$1, Data_filtered!$D$2:$D$461,"mata",Data_filtered!$J$2:$J$461,"&lt;&gt;Incompleto")</f>
        <v>0</v>
      </c>
      <c r="V3" s="111">
        <f>SUMIFS(Data_filtered!$K$2:$K$461,Data_filtered!$A$2:$A$461,$A3,Data_filtered!$F$2:$F$461,V$1, Data_filtered!$D$2:$D$461,"mata",Data_filtered!$J$2:$J$461,"&lt;&gt;Incompleto")</f>
        <v>0</v>
      </c>
      <c r="W3" s="111">
        <f>SUMIFS(Data_filtered!$K$2:$K$461,Data_filtered!$A$2:$A$461,$A3,Data_filtered!$F$2:$F$461,W$1, Data_filtered!$D$2:$D$461,"mata",Data_filtered!$J$2:$J$461,"&lt;&gt;Incompleto")</f>
        <v>0</v>
      </c>
      <c r="X3" s="111">
        <f>SUMIFS(Data_filtered!$K$2:$K$461,Data_filtered!$A$2:$A$461,$A3,Data_filtered!$F$2:$F$461,X$1, Data_filtered!$D$2:$D$461,"mata",Data_filtered!$J$2:$J$461,"&lt;&gt;Incompleto")</f>
        <v>0</v>
      </c>
      <c r="Y3" s="111">
        <f>SUMIFS(Data_filtered!$K$2:$K$461,Data_filtered!$A$2:$A$461,$A3,Data_filtered!$F$2:$F$461,Y$1, Data_filtered!$D$2:$D$461,"mata",Data_filtered!$J$2:$J$461,"&lt;&gt;Incompleto")</f>
        <v>0</v>
      </c>
      <c r="Z3" s="111"/>
      <c r="AA3" s="111"/>
      <c r="AB3" s="111"/>
      <c r="AC3" s="111"/>
      <c r="AD3" s="111"/>
    </row>
    <row r="4">
      <c r="A4" s="9" t="str">
        <f>IFERROR(__xludf.DUMMYFUNCTION("""COMPUTED_VALUE"""),"Boana latistriata")</f>
        <v>Boana latistriata</v>
      </c>
      <c r="B4" s="111">
        <f>SUMIFS(Data_filtered!$K$2:$K$461,Data_filtered!$A$2:$A$461,$A4,Data_filtered!$F$2:$F$461,B$1, Data_filtered!$D$2:$D$461,"mata",Data_filtered!$J$2:$J$461,"&lt;&gt;Incompleto")</f>
        <v>0</v>
      </c>
      <c r="C4" s="111">
        <f>SUMIFS(Data_filtered!$K$2:$K$461,Data_filtered!$A$2:$A$461,$A4,Data_filtered!$F$2:$F$461,C$1, Data_filtered!$D$2:$D$461,"mata",Data_filtered!$J$2:$J$461,"&lt;&gt;Incompleto")</f>
        <v>50.26548246</v>
      </c>
      <c r="D4" s="111">
        <f>SUMIFS(Data_filtered!$K$2:$K$461,Data_filtered!$A$2:$A$461,$A4,Data_filtered!$F$2:$F$461,D$1, Data_filtered!$D$2:$D$461,"mata",Data_filtered!$J$2:$J$461,"&lt;&gt;Incompleto")</f>
        <v>226.1946711</v>
      </c>
      <c r="E4" s="111">
        <f>SUMIFS(Data_filtered!$K$2:$K$461,Data_filtered!$A$2:$A$461,$A4,Data_filtered!$F$2:$F$461,E$1, Data_filtered!$D$2:$D$461,"mata",Data_filtered!$J$2:$J$461,"&lt;&gt;Incompleto")</f>
        <v>0</v>
      </c>
      <c r="F4" s="111">
        <f>SUMIFS(Data_filtered!$K$2:$K$461,Data_filtered!$A$2:$A$461,$A4,Data_filtered!$F$2:$F$461,F$1, Data_filtered!$D$2:$D$461,"mata",Data_filtered!$J$2:$J$461,"&lt;&gt;Incompleto")</f>
        <v>12.56637061</v>
      </c>
      <c r="G4" s="111">
        <f>SUMIFS(Data_filtered!$K$2:$K$461,Data_filtered!$A$2:$A$461,$A4,Data_filtered!$F$2:$F$461,G$1, Data_filtered!$D$2:$D$461,"mata",Data_filtered!$J$2:$J$461,"&lt;&gt;Incompleto")</f>
        <v>0</v>
      </c>
      <c r="H4" s="111">
        <f>SUMIFS(Data_filtered!$K$2:$K$461,Data_filtered!$A$2:$A$461,$A4,Data_filtered!$F$2:$F$461,H$1, Data_filtered!$D$2:$D$461,"mata",Data_filtered!$J$2:$J$461,"&lt;&gt;Incompleto")</f>
        <v>0</v>
      </c>
      <c r="I4" s="111">
        <f>SUMIFS(Data_filtered!$K$2:$K$461,Data_filtered!$A$2:$A$461,$A4,Data_filtered!$F$2:$F$461,I$1, Data_filtered!$D$2:$D$461,"mata",Data_filtered!$J$2:$J$461,"&lt;&gt;Incompleto")</f>
        <v>0</v>
      </c>
      <c r="J4" s="111">
        <f>SUMIFS(Data_filtered!$K$2:$K$461,Data_filtered!$A$2:$A$461,$A4,Data_filtered!$F$2:$F$461,J$1, Data_filtered!$D$2:$D$461,"mata",Data_filtered!$J$2:$J$461,"&lt;&gt;Incompleto")</f>
        <v>0</v>
      </c>
      <c r="K4" s="111">
        <f>SUMIFS(Data_filtered!$K$2:$K$461,Data_filtered!$A$2:$A$461,$A4,Data_filtered!$F$2:$F$461,K$1, Data_filtered!$D$2:$D$461,"mata",Data_filtered!$J$2:$J$461,"&lt;&gt;Incompleto")</f>
        <v>0</v>
      </c>
      <c r="L4" s="111">
        <f>SUMIFS(Data_filtered!$K$2:$K$461,Data_filtered!$A$2:$A$461,$A4,Data_filtered!$F$2:$F$461,L$1, Data_filtered!$D$2:$D$461,"mata",Data_filtered!$J$2:$J$461,"&lt;&gt;Incompleto")</f>
        <v>0</v>
      </c>
      <c r="M4" s="111">
        <f>SUMIFS(Data_filtered!$K$2:$K$461,Data_filtered!$A$2:$A$461,$A4,Data_filtered!$F$2:$F$461,M$1, Data_filtered!$D$2:$D$461,"mata",Data_filtered!$J$2:$J$461,"&lt;&gt;Incompleto")</f>
        <v>0</v>
      </c>
      <c r="N4" s="111">
        <f>SUMIFS(Data_filtered!$K$2:$K$461,Data_filtered!$A$2:$A$461,$A4,Data_filtered!$F$2:$F$461,N$1, Data_filtered!$D$2:$D$461,"mata",Data_filtered!$J$2:$J$461,"&lt;&gt;Incompleto")</f>
        <v>0</v>
      </c>
      <c r="O4" s="111">
        <f>SUMIFS(Data_filtered!$K$2:$K$461,Data_filtered!$A$2:$A$461,$A4,Data_filtered!$F$2:$F$461,O$1, Data_filtered!$D$2:$D$461,"mata",Data_filtered!$J$2:$J$461,"&lt;&gt;Incompleto")</f>
        <v>0</v>
      </c>
      <c r="P4" s="111">
        <f>SUMIFS(Data_filtered!$K$2:$K$461,Data_filtered!$A$2:$A$461,$A4,Data_filtered!$F$2:$F$461,P$1, Data_filtered!$D$2:$D$461,"mata",Data_filtered!$J$2:$J$461,"&lt;&gt;Incompleto")</f>
        <v>0</v>
      </c>
      <c r="Q4" s="111">
        <f>SUMIFS(Data_filtered!$K$2:$K$461,Data_filtered!$A$2:$A$461,$A4,Data_filtered!$F$2:$F$461,Q$1, Data_filtered!$D$2:$D$461,"mata",Data_filtered!$J$2:$J$461,"&lt;&gt;Incompleto")</f>
        <v>0</v>
      </c>
      <c r="R4" s="111">
        <f>SUMIFS(Data_filtered!$K$2:$K$461,Data_filtered!$A$2:$A$461,$A4,Data_filtered!$F$2:$F$461,R$1, Data_filtered!$D$2:$D$461,"mata",Data_filtered!$J$2:$J$461,"&lt;&gt;Incompleto")</f>
        <v>0</v>
      </c>
      <c r="S4" s="111">
        <f>SUMIFS(Data_filtered!$K$2:$K$461,Data_filtered!$A$2:$A$461,$A4,Data_filtered!$F$2:$F$461,S$1, Data_filtered!$D$2:$D$461,"mata",Data_filtered!$J$2:$J$461,"&lt;&gt;Incompleto")</f>
        <v>0</v>
      </c>
      <c r="T4" s="111">
        <f>SUMIFS(Data_filtered!$K$2:$K$461,Data_filtered!$A$2:$A$461,$A4,Data_filtered!$F$2:$F$461,T$1, Data_filtered!$D$2:$D$461,"mata",Data_filtered!$J$2:$J$461,"&lt;&gt;Incompleto")</f>
        <v>0</v>
      </c>
      <c r="U4" s="111">
        <f>SUMIFS(Data_filtered!$K$2:$K$461,Data_filtered!$A$2:$A$461,$A4,Data_filtered!$F$2:$F$461,U$1, Data_filtered!$D$2:$D$461,"mata",Data_filtered!$J$2:$J$461,"&lt;&gt;Incompleto")</f>
        <v>0</v>
      </c>
      <c r="V4" s="111">
        <f>SUMIFS(Data_filtered!$K$2:$K$461,Data_filtered!$A$2:$A$461,$A4,Data_filtered!$F$2:$F$461,V$1, Data_filtered!$D$2:$D$461,"mata",Data_filtered!$J$2:$J$461,"&lt;&gt;Incompleto")</f>
        <v>0</v>
      </c>
      <c r="W4" s="111">
        <f>SUMIFS(Data_filtered!$K$2:$K$461,Data_filtered!$A$2:$A$461,$A4,Data_filtered!$F$2:$F$461,W$1, Data_filtered!$D$2:$D$461,"mata",Data_filtered!$J$2:$J$461,"&lt;&gt;Incompleto")</f>
        <v>0</v>
      </c>
      <c r="X4" s="111">
        <f>SUMIFS(Data_filtered!$K$2:$K$461,Data_filtered!$A$2:$A$461,$A4,Data_filtered!$F$2:$F$461,X$1, Data_filtered!$D$2:$D$461,"mata",Data_filtered!$J$2:$J$461,"&lt;&gt;Incompleto")</f>
        <v>0</v>
      </c>
      <c r="Y4" s="111">
        <f>SUMIFS(Data_filtered!$K$2:$K$461,Data_filtered!$A$2:$A$461,$A4,Data_filtered!$F$2:$F$461,Y$1, Data_filtered!$D$2:$D$461,"mata",Data_filtered!$J$2:$J$461,"&lt;&gt;Incompleto")</f>
        <v>0</v>
      </c>
      <c r="Z4" s="111"/>
      <c r="AA4" s="111"/>
      <c r="AB4" s="111"/>
      <c r="AC4" s="111"/>
      <c r="AD4" s="111"/>
    </row>
    <row r="5">
      <c r="A5" s="9" t="str">
        <f>IFERROR(__xludf.DUMMYFUNCTION("""COMPUTED_VALUE"""),"Bokermannohyla luctuosa")</f>
        <v>Bokermannohyla luctuosa</v>
      </c>
      <c r="B5" s="111">
        <f>SUMIFS(Data_filtered!$K$2:$K$461,Data_filtered!$A$2:$A$461,$A5,Data_filtered!$F$2:$F$461,B$1, Data_filtered!$D$2:$D$461,"mata",Data_filtered!$J$2:$J$461,"&lt;&gt;Incompleto")</f>
        <v>4.188790205</v>
      </c>
      <c r="C5" s="111">
        <f>SUMIFS(Data_filtered!$K$2:$K$461,Data_filtered!$A$2:$A$461,$A5,Data_filtered!$F$2:$F$461,C$1, Data_filtered!$D$2:$D$461,"mata",Data_filtered!$J$2:$J$461,"&lt;&gt;Incompleto")</f>
        <v>2375.044046</v>
      </c>
      <c r="D5" s="111">
        <f>SUMIFS(Data_filtered!$K$2:$K$461,Data_filtered!$A$2:$A$461,$A5,Data_filtered!$F$2:$F$461,D$1, Data_filtered!$D$2:$D$461,"mata",Data_filtered!$J$2:$J$461,"&lt;&gt;Incompleto")</f>
        <v>16.75516082</v>
      </c>
      <c r="E5" s="111">
        <f>SUMIFS(Data_filtered!$K$2:$K$461,Data_filtered!$A$2:$A$461,$A5,Data_filtered!$F$2:$F$461,E$1, Data_filtered!$D$2:$D$461,"mata",Data_filtered!$J$2:$J$461,"&lt;&gt;Incompleto")</f>
        <v>0</v>
      </c>
      <c r="F5" s="111">
        <f>SUMIFS(Data_filtered!$K$2:$K$461,Data_filtered!$A$2:$A$461,$A5,Data_filtered!$F$2:$F$461,F$1, Data_filtered!$D$2:$D$461,"mata",Data_filtered!$J$2:$J$461,"&lt;&gt;Incompleto")</f>
        <v>737.227076</v>
      </c>
      <c r="G5" s="111">
        <f>SUMIFS(Data_filtered!$K$2:$K$461,Data_filtered!$A$2:$A$461,$A5,Data_filtered!$F$2:$F$461,G$1, Data_filtered!$D$2:$D$461,"mata",Data_filtered!$J$2:$J$461,"&lt;&gt;Incompleto")</f>
        <v>0</v>
      </c>
      <c r="H5" s="111">
        <f>SUMIFS(Data_filtered!$K$2:$K$461,Data_filtered!$A$2:$A$461,$A5,Data_filtered!$F$2:$F$461,H$1, Data_filtered!$D$2:$D$461,"mata",Data_filtered!$J$2:$J$461,"&lt;&gt;Incompleto")</f>
        <v>0</v>
      </c>
      <c r="I5" s="111">
        <f>SUMIFS(Data_filtered!$K$2:$K$461,Data_filtered!$A$2:$A$461,$A5,Data_filtered!$F$2:$F$461,I$1, Data_filtered!$D$2:$D$461,"mata",Data_filtered!$J$2:$J$461,"&lt;&gt;Incompleto")</f>
        <v>0</v>
      </c>
      <c r="J5" s="111">
        <f>SUMIFS(Data_filtered!$K$2:$K$461,Data_filtered!$A$2:$A$461,$A5,Data_filtered!$F$2:$F$461,J$1, Data_filtered!$D$2:$D$461,"mata",Data_filtered!$J$2:$J$461,"&lt;&gt;Incompleto")</f>
        <v>0</v>
      </c>
      <c r="K5" s="111">
        <f>SUMIFS(Data_filtered!$K$2:$K$461,Data_filtered!$A$2:$A$461,$A5,Data_filtered!$F$2:$F$461,K$1, Data_filtered!$D$2:$D$461,"mata",Data_filtered!$J$2:$J$461,"&lt;&gt;Incompleto")</f>
        <v>804.2477193</v>
      </c>
      <c r="L5" s="111">
        <f>SUMIFS(Data_filtered!$K$2:$K$461,Data_filtered!$A$2:$A$461,$A5,Data_filtered!$F$2:$F$461,L$1, Data_filtered!$D$2:$D$461,"mata",Data_filtered!$J$2:$J$461,"&lt;&gt;Incompleto")</f>
        <v>0</v>
      </c>
      <c r="M5" s="111">
        <f>SUMIFS(Data_filtered!$K$2:$K$461,Data_filtered!$A$2:$A$461,$A5,Data_filtered!$F$2:$F$461,M$1, Data_filtered!$D$2:$D$461,"mata",Data_filtered!$J$2:$J$461,"&lt;&gt;Incompleto")</f>
        <v>0</v>
      </c>
      <c r="N5" s="111">
        <f>SUMIFS(Data_filtered!$K$2:$K$461,Data_filtered!$A$2:$A$461,$A5,Data_filtered!$F$2:$F$461,N$1, Data_filtered!$D$2:$D$461,"mata",Data_filtered!$J$2:$J$461,"&lt;&gt;Incompleto")</f>
        <v>5390.972994</v>
      </c>
      <c r="O5" s="111">
        <f>SUMIFS(Data_filtered!$K$2:$K$461,Data_filtered!$A$2:$A$461,$A5,Data_filtered!$F$2:$F$461,O$1, Data_filtered!$D$2:$D$461,"mata",Data_filtered!$J$2:$J$461,"&lt;&gt;Incompleto")</f>
        <v>0</v>
      </c>
      <c r="P5" s="111">
        <f>SUMIFS(Data_filtered!$K$2:$K$461,Data_filtered!$A$2:$A$461,$A5,Data_filtered!$F$2:$F$461,P$1, Data_filtered!$D$2:$D$461,"mata",Data_filtered!$J$2:$J$461,"&lt;&gt;Incompleto")</f>
        <v>0</v>
      </c>
      <c r="Q5" s="111">
        <f>SUMIFS(Data_filtered!$K$2:$K$461,Data_filtered!$A$2:$A$461,$A5,Data_filtered!$F$2:$F$461,Q$1, Data_filtered!$D$2:$D$461,"mata",Data_filtered!$J$2:$J$461,"&lt;&gt;Incompleto")</f>
        <v>0</v>
      </c>
      <c r="R5" s="111">
        <f>SUMIFS(Data_filtered!$K$2:$K$461,Data_filtered!$A$2:$A$461,$A5,Data_filtered!$F$2:$F$461,R$1, Data_filtered!$D$2:$D$461,"mata",Data_filtered!$J$2:$J$461,"&lt;&gt;Incompleto")</f>
        <v>0</v>
      </c>
      <c r="S5" s="111">
        <f>SUMIFS(Data_filtered!$K$2:$K$461,Data_filtered!$A$2:$A$461,$A5,Data_filtered!$F$2:$F$461,S$1, Data_filtered!$D$2:$D$461,"mata",Data_filtered!$J$2:$J$461,"&lt;&gt;Incompleto")</f>
        <v>0</v>
      </c>
      <c r="T5" s="111">
        <f>SUMIFS(Data_filtered!$K$2:$K$461,Data_filtered!$A$2:$A$461,$A5,Data_filtered!$F$2:$F$461,T$1, Data_filtered!$D$2:$D$461,"mata",Data_filtered!$J$2:$J$461,"&lt;&gt;Incompleto")</f>
        <v>628.3185307</v>
      </c>
      <c r="U5" s="111">
        <f>SUMIFS(Data_filtered!$K$2:$K$461,Data_filtered!$A$2:$A$461,$A5,Data_filtered!$F$2:$F$461,U$1, Data_filtered!$D$2:$D$461,"mata",Data_filtered!$J$2:$J$461,"&lt;&gt;Incompleto")</f>
        <v>0</v>
      </c>
      <c r="V5" s="111">
        <f>SUMIFS(Data_filtered!$K$2:$K$461,Data_filtered!$A$2:$A$461,$A5,Data_filtered!$F$2:$F$461,V$1, Data_filtered!$D$2:$D$461,"mata",Data_filtered!$J$2:$J$461,"&lt;&gt;Incompleto")</f>
        <v>0</v>
      </c>
      <c r="W5" s="111">
        <f>SUMIFS(Data_filtered!$K$2:$K$461,Data_filtered!$A$2:$A$461,$A5,Data_filtered!$F$2:$F$461,W$1, Data_filtered!$D$2:$D$461,"mata",Data_filtered!$J$2:$J$461,"&lt;&gt;Incompleto")</f>
        <v>0</v>
      </c>
      <c r="X5" s="111">
        <f>SUMIFS(Data_filtered!$K$2:$K$461,Data_filtered!$A$2:$A$461,$A5,Data_filtered!$F$2:$F$461,X$1, Data_filtered!$D$2:$D$461,"mata",Data_filtered!$J$2:$J$461,"&lt;&gt;Incompleto")</f>
        <v>0</v>
      </c>
      <c r="Y5" s="111">
        <f>SUMIFS(Data_filtered!$K$2:$K$461,Data_filtered!$A$2:$A$461,$A5,Data_filtered!$F$2:$F$461,Y$1, Data_filtered!$D$2:$D$461,"mata",Data_filtered!$J$2:$J$461,"&lt;&gt;Incompleto")</f>
        <v>0</v>
      </c>
      <c r="Z5" s="111"/>
      <c r="AA5" s="111"/>
      <c r="AB5" s="111"/>
      <c r="AC5" s="111"/>
      <c r="AD5" s="111"/>
    </row>
    <row r="6">
      <c r="A6" s="9" t="str">
        <f>IFERROR(__xludf.DUMMYFUNCTION("""COMPUTED_VALUE"""),"Chiasmocleis mantiqueira")</f>
        <v>Chiasmocleis mantiqueira</v>
      </c>
      <c r="B6" s="111">
        <f>SUMIFS(Data_filtered!$K$2:$K$461,Data_filtered!$A$2:$A$461,$A6,Data_filtered!$F$2:$F$461,B$1, Data_filtered!$D$2:$D$461,"mata",Data_filtered!$J$2:$J$461,"&lt;&gt;Incompleto")</f>
        <v>0</v>
      </c>
      <c r="C6" s="111">
        <f>SUMIFS(Data_filtered!$K$2:$K$461,Data_filtered!$A$2:$A$461,$A6,Data_filtered!$F$2:$F$461,C$1, Data_filtered!$D$2:$D$461,"mata",Data_filtered!$J$2:$J$461,"&lt;&gt;Incompleto")</f>
        <v>0</v>
      </c>
      <c r="D6" s="111">
        <f>SUMIFS(Data_filtered!$K$2:$K$461,Data_filtered!$A$2:$A$461,$A6,Data_filtered!$F$2:$F$461,D$1, Data_filtered!$D$2:$D$461,"mata",Data_filtered!$J$2:$J$461,"&lt;&gt;Incompleto")</f>
        <v>0</v>
      </c>
      <c r="E6" s="111">
        <f>SUMIFS(Data_filtered!$K$2:$K$461,Data_filtered!$A$2:$A$461,$A6,Data_filtered!$F$2:$F$461,E$1, Data_filtered!$D$2:$D$461,"mata",Data_filtered!$J$2:$J$461,"&lt;&gt;Incompleto")</f>
        <v>0</v>
      </c>
      <c r="F6" s="111">
        <f>SUMIFS(Data_filtered!$K$2:$K$461,Data_filtered!$A$2:$A$461,$A6,Data_filtered!$F$2:$F$461,F$1, Data_filtered!$D$2:$D$461,"mata",Data_filtered!$J$2:$J$461,"&lt;&gt;Incompleto")</f>
        <v>12.56637061</v>
      </c>
      <c r="G6" s="111">
        <f>SUMIFS(Data_filtered!$K$2:$K$461,Data_filtered!$A$2:$A$461,$A6,Data_filtered!$F$2:$F$461,G$1, Data_filtered!$D$2:$D$461,"mata",Data_filtered!$J$2:$J$461,"&lt;&gt;Incompleto")</f>
        <v>0</v>
      </c>
      <c r="H6" s="111">
        <f>SUMIFS(Data_filtered!$K$2:$K$461,Data_filtered!$A$2:$A$461,$A6,Data_filtered!$F$2:$F$461,H$1, Data_filtered!$D$2:$D$461,"mata",Data_filtered!$J$2:$J$461,"&lt;&gt;Incompleto")</f>
        <v>0</v>
      </c>
      <c r="I6" s="111">
        <f>SUMIFS(Data_filtered!$K$2:$K$461,Data_filtered!$A$2:$A$461,$A6,Data_filtered!$F$2:$F$461,I$1, Data_filtered!$D$2:$D$461,"mata",Data_filtered!$J$2:$J$461,"&lt;&gt;Incompleto")</f>
        <v>0</v>
      </c>
      <c r="J6" s="111">
        <f>SUMIFS(Data_filtered!$K$2:$K$461,Data_filtered!$A$2:$A$461,$A6,Data_filtered!$F$2:$F$461,J$1, Data_filtered!$D$2:$D$461,"mata",Data_filtered!$J$2:$J$461,"&lt;&gt;Incompleto")</f>
        <v>0</v>
      </c>
      <c r="K6" s="111">
        <f>SUMIFS(Data_filtered!$K$2:$K$461,Data_filtered!$A$2:$A$461,$A6,Data_filtered!$F$2:$F$461,K$1, Data_filtered!$D$2:$D$461,"mata",Data_filtered!$J$2:$J$461,"&lt;&gt;Incompleto")</f>
        <v>0</v>
      </c>
      <c r="L6" s="111">
        <f>SUMIFS(Data_filtered!$K$2:$K$461,Data_filtered!$A$2:$A$461,$A6,Data_filtered!$F$2:$F$461,L$1, Data_filtered!$D$2:$D$461,"mata",Data_filtered!$J$2:$J$461,"&lt;&gt;Incompleto")</f>
        <v>50.26548246</v>
      </c>
      <c r="M6" s="111">
        <f>SUMIFS(Data_filtered!$K$2:$K$461,Data_filtered!$A$2:$A$461,$A6,Data_filtered!$F$2:$F$461,M$1, Data_filtered!$D$2:$D$461,"mata",Data_filtered!$J$2:$J$461,"&lt;&gt;Incompleto")</f>
        <v>0</v>
      </c>
      <c r="N6" s="111">
        <f>SUMIFS(Data_filtered!$K$2:$K$461,Data_filtered!$A$2:$A$461,$A6,Data_filtered!$F$2:$F$461,N$1, Data_filtered!$D$2:$D$461,"mata",Data_filtered!$J$2:$J$461,"&lt;&gt;Incompleto")</f>
        <v>0</v>
      </c>
      <c r="O6" s="111">
        <f>SUMIFS(Data_filtered!$K$2:$K$461,Data_filtered!$A$2:$A$461,$A6,Data_filtered!$F$2:$F$461,O$1, Data_filtered!$D$2:$D$461,"mata",Data_filtered!$J$2:$J$461,"&lt;&gt;Incompleto")</f>
        <v>0</v>
      </c>
      <c r="P6" s="111">
        <f>SUMIFS(Data_filtered!$K$2:$K$461,Data_filtered!$A$2:$A$461,$A6,Data_filtered!$F$2:$F$461,P$1, Data_filtered!$D$2:$D$461,"mata",Data_filtered!$J$2:$J$461,"&lt;&gt;Incompleto")</f>
        <v>0</v>
      </c>
      <c r="Q6" s="111">
        <f>SUMIFS(Data_filtered!$K$2:$K$461,Data_filtered!$A$2:$A$461,$A6,Data_filtered!$F$2:$F$461,Q$1, Data_filtered!$D$2:$D$461,"mata",Data_filtered!$J$2:$J$461,"&lt;&gt;Incompleto")</f>
        <v>0</v>
      </c>
      <c r="R6" s="111">
        <f>SUMIFS(Data_filtered!$K$2:$K$461,Data_filtered!$A$2:$A$461,$A6,Data_filtered!$F$2:$F$461,R$1, Data_filtered!$D$2:$D$461,"mata",Data_filtered!$J$2:$J$461,"&lt;&gt;Incompleto")</f>
        <v>0</v>
      </c>
      <c r="S6" s="111">
        <f>SUMIFS(Data_filtered!$K$2:$K$461,Data_filtered!$A$2:$A$461,$A6,Data_filtered!$F$2:$F$461,S$1, Data_filtered!$D$2:$D$461,"mata",Data_filtered!$J$2:$J$461,"&lt;&gt;Incompleto")</f>
        <v>0</v>
      </c>
      <c r="T6" s="111">
        <f>SUMIFS(Data_filtered!$K$2:$K$461,Data_filtered!$A$2:$A$461,$A6,Data_filtered!$F$2:$F$461,T$1, Data_filtered!$D$2:$D$461,"mata",Data_filtered!$J$2:$J$461,"&lt;&gt;Incompleto")</f>
        <v>0</v>
      </c>
      <c r="U6" s="111">
        <f>SUMIFS(Data_filtered!$K$2:$K$461,Data_filtered!$A$2:$A$461,$A6,Data_filtered!$F$2:$F$461,U$1, Data_filtered!$D$2:$D$461,"mata",Data_filtered!$J$2:$J$461,"&lt;&gt;Incompleto")</f>
        <v>0</v>
      </c>
      <c r="V6" s="111">
        <f>SUMIFS(Data_filtered!$K$2:$K$461,Data_filtered!$A$2:$A$461,$A6,Data_filtered!$F$2:$F$461,V$1, Data_filtered!$D$2:$D$461,"mata",Data_filtered!$J$2:$J$461,"&lt;&gt;Incompleto")</f>
        <v>0</v>
      </c>
      <c r="W6" s="111">
        <f>SUMIFS(Data_filtered!$K$2:$K$461,Data_filtered!$A$2:$A$461,$A6,Data_filtered!$F$2:$F$461,W$1, Data_filtered!$D$2:$D$461,"mata",Data_filtered!$J$2:$J$461,"&lt;&gt;Incompleto")</f>
        <v>0</v>
      </c>
      <c r="X6" s="111">
        <f>SUMIFS(Data_filtered!$K$2:$K$461,Data_filtered!$A$2:$A$461,$A6,Data_filtered!$F$2:$F$461,X$1, Data_filtered!$D$2:$D$461,"mata",Data_filtered!$J$2:$J$461,"&lt;&gt;Incompleto")</f>
        <v>0</v>
      </c>
      <c r="Y6" s="111">
        <f>SUMIFS(Data_filtered!$K$2:$K$461,Data_filtered!$A$2:$A$461,$A6,Data_filtered!$F$2:$F$461,Y$1, Data_filtered!$D$2:$D$461,"mata",Data_filtered!$J$2:$J$461,"&lt;&gt;Incompleto")</f>
        <v>0</v>
      </c>
      <c r="Z6" s="111"/>
      <c r="AA6" s="111"/>
      <c r="AB6" s="111"/>
      <c r="AC6" s="111"/>
      <c r="AD6" s="111"/>
    </row>
    <row r="7">
      <c r="A7" s="9" t="str">
        <f>IFERROR(__xludf.DUMMYFUNCTION("""COMPUTED_VALUE"""),"Dendropsophus microps")</f>
        <v>Dendropsophus microps</v>
      </c>
      <c r="B7" s="111">
        <f>SUMIFS(Data_filtered!$K$2:$K$461,Data_filtered!$A$2:$A$461,$A7,Data_filtered!$F$2:$F$461,B$1, Data_filtered!$D$2:$D$461,"mata",Data_filtered!$J$2:$J$461,"&lt;&gt;Incompleto")</f>
        <v>0</v>
      </c>
      <c r="C7" s="111">
        <f>SUMIFS(Data_filtered!$K$2:$K$461,Data_filtered!$A$2:$A$461,$A7,Data_filtered!$F$2:$F$461,C$1, Data_filtered!$D$2:$D$461,"mata",Data_filtered!$J$2:$J$461,"&lt;&gt;Incompleto")</f>
        <v>12.56637061</v>
      </c>
      <c r="D7" s="111">
        <f>SUMIFS(Data_filtered!$K$2:$K$461,Data_filtered!$A$2:$A$461,$A7,Data_filtered!$F$2:$F$461,D$1, Data_filtered!$D$2:$D$461,"mata",Data_filtered!$J$2:$J$461,"&lt;&gt;Incompleto")</f>
        <v>0</v>
      </c>
      <c r="E7" s="111">
        <f>SUMIFS(Data_filtered!$K$2:$K$461,Data_filtered!$A$2:$A$461,$A7,Data_filtered!$F$2:$F$461,E$1, Data_filtered!$D$2:$D$461,"mata",Data_filtered!$J$2:$J$461,"&lt;&gt;Incompleto")</f>
        <v>0</v>
      </c>
      <c r="F7" s="111">
        <f>SUMIFS(Data_filtered!$K$2:$K$461,Data_filtered!$A$2:$A$461,$A7,Data_filtered!$F$2:$F$461,F$1, Data_filtered!$D$2:$D$461,"mata",Data_filtered!$J$2:$J$461,"&lt;&gt;Incompleto")</f>
        <v>129.8524963</v>
      </c>
      <c r="G7" s="111">
        <f>SUMIFS(Data_filtered!$K$2:$K$461,Data_filtered!$A$2:$A$461,$A7,Data_filtered!$F$2:$F$461,G$1, Data_filtered!$D$2:$D$461,"mata",Data_filtered!$J$2:$J$461,"&lt;&gt;Incompleto")</f>
        <v>0</v>
      </c>
      <c r="H7" s="111">
        <f>SUMIFS(Data_filtered!$K$2:$K$461,Data_filtered!$A$2:$A$461,$A7,Data_filtered!$F$2:$F$461,H$1, Data_filtered!$D$2:$D$461,"mata",Data_filtered!$J$2:$J$461,"&lt;&gt;Incompleto")</f>
        <v>0</v>
      </c>
      <c r="I7" s="111">
        <f>SUMIFS(Data_filtered!$K$2:$K$461,Data_filtered!$A$2:$A$461,$A7,Data_filtered!$F$2:$F$461,I$1, Data_filtered!$D$2:$D$461,"mata",Data_filtered!$J$2:$J$461,"&lt;&gt;Incompleto")</f>
        <v>0</v>
      </c>
      <c r="J7" s="111">
        <f>SUMIFS(Data_filtered!$K$2:$K$461,Data_filtered!$A$2:$A$461,$A7,Data_filtered!$F$2:$F$461,J$1, Data_filtered!$D$2:$D$461,"mata",Data_filtered!$J$2:$J$461,"&lt;&gt;Incompleto")</f>
        <v>0</v>
      </c>
      <c r="K7" s="111">
        <f>SUMIFS(Data_filtered!$K$2:$K$461,Data_filtered!$A$2:$A$461,$A7,Data_filtered!$F$2:$F$461,K$1, Data_filtered!$D$2:$D$461,"mata",Data_filtered!$J$2:$J$461,"&lt;&gt;Incompleto")</f>
        <v>0</v>
      </c>
      <c r="L7" s="111">
        <f>SUMIFS(Data_filtered!$K$2:$K$461,Data_filtered!$A$2:$A$461,$A7,Data_filtered!$F$2:$F$461,L$1, Data_filtered!$D$2:$D$461,"mata",Data_filtered!$J$2:$J$461,"&lt;&gt;Incompleto")</f>
        <v>0</v>
      </c>
      <c r="M7" s="111">
        <f>SUMIFS(Data_filtered!$K$2:$K$461,Data_filtered!$A$2:$A$461,$A7,Data_filtered!$F$2:$F$461,M$1, Data_filtered!$D$2:$D$461,"mata",Data_filtered!$J$2:$J$461,"&lt;&gt;Incompleto")</f>
        <v>0</v>
      </c>
      <c r="N7" s="111">
        <f>SUMIFS(Data_filtered!$K$2:$K$461,Data_filtered!$A$2:$A$461,$A7,Data_filtered!$F$2:$F$461,N$1, Data_filtered!$D$2:$D$461,"mata",Data_filtered!$J$2:$J$461,"&lt;&gt;Incompleto")</f>
        <v>0</v>
      </c>
      <c r="O7" s="111">
        <f>SUMIFS(Data_filtered!$K$2:$K$461,Data_filtered!$A$2:$A$461,$A7,Data_filtered!$F$2:$F$461,O$1, Data_filtered!$D$2:$D$461,"mata",Data_filtered!$J$2:$J$461,"&lt;&gt;Incompleto")</f>
        <v>0</v>
      </c>
      <c r="P7" s="111">
        <f>SUMIFS(Data_filtered!$K$2:$K$461,Data_filtered!$A$2:$A$461,$A7,Data_filtered!$F$2:$F$461,P$1, Data_filtered!$D$2:$D$461,"mata",Data_filtered!$J$2:$J$461,"&lt;&gt;Incompleto")</f>
        <v>326.725636</v>
      </c>
      <c r="Q7" s="111">
        <f>SUMIFS(Data_filtered!$K$2:$K$461,Data_filtered!$A$2:$A$461,$A7,Data_filtered!$F$2:$F$461,Q$1, Data_filtered!$D$2:$D$461,"mata",Data_filtered!$J$2:$J$461,"&lt;&gt;Incompleto")</f>
        <v>0</v>
      </c>
      <c r="R7" s="111">
        <f>SUMIFS(Data_filtered!$K$2:$K$461,Data_filtered!$A$2:$A$461,$A7,Data_filtered!$F$2:$F$461,R$1, Data_filtered!$D$2:$D$461,"mata",Data_filtered!$J$2:$J$461,"&lt;&gt;Incompleto")</f>
        <v>0</v>
      </c>
      <c r="S7" s="111">
        <f>SUMIFS(Data_filtered!$K$2:$K$461,Data_filtered!$A$2:$A$461,$A7,Data_filtered!$F$2:$F$461,S$1, Data_filtered!$D$2:$D$461,"mata",Data_filtered!$J$2:$J$461,"&lt;&gt;Incompleto")</f>
        <v>301.5928947</v>
      </c>
      <c r="T7" s="111">
        <f>SUMIFS(Data_filtered!$K$2:$K$461,Data_filtered!$A$2:$A$461,$A7,Data_filtered!$F$2:$F$461,T$1, Data_filtered!$D$2:$D$461,"mata",Data_filtered!$J$2:$J$461,"&lt;&gt;Incompleto")</f>
        <v>0</v>
      </c>
      <c r="U7" s="111">
        <f>SUMIFS(Data_filtered!$K$2:$K$461,Data_filtered!$A$2:$A$461,$A7,Data_filtered!$F$2:$F$461,U$1, Data_filtered!$D$2:$D$461,"mata",Data_filtered!$J$2:$J$461,"&lt;&gt;Incompleto")</f>
        <v>0</v>
      </c>
      <c r="V7" s="111">
        <f>SUMIFS(Data_filtered!$K$2:$K$461,Data_filtered!$A$2:$A$461,$A7,Data_filtered!$F$2:$F$461,V$1, Data_filtered!$D$2:$D$461,"mata",Data_filtered!$J$2:$J$461,"&lt;&gt;Incompleto")</f>
        <v>0</v>
      </c>
      <c r="W7" s="111">
        <f>SUMIFS(Data_filtered!$K$2:$K$461,Data_filtered!$A$2:$A$461,$A7,Data_filtered!$F$2:$F$461,W$1, Data_filtered!$D$2:$D$461,"mata",Data_filtered!$J$2:$J$461,"&lt;&gt;Incompleto")</f>
        <v>0</v>
      </c>
      <c r="X7" s="111">
        <f>SUMIFS(Data_filtered!$K$2:$K$461,Data_filtered!$A$2:$A$461,$A7,Data_filtered!$F$2:$F$461,X$1, Data_filtered!$D$2:$D$461,"mata",Data_filtered!$J$2:$J$461,"&lt;&gt;Incompleto")</f>
        <v>0</v>
      </c>
      <c r="Y7" s="111">
        <f>SUMIFS(Data_filtered!$K$2:$K$461,Data_filtered!$A$2:$A$461,$A7,Data_filtered!$F$2:$F$461,Y$1, Data_filtered!$D$2:$D$461,"mata",Data_filtered!$J$2:$J$461,"&lt;&gt;Incompleto")</f>
        <v>0</v>
      </c>
      <c r="Z7" s="111"/>
      <c r="AA7" s="111"/>
      <c r="AB7" s="111"/>
      <c r="AC7" s="111"/>
      <c r="AD7" s="111"/>
    </row>
    <row r="8">
      <c r="A8" s="9" t="str">
        <f>IFERROR(__xludf.DUMMYFUNCTION("""COMPUTED_VALUE"""),"Dendropsophus minutus")</f>
        <v>Dendropsophus minutus</v>
      </c>
      <c r="B8" s="111">
        <f>SUMIFS(Data_filtered!$K$2:$K$461,Data_filtered!$A$2:$A$461,$A8,Data_filtered!$F$2:$F$461,B$1, Data_filtered!$D$2:$D$461,"mata",Data_filtered!$J$2:$J$461,"&lt;&gt;Incompleto")</f>
        <v>0</v>
      </c>
      <c r="C8" s="111">
        <f>SUMIFS(Data_filtered!$K$2:$K$461,Data_filtered!$A$2:$A$461,$A8,Data_filtered!$F$2:$F$461,C$1, Data_filtered!$D$2:$D$461,"mata",Data_filtered!$J$2:$J$461,"&lt;&gt;Incompleto")</f>
        <v>0</v>
      </c>
      <c r="D8" s="111">
        <f>SUMIFS(Data_filtered!$K$2:$K$461,Data_filtered!$A$2:$A$461,$A8,Data_filtered!$F$2:$F$461,D$1, Data_filtered!$D$2:$D$461,"mata",Data_filtered!$J$2:$J$461,"&lt;&gt;Incompleto")</f>
        <v>0</v>
      </c>
      <c r="E8" s="111">
        <f>SUMIFS(Data_filtered!$K$2:$K$461,Data_filtered!$A$2:$A$461,$A8,Data_filtered!$F$2:$F$461,E$1, Data_filtered!$D$2:$D$461,"mata",Data_filtered!$J$2:$J$461,"&lt;&gt;Incompleto")</f>
        <v>0</v>
      </c>
      <c r="F8" s="111">
        <f>SUMIFS(Data_filtered!$K$2:$K$461,Data_filtered!$A$2:$A$461,$A8,Data_filtered!$F$2:$F$461,F$1, Data_filtered!$D$2:$D$461,"mata",Data_filtered!$J$2:$J$461,"&lt;&gt;Incompleto")</f>
        <v>0</v>
      </c>
      <c r="G8" s="111">
        <f>SUMIFS(Data_filtered!$K$2:$K$461,Data_filtered!$A$2:$A$461,$A8,Data_filtered!$F$2:$F$461,G$1, Data_filtered!$D$2:$D$461,"mata",Data_filtered!$J$2:$J$461,"&lt;&gt;Incompleto")</f>
        <v>0</v>
      </c>
      <c r="H8" s="111">
        <f>SUMIFS(Data_filtered!$K$2:$K$461,Data_filtered!$A$2:$A$461,$A8,Data_filtered!$F$2:$F$461,H$1, Data_filtered!$D$2:$D$461,"mata",Data_filtered!$J$2:$J$461,"&lt;&gt;Incompleto")</f>
        <v>0</v>
      </c>
      <c r="I8" s="111">
        <f>SUMIFS(Data_filtered!$K$2:$K$461,Data_filtered!$A$2:$A$461,$A8,Data_filtered!$F$2:$F$461,I$1, Data_filtered!$D$2:$D$461,"mata",Data_filtered!$J$2:$J$461,"&lt;&gt;Incompleto")</f>
        <v>0</v>
      </c>
      <c r="J8" s="111">
        <f>SUMIFS(Data_filtered!$K$2:$K$461,Data_filtered!$A$2:$A$461,$A8,Data_filtered!$F$2:$F$461,J$1, Data_filtered!$D$2:$D$461,"mata",Data_filtered!$J$2:$J$461,"&lt;&gt;Incompleto")</f>
        <v>0</v>
      </c>
      <c r="K8" s="111">
        <f>SUMIFS(Data_filtered!$K$2:$K$461,Data_filtered!$A$2:$A$461,$A8,Data_filtered!$F$2:$F$461,K$1, Data_filtered!$D$2:$D$461,"mata",Data_filtered!$J$2:$J$461,"&lt;&gt;Incompleto")</f>
        <v>0</v>
      </c>
      <c r="L8" s="111">
        <f>SUMIFS(Data_filtered!$K$2:$K$461,Data_filtered!$A$2:$A$461,$A8,Data_filtered!$F$2:$F$461,L$1, Data_filtered!$D$2:$D$461,"mata",Data_filtered!$J$2:$J$461,"&lt;&gt;Incompleto")</f>
        <v>0</v>
      </c>
      <c r="M8" s="111">
        <f>SUMIFS(Data_filtered!$K$2:$K$461,Data_filtered!$A$2:$A$461,$A8,Data_filtered!$F$2:$F$461,M$1, Data_filtered!$D$2:$D$461,"mata",Data_filtered!$J$2:$J$461,"&lt;&gt;Incompleto")</f>
        <v>0</v>
      </c>
      <c r="N8" s="111">
        <f>SUMIFS(Data_filtered!$K$2:$K$461,Data_filtered!$A$2:$A$461,$A8,Data_filtered!$F$2:$F$461,N$1, Data_filtered!$D$2:$D$461,"mata",Data_filtered!$J$2:$J$461,"&lt;&gt;Incompleto")</f>
        <v>0</v>
      </c>
      <c r="O8" s="111">
        <f>SUMIFS(Data_filtered!$K$2:$K$461,Data_filtered!$A$2:$A$461,$A8,Data_filtered!$F$2:$F$461,O$1, Data_filtered!$D$2:$D$461,"mata",Data_filtered!$J$2:$J$461,"&lt;&gt;Incompleto")</f>
        <v>0</v>
      </c>
      <c r="P8" s="111">
        <f>SUMIFS(Data_filtered!$K$2:$K$461,Data_filtered!$A$2:$A$461,$A8,Data_filtered!$F$2:$F$461,P$1, Data_filtered!$D$2:$D$461,"mata",Data_filtered!$J$2:$J$461,"&lt;&gt;Incompleto")</f>
        <v>0</v>
      </c>
      <c r="Q8" s="111">
        <f>SUMIFS(Data_filtered!$K$2:$K$461,Data_filtered!$A$2:$A$461,$A8,Data_filtered!$F$2:$F$461,Q$1, Data_filtered!$D$2:$D$461,"mata",Data_filtered!$J$2:$J$461,"&lt;&gt;Incompleto")</f>
        <v>0</v>
      </c>
      <c r="R8" s="111">
        <f>SUMIFS(Data_filtered!$K$2:$K$461,Data_filtered!$A$2:$A$461,$A8,Data_filtered!$F$2:$F$461,R$1, Data_filtered!$D$2:$D$461,"mata",Data_filtered!$J$2:$J$461,"&lt;&gt;Incompleto")</f>
        <v>0</v>
      </c>
      <c r="S8" s="111">
        <f>SUMIFS(Data_filtered!$K$2:$K$461,Data_filtered!$A$2:$A$461,$A8,Data_filtered!$F$2:$F$461,S$1, Data_filtered!$D$2:$D$461,"mata",Data_filtered!$J$2:$J$461,"&lt;&gt;Incompleto")</f>
        <v>0</v>
      </c>
      <c r="T8" s="111">
        <f>SUMIFS(Data_filtered!$K$2:$K$461,Data_filtered!$A$2:$A$461,$A8,Data_filtered!$F$2:$F$461,T$1, Data_filtered!$D$2:$D$461,"mata",Data_filtered!$J$2:$J$461,"&lt;&gt;Incompleto")</f>
        <v>0</v>
      </c>
      <c r="U8" s="111">
        <f>SUMIFS(Data_filtered!$K$2:$K$461,Data_filtered!$A$2:$A$461,$A8,Data_filtered!$F$2:$F$461,U$1, Data_filtered!$D$2:$D$461,"mata",Data_filtered!$J$2:$J$461,"&lt;&gt;Incompleto")</f>
        <v>0</v>
      </c>
      <c r="V8" s="111">
        <f>SUMIFS(Data_filtered!$K$2:$K$461,Data_filtered!$A$2:$A$461,$A8,Data_filtered!$F$2:$F$461,V$1, Data_filtered!$D$2:$D$461,"mata",Data_filtered!$J$2:$J$461,"&lt;&gt;Incompleto")</f>
        <v>0</v>
      </c>
      <c r="W8" s="111">
        <f>SUMIFS(Data_filtered!$K$2:$K$461,Data_filtered!$A$2:$A$461,$A8,Data_filtered!$F$2:$F$461,W$1, Data_filtered!$D$2:$D$461,"mata",Data_filtered!$J$2:$J$461,"&lt;&gt;Incompleto")</f>
        <v>0</v>
      </c>
      <c r="X8" s="111">
        <f>SUMIFS(Data_filtered!$K$2:$K$461,Data_filtered!$A$2:$A$461,$A8,Data_filtered!$F$2:$F$461,X$1, Data_filtered!$D$2:$D$461,"mata",Data_filtered!$J$2:$J$461,"&lt;&gt;Incompleto")</f>
        <v>1.047197551</v>
      </c>
      <c r="Y8" s="111">
        <f>SUMIFS(Data_filtered!$K$2:$K$461,Data_filtered!$A$2:$A$461,$A8,Data_filtered!$F$2:$F$461,Y$1, Data_filtered!$D$2:$D$461,"mata",Data_filtered!$J$2:$J$461,"&lt;&gt;Incompleto")</f>
        <v>0</v>
      </c>
      <c r="Z8" s="111"/>
      <c r="AA8" s="111"/>
      <c r="AB8" s="111"/>
      <c r="AC8" s="111"/>
      <c r="AD8" s="111"/>
    </row>
    <row r="9">
      <c r="A9" s="9" t="str">
        <f>IFERROR(__xludf.DUMMYFUNCTION("""COMPUTED_VALUE"""),"Hylodes aff. sazimai")</f>
        <v>Hylodes aff. sazimai</v>
      </c>
      <c r="B9" s="111">
        <f>SUMIFS(Data_filtered!$K$2:$K$461,Data_filtered!$A$2:$A$461,$A9,Data_filtered!$F$2:$F$461,B$1, Data_filtered!$D$2:$D$461,"mata",Data_filtered!$J$2:$J$461,"&lt;&gt;Incompleto")</f>
        <v>0</v>
      </c>
      <c r="C9" s="111">
        <f>SUMIFS(Data_filtered!$K$2:$K$461,Data_filtered!$A$2:$A$461,$A9,Data_filtered!$F$2:$F$461,C$1, Data_filtered!$D$2:$D$461,"mata",Data_filtered!$J$2:$J$461,"&lt;&gt;Incompleto")</f>
        <v>12.56637061</v>
      </c>
      <c r="D9" s="111">
        <f>SUMIFS(Data_filtered!$K$2:$K$461,Data_filtered!$A$2:$A$461,$A9,Data_filtered!$F$2:$F$461,D$1, Data_filtered!$D$2:$D$461,"mata",Data_filtered!$J$2:$J$461,"&lt;&gt;Incompleto")</f>
        <v>0</v>
      </c>
      <c r="E9" s="111">
        <f>SUMIFS(Data_filtered!$K$2:$K$461,Data_filtered!$A$2:$A$461,$A9,Data_filtered!$F$2:$F$461,E$1, Data_filtered!$D$2:$D$461,"mata",Data_filtered!$J$2:$J$461,"&lt;&gt;Incompleto")</f>
        <v>0</v>
      </c>
      <c r="F9" s="111">
        <f>SUMIFS(Data_filtered!$K$2:$K$461,Data_filtered!$A$2:$A$461,$A9,Data_filtered!$F$2:$F$461,F$1, Data_filtered!$D$2:$D$461,"mata",Data_filtered!$J$2:$J$461,"&lt;&gt;Incompleto")</f>
        <v>100.5309649</v>
      </c>
      <c r="G9" s="111">
        <f>SUMIFS(Data_filtered!$K$2:$K$461,Data_filtered!$A$2:$A$461,$A9,Data_filtered!$F$2:$F$461,G$1, Data_filtered!$D$2:$D$461,"mata",Data_filtered!$J$2:$J$461,"&lt;&gt;Incompleto")</f>
        <v>0</v>
      </c>
      <c r="H9" s="111">
        <f>SUMIFS(Data_filtered!$K$2:$K$461,Data_filtered!$A$2:$A$461,$A9,Data_filtered!$F$2:$F$461,H$1, Data_filtered!$D$2:$D$461,"mata",Data_filtered!$J$2:$J$461,"&lt;&gt;Incompleto")</f>
        <v>50.26548246</v>
      </c>
      <c r="I9" s="111">
        <f>SUMIFS(Data_filtered!$K$2:$K$461,Data_filtered!$A$2:$A$461,$A9,Data_filtered!$F$2:$F$461,I$1, Data_filtered!$D$2:$D$461,"mata",Data_filtered!$J$2:$J$461,"&lt;&gt;Incompleto")</f>
        <v>0</v>
      </c>
      <c r="J9" s="111">
        <f>SUMIFS(Data_filtered!$K$2:$K$461,Data_filtered!$A$2:$A$461,$A9,Data_filtered!$F$2:$F$461,J$1, Data_filtered!$D$2:$D$461,"mata",Data_filtered!$J$2:$J$461,"&lt;&gt;Incompleto")</f>
        <v>0</v>
      </c>
      <c r="K9" s="111">
        <f>SUMIFS(Data_filtered!$K$2:$K$461,Data_filtered!$A$2:$A$461,$A9,Data_filtered!$F$2:$F$461,K$1, Data_filtered!$D$2:$D$461,"mata",Data_filtered!$J$2:$J$461,"&lt;&gt;Incompleto")</f>
        <v>0</v>
      </c>
      <c r="L9" s="111">
        <f>SUMIFS(Data_filtered!$K$2:$K$461,Data_filtered!$A$2:$A$461,$A9,Data_filtered!$F$2:$F$461,L$1, Data_filtered!$D$2:$D$461,"mata",Data_filtered!$J$2:$J$461,"&lt;&gt;Incompleto")</f>
        <v>0</v>
      </c>
      <c r="M9" s="111">
        <f>SUMIFS(Data_filtered!$K$2:$K$461,Data_filtered!$A$2:$A$461,$A9,Data_filtered!$F$2:$F$461,M$1, Data_filtered!$D$2:$D$461,"mata",Data_filtered!$J$2:$J$461,"&lt;&gt;Incompleto")</f>
        <v>0</v>
      </c>
      <c r="N9" s="111">
        <f>SUMIFS(Data_filtered!$K$2:$K$461,Data_filtered!$A$2:$A$461,$A9,Data_filtered!$F$2:$F$461,N$1, Data_filtered!$D$2:$D$461,"mata",Data_filtered!$J$2:$J$461,"&lt;&gt;Incompleto")</f>
        <v>0</v>
      </c>
      <c r="O9" s="111">
        <f>SUMIFS(Data_filtered!$K$2:$K$461,Data_filtered!$A$2:$A$461,$A9,Data_filtered!$F$2:$F$461,O$1, Data_filtered!$D$2:$D$461,"mata",Data_filtered!$J$2:$J$461,"&lt;&gt;Incompleto")</f>
        <v>0</v>
      </c>
      <c r="P9" s="111">
        <f>SUMIFS(Data_filtered!$K$2:$K$461,Data_filtered!$A$2:$A$461,$A9,Data_filtered!$F$2:$F$461,P$1, Data_filtered!$D$2:$D$461,"mata",Data_filtered!$J$2:$J$461,"&lt;&gt;Incompleto")</f>
        <v>0</v>
      </c>
      <c r="Q9" s="111">
        <f>SUMIFS(Data_filtered!$K$2:$K$461,Data_filtered!$A$2:$A$461,$A9,Data_filtered!$F$2:$F$461,Q$1, Data_filtered!$D$2:$D$461,"mata",Data_filtered!$J$2:$J$461,"&lt;&gt;Incompleto")</f>
        <v>0</v>
      </c>
      <c r="R9" s="111">
        <f>SUMIFS(Data_filtered!$K$2:$K$461,Data_filtered!$A$2:$A$461,$A9,Data_filtered!$F$2:$F$461,R$1, Data_filtered!$D$2:$D$461,"mata",Data_filtered!$J$2:$J$461,"&lt;&gt;Incompleto")</f>
        <v>0</v>
      </c>
      <c r="S9" s="111">
        <f>SUMIFS(Data_filtered!$K$2:$K$461,Data_filtered!$A$2:$A$461,$A9,Data_filtered!$F$2:$F$461,S$1, Data_filtered!$D$2:$D$461,"mata",Data_filtered!$J$2:$J$461,"&lt;&gt;Incompleto")</f>
        <v>0</v>
      </c>
      <c r="T9" s="111">
        <f>SUMIFS(Data_filtered!$K$2:$K$461,Data_filtered!$A$2:$A$461,$A9,Data_filtered!$F$2:$F$461,T$1, Data_filtered!$D$2:$D$461,"mata",Data_filtered!$J$2:$J$461,"&lt;&gt;Incompleto")</f>
        <v>0</v>
      </c>
      <c r="U9" s="111">
        <f>SUMIFS(Data_filtered!$K$2:$K$461,Data_filtered!$A$2:$A$461,$A9,Data_filtered!$F$2:$F$461,U$1, Data_filtered!$D$2:$D$461,"mata",Data_filtered!$J$2:$J$461,"&lt;&gt;Incompleto")</f>
        <v>0</v>
      </c>
      <c r="V9" s="111">
        <f>SUMIFS(Data_filtered!$K$2:$K$461,Data_filtered!$A$2:$A$461,$A9,Data_filtered!$F$2:$F$461,V$1, Data_filtered!$D$2:$D$461,"mata",Data_filtered!$J$2:$J$461,"&lt;&gt;Incompleto")</f>
        <v>0</v>
      </c>
      <c r="W9" s="111">
        <f>SUMIFS(Data_filtered!$K$2:$K$461,Data_filtered!$A$2:$A$461,$A9,Data_filtered!$F$2:$F$461,W$1, Data_filtered!$D$2:$D$461,"mata",Data_filtered!$J$2:$J$461,"&lt;&gt;Incompleto")</f>
        <v>0</v>
      </c>
      <c r="X9" s="111">
        <f>SUMIFS(Data_filtered!$K$2:$K$461,Data_filtered!$A$2:$A$461,$A9,Data_filtered!$F$2:$F$461,X$1, Data_filtered!$D$2:$D$461,"mata",Data_filtered!$J$2:$J$461,"&lt;&gt;Incompleto")</f>
        <v>0</v>
      </c>
      <c r="Y9" s="111">
        <f>SUMIFS(Data_filtered!$K$2:$K$461,Data_filtered!$A$2:$A$461,$A9,Data_filtered!$F$2:$F$461,Y$1, Data_filtered!$D$2:$D$461,"mata",Data_filtered!$J$2:$J$461,"&lt;&gt;Incompleto")</f>
        <v>100.5309649</v>
      </c>
      <c r="Z9" s="111"/>
      <c r="AA9" s="111"/>
      <c r="AB9" s="111"/>
      <c r="AC9" s="111"/>
      <c r="AD9" s="111"/>
    </row>
    <row r="10">
      <c r="A10" s="9" t="str">
        <f>IFERROR(__xludf.DUMMYFUNCTION("""COMPUTED_VALUE"""),"Ischnocnema guentheri")</f>
        <v>Ischnocnema guentheri</v>
      </c>
      <c r="B10" s="111">
        <f>SUMIFS(Data_filtered!$K$2:$K$461,Data_filtered!$A$2:$A$461,$A10,Data_filtered!$F$2:$F$461,B$1, Data_filtered!$D$2:$D$461,"mata",Data_filtered!$J$2:$J$461,"&lt;&gt;Incompleto")</f>
        <v>0</v>
      </c>
      <c r="C10" s="111">
        <f>SUMIFS(Data_filtered!$K$2:$K$461,Data_filtered!$A$2:$A$461,$A10,Data_filtered!$F$2:$F$461,C$1, Data_filtered!$D$2:$D$461,"mata",Data_filtered!$J$2:$J$461,"&lt;&gt;Incompleto")</f>
        <v>104.7197551</v>
      </c>
      <c r="D10" s="111">
        <f>SUMIFS(Data_filtered!$K$2:$K$461,Data_filtered!$A$2:$A$461,$A10,Data_filtered!$F$2:$F$461,D$1, Data_filtered!$D$2:$D$461,"mata",Data_filtered!$J$2:$J$461,"&lt;&gt;Incompleto")</f>
        <v>0</v>
      </c>
      <c r="E10" s="111">
        <f>SUMIFS(Data_filtered!$K$2:$K$461,Data_filtered!$A$2:$A$461,$A10,Data_filtered!$F$2:$F$461,E$1, Data_filtered!$D$2:$D$461,"mata",Data_filtered!$J$2:$J$461,"&lt;&gt;Incompleto")</f>
        <v>0</v>
      </c>
      <c r="F10" s="111">
        <f>SUMIFS(Data_filtered!$K$2:$K$461,Data_filtered!$A$2:$A$461,$A10,Data_filtered!$F$2:$F$461,F$1, Data_filtered!$D$2:$D$461,"mata",Data_filtered!$J$2:$J$461,"&lt;&gt;Incompleto")</f>
        <v>871.2683626</v>
      </c>
      <c r="G10" s="111">
        <f>SUMIFS(Data_filtered!$K$2:$K$461,Data_filtered!$A$2:$A$461,$A10,Data_filtered!$F$2:$F$461,G$1, Data_filtered!$D$2:$D$461,"mata",Data_filtered!$J$2:$J$461,"&lt;&gt;Incompleto")</f>
        <v>0</v>
      </c>
      <c r="H10" s="111">
        <f>SUMIFS(Data_filtered!$K$2:$K$461,Data_filtered!$A$2:$A$461,$A10,Data_filtered!$F$2:$F$461,H$1, Data_filtered!$D$2:$D$461,"mata",Data_filtered!$J$2:$J$461,"&lt;&gt;Incompleto")</f>
        <v>0</v>
      </c>
      <c r="I10" s="111">
        <f>SUMIFS(Data_filtered!$K$2:$K$461,Data_filtered!$A$2:$A$461,$A10,Data_filtered!$F$2:$F$461,I$1, Data_filtered!$D$2:$D$461,"mata",Data_filtered!$J$2:$J$461,"&lt;&gt;Incompleto")</f>
        <v>376.9911184</v>
      </c>
      <c r="J10" s="111">
        <f>SUMIFS(Data_filtered!$K$2:$K$461,Data_filtered!$A$2:$A$461,$A10,Data_filtered!$F$2:$F$461,J$1, Data_filtered!$D$2:$D$461,"mata",Data_filtered!$J$2:$J$461,"&lt;&gt;Incompleto")</f>
        <v>0</v>
      </c>
      <c r="K10" s="111">
        <f>SUMIFS(Data_filtered!$K$2:$K$461,Data_filtered!$A$2:$A$461,$A10,Data_filtered!$F$2:$F$461,K$1, Data_filtered!$D$2:$D$461,"mata",Data_filtered!$J$2:$J$461,"&lt;&gt;Incompleto")</f>
        <v>0</v>
      </c>
      <c r="L10" s="111">
        <f>SUMIFS(Data_filtered!$K$2:$K$461,Data_filtered!$A$2:$A$461,$A10,Data_filtered!$F$2:$F$461,L$1, Data_filtered!$D$2:$D$461,"mata",Data_filtered!$J$2:$J$461,"&lt;&gt;Incompleto")</f>
        <v>83.7758041</v>
      </c>
      <c r="M10" s="111">
        <f>SUMIFS(Data_filtered!$K$2:$K$461,Data_filtered!$A$2:$A$461,$A10,Data_filtered!$F$2:$F$461,M$1, Data_filtered!$D$2:$D$461,"mata",Data_filtered!$J$2:$J$461,"&lt;&gt;Incompleto")</f>
        <v>0</v>
      </c>
      <c r="N10" s="111">
        <f>SUMIFS(Data_filtered!$K$2:$K$461,Data_filtered!$A$2:$A$461,$A10,Data_filtered!$F$2:$F$461,N$1, Data_filtered!$D$2:$D$461,"mata",Data_filtered!$J$2:$J$461,"&lt;&gt;Incompleto")</f>
        <v>0</v>
      </c>
      <c r="O10" s="111">
        <f>SUMIFS(Data_filtered!$K$2:$K$461,Data_filtered!$A$2:$A$461,$A10,Data_filtered!$F$2:$F$461,O$1, Data_filtered!$D$2:$D$461,"mata",Data_filtered!$J$2:$J$461,"&lt;&gt;Incompleto")</f>
        <v>0</v>
      </c>
      <c r="P10" s="111">
        <f>SUMIFS(Data_filtered!$K$2:$K$461,Data_filtered!$A$2:$A$461,$A10,Data_filtered!$F$2:$F$461,P$1, Data_filtered!$D$2:$D$461,"mata",Data_filtered!$J$2:$J$461,"&lt;&gt;Incompleto")</f>
        <v>0</v>
      </c>
      <c r="Q10" s="111">
        <f>SUMIFS(Data_filtered!$K$2:$K$461,Data_filtered!$A$2:$A$461,$A10,Data_filtered!$F$2:$F$461,Q$1, Data_filtered!$D$2:$D$461,"mata",Data_filtered!$J$2:$J$461,"&lt;&gt;Incompleto")</f>
        <v>0</v>
      </c>
      <c r="R10" s="111">
        <f>SUMIFS(Data_filtered!$K$2:$K$461,Data_filtered!$A$2:$A$461,$A10,Data_filtered!$F$2:$F$461,R$1, Data_filtered!$D$2:$D$461,"mata",Data_filtered!$J$2:$J$461,"&lt;&gt;Incompleto")</f>
        <v>0</v>
      </c>
      <c r="S10" s="111">
        <f>SUMIFS(Data_filtered!$K$2:$K$461,Data_filtered!$A$2:$A$461,$A10,Data_filtered!$F$2:$F$461,S$1, Data_filtered!$D$2:$D$461,"mata",Data_filtered!$J$2:$J$461,"&lt;&gt;Incompleto")</f>
        <v>0</v>
      </c>
      <c r="T10" s="111">
        <f>SUMIFS(Data_filtered!$K$2:$K$461,Data_filtered!$A$2:$A$461,$A10,Data_filtered!$F$2:$F$461,T$1, Data_filtered!$D$2:$D$461,"mata",Data_filtered!$J$2:$J$461,"&lt;&gt;Incompleto")</f>
        <v>0</v>
      </c>
      <c r="U10" s="111">
        <f>SUMIFS(Data_filtered!$K$2:$K$461,Data_filtered!$A$2:$A$461,$A10,Data_filtered!$F$2:$F$461,U$1, Data_filtered!$D$2:$D$461,"mata",Data_filtered!$J$2:$J$461,"&lt;&gt;Incompleto")</f>
        <v>0</v>
      </c>
      <c r="V10" s="111">
        <f>SUMIFS(Data_filtered!$K$2:$K$461,Data_filtered!$A$2:$A$461,$A10,Data_filtered!$F$2:$F$461,V$1, Data_filtered!$D$2:$D$461,"mata",Data_filtered!$J$2:$J$461,"&lt;&gt;Incompleto")</f>
        <v>0</v>
      </c>
      <c r="W10" s="111">
        <f>SUMIFS(Data_filtered!$K$2:$K$461,Data_filtered!$A$2:$A$461,$A10,Data_filtered!$F$2:$F$461,W$1, Data_filtered!$D$2:$D$461,"mata",Data_filtered!$J$2:$J$461,"&lt;&gt;Incompleto")</f>
        <v>0</v>
      </c>
      <c r="X10" s="111">
        <f>SUMIFS(Data_filtered!$K$2:$K$461,Data_filtered!$A$2:$A$461,$A10,Data_filtered!$F$2:$F$461,X$1, Data_filtered!$D$2:$D$461,"mata",Data_filtered!$J$2:$J$461,"&lt;&gt;Incompleto")</f>
        <v>0</v>
      </c>
      <c r="Y10" s="111">
        <f>SUMIFS(Data_filtered!$K$2:$K$461,Data_filtered!$A$2:$A$461,$A10,Data_filtered!$F$2:$F$461,Y$1, Data_filtered!$D$2:$D$461,"mata",Data_filtered!$J$2:$J$461,"&lt;&gt;Incompleto")</f>
        <v>0</v>
      </c>
      <c r="Z10" s="111"/>
      <c r="AA10" s="111"/>
      <c r="AB10" s="111"/>
      <c r="AC10" s="111"/>
      <c r="AD10" s="111"/>
    </row>
    <row r="11">
      <c r="A11" s="9" t="str">
        <f>IFERROR(__xludf.DUMMYFUNCTION("""COMPUTED_VALUE"""),"Ischnocnema holti")</f>
        <v>Ischnocnema holti</v>
      </c>
      <c r="B11" s="111">
        <f>SUMIFS(Data_filtered!$K$2:$K$461,Data_filtered!$A$2:$A$461,$A11,Data_filtered!$F$2:$F$461,B$1, Data_filtered!$D$2:$D$461,"mata",Data_filtered!$J$2:$J$461,"&lt;&gt;Incompleto")</f>
        <v>0</v>
      </c>
      <c r="C11" s="111">
        <f>SUMIFS(Data_filtered!$K$2:$K$461,Data_filtered!$A$2:$A$461,$A11,Data_filtered!$F$2:$F$461,C$1, Data_filtered!$D$2:$D$461,"mata",Data_filtered!$J$2:$J$461,"&lt;&gt;Incompleto")</f>
        <v>0</v>
      </c>
      <c r="D11" s="111">
        <f>SUMIFS(Data_filtered!$K$2:$K$461,Data_filtered!$A$2:$A$461,$A11,Data_filtered!$F$2:$F$461,D$1, Data_filtered!$D$2:$D$461,"mata",Data_filtered!$J$2:$J$461,"&lt;&gt;Incompleto")</f>
        <v>33.51032164</v>
      </c>
      <c r="E11" s="111">
        <f>SUMIFS(Data_filtered!$K$2:$K$461,Data_filtered!$A$2:$A$461,$A11,Data_filtered!$F$2:$F$461,E$1, Data_filtered!$D$2:$D$461,"mata",Data_filtered!$J$2:$J$461,"&lt;&gt;Incompleto")</f>
        <v>0</v>
      </c>
      <c r="F11" s="111">
        <f>SUMIFS(Data_filtered!$K$2:$K$461,Data_filtered!$A$2:$A$461,$A11,Data_filtered!$F$2:$F$461,F$1, Data_filtered!$D$2:$D$461,"mata",Data_filtered!$J$2:$J$461,"&lt;&gt;Incompleto")</f>
        <v>142.418867</v>
      </c>
      <c r="G11" s="111">
        <f>SUMIFS(Data_filtered!$K$2:$K$461,Data_filtered!$A$2:$A$461,$A11,Data_filtered!$F$2:$F$461,G$1, Data_filtered!$D$2:$D$461,"mata",Data_filtered!$J$2:$J$461,"&lt;&gt;Incompleto")</f>
        <v>5.235987756</v>
      </c>
      <c r="H11" s="111">
        <f>SUMIFS(Data_filtered!$K$2:$K$461,Data_filtered!$A$2:$A$461,$A11,Data_filtered!$F$2:$F$461,H$1, Data_filtered!$D$2:$D$461,"mata",Data_filtered!$J$2:$J$461,"&lt;&gt;Incompleto")</f>
        <v>0</v>
      </c>
      <c r="I11" s="111">
        <f>SUMIFS(Data_filtered!$K$2:$K$461,Data_filtered!$A$2:$A$461,$A11,Data_filtered!$F$2:$F$461,I$1, Data_filtered!$D$2:$D$461,"mata",Data_filtered!$J$2:$J$461,"&lt;&gt;Incompleto")</f>
        <v>0</v>
      </c>
      <c r="J11" s="111">
        <f>SUMIFS(Data_filtered!$K$2:$K$461,Data_filtered!$A$2:$A$461,$A11,Data_filtered!$F$2:$F$461,J$1, Data_filtered!$D$2:$D$461,"mata",Data_filtered!$J$2:$J$461,"&lt;&gt;Incompleto")</f>
        <v>0</v>
      </c>
      <c r="K11" s="111">
        <f>SUMIFS(Data_filtered!$K$2:$K$461,Data_filtered!$A$2:$A$461,$A11,Data_filtered!$F$2:$F$461,K$1, Data_filtered!$D$2:$D$461,"mata",Data_filtered!$J$2:$J$461,"&lt;&gt;Incompleto")</f>
        <v>0</v>
      </c>
      <c r="L11" s="111">
        <f>SUMIFS(Data_filtered!$K$2:$K$461,Data_filtered!$A$2:$A$461,$A11,Data_filtered!$F$2:$F$461,L$1, Data_filtered!$D$2:$D$461,"mata",Data_filtered!$J$2:$J$461,"&lt;&gt;Incompleto")</f>
        <v>0</v>
      </c>
      <c r="M11" s="111">
        <f>SUMIFS(Data_filtered!$K$2:$K$461,Data_filtered!$A$2:$A$461,$A11,Data_filtered!$F$2:$F$461,M$1, Data_filtered!$D$2:$D$461,"mata",Data_filtered!$J$2:$J$461,"&lt;&gt;Incompleto")</f>
        <v>0</v>
      </c>
      <c r="N11" s="111">
        <f>SUMIFS(Data_filtered!$K$2:$K$461,Data_filtered!$A$2:$A$461,$A11,Data_filtered!$F$2:$F$461,N$1, Data_filtered!$D$2:$D$461,"mata",Data_filtered!$J$2:$J$461,"&lt;&gt;Incompleto")</f>
        <v>8.37758041</v>
      </c>
      <c r="O11" s="111">
        <f>SUMIFS(Data_filtered!$K$2:$K$461,Data_filtered!$A$2:$A$461,$A11,Data_filtered!$F$2:$F$461,O$1, Data_filtered!$D$2:$D$461,"mata",Data_filtered!$J$2:$J$461,"&lt;&gt;Incompleto")</f>
        <v>0</v>
      </c>
      <c r="P11" s="111">
        <f>SUMIFS(Data_filtered!$K$2:$K$461,Data_filtered!$A$2:$A$461,$A11,Data_filtered!$F$2:$F$461,P$1, Data_filtered!$D$2:$D$461,"mata",Data_filtered!$J$2:$J$461,"&lt;&gt;Incompleto")</f>
        <v>0</v>
      </c>
      <c r="Q11" s="111">
        <f>SUMIFS(Data_filtered!$K$2:$K$461,Data_filtered!$A$2:$A$461,$A11,Data_filtered!$F$2:$F$461,Q$1, Data_filtered!$D$2:$D$461,"mata",Data_filtered!$J$2:$J$461,"&lt;&gt;Incompleto")</f>
        <v>0</v>
      </c>
      <c r="R11" s="111">
        <f>SUMIFS(Data_filtered!$K$2:$K$461,Data_filtered!$A$2:$A$461,$A11,Data_filtered!$F$2:$F$461,R$1, Data_filtered!$D$2:$D$461,"mata",Data_filtered!$J$2:$J$461,"&lt;&gt;Incompleto")</f>
        <v>0</v>
      </c>
      <c r="S11" s="111">
        <f>SUMIFS(Data_filtered!$K$2:$K$461,Data_filtered!$A$2:$A$461,$A11,Data_filtered!$F$2:$F$461,S$1, Data_filtered!$D$2:$D$461,"mata",Data_filtered!$J$2:$J$461,"&lt;&gt;Incompleto")</f>
        <v>0</v>
      </c>
      <c r="T11" s="111">
        <f>SUMIFS(Data_filtered!$K$2:$K$461,Data_filtered!$A$2:$A$461,$A11,Data_filtered!$F$2:$F$461,T$1, Data_filtered!$D$2:$D$461,"mata",Data_filtered!$J$2:$J$461,"&lt;&gt;Incompleto")</f>
        <v>0</v>
      </c>
      <c r="U11" s="111">
        <f>SUMIFS(Data_filtered!$K$2:$K$461,Data_filtered!$A$2:$A$461,$A11,Data_filtered!$F$2:$F$461,U$1, Data_filtered!$D$2:$D$461,"mata",Data_filtered!$J$2:$J$461,"&lt;&gt;Incompleto")</f>
        <v>0</v>
      </c>
      <c r="V11" s="111">
        <f>SUMIFS(Data_filtered!$K$2:$K$461,Data_filtered!$A$2:$A$461,$A11,Data_filtered!$F$2:$F$461,V$1, Data_filtered!$D$2:$D$461,"mata",Data_filtered!$J$2:$J$461,"&lt;&gt;Incompleto")</f>
        <v>0</v>
      </c>
      <c r="W11" s="111">
        <f>SUMIFS(Data_filtered!$K$2:$K$461,Data_filtered!$A$2:$A$461,$A11,Data_filtered!$F$2:$F$461,W$1, Data_filtered!$D$2:$D$461,"mata",Data_filtered!$J$2:$J$461,"&lt;&gt;Incompleto")</f>
        <v>0</v>
      </c>
      <c r="X11" s="111">
        <f>SUMIFS(Data_filtered!$K$2:$K$461,Data_filtered!$A$2:$A$461,$A11,Data_filtered!$F$2:$F$461,X$1, Data_filtered!$D$2:$D$461,"mata",Data_filtered!$J$2:$J$461,"&lt;&gt;Incompleto")</f>
        <v>0</v>
      </c>
      <c r="Y11" s="111">
        <f>SUMIFS(Data_filtered!$K$2:$K$461,Data_filtered!$A$2:$A$461,$A11,Data_filtered!$F$2:$F$461,Y$1, Data_filtered!$D$2:$D$461,"mata",Data_filtered!$J$2:$J$461,"&lt;&gt;Incompleto")</f>
        <v>12.56637061</v>
      </c>
      <c r="Z11" s="111"/>
      <c r="AA11" s="111"/>
      <c r="AB11" s="111"/>
      <c r="AC11" s="111"/>
      <c r="AD11" s="111"/>
    </row>
    <row r="12">
      <c r="A12" s="9" t="str">
        <f>IFERROR(__xludf.DUMMYFUNCTION("""COMPUTED_VALUE"""),"Ischnocnema juipoca")</f>
        <v>Ischnocnema juipoca</v>
      </c>
      <c r="B12" s="111">
        <f>SUMIFS(Data_filtered!$K$2:$K$461,Data_filtered!$A$2:$A$461,$A12,Data_filtered!$F$2:$F$461,B$1, Data_filtered!$D$2:$D$461,"mata",Data_filtered!$J$2:$J$461,"&lt;&gt;Incompleto")</f>
        <v>0</v>
      </c>
      <c r="C12" s="111">
        <f>SUMIFS(Data_filtered!$K$2:$K$461,Data_filtered!$A$2:$A$461,$A12,Data_filtered!$F$2:$F$461,C$1, Data_filtered!$D$2:$D$461,"mata",Data_filtered!$J$2:$J$461,"&lt;&gt;Incompleto")</f>
        <v>0</v>
      </c>
      <c r="D12" s="111">
        <f>SUMIFS(Data_filtered!$K$2:$K$461,Data_filtered!$A$2:$A$461,$A12,Data_filtered!$F$2:$F$461,D$1, Data_filtered!$D$2:$D$461,"mata",Data_filtered!$J$2:$J$461,"&lt;&gt;Incompleto")</f>
        <v>0</v>
      </c>
      <c r="E12" s="111">
        <f>SUMIFS(Data_filtered!$K$2:$K$461,Data_filtered!$A$2:$A$461,$A12,Data_filtered!$F$2:$F$461,E$1, Data_filtered!$D$2:$D$461,"mata",Data_filtered!$J$2:$J$461,"&lt;&gt;Incompleto")</f>
        <v>0</v>
      </c>
      <c r="F12" s="111">
        <f>SUMIFS(Data_filtered!$K$2:$K$461,Data_filtered!$A$2:$A$461,$A12,Data_filtered!$F$2:$F$461,F$1, Data_filtered!$D$2:$D$461,"mata",Data_filtered!$J$2:$J$461,"&lt;&gt;Incompleto")</f>
        <v>83.7758041</v>
      </c>
      <c r="G12" s="111">
        <f>SUMIFS(Data_filtered!$K$2:$K$461,Data_filtered!$A$2:$A$461,$A12,Data_filtered!$F$2:$F$461,G$1, Data_filtered!$D$2:$D$461,"mata",Data_filtered!$J$2:$J$461,"&lt;&gt;Incompleto")</f>
        <v>0</v>
      </c>
      <c r="H12" s="111">
        <f>SUMIFS(Data_filtered!$K$2:$K$461,Data_filtered!$A$2:$A$461,$A12,Data_filtered!$F$2:$F$461,H$1, Data_filtered!$D$2:$D$461,"mata",Data_filtered!$J$2:$J$461,"&lt;&gt;Incompleto")</f>
        <v>0</v>
      </c>
      <c r="I12" s="111">
        <f>SUMIFS(Data_filtered!$K$2:$K$461,Data_filtered!$A$2:$A$461,$A12,Data_filtered!$F$2:$F$461,I$1, Data_filtered!$D$2:$D$461,"mata",Data_filtered!$J$2:$J$461,"&lt;&gt;Incompleto")</f>
        <v>0</v>
      </c>
      <c r="J12" s="111">
        <f>SUMIFS(Data_filtered!$K$2:$K$461,Data_filtered!$A$2:$A$461,$A12,Data_filtered!$F$2:$F$461,J$1, Data_filtered!$D$2:$D$461,"mata",Data_filtered!$J$2:$J$461,"&lt;&gt;Incompleto")</f>
        <v>0</v>
      </c>
      <c r="K12" s="111">
        <f>SUMIFS(Data_filtered!$K$2:$K$461,Data_filtered!$A$2:$A$461,$A12,Data_filtered!$F$2:$F$461,K$1, Data_filtered!$D$2:$D$461,"mata",Data_filtered!$J$2:$J$461,"&lt;&gt;Incompleto")</f>
        <v>0</v>
      </c>
      <c r="L12" s="111">
        <f>SUMIFS(Data_filtered!$K$2:$K$461,Data_filtered!$A$2:$A$461,$A12,Data_filtered!$F$2:$F$461,L$1, Data_filtered!$D$2:$D$461,"mata",Data_filtered!$J$2:$J$461,"&lt;&gt;Incompleto")</f>
        <v>0</v>
      </c>
      <c r="M12" s="111">
        <f>SUMIFS(Data_filtered!$K$2:$K$461,Data_filtered!$A$2:$A$461,$A12,Data_filtered!$F$2:$F$461,M$1, Data_filtered!$D$2:$D$461,"mata",Data_filtered!$J$2:$J$461,"&lt;&gt;Incompleto")</f>
        <v>0</v>
      </c>
      <c r="N12" s="111">
        <f>SUMIFS(Data_filtered!$K$2:$K$461,Data_filtered!$A$2:$A$461,$A12,Data_filtered!$F$2:$F$461,N$1, Data_filtered!$D$2:$D$461,"mata",Data_filtered!$J$2:$J$461,"&lt;&gt;Incompleto")</f>
        <v>0</v>
      </c>
      <c r="O12" s="111">
        <f>SUMIFS(Data_filtered!$K$2:$K$461,Data_filtered!$A$2:$A$461,$A12,Data_filtered!$F$2:$F$461,O$1, Data_filtered!$D$2:$D$461,"mata",Data_filtered!$J$2:$J$461,"&lt;&gt;Incompleto")</f>
        <v>0</v>
      </c>
      <c r="P12" s="111">
        <f>SUMIFS(Data_filtered!$K$2:$K$461,Data_filtered!$A$2:$A$461,$A12,Data_filtered!$F$2:$F$461,P$1, Data_filtered!$D$2:$D$461,"mata",Data_filtered!$J$2:$J$461,"&lt;&gt;Incompleto")</f>
        <v>0</v>
      </c>
      <c r="Q12" s="111">
        <f>SUMIFS(Data_filtered!$K$2:$K$461,Data_filtered!$A$2:$A$461,$A12,Data_filtered!$F$2:$F$461,Q$1, Data_filtered!$D$2:$D$461,"mata",Data_filtered!$J$2:$J$461,"&lt;&gt;Incompleto")</f>
        <v>0</v>
      </c>
      <c r="R12" s="111">
        <f>SUMIFS(Data_filtered!$K$2:$K$461,Data_filtered!$A$2:$A$461,$A12,Data_filtered!$F$2:$F$461,R$1, Data_filtered!$D$2:$D$461,"mata",Data_filtered!$J$2:$J$461,"&lt;&gt;Incompleto")</f>
        <v>0</v>
      </c>
      <c r="S12" s="111">
        <f>SUMIFS(Data_filtered!$K$2:$K$461,Data_filtered!$A$2:$A$461,$A12,Data_filtered!$F$2:$F$461,S$1, Data_filtered!$D$2:$D$461,"mata",Data_filtered!$J$2:$J$461,"&lt;&gt;Incompleto")</f>
        <v>0</v>
      </c>
      <c r="T12" s="111">
        <f>SUMIFS(Data_filtered!$K$2:$K$461,Data_filtered!$A$2:$A$461,$A12,Data_filtered!$F$2:$F$461,T$1, Data_filtered!$D$2:$D$461,"mata",Data_filtered!$J$2:$J$461,"&lt;&gt;Incompleto")</f>
        <v>0</v>
      </c>
      <c r="U12" s="111">
        <f>SUMIFS(Data_filtered!$K$2:$K$461,Data_filtered!$A$2:$A$461,$A12,Data_filtered!$F$2:$F$461,U$1, Data_filtered!$D$2:$D$461,"mata",Data_filtered!$J$2:$J$461,"&lt;&gt;Incompleto")</f>
        <v>0</v>
      </c>
      <c r="V12" s="111">
        <f>SUMIFS(Data_filtered!$K$2:$K$461,Data_filtered!$A$2:$A$461,$A12,Data_filtered!$F$2:$F$461,V$1, Data_filtered!$D$2:$D$461,"mata",Data_filtered!$J$2:$J$461,"&lt;&gt;Incompleto")</f>
        <v>0</v>
      </c>
      <c r="W12" s="111">
        <f>SUMIFS(Data_filtered!$K$2:$K$461,Data_filtered!$A$2:$A$461,$A12,Data_filtered!$F$2:$F$461,W$1, Data_filtered!$D$2:$D$461,"mata",Data_filtered!$J$2:$J$461,"&lt;&gt;Incompleto")</f>
        <v>0</v>
      </c>
      <c r="X12" s="111">
        <f>SUMIFS(Data_filtered!$K$2:$K$461,Data_filtered!$A$2:$A$461,$A12,Data_filtered!$F$2:$F$461,X$1, Data_filtered!$D$2:$D$461,"mata",Data_filtered!$J$2:$J$461,"&lt;&gt;Incompleto")</f>
        <v>0</v>
      </c>
      <c r="Y12" s="111">
        <f>SUMIFS(Data_filtered!$K$2:$K$461,Data_filtered!$A$2:$A$461,$A12,Data_filtered!$F$2:$F$461,Y$1, Data_filtered!$D$2:$D$461,"mata",Data_filtered!$J$2:$J$461,"&lt;&gt;Incompleto")</f>
        <v>0</v>
      </c>
      <c r="Z12" s="111"/>
      <c r="AA12" s="111"/>
      <c r="AB12" s="111"/>
      <c r="AC12" s="111"/>
      <c r="AD12" s="111"/>
    </row>
    <row r="13">
      <c r="A13" s="9" t="str">
        <f>IFERROR(__xludf.DUMMYFUNCTION("""COMPUTED_VALUE"""),"Ischnocnema vizottoi")</f>
        <v>Ischnocnema vizottoi</v>
      </c>
      <c r="B13" s="111">
        <f>SUMIFS(Data_filtered!$K$2:$K$461,Data_filtered!$A$2:$A$461,$A13,Data_filtered!$F$2:$F$461,B$1, Data_filtered!$D$2:$D$461,"mata",Data_filtered!$J$2:$J$461,"&lt;&gt;Incompleto")</f>
        <v>0</v>
      </c>
      <c r="C13" s="111">
        <f>SUMIFS(Data_filtered!$K$2:$K$461,Data_filtered!$A$2:$A$461,$A13,Data_filtered!$F$2:$F$461,C$1, Data_filtered!$D$2:$D$461,"mata",Data_filtered!$J$2:$J$461,"&lt;&gt;Incompleto")</f>
        <v>0</v>
      </c>
      <c r="D13" s="111">
        <f>SUMIFS(Data_filtered!$K$2:$K$461,Data_filtered!$A$2:$A$461,$A13,Data_filtered!$F$2:$F$461,D$1, Data_filtered!$D$2:$D$461,"mata",Data_filtered!$J$2:$J$461,"&lt;&gt;Incompleto")</f>
        <v>0</v>
      </c>
      <c r="E13" s="111">
        <f>SUMIFS(Data_filtered!$K$2:$K$461,Data_filtered!$A$2:$A$461,$A13,Data_filtered!$F$2:$F$461,E$1, Data_filtered!$D$2:$D$461,"mata",Data_filtered!$J$2:$J$461,"&lt;&gt;Incompleto")</f>
        <v>0</v>
      </c>
      <c r="F13" s="111">
        <f>SUMIFS(Data_filtered!$K$2:$K$461,Data_filtered!$A$2:$A$461,$A13,Data_filtered!$F$2:$F$461,F$1, Data_filtered!$D$2:$D$461,"mata",Data_filtered!$J$2:$J$461,"&lt;&gt;Incompleto")</f>
        <v>0</v>
      </c>
      <c r="G13" s="111">
        <f>SUMIFS(Data_filtered!$K$2:$K$461,Data_filtered!$A$2:$A$461,$A13,Data_filtered!$F$2:$F$461,G$1, Data_filtered!$D$2:$D$461,"mata",Data_filtered!$J$2:$J$461,"&lt;&gt;Incompleto")</f>
        <v>0</v>
      </c>
      <c r="H13" s="111">
        <f>SUMIFS(Data_filtered!$K$2:$K$461,Data_filtered!$A$2:$A$461,$A13,Data_filtered!$F$2:$F$461,H$1, Data_filtered!$D$2:$D$461,"mata",Data_filtered!$J$2:$J$461,"&lt;&gt;Incompleto")</f>
        <v>0</v>
      </c>
      <c r="I13" s="111">
        <f>SUMIFS(Data_filtered!$K$2:$K$461,Data_filtered!$A$2:$A$461,$A13,Data_filtered!$F$2:$F$461,I$1, Data_filtered!$D$2:$D$461,"mata",Data_filtered!$J$2:$J$461,"&lt;&gt;Incompleto")</f>
        <v>0</v>
      </c>
      <c r="J13" s="111">
        <f>SUMIFS(Data_filtered!$K$2:$K$461,Data_filtered!$A$2:$A$461,$A13,Data_filtered!$F$2:$F$461,J$1, Data_filtered!$D$2:$D$461,"mata",Data_filtered!$J$2:$J$461,"&lt;&gt;Incompleto")</f>
        <v>0</v>
      </c>
      <c r="K13" s="111">
        <f>SUMIFS(Data_filtered!$K$2:$K$461,Data_filtered!$A$2:$A$461,$A13,Data_filtered!$F$2:$F$461,K$1, Data_filtered!$D$2:$D$461,"mata",Data_filtered!$J$2:$J$461,"&lt;&gt;Incompleto")</f>
        <v>0</v>
      </c>
      <c r="L13" s="111">
        <f>SUMIFS(Data_filtered!$K$2:$K$461,Data_filtered!$A$2:$A$461,$A13,Data_filtered!$F$2:$F$461,L$1, Data_filtered!$D$2:$D$461,"mata",Data_filtered!$J$2:$J$461,"&lt;&gt;Incompleto")</f>
        <v>3.141592654</v>
      </c>
      <c r="M13" s="111">
        <f>SUMIFS(Data_filtered!$K$2:$K$461,Data_filtered!$A$2:$A$461,$A13,Data_filtered!$F$2:$F$461,M$1, Data_filtered!$D$2:$D$461,"mata",Data_filtered!$J$2:$J$461,"&lt;&gt;Incompleto")</f>
        <v>0</v>
      </c>
      <c r="N13" s="111">
        <f>SUMIFS(Data_filtered!$K$2:$K$461,Data_filtered!$A$2:$A$461,$A13,Data_filtered!$F$2:$F$461,N$1, Data_filtered!$D$2:$D$461,"mata",Data_filtered!$J$2:$J$461,"&lt;&gt;Incompleto")</f>
        <v>12.56637061</v>
      </c>
      <c r="O13" s="111">
        <f>SUMIFS(Data_filtered!$K$2:$K$461,Data_filtered!$A$2:$A$461,$A13,Data_filtered!$F$2:$F$461,O$1, Data_filtered!$D$2:$D$461,"mata",Data_filtered!$J$2:$J$461,"&lt;&gt;Incompleto")</f>
        <v>0</v>
      </c>
      <c r="P13" s="111">
        <f>SUMIFS(Data_filtered!$K$2:$K$461,Data_filtered!$A$2:$A$461,$A13,Data_filtered!$F$2:$F$461,P$1, Data_filtered!$D$2:$D$461,"mata",Data_filtered!$J$2:$J$461,"&lt;&gt;Incompleto")</f>
        <v>0</v>
      </c>
      <c r="Q13" s="111">
        <f>SUMIFS(Data_filtered!$K$2:$K$461,Data_filtered!$A$2:$A$461,$A13,Data_filtered!$F$2:$F$461,Q$1, Data_filtered!$D$2:$D$461,"mata",Data_filtered!$J$2:$J$461,"&lt;&gt;Incompleto")</f>
        <v>0</v>
      </c>
      <c r="R13" s="111">
        <f>SUMIFS(Data_filtered!$K$2:$K$461,Data_filtered!$A$2:$A$461,$A13,Data_filtered!$F$2:$F$461,R$1, Data_filtered!$D$2:$D$461,"mata",Data_filtered!$J$2:$J$461,"&lt;&gt;Incompleto")</f>
        <v>0</v>
      </c>
      <c r="S13" s="111">
        <f>SUMIFS(Data_filtered!$K$2:$K$461,Data_filtered!$A$2:$A$461,$A13,Data_filtered!$F$2:$F$461,S$1, Data_filtered!$D$2:$D$461,"mata",Data_filtered!$J$2:$J$461,"&lt;&gt;Incompleto")</f>
        <v>0</v>
      </c>
      <c r="T13" s="111">
        <f>SUMIFS(Data_filtered!$K$2:$K$461,Data_filtered!$A$2:$A$461,$A13,Data_filtered!$F$2:$F$461,T$1, Data_filtered!$D$2:$D$461,"mata",Data_filtered!$J$2:$J$461,"&lt;&gt;Incompleto")</f>
        <v>0</v>
      </c>
      <c r="U13" s="111">
        <f>SUMIFS(Data_filtered!$K$2:$K$461,Data_filtered!$A$2:$A$461,$A13,Data_filtered!$F$2:$F$461,U$1, Data_filtered!$D$2:$D$461,"mata",Data_filtered!$J$2:$J$461,"&lt;&gt;Incompleto")</f>
        <v>0</v>
      </c>
      <c r="V13" s="111">
        <f>SUMIFS(Data_filtered!$K$2:$K$461,Data_filtered!$A$2:$A$461,$A13,Data_filtered!$F$2:$F$461,V$1, Data_filtered!$D$2:$D$461,"mata",Data_filtered!$J$2:$J$461,"&lt;&gt;Incompleto")</f>
        <v>0</v>
      </c>
      <c r="W13" s="111">
        <f>SUMIFS(Data_filtered!$K$2:$K$461,Data_filtered!$A$2:$A$461,$A13,Data_filtered!$F$2:$F$461,W$1, Data_filtered!$D$2:$D$461,"mata",Data_filtered!$J$2:$J$461,"&lt;&gt;Incompleto")</f>
        <v>0</v>
      </c>
      <c r="X13" s="111">
        <f>SUMIFS(Data_filtered!$K$2:$K$461,Data_filtered!$A$2:$A$461,$A13,Data_filtered!$F$2:$F$461,X$1, Data_filtered!$D$2:$D$461,"mata",Data_filtered!$J$2:$J$461,"&lt;&gt;Incompleto")</f>
        <v>0</v>
      </c>
      <c r="Y13" s="111">
        <f>SUMIFS(Data_filtered!$K$2:$K$461,Data_filtered!$A$2:$A$461,$A13,Data_filtered!$F$2:$F$461,Y$1, Data_filtered!$D$2:$D$461,"mata",Data_filtered!$J$2:$J$461,"&lt;&gt;Incompleto")</f>
        <v>0</v>
      </c>
      <c r="Z13" s="111"/>
      <c r="AA13" s="111"/>
      <c r="AB13" s="111"/>
      <c r="AC13" s="111"/>
      <c r="AD13" s="111"/>
    </row>
    <row r="14">
      <c r="A14" s="9" t="str">
        <f>IFERROR(__xludf.DUMMYFUNCTION("""COMPUTED_VALUE"""),"Ololygon obtriangulata")</f>
        <v>Ololygon obtriangulata</v>
      </c>
      <c r="B14" s="111">
        <f>SUMIFS(Data_filtered!$K$2:$K$461,Data_filtered!$A$2:$A$461,$A14,Data_filtered!$F$2:$F$461,B$1, Data_filtered!$D$2:$D$461,"mata",Data_filtered!$J$2:$J$461,"&lt;&gt;Incompleto")</f>
        <v>0</v>
      </c>
      <c r="C14" s="111">
        <f>SUMIFS(Data_filtered!$K$2:$K$461,Data_filtered!$A$2:$A$461,$A14,Data_filtered!$F$2:$F$461,C$1, Data_filtered!$D$2:$D$461,"mata",Data_filtered!$J$2:$J$461,"&lt;&gt;Incompleto")</f>
        <v>397.9350695</v>
      </c>
      <c r="D14" s="111">
        <f>SUMIFS(Data_filtered!$K$2:$K$461,Data_filtered!$A$2:$A$461,$A14,Data_filtered!$F$2:$F$461,D$1, Data_filtered!$D$2:$D$461,"mata",Data_filtered!$J$2:$J$461,"&lt;&gt;Incompleto")</f>
        <v>0</v>
      </c>
      <c r="E14" s="111">
        <f>SUMIFS(Data_filtered!$K$2:$K$461,Data_filtered!$A$2:$A$461,$A14,Data_filtered!$F$2:$F$461,E$1, Data_filtered!$D$2:$D$461,"mata",Data_filtered!$J$2:$J$461,"&lt;&gt;Incompleto")</f>
        <v>0</v>
      </c>
      <c r="F14" s="111">
        <f>SUMIFS(Data_filtered!$K$2:$K$461,Data_filtered!$A$2:$A$461,$A14,Data_filtered!$F$2:$F$461,F$1, Data_filtered!$D$2:$D$461,"mata",Data_filtered!$J$2:$J$461,"&lt;&gt;Incompleto")</f>
        <v>8.37758041</v>
      </c>
      <c r="G14" s="111">
        <f>SUMIFS(Data_filtered!$K$2:$K$461,Data_filtered!$A$2:$A$461,$A14,Data_filtered!$F$2:$F$461,G$1, Data_filtered!$D$2:$D$461,"mata",Data_filtered!$J$2:$J$461,"&lt;&gt;Incompleto")</f>
        <v>0</v>
      </c>
      <c r="H14" s="111">
        <f>SUMIFS(Data_filtered!$K$2:$K$461,Data_filtered!$A$2:$A$461,$A14,Data_filtered!$F$2:$F$461,H$1, Data_filtered!$D$2:$D$461,"mata",Data_filtered!$J$2:$J$461,"&lt;&gt;Incompleto")</f>
        <v>0</v>
      </c>
      <c r="I14" s="111">
        <f>SUMIFS(Data_filtered!$K$2:$K$461,Data_filtered!$A$2:$A$461,$A14,Data_filtered!$F$2:$F$461,I$1, Data_filtered!$D$2:$D$461,"mata",Data_filtered!$J$2:$J$461,"&lt;&gt;Incompleto")</f>
        <v>0</v>
      </c>
      <c r="J14" s="111">
        <f>SUMIFS(Data_filtered!$K$2:$K$461,Data_filtered!$A$2:$A$461,$A14,Data_filtered!$F$2:$F$461,J$1, Data_filtered!$D$2:$D$461,"mata",Data_filtered!$J$2:$J$461,"&lt;&gt;Incompleto")</f>
        <v>0</v>
      </c>
      <c r="K14" s="111">
        <f>SUMIFS(Data_filtered!$K$2:$K$461,Data_filtered!$A$2:$A$461,$A14,Data_filtered!$F$2:$F$461,K$1, Data_filtered!$D$2:$D$461,"mata",Data_filtered!$J$2:$J$461,"&lt;&gt;Incompleto")</f>
        <v>0</v>
      </c>
      <c r="L14" s="111">
        <f>SUMIFS(Data_filtered!$K$2:$K$461,Data_filtered!$A$2:$A$461,$A14,Data_filtered!$F$2:$F$461,L$1, Data_filtered!$D$2:$D$461,"mata",Data_filtered!$J$2:$J$461,"&lt;&gt;Incompleto")</f>
        <v>0</v>
      </c>
      <c r="M14" s="111">
        <f>SUMIFS(Data_filtered!$K$2:$K$461,Data_filtered!$A$2:$A$461,$A14,Data_filtered!$F$2:$F$461,M$1, Data_filtered!$D$2:$D$461,"mata",Data_filtered!$J$2:$J$461,"&lt;&gt;Incompleto")</f>
        <v>0</v>
      </c>
      <c r="N14" s="111">
        <f>SUMIFS(Data_filtered!$K$2:$K$461,Data_filtered!$A$2:$A$461,$A14,Data_filtered!$F$2:$F$461,N$1, Data_filtered!$D$2:$D$461,"mata",Data_filtered!$J$2:$J$461,"&lt;&gt;Incompleto")</f>
        <v>0</v>
      </c>
      <c r="O14" s="111">
        <f>SUMIFS(Data_filtered!$K$2:$K$461,Data_filtered!$A$2:$A$461,$A14,Data_filtered!$F$2:$F$461,O$1, Data_filtered!$D$2:$D$461,"mata",Data_filtered!$J$2:$J$461,"&lt;&gt;Incompleto")</f>
        <v>0</v>
      </c>
      <c r="P14" s="111">
        <f>SUMIFS(Data_filtered!$K$2:$K$461,Data_filtered!$A$2:$A$461,$A14,Data_filtered!$F$2:$F$461,P$1, Data_filtered!$D$2:$D$461,"mata",Data_filtered!$J$2:$J$461,"&lt;&gt;Incompleto")</f>
        <v>0</v>
      </c>
      <c r="Q14" s="111">
        <f>SUMIFS(Data_filtered!$K$2:$K$461,Data_filtered!$A$2:$A$461,$A14,Data_filtered!$F$2:$F$461,Q$1, Data_filtered!$D$2:$D$461,"mata",Data_filtered!$J$2:$J$461,"&lt;&gt;Incompleto")</f>
        <v>0</v>
      </c>
      <c r="R14" s="111">
        <f>SUMIFS(Data_filtered!$K$2:$K$461,Data_filtered!$A$2:$A$461,$A14,Data_filtered!$F$2:$F$461,R$1, Data_filtered!$D$2:$D$461,"mata",Data_filtered!$J$2:$J$461,"&lt;&gt;Incompleto")</f>
        <v>0</v>
      </c>
      <c r="S14" s="111">
        <f>SUMIFS(Data_filtered!$K$2:$K$461,Data_filtered!$A$2:$A$461,$A14,Data_filtered!$F$2:$F$461,S$1, Data_filtered!$D$2:$D$461,"mata",Data_filtered!$J$2:$J$461,"&lt;&gt;Incompleto")</f>
        <v>0</v>
      </c>
      <c r="T14" s="111">
        <f>SUMIFS(Data_filtered!$K$2:$K$461,Data_filtered!$A$2:$A$461,$A14,Data_filtered!$F$2:$F$461,T$1, Data_filtered!$D$2:$D$461,"mata",Data_filtered!$J$2:$J$461,"&lt;&gt;Incompleto")</f>
        <v>0</v>
      </c>
      <c r="U14" s="111">
        <f>SUMIFS(Data_filtered!$K$2:$K$461,Data_filtered!$A$2:$A$461,$A14,Data_filtered!$F$2:$F$461,U$1, Data_filtered!$D$2:$D$461,"mata",Data_filtered!$J$2:$J$461,"&lt;&gt;Incompleto")</f>
        <v>0</v>
      </c>
      <c r="V14" s="111">
        <f>SUMIFS(Data_filtered!$K$2:$K$461,Data_filtered!$A$2:$A$461,$A14,Data_filtered!$F$2:$F$461,V$1, Data_filtered!$D$2:$D$461,"mata",Data_filtered!$J$2:$J$461,"&lt;&gt;Incompleto")</f>
        <v>50.26548246</v>
      </c>
      <c r="W14" s="111">
        <f>SUMIFS(Data_filtered!$K$2:$K$461,Data_filtered!$A$2:$A$461,$A14,Data_filtered!$F$2:$F$461,W$1, Data_filtered!$D$2:$D$461,"mata",Data_filtered!$J$2:$J$461,"&lt;&gt;Incompleto")</f>
        <v>0</v>
      </c>
      <c r="X14" s="111">
        <f>SUMIFS(Data_filtered!$K$2:$K$461,Data_filtered!$A$2:$A$461,$A14,Data_filtered!$F$2:$F$461,X$1, Data_filtered!$D$2:$D$461,"mata",Data_filtered!$J$2:$J$461,"&lt;&gt;Incompleto")</f>
        <v>0</v>
      </c>
      <c r="Y14" s="111">
        <f>SUMIFS(Data_filtered!$K$2:$K$461,Data_filtered!$A$2:$A$461,$A14,Data_filtered!$F$2:$F$461,Y$1, Data_filtered!$D$2:$D$461,"mata",Data_filtered!$J$2:$J$461,"&lt;&gt;Incompleto")</f>
        <v>0</v>
      </c>
      <c r="Z14" s="111"/>
      <c r="AA14" s="111"/>
      <c r="AB14" s="111"/>
      <c r="AC14" s="111"/>
      <c r="AD14" s="111"/>
    </row>
    <row r="15">
      <c r="A15" s="9" t="str">
        <f>IFERROR(__xludf.DUMMYFUNCTION("""COMPUTED_VALUE"""),"Paratelmatobius mantiqueira")</f>
        <v>Paratelmatobius mantiqueira</v>
      </c>
      <c r="B15" s="111">
        <f>SUMIFS(Data_filtered!$K$2:$K$461,Data_filtered!$A$2:$A$461,$A15,Data_filtered!$F$2:$F$461,B$1, Data_filtered!$D$2:$D$461,"mata",Data_filtered!$J$2:$J$461,"&lt;&gt;Incompleto")</f>
        <v>0</v>
      </c>
      <c r="C15" s="111">
        <f>SUMIFS(Data_filtered!$K$2:$K$461,Data_filtered!$A$2:$A$461,$A15,Data_filtered!$F$2:$F$461,C$1, Data_filtered!$D$2:$D$461,"mata",Data_filtered!$J$2:$J$461,"&lt;&gt;Incompleto")</f>
        <v>1.047197551</v>
      </c>
      <c r="D15" s="111">
        <f>SUMIFS(Data_filtered!$K$2:$K$461,Data_filtered!$A$2:$A$461,$A15,Data_filtered!$F$2:$F$461,D$1, Data_filtered!$D$2:$D$461,"mata",Data_filtered!$J$2:$J$461,"&lt;&gt;Incompleto")</f>
        <v>0</v>
      </c>
      <c r="E15" s="111">
        <f>SUMIFS(Data_filtered!$K$2:$K$461,Data_filtered!$A$2:$A$461,$A15,Data_filtered!$F$2:$F$461,E$1, Data_filtered!$D$2:$D$461,"mata",Data_filtered!$J$2:$J$461,"&lt;&gt;Incompleto")</f>
        <v>0</v>
      </c>
      <c r="F15" s="111">
        <f>SUMIFS(Data_filtered!$K$2:$K$461,Data_filtered!$A$2:$A$461,$A15,Data_filtered!$F$2:$F$461,F$1, Data_filtered!$D$2:$D$461,"mata",Data_filtered!$J$2:$J$461,"&lt;&gt;Incompleto")</f>
        <v>0</v>
      </c>
      <c r="G15" s="111">
        <f>SUMIFS(Data_filtered!$K$2:$K$461,Data_filtered!$A$2:$A$461,$A15,Data_filtered!$F$2:$F$461,G$1, Data_filtered!$D$2:$D$461,"mata",Data_filtered!$J$2:$J$461,"&lt;&gt;Incompleto")</f>
        <v>0</v>
      </c>
      <c r="H15" s="111">
        <f>SUMIFS(Data_filtered!$K$2:$K$461,Data_filtered!$A$2:$A$461,$A15,Data_filtered!$F$2:$F$461,H$1, Data_filtered!$D$2:$D$461,"mata",Data_filtered!$J$2:$J$461,"&lt;&gt;Incompleto")</f>
        <v>0</v>
      </c>
      <c r="I15" s="111">
        <f>SUMIFS(Data_filtered!$K$2:$K$461,Data_filtered!$A$2:$A$461,$A15,Data_filtered!$F$2:$F$461,I$1, Data_filtered!$D$2:$D$461,"mata",Data_filtered!$J$2:$J$461,"&lt;&gt;Incompleto")</f>
        <v>0</v>
      </c>
      <c r="J15" s="111">
        <f>SUMIFS(Data_filtered!$K$2:$K$461,Data_filtered!$A$2:$A$461,$A15,Data_filtered!$F$2:$F$461,J$1, Data_filtered!$D$2:$D$461,"mata",Data_filtered!$J$2:$J$461,"&lt;&gt;Incompleto")</f>
        <v>0</v>
      </c>
      <c r="K15" s="111">
        <f>SUMIFS(Data_filtered!$K$2:$K$461,Data_filtered!$A$2:$A$461,$A15,Data_filtered!$F$2:$F$461,K$1, Data_filtered!$D$2:$D$461,"mata",Data_filtered!$J$2:$J$461,"&lt;&gt;Incompleto")</f>
        <v>0</v>
      </c>
      <c r="L15" s="111">
        <f>SUMIFS(Data_filtered!$K$2:$K$461,Data_filtered!$A$2:$A$461,$A15,Data_filtered!$F$2:$F$461,L$1, Data_filtered!$D$2:$D$461,"mata",Data_filtered!$J$2:$J$461,"&lt;&gt;Incompleto")</f>
        <v>0</v>
      </c>
      <c r="M15" s="111">
        <f>SUMIFS(Data_filtered!$K$2:$K$461,Data_filtered!$A$2:$A$461,$A15,Data_filtered!$F$2:$F$461,M$1, Data_filtered!$D$2:$D$461,"mata",Data_filtered!$J$2:$J$461,"&lt;&gt;Incompleto")</f>
        <v>0</v>
      </c>
      <c r="N15" s="111">
        <f>SUMIFS(Data_filtered!$K$2:$K$461,Data_filtered!$A$2:$A$461,$A15,Data_filtered!$F$2:$F$461,N$1, Data_filtered!$D$2:$D$461,"mata",Data_filtered!$J$2:$J$461,"&lt;&gt;Incompleto")</f>
        <v>0</v>
      </c>
      <c r="O15" s="111">
        <f>SUMIFS(Data_filtered!$K$2:$K$461,Data_filtered!$A$2:$A$461,$A15,Data_filtered!$F$2:$F$461,O$1, Data_filtered!$D$2:$D$461,"mata",Data_filtered!$J$2:$J$461,"&lt;&gt;Incompleto")</f>
        <v>92.15338451</v>
      </c>
      <c r="P15" s="111">
        <f>SUMIFS(Data_filtered!$K$2:$K$461,Data_filtered!$A$2:$A$461,$A15,Data_filtered!$F$2:$F$461,P$1, Data_filtered!$D$2:$D$461,"mata",Data_filtered!$J$2:$J$461,"&lt;&gt;Incompleto")</f>
        <v>0</v>
      </c>
      <c r="Q15" s="111">
        <f>SUMIFS(Data_filtered!$K$2:$K$461,Data_filtered!$A$2:$A$461,$A15,Data_filtered!$F$2:$F$461,Q$1, Data_filtered!$D$2:$D$461,"mata",Data_filtered!$J$2:$J$461,"&lt;&gt;Incompleto")</f>
        <v>0</v>
      </c>
      <c r="R15" s="111">
        <f>SUMIFS(Data_filtered!$K$2:$K$461,Data_filtered!$A$2:$A$461,$A15,Data_filtered!$F$2:$F$461,R$1, Data_filtered!$D$2:$D$461,"mata",Data_filtered!$J$2:$J$461,"&lt;&gt;Incompleto")</f>
        <v>0</v>
      </c>
      <c r="S15" s="111">
        <f>SUMIFS(Data_filtered!$K$2:$K$461,Data_filtered!$A$2:$A$461,$A15,Data_filtered!$F$2:$F$461,S$1, Data_filtered!$D$2:$D$461,"mata",Data_filtered!$J$2:$J$461,"&lt;&gt;Incompleto")</f>
        <v>0</v>
      </c>
      <c r="T15" s="111">
        <f>SUMIFS(Data_filtered!$K$2:$K$461,Data_filtered!$A$2:$A$461,$A15,Data_filtered!$F$2:$F$461,T$1, Data_filtered!$D$2:$D$461,"mata",Data_filtered!$J$2:$J$461,"&lt;&gt;Incompleto")</f>
        <v>0</v>
      </c>
      <c r="U15" s="111">
        <f>SUMIFS(Data_filtered!$K$2:$K$461,Data_filtered!$A$2:$A$461,$A15,Data_filtered!$F$2:$F$461,U$1, Data_filtered!$D$2:$D$461,"mata",Data_filtered!$J$2:$J$461,"&lt;&gt;Incompleto")</f>
        <v>0</v>
      </c>
      <c r="V15" s="111">
        <f>SUMIFS(Data_filtered!$K$2:$K$461,Data_filtered!$A$2:$A$461,$A15,Data_filtered!$F$2:$F$461,V$1, Data_filtered!$D$2:$D$461,"mata",Data_filtered!$J$2:$J$461,"&lt;&gt;Incompleto")</f>
        <v>0</v>
      </c>
      <c r="W15" s="111">
        <f>SUMIFS(Data_filtered!$K$2:$K$461,Data_filtered!$A$2:$A$461,$A15,Data_filtered!$F$2:$F$461,W$1, Data_filtered!$D$2:$D$461,"mata",Data_filtered!$J$2:$J$461,"&lt;&gt;Incompleto")</f>
        <v>0</v>
      </c>
      <c r="X15" s="111">
        <f>SUMIFS(Data_filtered!$K$2:$K$461,Data_filtered!$A$2:$A$461,$A15,Data_filtered!$F$2:$F$461,X$1, Data_filtered!$D$2:$D$461,"mata",Data_filtered!$J$2:$J$461,"&lt;&gt;Incompleto")</f>
        <v>0</v>
      </c>
      <c r="Y15" s="111">
        <f>SUMIFS(Data_filtered!$K$2:$K$461,Data_filtered!$A$2:$A$461,$A15,Data_filtered!$F$2:$F$461,Y$1, Data_filtered!$D$2:$D$461,"mata",Data_filtered!$J$2:$J$461,"&lt;&gt;Incompleto")</f>
        <v>0</v>
      </c>
      <c r="Z15" s="111"/>
      <c r="AA15" s="111"/>
      <c r="AB15" s="111"/>
      <c r="AC15" s="111"/>
      <c r="AD15" s="111"/>
    </row>
    <row r="16">
      <c r="A16" s="9" t="str">
        <f>IFERROR(__xludf.DUMMYFUNCTION("""COMPUTED_VALUE"""),"Physalaemus cuvieri")</f>
        <v>Physalaemus cuvieri</v>
      </c>
      <c r="B16" s="111">
        <f>SUMIFS(Data_filtered!$K$2:$K$461,Data_filtered!$A$2:$A$461,$A16,Data_filtered!$F$2:$F$461,B$1, Data_filtered!$D$2:$D$461,"mata",Data_filtered!$J$2:$J$461,"&lt;&gt;Incompleto")</f>
        <v>0</v>
      </c>
      <c r="C16" s="111">
        <f>SUMIFS(Data_filtered!$K$2:$K$461,Data_filtered!$A$2:$A$461,$A16,Data_filtered!$F$2:$F$461,C$1, Data_filtered!$D$2:$D$461,"mata",Data_filtered!$J$2:$J$461,"&lt;&gt;Incompleto")</f>
        <v>0</v>
      </c>
      <c r="D16" s="111">
        <f>SUMIFS(Data_filtered!$K$2:$K$461,Data_filtered!$A$2:$A$461,$A16,Data_filtered!$F$2:$F$461,D$1, Data_filtered!$D$2:$D$461,"mata",Data_filtered!$J$2:$J$461,"&lt;&gt;Incompleto")</f>
        <v>0</v>
      </c>
      <c r="E16" s="111">
        <f>SUMIFS(Data_filtered!$K$2:$K$461,Data_filtered!$A$2:$A$461,$A16,Data_filtered!$F$2:$F$461,E$1, Data_filtered!$D$2:$D$461,"mata",Data_filtered!$J$2:$J$461,"&lt;&gt;Incompleto")</f>
        <v>0</v>
      </c>
      <c r="F16" s="111">
        <f>SUMIFS(Data_filtered!$K$2:$K$461,Data_filtered!$A$2:$A$461,$A16,Data_filtered!$F$2:$F$461,F$1, Data_filtered!$D$2:$D$461,"mata",Data_filtered!$J$2:$J$461,"&lt;&gt;Incompleto")</f>
        <v>0</v>
      </c>
      <c r="G16" s="111">
        <f>SUMIFS(Data_filtered!$K$2:$K$461,Data_filtered!$A$2:$A$461,$A16,Data_filtered!$F$2:$F$461,G$1, Data_filtered!$D$2:$D$461,"mata",Data_filtered!$J$2:$J$461,"&lt;&gt;Incompleto")</f>
        <v>0</v>
      </c>
      <c r="H16" s="111">
        <f>SUMIFS(Data_filtered!$K$2:$K$461,Data_filtered!$A$2:$A$461,$A16,Data_filtered!$F$2:$F$461,H$1, Data_filtered!$D$2:$D$461,"mata",Data_filtered!$J$2:$J$461,"&lt;&gt;Incompleto")</f>
        <v>0</v>
      </c>
      <c r="I16" s="111">
        <f>SUMIFS(Data_filtered!$K$2:$K$461,Data_filtered!$A$2:$A$461,$A16,Data_filtered!$F$2:$F$461,I$1, Data_filtered!$D$2:$D$461,"mata",Data_filtered!$J$2:$J$461,"&lt;&gt;Incompleto")</f>
        <v>0</v>
      </c>
      <c r="J16" s="111">
        <f>SUMIFS(Data_filtered!$K$2:$K$461,Data_filtered!$A$2:$A$461,$A16,Data_filtered!$F$2:$F$461,J$1, Data_filtered!$D$2:$D$461,"mata",Data_filtered!$J$2:$J$461,"&lt;&gt;Incompleto")</f>
        <v>0</v>
      </c>
      <c r="K16" s="111">
        <f>SUMIFS(Data_filtered!$K$2:$K$461,Data_filtered!$A$2:$A$461,$A16,Data_filtered!$F$2:$F$461,K$1, Data_filtered!$D$2:$D$461,"mata",Data_filtered!$J$2:$J$461,"&lt;&gt;Incompleto")</f>
        <v>0</v>
      </c>
      <c r="L16" s="111">
        <f>SUMIFS(Data_filtered!$K$2:$K$461,Data_filtered!$A$2:$A$461,$A16,Data_filtered!$F$2:$F$461,L$1, Data_filtered!$D$2:$D$461,"mata",Data_filtered!$J$2:$J$461,"&lt;&gt;Incompleto")</f>
        <v>16.75516082</v>
      </c>
      <c r="M16" s="111">
        <f>SUMIFS(Data_filtered!$K$2:$K$461,Data_filtered!$A$2:$A$461,$A16,Data_filtered!$F$2:$F$461,M$1, Data_filtered!$D$2:$D$461,"mata",Data_filtered!$J$2:$J$461,"&lt;&gt;Incompleto")</f>
        <v>0</v>
      </c>
      <c r="N16" s="111">
        <f>SUMIFS(Data_filtered!$K$2:$K$461,Data_filtered!$A$2:$A$461,$A16,Data_filtered!$F$2:$F$461,N$1, Data_filtered!$D$2:$D$461,"mata",Data_filtered!$J$2:$J$461,"&lt;&gt;Incompleto")</f>
        <v>0</v>
      </c>
      <c r="O16" s="111">
        <f>SUMIFS(Data_filtered!$K$2:$K$461,Data_filtered!$A$2:$A$461,$A16,Data_filtered!$F$2:$F$461,O$1, Data_filtered!$D$2:$D$461,"mata",Data_filtered!$J$2:$J$461,"&lt;&gt;Incompleto")</f>
        <v>0</v>
      </c>
      <c r="P16" s="111">
        <f>SUMIFS(Data_filtered!$K$2:$K$461,Data_filtered!$A$2:$A$461,$A16,Data_filtered!$F$2:$F$461,P$1, Data_filtered!$D$2:$D$461,"mata",Data_filtered!$J$2:$J$461,"&lt;&gt;Incompleto")</f>
        <v>0</v>
      </c>
      <c r="Q16" s="111">
        <f>SUMIFS(Data_filtered!$K$2:$K$461,Data_filtered!$A$2:$A$461,$A16,Data_filtered!$F$2:$F$461,Q$1, Data_filtered!$D$2:$D$461,"mata",Data_filtered!$J$2:$J$461,"&lt;&gt;Incompleto")</f>
        <v>0</v>
      </c>
      <c r="R16" s="111">
        <f>SUMIFS(Data_filtered!$K$2:$K$461,Data_filtered!$A$2:$A$461,$A16,Data_filtered!$F$2:$F$461,R$1, Data_filtered!$D$2:$D$461,"mata",Data_filtered!$J$2:$J$461,"&lt;&gt;Incompleto")</f>
        <v>0</v>
      </c>
      <c r="S16" s="111">
        <f>SUMIFS(Data_filtered!$K$2:$K$461,Data_filtered!$A$2:$A$461,$A16,Data_filtered!$F$2:$F$461,S$1, Data_filtered!$D$2:$D$461,"mata",Data_filtered!$J$2:$J$461,"&lt;&gt;Incompleto")</f>
        <v>0</v>
      </c>
      <c r="T16" s="111">
        <f>SUMIFS(Data_filtered!$K$2:$K$461,Data_filtered!$A$2:$A$461,$A16,Data_filtered!$F$2:$F$461,T$1, Data_filtered!$D$2:$D$461,"mata",Data_filtered!$J$2:$J$461,"&lt;&gt;Incompleto")</f>
        <v>0</v>
      </c>
      <c r="U16" s="111">
        <f>SUMIFS(Data_filtered!$K$2:$K$461,Data_filtered!$A$2:$A$461,$A16,Data_filtered!$F$2:$F$461,U$1, Data_filtered!$D$2:$D$461,"mata",Data_filtered!$J$2:$J$461,"&lt;&gt;Incompleto")</f>
        <v>0</v>
      </c>
      <c r="V16" s="111">
        <f>SUMIFS(Data_filtered!$K$2:$K$461,Data_filtered!$A$2:$A$461,$A16,Data_filtered!$F$2:$F$461,V$1, Data_filtered!$D$2:$D$461,"mata",Data_filtered!$J$2:$J$461,"&lt;&gt;Incompleto")</f>
        <v>0</v>
      </c>
      <c r="W16" s="111">
        <f>SUMIFS(Data_filtered!$K$2:$K$461,Data_filtered!$A$2:$A$461,$A16,Data_filtered!$F$2:$F$461,W$1, Data_filtered!$D$2:$D$461,"mata",Data_filtered!$J$2:$J$461,"&lt;&gt;Incompleto")</f>
        <v>0</v>
      </c>
      <c r="X16" s="111">
        <f>SUMIFS(Data_filtered!$K$2:$K$461,Data_filtered!$A$2:$A$461,$A16,Data_filtered!$F$2:$F$461,X$1, Data_filtered!$D$2:$D$461,"mata",Data_filtered!$J$2:$J$461,"&lt;&gt;Incompleto")</f>
        <v>0</v>
      </c>
      <c r="Y16" s="111">
        <f>SUMIFS(Data_filtered!$K$2:$K$461,Data_filtered!$A$2:$A$461,$A16,Data_filtered!$F$2:$F$461,Y$1, Data_filtered!$D$2:$D$461,"mata",Data_filtered!$J$2:$J$461,"&lt;&gt;Incompleto")</f>
        <v>0</v>
      </c>
      <c r="Z16" s="111"/>
      <c r="AA16" s="111"/>
      <c r="AB16" s="111"/>
      <c r="AC16" s="111"/>
      <c r="AD16" s="111"/>
    </row>
    <row r="17">
      <c r="A17" s="9" t="str">
        <f>IFERROR(__xludf.DUMMYFUNCTION("""COMPUTED_VALUE"""),"Physalaemus olfersii")</f>
        <v>Physalaemus olfersii</v>
      </c>
      <c r="B17" s="111">
        <f>SUMIFS(Data_filtered!$K$2:$K$461,Data_filtered!$A$2:$A$461,$A17,Data_filtered!$F$2:$F$461,B$1, Data_filtered!$D$2:$D$461,"mata",Data_filtered!$J$2:$J$461,"&lt;&gt;Incompleto")</f>
        <v>0</v>
      </c>
      <c r="C17" s="111">
        <f>SUMIFS(Data_filtered!$K$2:$K$461,Data_filtered!$A$2:$A$461,$A17,Data_filtered!$F$2:$F$461,C$1, Data_filtered!$D$2:$D$461,"mata",Data_filtered!$J$2:$J$461,"&lt;&gt;Incompleto")</f>
        <v>16.75516082</v>
      </c>
      <c r="D17" s="111">
        <f>SUMIFS(Data_filtered!$K$2:$K$461,Data_filtered!$A$2:$A$461,$A17,Data_filtered!$F$2:$F$461,D$1, Data_filtered!$D$2:$D$461,"mata",Data_filtered!$J$2:$J$461,"&lt;&gt;Incompleto")</f>
        <v>0</v>
      </c>
      <c r="E17" s="111">
        <f>SUMIFS(Data_filtered!$K$2:$K$461,Data_filtered!$A$2:$A$461,$A17,Data_filtered!$F$2:$F$461,E$1, Data_filtered!$D$2:$D$461,"mata",Data_filtered!$J$2:$J$461,"&lt;&gt;Incompleto")</f>
        <v>0</v>
      </c>
      <c r="F17" s="111">
        <f>SUMIFS(Data_filtered!$K$2:$K$461,Data_filtered!$A$2:$A$461,$A17,Data_filtered!$F$2:$F$461,F$1, Data_filtered!$D$2:$D$461,"mata",Data_filtered!$J$2:$J$461,"&lt;&gt;Incompleto")</f>
        <v>282.7433388</v>
      </c>
      <c r="G17" s="111">
        <f>SUMIFS(Data_filtered!$K$2:$K$461,Data_filtered!$A$2:$A$461,$A17,Data_filtered!$F$2:$F$461,G$1, Data_filtered!$D$2:$D$461,"mata",Data_filtered!$J$2:$J$461,"&lt;&gt;Incompleto")</f>
        <v>0</v>
      </c>
      <c r="H17" s="111">
        <f>SUMIFS(Data_filtered!$K$2:$K$461,Data_filtered!$A$2:$A$461,$A17,Data_filtered!$F$2:$F$461,H$1, Data_filtered!$D$2:$D$461,"mata",Data_filtered!$J$2:$J$461,"&lt;&gt;Incompleto")</f>
        <v>0</v>
      </c>
      <c r="I17" s="111">
        <f>SUMIFS(Data_filtered!$K$2:$K$461,Data_filtered!$A$2:$A$461,$A17,Data_filtered!$F$2:$F$461,I$1, Data_filtered!$D$2:$D$461,"mata",Data_filtered!$J$2:$J$461,"&lt;&gt;Incompleto")</f>
        <v>0</v>
      </c>
      <c r="J17" s="111">
        <f>SUMIFS(Data_filtered!$K$2:$K$461,Data_filtered!$A$2:$A$461,$A17,Data_filtered!$F$2:$F$461,J$1, Data_filtered!$D$2:$D$461,"mata",Data_filtered!$J$2:$J$461,"&lt;&gt;Incompleto")</f>
        <v>0</v>
      </c>
      <c r="K17" s="111">
        <f>SUMIFS(Data_filtered!$K$2:$K$461,Data_filtered!$A$2:$A$461,$A17,Data_filtered!$F$2:$F$461,K$1, Data_filtered!$D$2:$D$461,"mata",Data_filtered!$J$2:$J$461,"&lt;&gt;Incompleto")</f>
        <v>0</v>
      </c>
      <c r="L17" s="111">
        <f>SUMIFS(Data_filtered!$K$2:$K$461,Data_filtered!$A$2:$A$461,$A17,Data_filtered!$F$2:$F$461,L$1, Data_filtered!$D$2:$D$461,"mata",Data_filtered!$J$2:$J$461,"&lt;&gt;Incompleto")</f>
        <v>258.6577951</v>
      </c>
      <c r="M17" s="111">
        <f>SUMIFS(Data_filtered!$K$2:$K$461,Data_filtered!$A$2:$A$461,$A17,Data_filtered!$F$2:$F$461,M$1, Data_filtered!$D$2:$D$461,"mata",Data_filtered!$J$2:$J$461,"&lt;&gt;Incompleto")</f>
        <v>0</v>
      </c>
      <c r="N17" s="111">
        <f>SUMIFS(Data_filtered!$K$2:$K$461,Data_filtered!$A$2:$A$461,$A17,Data_filtered!$F$2:$F$461,N$1, Data_filtered!$D$2:$D$461,"mata",Data_filtered!$J$2:$J$461,"&lt;&gt;Incompleto")</f>
        <v>0</v>
      </c>
      <c r="O17" s="111">
        <f>SUMIFS(Data_filtered!$K$2:$K$461,Data_filtered!$A$2:$A$461,$A17,Data_filtered!$F$2:$F$461,O$1, Data_filtered!$D$2:$D$461,"mata",Data_filtered!$J$2:$J$461,"&lt;&gt;Incompleto")</f>
        <v>0</v>
      </c>
      <c r="P17" s="111">
        <f>SUMIFS(Data_filtered!$K$2:$K$461,Data_filtered!$A$2:$A$461,$A17,Data_filtered!$F$2:$F$461,P$1, Data_filtered!$D$2:$D$461,"mata",Data_filtered!$J$2:$J$461,"&lt;&gt;Incompleto")</f>
        <v>0</v>
      </c>
      <c r="Q17" s="111">
        <f>SUMIFS(Data_filtered!$K$2:$K$461,Data_filtered!$A$2:$A$461,$A17,Data_filtered!$F$2:$F$461,Q$1, Data_filtered!$D$2:$D$461,"mata",Data_filtered!$J$2:$J$461,"&lt;&gt;Incompleto")</f>
        <v>0</v>
      </c>
      <c r="R17" s="111">
        <f>SUMIFS(Data_filtered!$K$2:$K$461,Data_filtered!$A$2:$A$461,$A17,Data_filtered!$F$2:$F$461,R$1, Data_filtered!$D$2:$D$461,"mata",Data_filtered!$J$2:$J$461,"&lt;&gt;Incompleto")</f>
        <v>0</v>
      </c>
      <c r="S17" s="111">
        <f>SUMIFS(Data_filtered!$K$2:$K$461,Data_filtered!$A$2:$A$461,$A17,Data_filtered!$F$2:$F$461,S$1, Data_filtered!$D$2:$D$461,"mata",Data_filtered!$J$2:$J$461,"&lt;&gt;Incompleto")</f>
        <v>0</v>
      </c>
      <c r="T17" s="111">
        <f>SUMIFS(Data_filtered!$K$2:$K$461,Data_filtered!$A$2:$A$461,$A17,Data_filtered!$F$2:$F$461,T$1, Data_filtered!$D$2:$D$461,"mata",Data_filtered!$J$2:$J$461,"&lt;&gt;Incompleto")</f>
        <v>0</v>
      </c>
      <c r="U17" s="111">
        <f>SUMIFS(Data_filtered!$K$2:$K$461,Data_filtered!$A$2:$A$461,$A17,Data_filtered!$F$2:$F$461,U$1, Data_filtered!$D$2:$D$461,"mata",Data_filtered!$J$2:$J$461,"&lt;&gt;Incompleto")</f>
        <v>0</v>
      </c>
      <c r="V17" s="111">
        <f>SUMIFS(Data_filtered!$K$2:$K$461,Data_filtered!$A$2:$A$461,$A17,Data_filtered!$F$2:$F$461,V$1, Data_filtered!$D$2:$D$461,"mata",Data_filtered!$J$2:$J$461,"&lt;&gt;Incompleto")</f>
        <v>0</v>
      </c>
      <c r="W17" s="111">
        <f>SUMIFS(Data_filtered!$K$2:$K$461,Data_filtered!$A$2:$A$461,$A17,Data_filtered!$F$2:$F$461,W$1, Data_filtered!$D$2:$D$461,"mata",Data_filtered!$J$2:$J$461,"&lt;&gt;Incompleto")</f>
        <v>201.0619298</v>
      </c>
      <c r="X17" s="111">
        <f>SUMIFS(Data_filtered!$K$2:$K$461,Data_filtered!$A$2:$A$461,$A17,Data_filtered!$F$2:$F$461,X$1, Data_filtered!$D$2:$D$461,"mata",Data_filtered!$J$2:$J$461,"&lt;&gt;Incompleto")</f>
        <v>0</v>
      </c>
      <c r="Y17" s="111">
        <f>SUMIFS(Data_filtered!$K$2:$K$461,Data_filtered!$A$2:$A$461,$A17,Data_filtered!$F$2:$F$461,Y$1, Data_filtered!$D$2:$D$461,"mata",Data_filtered!$J$2:$J$461,"&lt;&gt;Incompleto")</f>
        <v>0</v>
      </c>
      <c r="Z17" s="111"/>
      <c r="AA17" s="111"/>
      <c r="AB17" s="111"/>
      <c r="AC17" s="111"/>
      <c r="AD17" s="111"/>
    </row>
    <row r="18">
      <c r="A18" s="9" t="str">
        <f>IFERROR(__xludf.DUMMYFUNCTION("""COMPUTED_VALUE"""),"Proceratophrys boiei")</f>
        <v>Proceratophrys boiei</v>
      </c>
      <c r="B18" s="111">
        <f>SUMIFS(Data_filtered!$K$2:$K$461,Data_filtered!$A$2:$A$461,$A18,Data_filtered!$F$2:$F$461,B$1, Data_filtered!$D$2:$D$461,"mata",Data_filtered!$J$2:$J$461,"&lt;&gt;Incompleto")</f>
        <v>8.37758041</v>
      </c>
      <c r="C18" s="111">
        <f>SUMIFS(Data_filtered!$K$2:$K$461,Data_filtered!$A$2:$A$461,$A18,Data_filtered!$F$2:$F$461,C$1, Data_filtered!$D$2:$D$461,"mata",Data_filtered!$J$2:$J$461,"&lt;&gt;Incompleto")</f>
        <v>0</v>
      </c>
      <c r="D18" s="111">
        <f>SUMIFS(Data_filtered!$K$2:$K$461,Data_filtered!$A$2:$A$461,$A18,Data_filtered!$F$2:$F$461,D$1, Data_filtered!$D$2:$D$461,"mata",Data_filtered!$J$2:$J$461,"&lt;&gt;Incompleto")</f>
        <v>0</v>
      </c>
      <c r="E18" s="111">
        <f>SUMIFS(Data_filtered!$K$2:$K$461,Data_filtered!$A$2:$A$461,$A18,Data_filtered!$F$2:$F$461,E$1, Data_filtered!$D$2:$D$461,"mata",Data_filtered!$J$2:$J$461,"&lt;&gt;Incompleto")</f>
        <v>33.51032164</v>
      </c>
      <c r="F18" s="111">
        <f>SUMIFS(Data_filtered!$K$2:$K$461,Data_filtered!$A$2:$A$461,$A18,Data_filtered!$F$2:$F$461,F$1, Data_filtered!$D$2:$D$461,"mata",Data_filtered!$J$2:$J$461,"&lt;&gt;Incompleto")</f>
        <v>29715.27771</v>
      </c>
      <c r="G18" s="111">
        <f>SUMIFS(Data_filtered!$K$2:$K$461,Data_filtered!$A$2:$A$461,$A18,Data_filtered!$F$2:$F$461,G$1, Data_filtered!$D$2:$D$461,"mata",Data_filtered!$J$2:$J$461,"&lt;&gt;Incompleto")</f>
        <v>0</v>
      </c>
      <c r="H18" s="111">
        <f>SUMIFS(Data_filtered!$K$2:$K$461,Data_filtered!$A$2:$A$461,$A18,Data_filtered!$F$2:$F$461,H$1, Data_filtered!$D$2:$D$461,"mata",Data_filtered!$J$2:$J$461,"&lt;&gt;Incompleto")</f>
        <v>0</v>
      </c>
      <c r="I18" s="111">
        <f>SUMIFS(Data_filtered!$K$2:$K$461,Data_filtered!$A$2:$A$461,$A18,Data_filtered!$F$2:$F$461,I$1, Data_filtered!$D$2:$D$461,"mata",Data_filtered!$J$2:$J$461,"&lt;&gt;Incompleto")</f>
        <v>0</v>
      </c>
      <c r="J18" s="111">
        <f>SUMIFS(Data_filtered!$K$2:$K$461,Data_filtered!$A$2:$A$461,$A18,Data_filtered!$F$2:$F$461,J$1, Data_filtered!$D$2:$D$461,"mata",Data_filtered!$J$2:$J$461,"&lt;&gt;Incompleto")</f>
        <v>41.88790205</v>
      </c>
      <c r="K18" s="111">
        <f>SUMIFS(Data_filtered!$K$2:$K$461,Data_filtered!$A$2:$A$461,$A18,Data_filtered!$F$2:$F$461,K$1, Data_filtered!$D$2:$D$461,"mata",Data_filtered!$J$2:$J$461,"&lt;&gt;Incompleto")</f>
        <v>4105.014401</v>
      </c>
      <c r="L18" s="111">
        <f>SUMIFS(Data_filtered!$K$2:$K$461,Data_filtered!$A$2:$A$461,$A18,Data_filtered!$F$2:$F$461,L$1, Data_filtered!$D$2:$D$461,"mata",Data_filtered!$J$2:$J$461,"&lt;&gt;Incompleto")</f>
        <v>0</v>
      </c>
      <c r="M18" s="111">
        <f>SUMIFS(Data_filtered!$K$2:$K$461,Data_filtered!$A$2:$A$461,$A18,Data_filtered!$F$2:$F$461,M$1, Data_filtered!$D$2:$D$461,"mata",Data_filtered!$J$2:$J$461,"&lt;&gt;Incompleto")</f>
        <v>0</v>
      </c>
      <c r="N18" s="111">
        <f>SUMIFS(Data_filtered!$K$2:$K$461,Data_filtered!$A$2:$A$461,$A18,Data_filtered!$F$2:$F$461,N$1, Data_filtered!$D$2:$D$461,"mata",Data_filtered!$J$2:$J$461,"&lt;&gt;Incompleto")</f>
        <v>0</v>
      </c>
      <c r="O18" s="111">
        <f>SUMIFS(Data_filtered!$K$2:$K$461,Data_filtered!$A$2:$A$461,$A18,Data_filtered!$F$2:$F$461,O$1, Data_filtered!$D$2:$D$461,"mata",Data_filtered!$J$2:$J$461,"&lt;&gt;Incompleto")</f>
        <v>150.7964474</v>
      </c>
      <c r="P18" s="111">
        <f>SUMIFS(Data_filtered!$K$2:$K$461,Data_filtered!$A$2:$A$461,$A18,Data_filtered!$F$2:$F$461,P$1, Data_filtered!$D$2:$D$461,"mata",Data_filtered!$J$2:$J$461,"&lt;&gt;Incompleto")</f>
        <v>0</v>
      </c>
      <c r="Q18" s="111">
        <f>SUMIFS(Data_filtered!$K$2:$K$461,Data_filtered!$A$2:$A$461,$A18,Data_filtered!$F$2:$F$461,Q$1, Data_filtered!$D$2:$D$461,"mata",Data_filtered!$J$2:$J$461,"&lt;&gt;Incompleto")</f>
        <v>0</v>
      </c>
      <c r="R18" s="111">
        <f>SUMIFS(Data_filtered!$K$2:$K$461,Data_filtered!$A$2:$A$461,$A18,Data_filtered!$F$2:$F$461,R$1, Data_filtered!$D$2:$D$461,"mata",Data_filtered!$J$2:$J$461,"&lt;&gt;Incompleto")</f>
        <v>0</v>
      </c>
      <c r="S18" s="111">
        <f>SUMIFS(Data_filtered!$K$2:$K$461,Data_filtered!$A$2:$A$461,$A18,Data_filtered!$F$2:$F$461,S$1, Data_filtered!$D$2:$D$461,"mata",Data_filtered!$J$2:$J$461,"&lt;&gt;Incompleto")</f>
        <v>0</v>
      </c>
      <c r="T18" s="111">
        <f>SUMIFS(Data_filtered!$K$2:$K$461,Data_filtered!$A$2:$A$461,$A18,Data_filtered!$F$2:$F$461,T$1, Data_filtered!$D$2:$D$461,"mata",Data_filtered!$J$2:$J$461,"&lt;&gt;Incompleto")</f>
        <v>0</v>
      </c>
      <c r="U18" s="111">
        <f>SUMIFS(Data_filtered!$K$2:$K$461,Data_filtered!$A$2:$A$461,$A18,Data_filtered!$F$2:$F$461,U$1, Data_filtered!$D$2:$D$461,"mata",Data_filtered!$J$2:$J$461,"&lt;&gt;Incompleto")</f>
        <v>0</v>
      </c>
      <c r="V18" s="111">
        <f>SUMIFS(Data_filtered!$K$2:$K$461,Data_filtered!$A$2:$A$461,$A18,Data_filtered!$F$2:$F$461,V$1, Data_filtered!$D$2:$D$461,"mata",Data_filtered!$J$2:$J$461,"&lt;&gt;Incompleto")</f>
        <v>0</v>
      </c>
      <c r="W18" s="111">
        <f>SUMIFS(Data_filtered!$K$2:$K$461,Data_filtered!$A$2:$A$461,$A18,Data_filtered!$F$2:$F$461,W$1, Data_filtered!$D$2:$D$461,"mata",Data_filtered!$J$2:$J$461,"&lt;&gt;Incompleto")</f>
        <v>603.1857895</v>
      </c>
      <c r="X18" s="111">
        <f>SUMIFS(Data_filtered!$K$2:$K$461,Data_filtered!$A$2:$A$461,$A18,Data_filtered!$F$2:$F$461,X$1, Data_filtered!$D$2:$D$461,"mata",Data_filtered!$J$2:$J$461,"&lt;&gt;Incompleto")</f>
        <v>0</v>
      </c>
      <c r="Y18" s="111">
        <f>SUMIFS(Data_filtered!$K$2:$K$461,Data_filtered!$A$2:$A$461,$A18,Data_filtered!$F$2:$F$461,Y$1, Data_filtered!$D$2:$D$461,"mata",Data_filtered!$J$2:$J$461,"&lt;&gt;Incompleto")</f>
        <v>0</v>
      </c>
      <c r="Z18" s="111"/>
      <c r="AA18" s="111"/>
      <c r="AB18" s="111"/>
      <c r="AC18" s="111"/>
      <c r="AD18" s="111"/>
    </row>
    <row r="19">
      <c r="A19" s="9" t="str">
        <f>IFERROR(__xludf.DUMMYFUNCTION("""COMPUTED_VALUE"""),"Proceratophrys itamari")</f>
        <v>Proceratophrys itamari</v>
      </c>
      <c r="B19" s="111">
        <f>SUMIFS(Data_filtered!$K$2:$K$461,Data_filtered!$A$2:$A$461,$A19,Data_filtered!$F$2:$F$461,B$1, Data_filtered!$D$2:$D$461,"mata",Data_filtered!$J$2:$J$461,"&lt;&gt;Incompleto")</f>
        <v>0</v>
      </c>
      <c r="C19" s="111">
        <f>SUMIFS(Data_filtered!$K$2:$K$461,Data_filtered!$A$2:$A$461,$A19,Data_filtered!$F$2:$F$461,C$1, Data_filtered!$D$2:$D$461,"mata",Data_filtered!$J$2:$J$461,"&lt;&gt;Incompleto")</f>
        <v>100.5309649</v>
      </c>
      <c r="D19" s="111">
        <f>SUMIFS(Data_filtered!$K$2:$K$461,Data_filtered!$A$2:$A$461,$A19,Data_filtered!$F$2:$F$461,D$1, Data_filtered!$D$2:$D$461,"mata",Data_filtered!$J$2:$J$461,"&lt;&gt;Incompleto")</f>
        <v>0</v>
      </c>
      <c r="E19" s="111">
        <f>SUMIFS(Data_filtered!$K$2:$K$461,Data_filtered!$A$2:$A$461,$A19,Data_filtered!$F$2:$F$461,E$1, Data_filtered!$D$2:$D$461,"mata",Data_filtered!$J$2:$J$461,"&lt;&gt;Incompleto")</f>
        <v>0</v>
      </c>
      <c r="F19" s="111">
        <f>SUMIFS(Data_filtered!$K$2:$K$461,Data_filtered!$A$2:$A$461,$A19,Data_filtered!$F$2:$F$461,F$1, Data_filtered!$D$2:$D$461,"mata",Data_filtered!$J$2:$J$461,"&lt;&gt;Incompleto")</f>
        <v>117.2861257</v>
      </c>
      <c r="G19" s="111">
        <f>SUMIFS(Data_filtered!$K$2:$K$461,Data_filtered!$A$2:$A$461,$A19,Data_filtered!$F$2:$F$461,G$1, Data_filtered!$D$2:$D$461,"mata",Data_filtered!$J$2:$J$461,"&lt;&gt;Incompleto")</f>
        <v>0</v>
      </c>
      <c r="H19" s="111">
        <f>SUMIFS(Data_filtered!$K$2:$K$461,Data_filtered!$A$2:$A$461,$A19,Data_filtered!$F$2:$F$461,H$1, Data_filtered!$D$2:$D$461,"mata",Data_filtered!$J$2:$J$461,"&lt;&gt;Incompleto")</f>
        <v>0</v>
      </c>
      <c r="I19" s="111">
        <f>SUMIFS(Data_filtered!$K$2:$K$461,Data_filtered!$A$2:$A$461,$A19,Data_filtered!$F$2:$F$461,I$1, Data_filtered!$D$2:$D$461,"mata",Data_filtered!$J$2:$J$461,"&lt;&gt;Incompleto")</f>
        <v>0</v>
      </c>
      <c r="J19" s="111">
        <f>SUMIFS(Data_filtered!$K$2:$K$461,Data_filtered!$A$2:$A$461,$A19,Data_filtered!$F$2:$F$461,J$1, Data_filtered!$D$2:$D$461,"mata",Data_filtered!$J$2:$J$461,"&lt;&gt;Incompleto")</f>
        <v>0</v>
      </c>
      <c r="K19" s="111">
        <f>SUMIFS(Data_filtered!$K$2:$K$461,Data_filtered!$A$2:$A$461,$A19,Data_filtered!$F$2:$F$461,K$1, Data_filtered!$D$2:$D$461,"mata",Data_filtered!$J$2:$J$461,"&lt;&gt;Incompleto")</f>
        <v>0</v>
      </c>
      <c r="L19" s="111">
        <f>SUMIFS(Data_filtered!$K$2:$K$461,Data_filtered!$A$2:$A$461,$A19,Data_filtered!$F$2:$F$461,L$1, Data_filtered!$D$2:$D$461,"mata",Data_filtered!$J$2:$J$461,"&lt;&gt;Incompleto")</f>
        <v>0</v>
      </c>
      <c r="M19" s="111">
        <f>SUMIFS(Data_filtered!$K$2:$K$461,Data_filtered!$A$2:$A$461,$A19,Data_filtered!$F$2:$F$461,M$1, Data_filtered!$D$2:$D$461,"mata",Data_filtered!$J$2:$J$461,"&lt;&gt;Incompleto")</f>
        <v>0</v>
      </c>
      <c r="N19" s="111">
        <f>SUMIFS(Data_filtered!$K$2:$K$461,Data_filtered!$A$2:$A$461,$A19,Data_filtered!$F$2:$F$461,N$1, Data_filtered!$D$2:$D$461,"mata",Data_filtered!$J$2:$J$461,"&lt;&gt;Incompleto")</f>
        <v>83.7758041</v>
      </c>
      <c r="O19" s="111">
        <f>SUMIFS(Data_filtered!$K$2:$K$461,Data_filtered!$A$2:$A$461,$A19,Data_filtered!$F$2:$F$461,O$1, Data_filtered!$D$2:$D$461,"mata",Data_filtered!$J$2:$J$461,"&lt;&gt;Incompleto")</f>
        <v>289.0265241</v>
      </c>
      <c r="P19" s="111">
        <f>SUMIFS(Data_filtered!$K$2:$K$461,Data_filtered!$A$2:$A$461,$A19,Data_filtered!$F$2:$F$461,P$1, Data_filtered!$D$2:$D$461,"mata",Data_filtered!$J$2:$J$461,"&lt;&gt;Incompleto")</f>
        <v>0</v>
      </c>
      <c r="Q19" s="111">
        <f>SUMIFS(Data_filtered!$K$2:$K$461,Data_filtered!$A$2:$A$461,$A19,Data_filtered!$F$2:$F$461,Q$1, Data_filtered!$D$2:$D$461,"mata",Data_filtered!$J$2:$J$461,"&lt;&gt;Incompleto")</f>
        <v>0</v>
      </c>
      <c r="R19" s="111">
        <f>SUMIFS(Data_filtered!$K$2:$K$461,Data_filtered!$A$2:$A$461,$A19,Data_filtered!$F$2:$F$461,R$1, Data_filtered!$D$2:$D$461,"mata",Data_filtered!$J$2:$J$461,"&lt;&gt;Incompleto")</f>
        <v>0</v>
      </c>
      <c r="S19" s="111">
        <f>SUMIFS(Data_filtered!$K$2:$K$461,Data_filtered!$A$2:$A$461,$A19,Data_filtered!$F$2:$F$461,S$1, Data_filtered!$D$2:$D$461,"mata",Data_filtered!$J$2:$J$461,"&lt;&gt;Incompleto")</f>
        <v>0</v>
      </c>
      <c r="T19" s="111">
        <f>SUMIFS(Data_filtered!$K$2:$K$461,Data_filtered!$A$2:$A$461,$A19,Data_filtered!$F$2:$F$461,T$1, Data_filtered!$D$2:$D$461,"mata",Data_filtered!$J$2:$J$461,"&lt;&gt;Incompleto")</f>
        <v>0</v>
      </c>
      <c r="U19" s="111">
        <f>SUMIFS(Data_filtered!$K$2:$K$461,Data_filtered!$A$2:$A$461,$A19,Data_filtered!$F$2:$F$461,U$1, Data_filtered!$D$2:$D$461,"mata",Data_filtered!$J$2:$J$461,"&lt;&gt;Incompleto")</f>
        <v>0</v>
      </c>
      <c r="V19" s="111">
        <f>SUMIFS(Data_filtered!$K$2:$K$461,Data_filtered!$A$2:$A$461,$A19,Data_filtered!$F$2:$F$461,V$1, Data_filtered!$D$2:$D$461,"mata",Data_filtered!$J$2:$J$461,"&lt;&gt;Incompleto")</f>
        <v>0</v>
      </c>
      <c r="W19" s="111">
        <f>SUMIFS(Data_filtered!$K$2:$K$461,Data_filtered!$A$2:$A$461,$A19,Data_filtered!$F$2:$F$461,W$1, Data_filtered!$D$2:$D$461,"mata",Data_filtered!$J$2:$J$461,"&lt;&gt;Incompleto")</f>
        <v>0</v>
      </c>
      <c r="X19" s="111">
        <f>SUMIFS(Data_filtered!$K$2:$K$461,Data_filtered!$A$2:$A$461,$A19,Data_filtered!$F$2:$F$461,X$1, Data_filtered!$D$2:$D$461,"mata",Data_filtered!$J$2:$J$461,"&lt;&gt;Incompleto")</f>
        <v>0</v>
      </c>
      <c r="Y19" s="111">
        <f>SUMIFS(Data_filtered!$K$2:$K$461,Data_filtered!$A$2:$A$461,$A19,Data_filtered!$F$2:$F$461,Y$1, Data_filtered!$D$2:$D$461,"mata",Data_filtered!$J$2:$J$461,"&lt;&gt;Incompleto")</f>
        <v>0</v>
      </c>
      <c r="Z19" s="111"/>
      <c r="AA19" s="111"/>
      <c r="AB19" s="111"/>
      <c r="AC19" s="111"/>
      <c r="AD19" s="111"/>
    </row>
    <row r="20">
      <c r="A20" s="9" t="str">
        <f>IFERROR(__xludf.DUMMYFUNCTION("""COMPUTED_VALUE"""),"Rhinella icterica")</f>
        <v>Rhinella icterica</v>
      </c>
      <c r="B20" s="111">
        <f>SUMIFS(Data_filtered!$K$2:$K$461,Data_filtered!$A$2:$A$461,$A20,Data_filtered!$F$2:$F$461,B$1, Data_filtered!$D$2:$D$461,"mata",Data_filtered!$J$2:$J$461,"&lt;&gt;Incompleto")</f>
        <v>0</v>
      </c>
      <c r="C20" s="111">
        <f>SUMIFS(Data_filtered!$K$2:$K$461,Data_filtered!$A$2:$A$461,$A20,Data_filtered!$F$2:$F$461,C$1, Data_filtered!$D$2:$D$461,"mata",Data_filtered!$J$2:$J$461,"&lt;&gt;Incompleto")</f>
        <v>0</v>
      </c>
      <c r="D20" s="111">
        <f>SUMIFS(Data_filtered!$K$2:$K$461,Data_filtered!$A$2:$A$461,$A20,Data_filtered!$F$2:$F$461,D$1, Data_filtered!$D$2:$D$461,"mata",Data_filtered!$J$2:$J$461,"&lt;&gt;Incompleto")</f>
        <v>0</v>
      </c>
      <c r="E20" s="111">
        <f>SUMIFS(Data_filtered!$K$2:$K$461,Data_filtered!$A$2:$A$461,$A20,Data_filtered!$F$2:$F$461,E$1, Data_filtered!$D$2:$D$461,"mata",Data_filtered!$J$2:$J$461,"&lt;&gt;Incompleto")</f>
        <v>0</v>
      </c>
      <c r="F20" s="111">
        <f>SUMIFS(Data_filtered!$K$2:$K$461,Data_filtered!$A$2:$A$461,$A20,Data_filtered!$F$2:$F$461,F$1, Data_filtered!$D$2:$D$461,"mata",Data_filtered!$J$2:$J$461,"&lt;&gt;Incompleto")</f>
        <v>569214.7009</v>
      </c>
      <c r="G20" s="111">
        <f>SUMIFS(Data_filtered!$K$2:$K$461,Data_filtered!$A$2:$A$461,$A20,Data_filtered!$F$2:$F$461,G$1, Data_filtered!$D$2:$D$461,"mata",Data_filtered!$J$2:$J$461,"&lt;&gt;Incompleto")</f>
        <v>1470.265362</v>
      </c>
      <c r="H20" s="111">
        <f>SUMIFS(Data_filtered!$K$2:$K$461,Data_filtered!$A$2:$A$461,$A20,Data_filtered!$F$2:$F$461,H$1, Data_filtered!$D$2:$D$461,"mata",Data_filtered!$J$2:$J$461,"&lt;&gt;Incompleto")</f>
        <v>0</v>
      </c>
      <c r="I20" s="111">
        <f>SUMIFS(Data_filtered!$K$2:$K$461,Data_filtered!$A$2:$A$461,$A20,Data_filtered!$F$2:$F$461,I$1, Data_filtered!$D$2:$D$461,"mata",Data_filtered!$J$2:$J$461,"&lt;&gt;Incompleto")</f>
        <v>1977.108977</v>
      </c>
      <c r="J20" s="111">
        <f>SUMIFS(Data_filtered!$K$2:$K$461,Data_filtered!$A$2:$A$461,$A20,Data_filtered!$F$2:$F$461,J$1, Data_filtered!$D$2:$D$461,"mata",Data_filtered!$J$2:$J$461,"&lt;&gt;Incompleto")</f>
        <v>25643.77363</v>
      </c>
      <c r="K20" s="111">
        <f>SUMIFS(Data_filtered!$K$2:$K$461,Data_filtered!$A$2:$A$461,$A20,Data_filtered!$F$2:$F$461,K$1, Data_filtered!$D$2:$D$461,"mata",Data_filtered!$J$2:$J$461,"&lt;&gt;Incompleto")</f>
        <v>0</v>
      </c>
      <c r="L20" s="111">
        <f>SUMIFS(Data_filtered!$K$2:$K$461,Data_filtered!$A$2:$A$461,$A20,Data_filtered!$F$2:$F$461,L$1, Data_filtered!$D$2:$D$461,"mata",Data_filtered!$J$2:$J$461,"&lt;&gt;Incompleto")</f>
        <v>4117.580771</v>
      </c>
      <c r="M20" s="111">
        <f>SUMIFS(Data_filtered!$K$2:$K$461,Data_filtered!$A$2:$A$461,$A20,Data_filtered!$F$2:$F$461,M$1, Data_filtered!$D$2:$D$461,"mata",Data_filtered!$J$2:$J$461,"&lt;&gt;Incompleto")</f>
        <v>0</v>
      </c>
      <c r="N20" s="111">
        <f>SUMIFS(Data_filtered!$K$2:$K$461,Data_filtered!$A$2:$A$461,$A20,Data_filtered!$F$2:$F$461,N$1, Data_filtered!$D$2:$D$461,"mata",Data_filtered!$J$2:$J$461,"&lt;&gt;Incompleto")</f>
        <v>2714.336053</v>
      </c>
      <c r="O20" s="111">
        <f>SUMIFS(Data_filtered!$K$2:$K$461,Data_filtered!$A$2:$A$461,$A20,Data_filtered!$F$2:$F$461,O$1, Data_filtered!$D$2:$D$461,"mata",Data_filtered!$J$2:$J$461,"&lt;&gt;Incompleto")</f>
        <v>113.0973355</v>
      </c>
      <c r="P20" s="111">
        <f>SUMIFS(Data_filtered!$K$2:$K$461,Data_filtered!$A$2:$A$461,$A20,Data_filtered!$F$2:$F$461,P$1, Data_filtered!$D$2:$D$461,"mata",Data_filtered!$J$2:$J$461,"&lt;&gt;Incompleto")</f>
        <v>0</v>
      </c>
      <c r="Q20" s="111">
        <f>SUMIFS(Data_filtered!$K$2:$K$461,Data_filtered!$A$2:$A$461,$A20,Data_filtered!$F$2:$F$461,Q$1, Data_filtered!$D$2:$D$461,"mata",Data_filtered!$J$2:$J$461,"&lt;&gt;Incompleto")</f>
        <v>167.5516082</v>
      </c>
      <c r="R20" s="111">
        <f>SUMIFS(Data_filtered!$K$2:$K$461,Data_filtered!$A$2:$A$461,$A20,Data_filtered!$F$2:$F$461,R$1, Data_filtered!$D$2:$D$461,"mata",Data_filtered!$J$2:$J$461,"&lt;&gt;Incompleto")</f>
        <v>2010.619298</v>
      </c>
      <c r="S20" s="111">
        <f>SUMIFS(Data_filtered!$K$2:$K$461,Data_filtered!$A$2:$A$461,$A20,Data_filtered!$F$2:$F$461,S$1, Data_filtered!$D$2:$D$461,"mata",Data_filtered!$J$2:$J$461,"&lt;&gt;Incompleto")</f>
        <v>0</v>
      </c>
      <c r="T20" s="111">
        <f>SUMIFS(Data_filtered!$K$2:$K$461,Data_filtered!$A$2:$A$461,$A20,Data_filtered!$F$2:$F$461,T$1, Data_filtered!$D$2:$D$461,"mata",Data_filtered!$J$2:$J$461,"&lt;&gt;Incompleto")</f>
        <v>15205.30844</v>
      </c>
      <c r="U20" s="111">
        <f>SUMIFS(Data_filtered!$K$2:$K$461,Data_filtered!$A$2:$A$461,$A20,Data_filtered!$F$2:$F$461,U$1, Data_filtered!$D$2:$D$461,"mata",Data_filtered!$J$2:$J$461,"&lt;&gt;Incompleto")</f>
        <v>0</v>
      </c>
      <c r="V20" s="111">
        <f>SUMIFS(Data_filtered!$K$2:$K$461,Data_filtered!$A$2:$A$461,$A20,Data_filtered!$F$2:$F$461,V$1, Data_filtered!$D$2:$D$461,"mata",Data_filtered!$J$2:$J$461,"&lt;&gt;Incompleto")</f>
        <v>0</v>
      </c>
      <c r="W20" s="111">
        <f>SUMIFS(Data_filtered!$K$2:$K$461,Data_filtered!$A$2:$A$461,$A20,Data_filtered!$F$2:$F$461,W$1, Data_filtered!$D$2:$D$461,"mata",Data_filtered!$J$2:$J$461,"&lt;&gt;Incompleto")</f>
        <v>917.3450548</v>
      </c>
      <c r="X20" s="111">
        <f>SUMIFS(Data_filtered!$K$2:$K$461,Data_filtered!$A$2:$A$461,$A20,Data_filtered!$F$2:$F$461,X$1, Data_filtered!$D$2:$D$461,"mata",Data_filtered!$J$2:$J$461,"&lt;&gt;Incompleto")</f>
        <v>0</v>
      </c>
      <c r="Y20" s="111">
        <f>SUMIFS(Data_filtered!$K$2:$K$461,Data_filtered!$A$2:$A$461,$A20,Data_filtered!$F$2:$F$461,Y$1, Data_filtered!$D$2:$D$461,"mata",Data_filtered!$J$2:$J$461,"&lt;&gt;Incompleto")</f>
        <v>0</v>
      </c>
      <c r="Z20" s="111"/>
      <c r="AA20" s="111"/>
      <c r="AB20" s="111"/>
      <c r="AC20" s="111"/>
      <c r="AD20" s="111"/>
    </row>
    <row r="21">
      <c r="A21" s="9" t="str">
        <f>IFERROR(__xludf.DUMMYFUNCTION("""COMPUTED_VALUE"""),"Rhinella ornata")</f>
        <v>Rhinella ornata</v>
      </c>
      <c r="B21" s="111">
        <f>SUMIFS(Data_filtered!$K$2:$K$461,Data_filtered!$A$2:$A$461,$A21,Data_filtered!$F$2:$F$461,B$1, Data_filtered!$D$2:$D$461,"mata",Data_filtered!$J$2:$J$461,"&lt;&gt;Incompleto")</f>
        <v>0</v>
      </c>
      <c r="C21" s="111">
        <f>SUMIFS(Data_filtered!$K$2:$K$461,Data_filtered!$A$2:$A$461,$A21,Data_filtered!$F$2:$F$461,C$1, Data_filtered!$D$2:$D$461,"mata",Data_filtered!$J$2:$J$461,"&lt;&gt;Incompleto")</f>
        <v>0</v>
      </c>
      <c r="D21" s="111">
        <f>SUMIFS(Data_filtered!$K$2:$K$461,Data_filtered!$A$2:$A$461,$A21,Data_filtered!$F$2:$F$461,D$1, Data_filtered!$D$2:$D$461,"mata",Data_filtered!$J$2:$J$461,"&lt;&gt;Incompleto")</f>
        <v>0</v>
      </c>
      <c r="E21" s="111">
        <f>SUMIFS(Data_filtered!$K$2:$K$461,Data_filtered!$A$2:$A$461,$A21,Data_filtered!$F$2:$F$461,E$1, Data_filtered!$D$2:$D$461,"mata",Data_filtered!$J$2:$J$461,"&lt;&gt;Incompleto")</f>
        <v>0</v>
      </c>
      <c r="F21" s="111">
        <f>SUMIFS(Data_filtered!$K$2:$K$461,Data_filtered!$A$2:$A$461,$A21,Data_filtered!$F$2:$F$461,F$1, Data_filtered!$D$2:$D$461,"mata",Data_filtered!$J$2:$J$461,"&lt;&gt;Incompleto")</f>
        <v>3736.400863</v>
      </c>
      <c r="G21" s="111">
        <f>SUMIFS(Data_filtered!$K$2:$K$461,Data_filtered!$A$2:$A$461,$A21,Data_filtered!$F$2:$F$461,G$1, Data_filtered!$D$2:$D$461,"mata",Data_filtered!$J$2:$J$461,"&lt;&gt;Incompleto")</f>
        <v>0</v>
      </c>
      <c r="H21" s="111">
        <f>SUMIFS(Data_filtered!$K$2:$K$461,Data_filtered!$A$2:$A$461,$A21,Data_filtered!$F$2:$F$461,H$1, Data_filtered!$D$2:$D$461,"mata",Data_filtered!$J$2:$J$461,"&lt;&gt;Incompleto")</f>
        <v>0</v>
      </c>
      <c r="I21" s="111">
        <f>SUMIFS(Data_filtered!$K$2:$K$461,Data_filtered!$A$2:$A$461,$A21,Data_filtered!$F$2:$F$461,I$1, Data_filtered!$D$2:$D$461,"mata",Data_filtered!$J$2:$J$461,"&lt;&gt;Incompleto")</f>
        <v>0</v>
      </c>
      <c r="J21" s="111">
        <f>SUMIFS(Data_filtered!$K$2:$K$461,Data_filtered!$A$2:$A$461,$A21,Data_filtered!$F$2:$F$461,J$1, Data_filtered!$D$2:$D$461,"mata",Data_filtered!$J$2:$J$461,"&lt;&gt;Incompleto")</f>
        <v>1319.468915</v>
      </c>
      <c r="K21" s="111">
        <f>SUMIFS(Data_filtered!$K$2:$K$461,Data_filtered!$A$2:$A$461,$A21,Data_filtered!$F$2:$F$461,K$1, Data_filtered!$D$2:$D$461,"mata",Data_filtered!$J$2:$J$461,"&lt;&gt;Incompleto")</f>
        <v>0</v>
      </c>
      <c r="L21" s="111">
        <f>SUMIFS(Data_filtered!$K$2:$K$461,Data_filtered!$A$2:$A$461,$A21,Data_filtered!$F$2:$F$461,L$1, Data_filtered!$D$2:$D$461,"mata",Data_filtered!$J$2:$J$461,"&lt;&gt;Incompleto")</f>
        <v>2416.931948</v>
      </c>
      <c r="M21" s="111">
        <f>SUMIFS(Data_filtered!$K$2:$K$461,Data_filtered!$A$2:$A$461,$A21,Data_filtered!$F$2:$F$461,M$1, Data_filtered!$D$2:$D$461,"mata",Data_filtered!$J$2:$J$461,"&lt;&gt;Incompleto")</f>
        <v>1256.637061</v>
      </c>
      <c r="N21" s="111">
        <f>SUMIFS(Data_filtered!$K$2:$K$461,Data_filtered!$A$2:$A$461,$A21,Data_filtered!$F$2:$F$461,N$1, Data_filtered!$D$2:$D$461,"mata",Data_filtered!$J$2:$J$461,"&lt;&gt;Incompleto")</f>
        <v>0</v>
      </c>
      <c r="O21" s="111">
        <f>SUMIFS(Data_filtered!$K$2:$K$461,Data_filtered!$A$2:$A$461,$A21,Data_filtered!$F$2:$F$461,O$1, Data_filtered!$D$2:$D$461,"mata",Data_filtered!$J$2:$J$461,"&lt;&gt;Incompleto")</f>
        <v>0</v>
      </c>
      <c r="P21" s="111">
        <f>SUMIFS(Data_filtered!$K$2:$K$461,Data_filtered!$A$2:$A$461,$A21,Data_filtered!$F$2:$F$461,P$1, Data_filtered!$D$2:$D$461,"mata",Data_filtered!$J$2:$J$461,"&lt;&gt;Incompleto")</f>
        <v>0</v>
      </c>
      <c r="Q21" s="111">
        <f>SUMIFS(Data_filtered!$K$2:$K$461,Data_filtered!$A$2:$A$461,$A21,Data_filtered!$F$2:$F$461,Q$1, Data_filtered!$D$2:$D$461,"mata",Data_filtered!$J$2:$J$461,"&lt;&gt;Incompleto")</f>
        <v>0</v>
      </c>
      <c r="R21" s="111">
        <f>SUMIFS(Data_filtered!$K$2:$K$461,Data_filtered!$A$2:$A$461,$A21,Data_filtered!$F$2:$F$461,R$1, Data_filtered!$D$2:$D$461,"mata",Data_filtered!$J$2:$J$461,"&lt;&gt;Incompleto")</f>
        <v>0</v>
      </c>
      <c r="S21" s="111">
        <f>SUMIFS(Data_filtered!$K$2:$K$461,Data_filtered!$A$2:$A$461,$A21,Data_filtered!$F$2:$F$461,S$1, Data_filtered!$D$2:$D$461,"mata",Data_filtered!$J$2:$J$461,"&lt;&gt;Incompleto")</f>
        <v>0</v>
      </c>
      <c r="T21" s="111">
        <f>SUMIFS(Data_filtered!$K$2:$K$461,Data_filtered!$A$2:$A$461,$A21,Data_filtered!$F$2:$F$461,T$1, Data_filtered!$D$2:$D$461,"mata",Data_filtered!$J$2:$J$461,"&lt;&gt;Incompleto")</f>
        <v>150.7964474</v>
      </c>
      <c r="U21" s="111">
        <f>SUMIFS(Data_filtered!$K$2:$K$461,Data_filtered!$A$2:$A$461,$A21,Data_filtered!$F$2:$F$461,U$1, Data_filtered!$D$2:$D$461,"mata",Data_filtered!$J$2:$J$461,"&lt;&gt;Incompleto")</f>
        <v>0</v>
      </c>
      <c r="V21" s="111">
        <f>SUMIFS(Data_filtered!$K$2:$K$461,Data_filtered!$A$2:$A$461,$A21,Data_filtered!$F$2:$F$461,V$1, Data_filtered!$D$2:$D$461,"mata",Data_filtered!$J$2:$J$461,"&lt;&gt;Incompleto")</f>
        <v>0</v>
      </c>
      <c r="W21" s="111">
        <f>SUMIFS(Data_filtered!$K$2:$K$461,Data_filtered!$A$2:$A$461,$A21,Data_filtered!$F$2:$F$461,W$1, Data_filtered!$D$2:$D$461,"mata",Data_filtered!$J$2:$J$461,"&lt;&gt;Incompleto")</f>
        <v>0</v>
      </c>
      <c r="X21" s="111">
        <f>SUMIFS(Data_filtered!$K$2:$K$461,Data_filtered!$A$2:$A$461,$A21,Data_filtered!$F$2:$F$461,X$1, Data_filtered!$D$2:$D$461,"mata",Data_filtered!$J$2:$J$461,"&lt;&gt;Incompleto")</f>
        <v>0</v>
      </c>
      <c r="Y21" s="111">
        <f>SUMIFS(Data_filtered!$K$2:$K$461,Data_filtered!$A$2:$A$461,$A21,Data_filtered!$F$2:$F$461,Y$1, Data_filtered!$D$2:$D$461,"mata",Data_filtered!$J$2:$J$461,"&lt;&gt;Incompleto")</f>
        <v>0</v>
      </c>
      <c r="Z21" s="111"/>
      <c r="AA21" s="111"/>
      <c r="AB21" s="111"/>
      <c r="AC21" s="111"/>
      <c r="AD21" s="111"/>
    </row>
    <row r="22">
      <c r="A22" s="9" t="str">
        <f>IFERROR(__xludf.DUMMYFUNCTION("""COMPUTED_VALUE"""),"Scinax aff. dolloi")</f>
        <v>Scinax aff. dolloi</v>
      </c>
      <c r="B22" s="111">
        <f>SUMIFS(Data_filtered!$K$2:$K$461,Data_filtered!$A$2:$A$461,$A22,Data_filtered!$F$2:$F$461,B$1, Data_filtered!$D$2:$D$461,"mata",Data_filtered!$J$2:$J$461,"&lt;&gt;Incompleto")</f>
        <v>0</v>
      </c>
      <c r="C22" s="111">
        <f>SUMIFS(Data_filtered!$K$2:$K$461,Data_filtered!$A$2:$A$461,$A22,Data_filtered!$F$2:$F$461,C$1, Data_filtered!$D$2:$D$461,"mata",Data_filtered!$J$2:$J$461,"&lt;&gt;Incompleto")</f>
        <v>218.8642882</v>
      </c>
      <c r="D22" s="111">
        <f>SUMIFS(Data_filtered!$K$2:$K$461,Data_filtered!$A$2:$A$461,$A22,Data_filtered!$F$2:$F$461,D$1, Data_filtered!$D$2:$D$461,"mata",Data_filtered!$J$2:$J$461,"&lt;&gt;Incompleto")</f>
        <v>0</v>
      </c>
      <c r="E22" s="111">
        <f>SUMIFS(Data_filtered!$K$2:$K$461,Data_filtered!$A$2:$A$461,$A22,Data_filtered!$F$2:$F$461,E$1, Data_filtered!$D$2:$D$461,"mata",Data_filtered!$J$2:$J$461,"&lt;&gt;Incompleto")</f>
        <v>0</v>
      </c>
      <c r="F22" s="111">
        <f>SUMIFS(Data_filtered!$K$2:$K$461,Data_filtered!$A$2:$A$461,$A22,Data_filtered!$F$2:$F$461,F$1, Data_filtered!$D$2:$D$461,"mata",Data_filtered!$J$2:$J$461,"&lt;&gt;Incompleto")</f>
        <v>196.8731396</v>
      </c>
      <c r="G22" s="111">
        <f>SUMIFS(Data_filtered!$K$2:$K$461,Data_filtered!$A$2:$A$461,$A22,Data_filtered!$F$2:$F$461,G$1, Data_filtered!$D$2:$D$461,"mata",Data_filtered!$J$2:$J$461,"&lt;&gt;Incompleto")</f>
        <v>0</v>
      </c>
      <c r="H22" s="111">
        <f>SUMIFS(Data_filtered!$K$2:$K$461,Data_filtered!$A$2:$A$461,$A22,Data_filtered!$F$2:$F$461,H$1, Data_filtered!$D$2:$D$461,"mata",Data_filtered!$J$2:$J$461,"&lt;&gt;Incompleto")</f>
        <v>0</v>
      </c>
      <c r="I22" s="111">
        <f>SUMIFS(Data_filtered!$K$2:$K$461,Data_filtered!$A$2:$A$461,$A22,Data_filtered!$F$2:$F$461,I$1, Data_filtered!$D$2:$D$461,"mata",Data_filtered!$J$2:$J$461,"&lt;&gt;Incompleto")</f>
        <v>0</v>
      </c>
      <c r="J22" s="111">
        <f>SUMIFS(Data_filtered!$K$2:$K$461,Data_filtered!$A$2:$A$461,$A22,Data_filtered!$F$2:$F$461,J$1, Data_filtered!$D$2:$D$461,"mata",Data_filtered!$J$2:$J$461,"&lt;&gt;Incompleto")</f>
        <v>0</v>
      </c>
      <c r="K22" s="111">
        <f>SUMIFS(Data_filtered!$K$2:$K$461,Data_filtered!$A$2:$A$461,$A22,Data_filtered!$F$2:$F$461,K$1, Data_filtered!$D$2:$D$461,"mata",Data_filtered!$J$2:$J$461,"&lt;&gt;Incompleto")</f>
        <v>0</v>
      </c>
      <c r="L22" s="111">
        <f>SUMIFS(Data_filtered!$K$2:$K$461,Data_filtered!$A$2:$A$461,$A22,Data_filtered!$F$2:$F$461,L$1, Data_filtered!$D$2:$D$461,"mata",Data_filtered!$J$2:$J$461,"&lt;&gt;Incompleto")</f>
        <v>0</v>
      </c>
      <c r="M22" s="111">
        <f>SUMIFS(Data_filtered!$K$2:$K$461,Data_filtered!$A$2:$A$461,$A22,Data_filtered!$F$2:$F$461,M$1, Data_filtered!$D$2:$D$461,"mata",Data_filtered!$J$2:$J$461,"&lt;&gt;Incompleto")</f>
        <v>0</v>
      </c>
      <c r="N22" s="111">
        <f>SUMIFS(Data_filtered!$K$2:$K$461,Data_filtered!$A$2:$A$461,$A22,Data_filtered!$F$2:$F$461,N$1, Data_filtered!$D$2:$D$461,"mata",Data_filtered!$J$2:$J$461,"&lt;&gt;Incompleto")</f>
        <v>0</v>
      </c>
      <c r="O22" s="111">
        <f>SUMIFS(Data_filtered!$K$2:$K$461,Data_filtered!$A$2:$A$461,$A22,Data_filtered!$F$2:$F$461,O$1, Data_filtered!$D$2:$D$461,"mata",Data_filtered!$J$2:$J$461,"&lt;&gt;Incompleto")</f>
        <v>0</v>
      </c>
      <c r="P22" s="111">
        <f>SUMIFS(Data_filtered!$K$2:$K$461,Data_filtered!$A$2:$A$461,$A22,Data_filtered!$F$2:$F$461,P$1, Data_filtered!$D$2:$D$461,"mata",Data_filtered!$J$2:$J$461,"&lt;&gt;Incompleto")</f>
        <v>0</v>
      </c>
      <c r="Q22" s="111">
        <f>SUMIFS(Data_filtered!$K$2:$K$461,Data_filtered!$A$2:$A$461,$A22,Data_filtered!$F$2:$F$461,Q$1, Data_filtered!$D$2:$D$461,"mata",Data_filtered!$J$2:$J$461,"&lt;&gt;Incompleto")</f>
        <v>0</v>
      </c>
      <c r="R22" s="111">
        <f>SUMIFS(Data_filtered!$K$2:$K$461,Data_filtered!$A$2:$A$461,$A22,Data_filtered!$F$2:$F$461,R$1, Data_filtered!$D$2:$D$461,"mata",Data_filtered!$J$2:$J$461,"&lt;&gt;Incompleto")</f>
        <v>0</v>
      </c>
      <c r="S22" s="111">
        <f>SUMIFS(Data_filtered!$K$2:$K$461,Data_filtered!$A$2:$A$461,$A22,Data_filtered!$F$2:$F$461,S$1, Data_filtered!$D$2:$D$461,"mata",Data_filtered!$J$2:$J$461,"&lt;&gt;Incompleto")</f>
        <v>0</v>
      </c>
      <c r="T22" s="111">
        <f>SUMIFS(Data_filtered!$K$2:$K$461,Data_filtered!$A$2:$A$461,$A22,Data_filtered!$F$2:$F$461,T$1, Data_filtered!$D$2:$D$461,"mata",Data_filtered!$J$2:$J$461,"&lt;&gt;Incompleto")</f>
        <v>0</v>
      </c>
      <c r="U22" s="111">
        <f>SUMIFS(Data_filtered!$K$2:$K$461,Data_filtered!$A$2:$A$461,$A22,Data_filtered!$F$2:$F$461,U$1, Data_filtered!$D$2:$D$461,"mata",Data_filtered!$J$2:$J$461,"&lt;&gt;Incompleto")</f>
        <v>0</v>
      </c>
      <c r="V22" s="111">
        <f>SUMIFS(Data_filtered!$K$2:$K$461,Data_filtered!$A$2:$A$461,$A22,Data_filtered!$F$2:$F$461,V$1, Data_filtered!$D$2:$D$461,"mata",Data_filtered!$J$2:$J$461,"&lt;&gt;Incompleto")</f>
        <v>0</v>
      </c>
      <c r="W22" s="111">
        <f>SUMIFS(Data_filtered!$K$2:$K$461,Data_filtered!$A$2:$A$461,$A22,Data_filtered!$F$2:$F$461,W$1, Data_filtered!$D$2:$D$461,"mata",Data_filtered!$J$2:$J$461,"&lt;&gt;Incompleto")</f>
        <v>0</v>
      </c>
      <c r="X22" s="111">
        <f>SUMIFS(Data_filtered!$K$2:$K$461,Data_filtered!$A$2:$A$461,$A22,Data_filtered!$F$2:$F$461,X$1, Data_filtered!$D$2:$D$461,"mata",Data_filtered!$J$2:$J$461,"&lt;&gt;Incompleto")</f>
        <v>0</v>
      </c>
      <c r="Y22" s="111">
        <f>SUMIFS(Data_filtered!$K$2:$K$461,Data_filtered!$A$2:$A$461,$A22,Data_filtered!$F$2:$F$461,Y$1, Data_filtered!$D$2:$D$461,"mata",Data_filtered!$J$2:$J$461,"&lt;&gt;Incompleto")</f>
        <v>0</v>
      </c>
      <c r="Z22" s="111"/>
      <c r="AA22" s="111"/>
      <c r="AB22" s="111"/>
      <c r="AC22" s="111"/>
      <c r="AD22" s="111"/>
    </row>
    <row r="23">
      <c r="A23" s="9" t="str">
        <f>IFERROR(__xludf.DUMMYFUNCTION("""COMPUTED_VALUE"""),"Trachycephalus imitatrix")</f>
        <v>Trachycephalus imitatrix</v>
      </c>
      <c r="B23" s="111">
        <f>SUMIFS(Data_filtered!$K$2:$K$461,Data_filtered!$A$2:$A$461,$A23,Data_filtered!$F$2:$F$461,B$1, Data_filtered!$D$2:$D$461,"mata",Data_filtered!$J$2:$J$461,"&lt;&gt;Incompleto")</f>
        <v>0</v>
      </c>
      <c r="C23" s="111">
        <f>SUMIFS(Data_filtered!$K$2:$K$461,Data_filtered!$A$2:$A$461,$A23,Data_filtered!$F$2:$F$461,C$1, Data_filtered!$D$2:$D$461,"mata",Data_filtered!$J$2:$J$461,"&lt;&gt;Incompleto")</f>
        <v>0</v>
      </c>
      <c r="D23" s="111">
        <f>SUMIFS(Data_filtered!$K$2:$K$461,Data_filtered!$A$2:$A$461,$A23,Data_filtered!$F$2:$F$461,D$1, Data_filtered!$D$2:$D$461,"mata",Data_filtered!$J$2:$J$461,"&lt;&gt;Incompleto")</f>
        <v>0</v>
      </c>
      <c r="E23" s="111">
        <f>SUMIFS(Data_filtered!$K$2:$K$461,Data_filtered!$A$2:$A$461,$A23,Data_filtered!$F$2:$F$461,E$1, Data_filtered!$D$2:$D$461,"mata",Data_filtered!$J$2:$J$461,"&lt;&gt;Incompleto")</f>
        <v>0</v>
      </c>
      <c r="F23" s="111">
        <f>SUMIFS(Data_filtered!$K$2:$K$461,Data_filtered!$A$2:$A$461,$A23,Data_filtered!$F$2:$F$461,F$1, Data_filtered!$D$2:$D$461,"mata",Data_filtered!$J$2:$J$461,"&lt;&gt;Incompleto")</f>
        <v>402.1238597</v>
      </c>
      <c r="G23" s="111">
        <f>SUMIFS(Data_filtered!$K$2:$K$461,Data_filtered!$A$2:$A$461,$A23,Data_filtered!$F$2:$F$461,G$1, Data_filtered!$D$2:$D$461,"mata",Data_filtered!$J$2:$J$461,"&lt;&gt;Incompleto")</f>
        <v>0</v>
      </c>
      <c r="H23" s="111">
        <f>SUMIFS(Data_filtered!$K$2:$K$461,Data_filtered!$A$2:$A$461,$A23,Data_filtered!$F$2:$F$461,H$1, Data_filtered!$D$2:$D$461,"mata",Data_filtered!$J$2:$J$461,"&lt;&gt;Incompleto")</f>
        <v>0</v>
      </c>
      <c r="I23" s="111">
        <f>SUMIFS(Data_filtered!$K$2:$K$461,Data_filtered!$A$2:$A$461,$A23,Data_filtered!$F$2:$F$461,I$1, Data_filtered!$D$2:$D$461,"mata",Data_filtered!$J$2:$J$461,"&lt;&gt;Incompleto")</f>
        <v>0</v>
      </c>
      <c r="J23" s="111">
        <f>SUMIFS(Data_filtered!$K$2:$K$461,Data_filtered!$A$2:$A$461,$A23,Data_filtered!$F$2:$F$461,J$1, Data_filtered!$D$2:$D$461,"mata",Data_filtered!$J$2:$J$461,"&lt;&gt;Incompleto")</f>
        <v>0</v>
      </c>
      <c r="K23" s="111">
        <f>SUMIFS(Data_filtered!$K$2:$K$461,Data_filtered!$A$2:$A$461,$A23,Data_filtered!$F$2:$F$461,K$1, Data_filtered!$D$2:$D$461,"mata",Data_filtered!$J$2:$J$461,"&lt;&gt;Incompleto")</f>
        <v>0</v>
      </c>
      <c r="L23" s="111">
        <f>SUMIFS(Data_filtered!$K$2:$K$461,Data_filtered!$A$2:$A$461,$A23,Data_filtered!$F$2:$F$461,L$1, Data_filtered!$D$2:$D$461,"mata",Data_filtered!$J$2:$J$461,"&lt;&gt;Incompleto")</f>
        <v>0</v>
      </c>
      <c r="M23" s="111">
        <f>SUMIFS(Data_filtered!$K$2:$K$461,Data_filtered!$A$2:$A$461,$A23,Data_filtered!$F$2:$F$461,M$1, Data_filtered!$D$2:$D$461,"mata",Data_filtered!$J$2:$J$461,"&lt;&gt;Incompleto")</f>
        <v>0</v>
      </c>
      <c r="N23" s="111">
        <f>SUMIFS(Data_filtered!$K$2:$K$461,Data_filtered!$A$2:$A$461,$A23,Data_filtered!$F$2:$F$461,N$1, Data_filtered!$D$2:$D$461,"mata",Data_filtered!$J$2:$J$461,"&lt;&gt;Incompleto")</f>
        <v>0</v>
      </c>
      <c r="O23" s="111">
        <f>SUMIFS(Data_filtered!$K$2:$K$461,Data_filtered!$A$2:$A$461,$A23,Data_filtered!$F$2:$F$461,O$1, Data_filtered!$D$2:$D$461,"mata",Data_filtered!$J$2:$J$461,"&lt;&gt;Incompleto")</f>
        <v>0</v>
      </c>
      <c r="P23" s="111">
        <f>SUMIFS(Data_filtered!$K$2:$K$461,Data_filtered!$A$2:$A$461,$A23,Data_filtered!$F$2:$F$461,P$1, Data_filtered!$D$2:$D$461,"mata",Data_filtered!$J$2:$J$461,"&lt;&gt;Incompleto")</f>
        <v>0</v>
      </c>
      <c r="Q23" s="111">
        <f>SUMIFS(Data_filtered!$K$2:$K$461,Data_filtered!$A$2:$A$461,$A23,Data_filtered!$F$2:$F$461,Q$1, Data_filtered!$D$2:$D$461,"mata",Data_filtered!$J$2:$J$461,"&lt;&gt;Incompleto")</f>
        <v>0</v>
      </c>
      <c r="R23" s="111">
        <f>SUMIFS(Data_filtered!$K$2:$K$461,Data_filtered!$A$2:$A$461,$A23,Data_filtered!$F$2:$F$461,R$1, Data_filtered!$D$2:$D$461,"mata",Data_filtered!$J$2:$J$461,"&lt;&gt;Incompleto")</f>
        <v>0</v>
      </c>
      <c r="S23" s="111">
        <f>SUMIFS(Data_filtered!$K$2:$K$461,Data_filtered!$A$2:$A$461,$A23,Data_filtered!$F$2:$F$461,S$1, Data_filtered!$D$2:$D$461,"mata",Data_filtered!$J$2:$J$461,"&lt;&gt;Incompleto")</f>
        <v>0</v>
      </c>
      <c r="T23" s="111">
        <f>SUMIFS(Data_filtered!$K$2:$K$461,Data_filtered!$A$2:$A$461,$A23,Data_filtered!$F$2:$F$461,T$1, Data_filtered!$D$2:$D$461,"mata",Data_filtered!$J$2:$J$461,"&lt;&gt;Incompleto")</f>
        <v>0</v>
      </c>
      <c r="U23" s="111">
        <f>SUMIFS(Data_filtered!$K$2:$K$461,Data_filtered!$A$2:$A$461,$A23,Data_filtered!$F$2:$F$461,U$1, Data_filtered!$D$2:$D$461,"mata",Data_filtered!$J$2:$J$461,"&lt;&gt;Incompleto")</f>
        <v>0</v>
      </c>
      <c r="V23" s="111">
        <f>SUMIFS(Data_filtered!$K$2:$K$461,Data_filtered!$A$2:$A$461,$A23,Data_filtered!$F$2:$F$461,V$1, Data_filtered!$D$2:$D$461,"mata",Data_filtered!$J$2:$J$461,"&lt;&gt;Incompleto")</f>
        <v>0</v>
      </c>
      <c r="W23" s="111">
        <f>SUMIFS(Data_filtered!$K$2:$K$461,Data_filtered!$A$2:$A$461,$A23,Data_filtered!$F$2:$F$461,W$1, Data_filtered!$D$2:$D$461,"mata",Data_filtered!$J$2:$J$461,"&lt;&gt;Incompleto")</f>
        <v>0</v>
      </c>
      <c r="X23" s="111">
        <f>SUMIFS(Data_filtered!$K$2:$K$461,Data_filtered!$A$2:$A$461,$A23,Data_filtered!$F$2:$F$461,X$1, Data_filtered!$D$2:$D$461,"mata",Data_filtered!$J$2:$J$461,"&lt;&gt;Incompleto")</f>
        <v>0</v>
      </c>
      <c r="Y23" s="111">
        <f>SUMIFS(Data_filtered!$K$2:$K$461,Data_filtered!$A$2:$A$461,$A23,Data_filtered!$F$2:$F$461,Y$1, Data_filtered!$D$2:$D$461,"mata",Data_filtered!$J$2:$J$461,"&lt;&gt;Incompleto")</f>
        <v>0</v>
      </c>
      <c r="Z23" s="111"/>
      <c r="AA23" s="111"/>
      <c r="AB23" s="111"/>
      <c r="AC23" s="111"/>
      <c r="AD23" s="11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26.88"/>
    <col customWidth="1" min="3" max="4" width="6.38"/>
    <col customWidth="1" min="5" max="5" width="26.88"/>
    <col customWidth="1" min="7" max="11" width="14.38"/>
  </cols>
  <sheetData>
    <row r="1">
      <c r="A1" s="63" t="s">
        <v>958</v>
      </c>
      <c r="B1" s="63" t="s">
        <v>893</v>
      </c>
      <c r="C1" s="63" t="s">
        <v>895</v>
      </c>
      <c r="E1" s="112" t="s">
        <v>959</v>
      </c>
      <c r="F1" s="112" t="s">
        <v>960</v>
      </c>
      <c r="G1" s="112" t="s">
        <v>961</v>
      </c>
      <c r="H1" s="112" t="s">
        <v>962</v>
      </c>
      <c r="I1" s="112" t="s">
        <v>963</v>
      </c>
      <c r="J1" s="112" t="s">
        <v>964</v>
      </c>
      <c r="K1" s="112" t="s">
        <v>965</v>
      </c>
    </row>
    <row r="2">
      <c r="A2" s="8" t="str">
        <f>IFERROR(__xludf.DUMMYFUNCTION("SORT(UNIQUE(Data_raw!A2:A478))"),"Aplastodiscus albosignatus")</f>
        <v>Aplastodiscus albosignatus</v>
      </c>
      <c r="B2" s="8" t="str">
        <f>IFERROR(__xludf.DUMMYFUNCTION("SORT(UNIQUE(FILTER(Data_raw!A2:A478,Data_raw!E$2:E$478&lt;&gt;""Vazio"",Data_raw!E$2:E$478&lt;&gt;""Não identificado"",Data_raw!E$2:E$478&lt;&gt;""Semente"",Data_raw!E$2:E$478&lt;&gt;""Semente de capim"",Data_raw!E$2:E$478&lt;&gt;""Apenas substrato"")))"),"Aplastodiscus albosignatus")</f>
        <v>Aplastodiscus albosignatus</v>
      </c>
      <c r="C2" s="8">
        <f>SUMIFS(Data_raw!$G$2:$G$478,Data_raw!$A$2:$A$478,B2,Data_raw!$E$2:$E$478,"&lt;&gt;Não identificado",Data_raw!$E$2:$E$478,"&lt;&gt;Semente",Data_raw!$E$2:$E$478,"&lt;&gt;Semente de capim",Data_raw!$E$2:$E$478,"&lt;&gt;Apenas substrato",Data_raw!$D$2:$D$478,"&lt;&gt;ocasional")</f>
        <v>4</v>
      </c>
      <c r="E2" s="113" t="str">
        <f>IFERROR(__xludf.DUMMYFUNCTION("FILTER(B2:B27,C2:C27&gt;6)"),"Bokermannohyla luctuosa")</f>
        <v>Bokermannohyla luctuosa</v>
      </c>
      <c r="F2" s="113">
        <f>COUNTUNIQUEIFS(Data_raw!$B$2:$B$478,Data_raw!$A$2:$A$478,$E2,Data_raw!$G$2:$G$478,"&lt;&gt;0",Data_raw!$E$2:$E$478,"&lt;&gt;Não identificado",Data_raw!$E$2:$E$478,"&lt;&gt;Semente",Data_raw!$E$2:$E$478,"&lt;&gt;Semente de capim",Data_raw!$E$2:$E$478,"&lt;&gt;Apenas substrato",Data_raw!$D$2:$D$478,"&lt;&gt;ocasional")</f>
        <v>10</v>
      </c>
      <c r="G2" s="113">
        <f>COUNTUNIQUEIFS(Data_raw!$B$2:$B$478,Data_raw!$A$2:$A$478,$E2,Data_raw!$G$2:$G$478,"&lt;&gt;0",Data_raw!$E$2:$E$478,"&lt;&gt;Não identificado",Data_raw!$E$2:$E$478,"&lt;&gt;Semente",Data_raw!$E$2:$E$478,"&lt;&gt;Semente de capim",Data_raw!$E$2:$E$478,"&lt;&gt;Apenas substrato",Data_raw!$D$2:$D$478,"=mata")</f>
        <v>10</v>
      </c>
      <c r="H2" s="113">
        <f>COUNTUNIQUEIFS(Data_raw!$B$2:$B$478,Data_raw!$A$2:$A$478,$E2,Data_raw!$G$2:$G$478,"&lt;&gt;0",Data_raw!$E$2:$E$478,"&lt;&gt;Não identificado",Data_raw!$E$2:$E$478,"&lt;&gt;Semente",Data_raw!$E$2:$E$478,"&lt;&gt;Semente de capim",Data_raw!$E$2:$E$478,"&lt;&gt;Apenas substrato",Data_raw!$D$2:$D$478,"=eucalipto")</f>
        <v>0</v>
      </c>
      <c r="I2" s="113">
        <f>IFERROR(__xludf.DUMMYFUNCTION("FILTER(C2:C27,C2:C27&gt;6)"),14.0)</f>
        <v>14</v>
      </c>
      <c r="J2" s="113">
        <f>SUMIFS(Data_raw!$G$2:$G$478,Data_raw!$A$2:$A$478,$E2,Data_raw!$E$2:$E$478,"&lt;&gt;Não identificado",Data_raw!$E$2:$E$478,"&lt;&gt;Semente",Data_raw!$E$2:$E$478,"&lt;&gt;Semente de capim",Data_raw!$E$2:$E$478,"&lt;&gt;Apenas substrato",Data_raw!$D$2:$D$478,"=mata")</f>
        <v>14</v>
      </c>
      <c r="K2" s="113">
        <f>SUMIFS(Data_raw!$G$2:$G$478,Data_raw!$A$2:$A$478,$E2,Data_raw!$E$2:$E$478,"&lt;&gt;Não identificado",Data_raw!$E$2:$E$478,"&lt;&gt;Semente",Data_raw!$E$2:$E$478,"&lt;&gt;Semente de capim",Data_raw!$E$2:$E$478,"&lt;&gt;Apenas substrato",Data_raw!$D$2:$D$478,"=eucalipto")</f>
        <v>0</v>
      </c>
    </row>
    <row r="3">
      <c r="A3" s="8" t="str">
        <f>IFERROR(__xludf.DUMMYFUNCTION("""COMPUTED_VALUE"""),"Aplastodiscus perviridis")</f>
        <v>Aplastodiscus perviridis</v>
      </c>
      <c r="B3" s="8" t="str">
        <f>IFERROR(__xludf.DUMMYFUNCTION("""COMPUTED_VALUE"""),"Boana faber")</f>
        <v>Boana faber</v>
      </c>
      <c r="C3" s="8">
        <f>SUMIFS(Data_raw!G$2:G$478,Data_raw!A$2:A$478,B3,Data_raw!E$2:E$478,"&lt;&gt;Não identificado",Data_raw!E$2:E$478,"&lt;&gt;Semente",Data_raw!E$2:E$478,"&lt;&gt;Semente de capim",Data_raw!E$2:E$478,"&lt;&gt;Apenas substrato",Data_raw!$D$2:$D$478,"&lt;&gt;ocasional")</f>
        <v>4</v>
      </c>
      <c r="E3" s="113" t="str">
        <f>IFERROR(__xludf.DUMMYFUNCTION("""COMPUTED_VALUE"""),"Chiasmocleis mantiqueira")</f>
        <v>Chiasmocleis mantiqueira</v>
      </c>
      <c r="F3" s="113">
        <f>COUNTUNIQUEIFS(Data_raw!$B$2:$B$478,Data_raw!$A$2:$A$478,$E3,Data_raw!$G$2:$G$478,"&lt;&gt;0",Data_raw!$E$2:$E$478,"&lt;&gt;Não identificado",Data_raw!$E$2:$E$478,"&lt;&gt;Semente",Data_raw!$E$2:$E$478,"&lt;&gt;Semente de capim",Data_raw!$E$2:$E$478,"&lt;&gt;Apenas substrato",Data_raw!$D$2:$D$478,"&lt;&gt;ocasional")</f>
        <v>14</v>
      </c>
      <c r="G3" s="113">
        <f>COUNTUNIQUEIFS(Data_raw!$B$2:$B$478,Data_raw!$A$2:$A$478,$E3,Data_raw!$G$2:$G$478,"&lt;&gt;0",Data_raw!$E$2:$E$478,"&lt;&gt;Não identificado",Data_raw!$E$2:$E$478,"&lt;&gt;Semente",Data_raw!$E$2:$E$478,"&lt;&gt;Semente de capim",Data_raw!$E$2:$E$478,"&lt;&gt;Apenas substrato",Data_raw!$D$2:$D$478,"=mata")</f>
        <v>2</v>
      </c>
      <c r="H3" s="114">
        <f>COUNTUNIQUEIFS(Data_raw!$B$2:$B$478,Data_raw!$A$2:$A$478,$E3,Data_raw!$G$2:$G$478,"&lt;&gt;0",Data_raw!$E$2:$E$478,"&lt;&gt;Não identificado",Data_raw!$E$2:$E$478,"&lt;&gt;Semente",Data_raw!$E$2:$E$478,"&lt;&gt;Semente de capim",Data_raw!$E$2:$E$478,"&lt;&gt;Apenas substrato",Data_raw!$D$2:$D$478,"=eucalipto")</f>
        <v>12</v>
      </c>
      <c r="I3" s="113">
        <f>IFERROR(__xludf.DUMMYFUNCTION("""COMPUTED_VALUE"""),91.0)</f>
        <v>91</v>
      </c>
      <c r="J3" s="113">
        <f>SUMIFS(Data_raw!$G$2:$G$478,Data_raw!$A$2:$A$478,$E3,Data_raw!$E$2:$E$478,"&lt;&gt;Não identificado",Data_raw!$E$2:$E$478,"&lt;&gt;Semente",Data_raw!$E$2:$E$478,"&lt;&gt;Semente de capim",Data_raw!$E$2:$E$478,"&lt;&gt;Apenas substrato",Data_raw!$D$2:$D$478,"=mata")</f>
        <v>4</v>
      </c>
      <c r="K3" s="113">
        <f>SUMIFS(Data_raw!$G$2:$G$478,Data_raw!$A$2:$A$478,$E3,Data_raw!$E$2:$E$478,"&lt;&gt;Não identificado",Data_raw!$E$2:$E$478,"&lt;&gt;Semente",Data_raw!$E$2:$E$478,"&lt;&gt;Semente de capim",Data_raw!$E$2:$E$478,"&lt;&gt;Apenas substrato",Data_raw!$D$2:$D$478,"=eucalipto")</f>
        <v>87</v>
      </c>
    </row>
    <row r="4">
      <c r="A4" s="8" t="str">
        <f>IFERROR(__xludf.DUMMYFUNCTION("""COMPUTED_VALUE"""),"Boana faber")</f>
        <v>Boana faber</v>
      </c>
      <c r="B4" s="8" t="str">
        <f>IFERROR(__xludf.DUMMYFUNCTION("""COMPUTED_VALUE"""),"Boana latistriata")</f>
        <v>Boana latistriata</v>
      </c>
      <c r="C4" s="8">
        <f>SUMIFS(Data_raw!G$2:G$478,Data_raw!A$2:A$478,B4,Data_raw!E$2:E$478,"&lt;&gt;Não identificado",Data_raw!E$2:E$478,"&lt;&gt;Semente",Data_raw!E$2:E$478,"&lt;&gt;Semente de capim",Data_raw!E$2:E$478,"&lt;&gt;Apenas substrato",Data_raw!$D$2:$D$478,"&lt;&gt;ocasional")</f>
        <v>5</v>
      </c>
      <c r="E4" s="113" t="str">
        <f>IFERROR(__xludf.DUMMYFUNCTION("""COMPUTED_VALUE"""),"Dendropsophus microps")</f>
        <v>Dendropsophus microps</v>
      </c>
      <c r="F4" s="113">
        <f>COUNTUNIQUEIFS(Data_raw!$B$2:$B$478,Data_raw!$A$2:$A$478,$E4,Data_raw!$G$2:$G$478,"&lt;&gt;0",Data_raw!$E$2:$E$478,"&lt;&gt;Não identificado",Data_raw!$E$2:$E$478,"&lt;&gt;Semente",Data_raw!$E$2:$E$478,"&lt;&gt;Semente de capim",Data_raw!$E$2:$E$478,"&lt;&gt;Apenas substrato",Data_raw!$D$2:$D$478,"&lt;&gt;ocasional")</f>
        <v>7</v>
      </c>
      <c r="G4" s="113">
        <f>COUNTUNIQUEIFS(Data_raw!$B$2:$B$478,Data_raw!$A$2:$A$478,$E4,Data_raw!$G$2:$G$478,"&lt;&gt;0",Data_raw!$E$2:$E$478,"&lt;&gt;Não identificado",Data_raw!$E$2:$E$478,"&lt;&gt;Semente",Data_raw!$E$2:$E$478,"&lt;&gt;Semente de capim",Data_raw!$E$2:$E$478,"&lt;&gt;Apenas substrato",Data_raw!$D$2:$D$478,"=mata")</f>
        <v>7</v>
      </c>
      <c r="H4" s="113">
        <f>COUNTUNIQUEIFS(Data_raw!$B$2:$B$478,Data_raw!$A$2:$A$478,$E4,Data_raw!$G$2:$G$478,"&lt;&gt;0",Data_raw!$E$2:$E$478,"&lt;&gt;Não identificado",Data_raw!$E$2:$E$478,"&lt;&gt;Semente",Data_raw!$E$2:$E$478,"&lt;&gt;Semente de capim",Data_raw!$E$2:$E$478,"&lt;&gt;Apenas substrato",Data_raw!$D$2:$D$478,"=eucalipto")</f>
        <v>0</v>
      </c>
      <c r="I4" s="113">
        <f>IFERROR(__xludf.DUMMYFUNCTION("""COMPUTED_VALUE"""),23.0)</f>
        <v>23</v>
      </c>
      <c r="J4" s="113">
        <f>SUMIFS(Data_raw!$G$2:$G$478,Data_raw!$A$2:$A$478,$E4,Data_raw!$E$2:$E$478,"&lt;&gt;Não identificado",Data_raw!$E$2:$E$478,"&lt;&gt;Semente",Data_raw!$E$2:$E$478,"&lt;&gt;Semente de capim",Data_raw!$E$2:$E$478,"&lt;&gt;Apenas substrato",Data_raw!$D$2:$D$478,"=mata")</f>
        <v>23</v>
      </c>
      <c r="K4" s="113">
        <f>SUMIFS(Data_raw!$G$2:$G$478,Data_raw!$A$2:$A$478,$E4,Data_raw!$E$2:$E$478,"&lt;&gt;Não identificado",Data_raw!$E$2:$E$478,"&lt;&gt;Semente",Data_raw!$E$2:$E$478,"&lt;&gt;Semente de capim",Data_raw!$E$2:$E$478,"&lt;&gt;Apenas substrato",Data_raw!$D$2:$D$478,"=eucalipto")</f>
        <v>0</v>
      </c>
    </row>
    <row r="5">
      <c r="A5" s="8" t="str">
        <f>IFERROR(__xludf.DUMMYFUNCTION("""COMPUTED_VALUE"""),"Boana latistriata")</f>
        <v>Boana latistriata</v>
      </c>
      <c r="B5" s="8" t="str">
        <f>IFERROR(__xludf.DUMMYFUNCTION("""COMPUTED_VALUE"""),"Bokermannohyla luctuosa")</f>
        <v>Bokermannohyla luctuosa</v>
      </c>
      <c r="C5" s="8">
        <f>SUMIFS(Data_raw!G$2:G$478,Data_raw!A$2:A$478,B5,Data_raw!E$2:E$478,"&lt;&gt;Não identificado",Data_raw!E$2:E$478,"&lt;&gt;Semente",Data_raw!E$2:E$478,"&lt;&gt;Semente de capim",Data_raw!E$2:E$478,"&lt;&gt;Apenas substrato",Data_raw!$D$2:$D$478,"&lt;&gt;ocasional")</f>
        <v>14</v>
      </c>
      <c r="E5" s="113" t="str">
        <f>IFERROR(__xludf.DUMMYFUNCTION("""COMPUTED_VALUE"""),"Hylodes aff. sazimai")</f>
        <v>Hylodes aff. sazimai</v>
      </c>
      <c r="F5" s="113">
        <f>COUNTUNIQUEIFS(Data_raw!$B$2:$B$478,Data_raw!$A$2:$A$478,$E5,Data_raw!$G$2:$G$478,"&lt;&gt;0",Data_raw!$E$2:$E$478,"&lt;&gt;Não identificado",Data_raw!$E$2:$E$478,"&lt;&gt;Semente",Data_raw!$E$2:$E$478,"&lt;&gt;Semente de capim",Data_raw!$E$2:$E$478,"&lt;&gt;Apenas substrato",Data_raw!$D$2:$D$478,"&lt;&gt;ocasional")</f>
        <v>5</v>
      </c>
      <c r="G5" s="113">
        <f>COUNTUNIQUEIFS(Data_raw!$B$2:$B$478,Data_raw!$A$2:$A$478,$E5,Data_raw!$G$2:$G$478,"&lt;&gt;0",Data_raw!$E$2:$E$478,"&lt;&gt;Não identificado",Data_raw!$E$2:$E$478,"&lt;&gt;Semente",Data_raw!$E$2:$E$478,"&lt;&gt;Semente de capim",Data_raw!$E$2:$E$478,"&lt;&gt;Apenas substrato",Data_raw!$D$2:$D$478,"=mata")</f>
        <v>4</v>
      </c>
      <c r="H5" s="113">
        <f>COUNTUNIQUEIFS(Data_raw!$B$2:$B$478,Data_raw!$A$2:$A$478,$E5,Data_raw!$G$2:$G$478,"&lt;&gt;0",Data_raw!$E$2:$E$478,"&lt;&gt;Não identificado",Data_raw!$E$2:$E$478,"&lt;&gt;Semente",Data_raw!$E$2:$E$478,"&lt;&gt;Semente de capim",Data_raw!$E$2:$E$478,"&lt;&gt;Apenas substrato",Data_raw!$D$2:$D$478,"=eucalipto")</f>
        <v>1</v>
      </c>
      <c r="I5" s="113">
        <f>IFERROR(__xludf.DUMMYFUNCTION("""COMPUTED_VALUE"""),9.0)</f>
        <v>9</v>
      </c>
      <c r="J5" s="113">
        <f>SUMIFS(Data_raw!$G$2:$G$478,Data_raw!$A$2:$A$478,$E5,Data_raw!$E$2:$E$478,"&lt;&gt;Não identificado",Data_raw!$E$2:$E$478,"&lt;&gt;Semente",Data_raw!$E$2:$E$478,"&lt;&gt;Semente de capim",Data_raw!$E$2:$E$478,"&lt;&gt;Apenas substrato",Data_raw!$D$2:$D$478,"=mata")</f>
        <v>8</v>
      </c>
      <c r="K5" s="113">
        <f>SUMIFS(Data_raw!$G$2:$G$478,Data_raw!$A$2:$A$478,$E5,Data_raw!$E$2:$E$478,"&lt;&gt;Não identificado",Data_raw!$E$2:$E$478,"&lt;&gt;Semente",Data_raw!$E$2:$E$478,"&lt;&gt;Semente de capim",Data_raw!$E$2:$E$478,"&lt;&gt;Apenas substrato",Data_raw!$D$2:$D$478,"=eucalipto")</f>
        <v>1</v>
      </c>
    </row>
    <row r="6">
      <c r="A6" s="8" t="str">
        <f>IFERROR(__xludf.DUMMYFUNCTION("""COMPUTED_VALUE"""),"Boana prasina")</f>
        <v>Boana prasina</v>
      </c>
      <c r="B6" s="8" t="str">
        <f>IFERROR(__xludf.DUMMYFUNCTION("""COMPUTED_VALUE"""),"Chiasmocleis mantiqueira")</f>
        <v>Chiasmocleis mantiqueira</v>
      </c>
      <c r="C6" s="8">
        <f>SUMIFS(Data_raw!G$2:G$478,Data_raw!A$2:A$478,B6,Data_raw!E$2:E$478,"&lt;&gt;Não identificado",Data_raw!E$2:E$478,"&lt;&gt;Semente",Data_raw!E$2:E$478,"&lt;&gt;Semente de capim",Data_raw!E$2:E$478,"&lt;&gt;Apenas substrato",Data_raw!$D$2:$D$478,"&lt;&gt;ocasional")</f>
        <v>91</v>
      </c>
      <c r="E6" s="113" t="str">
        <f>IFERROR(__xludf.DUMMYFUNCTION("""COMPUTED_VALUE"""),"Ischnocnema guentheri")</f>
        <v>Ischnocnema guentheri</v>
      </c>
      <c r="F6" s="113">
        <f>COUNTUNIQUEIFS(Data_raw!$B$2:$B$478,Data_raw!$A$2:$A$478,$E6,Data_raw!$G$2:$G$478,"&lt;&gt;0",Data_raw!$E$2:$E$478,"&lt;&gt;Não identificado",Data_raw!$E$2:$E$478,"&lt;&gt;Semente",Data_raw!$E$2:$E$478,"&lt;&gt;Semente de capim",Data_raw!$E$2:$E$478,"&lt;&gt;Apenas substrato",Data_raw!$D$2:$D$478,"&lt;&gt;ocasional")</f>
        <v>11</v>
      </c>
      <c r="G6" s="113">
        <f>COUNTUNIQUEIFS(Data_raw!$B$2:$B$478,Data_raw!$A$2:$A$478,$E6,Data_raw!$G$2:$G$478,"&lt;&gt;0",Data_raw!$E$2:$E$478,"&lt;&gt;Não identificado",Data_raw!$E$2:$E$478,"&lt;&gt;Semente",Data_raw!$E$2:$E$478,"&lt;&gt;Semente de capim",Data_raw!$E$2:$E$478,"&lt;&gt;Apenas substrato",Data_raw!$D$2:$D$478,"=mata")</f>
        <v>4</v>
      </c>
      <c r="H6" s="113">
        <f>COUNTUNIQUEIFS(Data_raw!$B$2:$B$478,Data_raw!$A$2:$A$478,$E6,Data_raw!$G$2:$G$478,"&lt;&gt;0",Data_raw!$E$2:$E$478,"&lt;&gt;Não identificado",Data_raw!$E$2:$E$478,"&lt;&gt;Semente",Data_raw!$E$2:$E$478,"&lt;&gt;Semente de capim",Data_raw!$E$2:$E$478,"&lt;&gt;Apenas substrato",Data_raw!$D$2:$D$478,"=eucalipto")</f>
        <v>7</v>
      </c>
      <c r="I6" s="113">
        <f>IFERROR(__xludf.DUMMYFUNCTION("""COMPUTED_VALUE"""),27.0)</f>
        <v>27</v>
      </c>
      <c r="J6" s="113">
        <f>SUMIFS(Data_raw!$G$2:$G$478,Data_raw!$A$2:$A$478,$E6,Data_raw!$E$2:$E$478,"&lt;&gt;Não identificado",Data_raw!$E$2:$E$478,"&lt;&gt;Semente",Data_raw!$E$2:$E$478,"&lt;&gt;Semente de capim",Data_raw!$E$2:$E$478,"&lt;&gt;Apenas substrato",Data_raw!$D$2:$D$478,"=mata")</f>
        <v>11</v>
      </c>
      <c r="K6" s="113">
        <f>SUMIFS(Data_raw!$G$2:$G$478,Data_raw!$A$2:$A$478,$E6,Data_raw!$E$2:$E$478,"&lt;&gt;Não identificado",Data_raw!$E$2:$E$478,"&lt;&gt;Semente",Data_raw!$E$2:$E$478,"&lt;&gt;Semente de capim",Data_raw!$E$2:$E$478,"&lt;&gt;Apenas substrato",Data_raw!$D$2:$D$478,"=eucalipto")</f>
        <v>16</v>
      </c>
    </row>
    <row r="7">
      <c r="A7" s="8" t="str">
        <f>IFERROR(__xludf.DUMMYFUNCTION("""COMPUTED_VALUE"""),"Bokermannohyla luctuosa")</f>
        <v>Bokermannohyla luctuosa</v>
      </c>
      <c r="B7" s="8" t="str">
        <f>IFERROR(__xludf.DUMMYFUNCTION("""COMPUTED_VALUE"""),"Dendropsophus microps")</f>
        <v>Dendropsophus microps</v>
      </c>
      <c r="C7" s="8">
        <f>SUMIFS(Data_raw!G$2:G$478,Data_raw!A$2:A$478,B7,Data_raw!E$2:E$478,"&lt;&gt;Não identificado",Data_raw!E$2:E$478,"&lt;&gt;Semente",Data_raw!E$2:E$478,"&lt;&gt;Semente de capim",Data_raw!E$2:E$478,"&lt;&gt;Apenas substrato",Data_raw!$D$2:$D$478,"&lt;&gt;ocasional")</f>
        <v>23</v>
      </c>
      <c r="E7" s="113" t="str">
        <f>IFERROR(__xludf.DUMMYFUNCTION("""COMPUTED_VALUE"""),"Ischnocnema juipoca")</f>
        <v>Ischnocnema juipoca</v>
      </c>
      <c r="F7" s="113">
        <f>COUNTUNIQUEIFS(Data_raw!$B$2:$B$478,Data_raw!$A$2:$A$478,$E7,Data_raw!$G$2:$G$478,"&lt;&gt;0",Data_raw!$E$2:$E$478,"&lt;&gt;Não identificado",Data_raw!$E$2:$E$478,"&lt;&gt;Semente",Data_raw!$E$2:$E$478,"&lt;&gt;Semente de capim",Data_raw!$E$2:$E$478,"&lt;&gt;Apenas substrato",Data_raw!$D$2:$D$478,"&lt;&gt;ocasional")</f>
        <v>11</v>
      </c>
      <c r="G7" s="113">
        <f>COUNTUNIQUEIFS(Data_raw!$B$2:$B$478,Data_raw!$A$2:$A$478,$E7,Data_raw!$G$2:$G$478,"&lt;&gt;0",Data_raw!$E$2:$E$478,"&lt;&gt;Não identificado",Data_raw!$E$2:$E$478,"&lt;&gt;Semente",Data_raw!$E$2:$E$478,"&lt;&gt;Semente de capim",Data_raw!$E$2:$E$478,"&lt;&gt;Apenas substrato",Data_raw!$D$2:$D$478,"=mata")</f>
        <v>1</v>
      </c>
      <c r="H7" s="113">
        <f>COUNTUNIQUEIFS(Data_raw!$B$2:$B$478,Data_raw!$A$2:$A$478,$E7,Data_raw!$G$2:$G$478,"&lt;&gt;0",Data_raw!$E$2:$E$478,"&lt;&gt;Não identificado",Data_raw!$E$2:$E$478,"&lt;&gt;Semente",Data_raw!$E$2:$E$478,"&lt;&gt;Semente de capim",Data_raw!$E$2:$E$478,"&lt;&gt;Apenas substrato",Data_raw!$D$2:$D$478,"=eucalipto")</f>
        <v>10</v>
      </c>
      <c r="I7" s="113">
        <f>IFERROR(__xludf.DUMMYFUNCTION("""COMPUTED_VALUE"""),28.0)</f>
        <v>28</v>
      </c>
      <c r="J7" s="113">
        <f>SUMIFS(Data_raw!$G$2:$G$478,Data_raw!$A$2:$A$478,$E7,Data_raw!$E$2:$E$478,"&lt;&gt;Não identificado",Data_raw!$E$2:$E$478,"&lt;&gt;Semente",Data_raw!$E$2:$E$478,"&lt;&gt;Semente de capim",Data_raw!$E$2:$E$478,"&lt;&gt;Apenas substrato",Data_raw!$D$2:$D$478,"=mata")</f>
        <v>1</v>
      </c>
      <c r="K7" s="113">
        <f>SUMIFS(Data_raw!$G$2:$G$478,Data_raw!$A$2:$A$478,$E7,Data_raw!$E$2:$E$478,"&lt;&gt;Não identificado",Data_raw!$E$2:$E$478,"&lt;&gt;Semente",Data_raw!$E$2:$E$478,"&lt;&gt;Semente de capim",Data_raw!$E$2:$E$478,"&lt;&gt;Apenas substrato",Data_raw!$D$2:$D$478,"=eucalipto")</f>
        <v>27</v>
      </c>
    </row>
    <row r="8">
      <c r="A8" s="8" t="str">
        <f>IFERROR(__xludf.DUMMYFUNCTION("""COMPUTED_VALUE"""),"Chiasmocleis mantiqueira")</f>
        <v>Chiasmocleis mantiqueira</v>
      </c>
      <c r="B8" s="8" t="str">
        <f>IFERROR(__xludf.DUMMYFUNCTION("""COMPUTED_VALUE"""),"Dendropsophus minutus")</f>
        <v>Dendropsophus minutus</v>
      </c>
      <c r="C8" s="8">
        <f>SUMIFS(Data_raw!G$2:G$478,Data_raw!A$2:A$478,B8,Data_raw!E$2:E$478,"&lt;&gt;Não identificado",Data_raw!E$2:E$478,"&lt;&gt;Semente",Data_raw!E$2:E$478,"&lt;&gt;Semente de capim",Data_raw!E$2:E$478,"&lt;&gt;Apenas substrato",Data_raw!$D$2:$D$478,"&lt;&gt;ocasional")</f>
        <v>0</v>
      </c>
      <c r="E8" s="113" t="str">
        <f>IFERROR(__xludf.DUMMYFUNCTION("""COMPUTED_VALUE"""),"Ololygon obtriangulata")</f>
        <v>Ololygon obtriangulata</v>
      </c>
      <c r="F8" s="113">
        <f>COUNTUNIQUEIFS(Data_raw!$B$2:$B$478,Data_raw!$A$2:$A$478,$E8,Data_raw!$G$2:$G$478,"&lt;&gt;0",Data_raw!$E$2:$E$478,"&lt;&gt;Não identificado",Data_raw!$E$2:$E$478,"&lt;&gt;Semente",Data_raw!$E$2:$E$478,"&lt;&gt;Semente de capim",Data_raw!$E$2:$E$478,"&lt;&gt;Apenas substrato",Data_raw!$D$2:$D$478,"&lt;&gt;ocasional")</f>
        <v>17</v>
      </c>
      <c r="G8" s="113">
        <f>COUNTUNIQUEIFS(Data_raw!$B$2:$B$478,Data_raw!$A$2:$A$478,$E8,Data_raw!$G$2:$G$478,"&lt;&gt;0",Data_raw!$E$2:$E$478,"&lt;&gt;Não identificado",Data_raw!$E$2:$E$478,"&lt;&gt;Semente",Data_raw!$E$2:$E$478,"&lt;&gt;Semente de capim",Data_raw!$E$2:$E$478,"&lt;&gt;Apenas substrato",Data_raw!$D$2:$D$478,"=mata")</f>
        <v>15</v>
      </c>
      <c r="H8" s="113">
        <f>COUNTUNIQUEIFS(Data_raw!$B$2:$B$478,Data_raw!$A$2:$A$478,$E8,Data_raw!$G$2:$G$478,"&lt;&gt;0",Data_raw!$E$2:$E$478,"&lt;&gt;Não identificado",Data_raw!$E$2:$E$478,"&lt;&gt;Semente",Data_raw!$E$2:$E$478,"&lt;&gt;Semente de capim",Data_raw!$E$2:$E$478,"&lt;&gt;Apenas substrato",Data_raw!$D$2:$D$478,"=eucalipto")</f>
        <v>2</v>
      </c>
      <c r="I8" s="113">
        <f>IFERROR(__xludf.DUMMYFUNCTION("""COMPUTED_VALUE"""),20.0)</f>
        <v>20</v>
      </c>
      <c r="J8" s="113">
        <f>SUMIFS(Data_raw!$G$2:$G$478,Data_raw!$A$2:$A$478,$E8,Data_raw!$E$2:$E$478,"&lt;&gt;Não identificado",Data_raw!$E$2:$E$478,"&lt;&gt;Semente",Data_raw!$E$2:$E$478,"&lt;&gt;Semente de capim",Data_raw!$E$2:$E$478,"&lt;&gt;Apenas substrato",Data_raw!$D$2:$D$478,"=mata")</f>
        <v>17</v>
      </c>
      <c r="K8" s="113">
        <f>SUMIFS(Data_raw!$G$2:$G$478,Data_raw!$A$2:$A$478,$E8,Data_raw!$E$2:$E$478,"&lt;&gt;Não identificado",Data_raw!$E$2:$E$478,"&lt;&gt;Semente",Data_raw!$E$2:$E$478,"&lt;&gt;Semente de capim",Data_raw!$E$2:$E$478,"&lt;&gt;Apenas substrato",Data_raw!$D$2:$D$478,"=eucalipto")</f>
        <v>3</v>
      </c>
    </row>
    <row r="9">
      <c r="A9" s="8" t="str">
        <f>IFERROR(__xludf.DUMMYFUNCTION("""COMPUTED_VALUE"""),"Dendropsophus microps")</f>
        <v>Dendropsophus microps</v>
      </c>
      <c r="B9" s="8" t="str">
        <f>IFERROR(__xludf.DUMMYFUNCTION("""COMPUTED_VALUE"""),"Holoaden luederwaldti")</f>
        <v>Holoaden luederwaldti</v>
      </c>
      <c r="C9" s="8">
        <f>SUMIFS(Data_raw!G$2:G$478,Data_raw!A$2:A$478,B9,Data_raw!E$2:E$478,"&lt;&gt;Não identificado",Data_raw!E$2:E$478,"&lt;&gt;Semente",Data_raw!E$2:E$478,"&lt;&gt;Semente de capim",Data_raw!E$2:E$478,"&lt;&gt;Apenas substrato",Data_raw!$D$2:$D$478,"&lt;&gt;ocasional")</f>
        <v>0</v>
      </c>
      <c r="E9" s="113" t="str">
        <f>IFERROR(__xludf.DUMMYFUNCTION("""COMPUTED_VALUE"""),"Physalaemus olfersii")</f>
        <v>Physalaemus olfersii</v>
      </c>
      <c r="F9" s="113">
        <f>COUNTUNIQUEIFS(Data_raw!$B$2:$B$478,Data_raw!$A$2:$A$478,$E9,Data_raw!$G$2:$G$478,"&lt;&gt;0",Data_raw!$E$2:$E$478,"&lt;&gt;Não identificado",Data_raw!$E$2:$E$478,"&lt;&gt;Semente",Data_raw!$E$2:$E$478,"&lt;&gt;Semente de capim",Data_raw!$E$2:$E$478,"&lt;&gt;Apenas substrato",Data_raw!$D$2:$D$478,"&lt;&gt;ocasional")</f>
        <v>9</v>
      </c>
      <c r="G9" s="113">
        <f>COUNTUNIQUEIFS(Data_raw!$B$2:$B$478,Data_raw!$A$2:$A$478,$E9,Data_raw!$G$2:$G$478,"&lt;&gt;0",Data_raw!$E$2:$E$478,"&lt;&gt;Não identificado",Data_raw!$E$2:$E$478,"&lt;&gt;Semente",Data_raw!$E$2:$E$478,"&lt;&gt;Semente de capim",Data_raw!$E$2:$E$478,"&lt;&gt;Apenas substrato",Data_raw!$D$2:$D$478,"=mata")</f>
        <v>7</v>
      </c>
      <c r="H9" s="114">
        <f>COUNTUNIQUEIFS(Data_raw!$B$2:$B$478,Data_raw!$A$2:$A$478,$E9,Data_raw!$G$2:$G$478,"&lt;&gt;0",Data_raw!$E$2:$E$478,"&lt;&gt;Não identificado",Data_raw!$E$2:$E$478,"&lt;&gt;Semente",Data_raw!$E$2:$E$478,"&lt;&gt;Semente de capim",Data_raw!$E$2:$E$478,"&lt;&gt;Apenas substrato",Data_raw!$D$2:$D$478,"=eucalipto")</f>
        <v>2</v>
      </c>
      <c r="I9" s="113">
        <f>IFERROR(__xludf.DUMMYFUNCTION("""COMPUTED_VALUE"""),43.0)</f>
        <v>43</v>
      </c>
      <c r="J9" s="113">
        <f>SUMIFS(Data_raw!$G$2:$G$478,Data_raw!$A$2:$A$478,$E9,Data_raw!$E$2:$E$478,"&lt;&gt;Não identificado",Data_raw!$E$2:$E$478,"&lt;&gt;Semente",Data_raw!$E$2:$E$478,"&lt;&gt;Semente de capim",Data_raw!$E$2:$E$478,"&lt;&gt;Apenas substrato",Data_raw!$D$2:$D$478,"=mata")</f>
        <v>29</v>
      </c>
      <c r="K9" s="113">
        <f>SUMIFS(Data_raw!$G$2:$G$478,Data_raw!$A$2:$A$478,$E9,Data_raw!$E$2:$E$478,"&lt;&gt;Não identificado",Data_raw!$E$2:$E$478,"&lt;&gt;Semente",Data_raw!$E$2:$E$478,"&lt;&gt;Semente de capim",Data_raw!$E$2:$E$478,"&lt;&gt;Apenas substrato",Data_raw!$D$2:$D$478,"=eucalipto")</f>
        <v>14</v>
      </c>
    </row>
    <row r="10">
      <c r="A10" s="8" t="str">
        <f>IFERROR(__xludf.DUMMYFUNCTION("""COMPUTED_VALUE"""),"Dendropsophus minutus")</f>
        <v>Dendropsophus minutus</v>
      </c>
      <c r="B10" s="8" t="str">
        <f>IFERROR(__xludf.DUMMYFUNCTION("""COMPUTED_VALUE"""),"Hylodes aff. sazimai")</f>
        <v>Hylodes aff. sazimai</v>
      </c>
      <c r="C10" s="8">
        <f>SUMIFS(Data_raw!G$2:G$478,Data_raw!A$2:A$478,B10,Data_raw!E$2:E$478,"&lt;&gt;Não identificado",Data_raw!E$2:E$478,"&lt;&gt;Semente",Data_raw!E$2:E$478,"&lt;&gt;Semente de capim",Data_raw!E$2:E$478,"&lt;&gt;Apenas substrato",Data_raw!$D$2:$D$478,"&lt;&gt;ocasional")</f>
        <v>9</v>
      </c>
      <c r="E10" s="113" t="str">
        <f>IFERROR(__xludf.DUMMYFUNCTION("""COMPUTED_VALUE"""),"Proceratophrys boiei")</f>
        <v>Proceratophrys boiei</v>
      </c>
      <c r="F10" s="113">
        <f>COUNTUNIQUEIFS(Data_raw!$B$2:$B$478,Data_raw!$A$2:$A$478,$E10,Data_raw!$G$2:$G$478,"&lt;&gt;0",Data_raw!$E$2:$E$478,"&lt;&gt;Não identificado",Data_raw!$E$2:$E$478,"&lt;&gt;Semente",Data_raw!$E$2:$E$478,"&lt;&gt;Semente de capim",Data_raw!$E$2:$E$478,"&lt;&gt;Apenas substrato",Data_raw!$D$2:$D$478,"&lt;&gt;ocasional")</f>
        <v>8</v>
      </c>
      <c r="G10" s="113">
        <f>COUNTUNIQUEIFS(Data_raw!$B$2:$B$478,Data_raw!$A$2:$A$478,$E10,Data_raw!$G$2:$G$478,"&lt;&gt;0",Data_raw!$E$2:$E$478,"&lt;&gt;Não identificado",Data_raw!$E$2:$E$478,"&lt;&gt;Semente",Data_raw!$E$2:$E$478,"&lt;&gt;Semente de capim",Data_raw!$E$2:$E$478,"&lt;&gt;Apenas substrato",Data_raw!$D$2:$D$478,"=mata")</f>
        <v>7</v>
      </c>
      <c r="H10" s="114">
        <f>COUNTUNIQUEIFS(Data_raw!$B$2:$B$478,Data_raw!$A$2:$A$478,$E10,Data_raw!$G$2:$G$478,"&lt;&gt;0",Data_raw!$E$2:$E$478,"&lt;&gt;Não identificado",Data_raw!$E$2:$E$478,"&lt;&gt;Semente",Data_raw!$E$2:$E$478,"&lt;&gt;Semente de capim",Data_raw!$E$2:$E$478,"&lt;&gt;Apenas substrato",Data_raw!$D$2:$D$478,"=eucalipto")</f>
        <v>1</v>
      </c>
      <c r="I10" s="113">
        <f>IFERROR(__xludf.DUMMYFUNCTION("""COMPUTED_VALUE"""),16.0)</f>
        <v>16</v>
      </c>
      <c r="J10" s="113">
        <f>SUMIFS(Data_raw!$G$2:$G$478,Data_raw!$A$2:$A$478,$E10,Data_raw!$E$2:$E$478,"&lt;&gt;Não identificado",Data_raw!$E$2:$E$478,"&lt;&gt;Semente",Data_raw!$E$2:$E$478,"&lt;&gt;Semente de capim",Data_raw!$E$2:$E$478,"&lt;&gt;Apenas substrato",Data_raw!$D$2:$D$478,"=mata")</f>
        <v>15</v>
      </c>
      <c r="K10" s="113">
        <f>SUMIFS(Data_raw!$G$2:$G$478,Data_raw!$A$2:$A$478,$E10,Data_raw!$E$2:$E$478,"&lt;&gt;Não identificado",Data_raw!$E$2:$E$478,"&lt;&gt;Semente",Data_raw!$E$2:$E$478,"&lt;&gt;Semente de capim",Data_raw!$E$2:$E$478,"&lt;&gt;Apenas substrato",Data_raw!$D$2:$D$478,"=eucalipto")</f>
        <v>1</v>
      </c>
    </row>
    <row r="11">
      <c r="A11" s="8" t="str">
        <f>IFERROR(__xludf.DUMMYFUNCTION("""COMPUTED_VALUE"""),"Holoaden luederwaldti")</f>
        <v>Holoaden luederwaldti</v>
      </c>
      <c r="B11" s="8" t="str">
        <f>IFERROR(__xludf.DUMMYFUNCTION("""COMPUTED_VALUE"""),"Ischnocnema guentheri")</f>
        <v>Ischnocnema guentheri</v>
      </c>
      <c r="C11" s="8">
        <f>SUMIFS(Data_raw!G$2:G$478,Data_raw!A$2:A$478,B11,Data_raw!E$2:E$478,"&lt;&gt;Não identificado",Data_raw!E$2:E$478,"&lt;&gt;Semente",Data_raw!E$2:E$478,"&lt;&gt;Semente de capim",Data_raw!E$2:E$478,"&lt;&gt;Apenas substrato",Data_raw!$D$2:$D$478,"&lt;&gt;ocasional")</f>
        <v>27</v>
      </c>
      <c r="E11" s="115" t="str">
        <f>IFERROR(__xludf.DUMMYFUNCTION("""COMPUTED_VALUE"""),"Rhinella icterica")</f>
        <v>Rhinella icterica</v>
      </c>
      <c r="F11" s="113">
        <f>COUNTUNIQUEIFS(Data_raw!$B$2:$B$478,Data_raw!$A$2:$A$478,$E11,Data_raw!$G$2:$G$478,"&lt;&gt;0",Data_raw!$E$2:$E$478,"&lt;&gt;Não identificado",Data_raw!$E$2:$E$478,"&lt;&gt;Semente",Data_raw!$E$2:$E$478,"&lt;&gt;Semente de capim",Data_raw!$E$2:$E$478,"&lt;&gt;Apenas substrato",Data_raw!$D$2:$D$478,"&lt;&gt;ocasional")</f>
        <v>12</v>
      </c>
      <c r="G11" s="113">
        <f>COUNTUNIQUEIFS(Data_raw!$B$2:$B$478,Data_raw!$A$2:$A$478,$E11,Data_raw!$G$2:$G$478,"&lt;&gt;0",Data_raw!$E$2:$E$478,"&lt;&gt;Não identificado",Data_raw!$E$2:$E$478,"&lt;&gt;Semente",Data_raw!$E$2:$E$478,"&lt;&gt;Semente de capim",Data_raw!$E$2:$E$478,"&lt;&gt;Apenas substrato",Data_raw!$D$2:$D$478,"=mata")</f>
        <v>10</v>
      </c>
      <c r="H11" s="114">
        <f>COUNTUNIQUEIFS(Data_raw!$B$2:$B$478,Data_raw!$A$2:$A$478,$E11,Data_raw!$G$2:$G$478,"&lt;&gt;0",Data_raw!$E$2:$E$478,"&lt;&gt;Não identificado",Data_raw!$E$2:$E$478,"&lt;&gt;Semente",Data_raw!$E$2:$E$478,"&lt;&gt;Semente de capim",Data_raw!$E$2:$E$478,"&lt;&gt;Apenas substrato",Data_raw!$D$2:$D$478,"=eucalipto")</f>
        <v>2</v>
      </c>
      <c r="I11" s="113">
        <f>IFERROR(__xludf.DUMMYFUNCTION("""COMPUTED_VALUE"""),232.0)</f>
        <v>232</v>
      </c>
      <c r="J11" s="113">
        <f>SUMIFS(Data_raw!$G$2:$G$478,Data_raw!$A$2:$A$478,$E11,Data_raw!$E$2:$E$478,"&lt;&gt;Não identificado",Data_raw!$E$2:$E$478,"&lt;&gt;Semente",Data_raw!$E$2:$E$478,"&lt;&gt;Semente de capim",Data_raw!$E$2:$E$478,"&lt;&gt;Apenas substrato",Data_raw!$D$2:$D$478,"=mata")</f>
        <v>212</v>
      </c>
      <c r="K11" s="113">
        <f>SUMIFS(Data_raw!$G$2:$G$478,Data_raw!$A$2:$A$478,$E11,Data_raw!$E$2:$E$478,"&lt;&gt;Não identificado",Data_raw!$E$2:$E$478,"&lt;&gt;Semente",Data_raw!$E$2:$E$478,"&lt;&gt;Semente de capim",Data_raw!$E$2:$E$478,"&lt;&gt;Apenas substrato",Data_raw!$D$2:$D$478,"=eucalipto")</f>
        <v>20</v>
      </c>
    </row>
    <row r="12">
      <c r="A12" s="8" t="str">
        <f>IFERROR(__xludf.DUMMYFUNCTION("""COMPUTED_VALUE"""),"Hylodes aff. sazimai")</f>
        <v>Hylodes aff. sazimai</v>
      </c>
      <c r="B12" s="8" t="str">
        <f>IFERROR(__xludf.DUMMYFUNCTION("""COMPUTED_VALUE"""),"Ischnocnema holti")</f>
        <v>Ischnocnema holti</v>
      </c>
      <c r="C12" s="8">
        <f>SUMIFS(Data_raw!G$2:G$478,Data_raw!A$2:A$478,B12,Data_raw!E$2:E$478,"&lt;&gt;Não identificado",Data_raw!E$2:E$478,"&lt;&gt;Semente",Data_raw!E$2:E$478,"&lt;&gt;Semente de capim",Data_raw!E$2:E$478,"&lt;&gt;Apenas substrato",Data_raw!$D$2:$D$478,"&lt;&gt;ocasional")</f>
        <v>5</v>
      </c>
      <c r="E12" s="8" t="str">
        <f>IFERROR(__xludf.DUMMYFUNCTION("""COMPUTED_VALUE"""),"Rhinella ornata")</f>
        <v>Rhinella ornata</v>
      </c>
      <c r="F12" s="113">
        <f>COUNTUNIQUEIFS(Data_raw!$B$2:$B$478,Data_raw!$A$2:$A$478,$E12,Data_raw!$G$2:$G$478,"&lt;&gt;0",Data_raw!$E$2:$E$478,"&lt;&gt;Não identificado",Data_raw!$E$2:$E$478,"&lt;&gt;Semente",Data_raw!$E$2:$E$478,"&lt;&gt;Semente de capim",Data_raw!$E$2:$E$478,"&lt;&gt;Apenas substrato",Data_raw!$D$2:$D$478,"&lt;&gt;ocasional")</f>
        <v>2</v>
      </c>
      <c r="G12" s="113">
        <f>COUNTUNIQUEIFS(Data_raw!$B$2:$B$478,Data_raw!$A$2:$A$478,$E12,Data_raw!$G$2:$G$478,"&lt;&gt;0",Data_raw!$E$2:$E$478,"&lt;&gt;Não identificado",Data_raw!$E$2:$E$478,"&lt;&gt;Semente",Data_raw!$E$2:$E$478,"&lt;&gt;Semente de capim",Data_raw!$E$2:$E$478,"&lt;&gt;Apenas substrato",Data_raw!$D$2:$D$478,"=mata")</f>
        <v>2</v>
      </c>
      <c r="H12" s="114">
        <f>COUNTUNIQUEIFS(Data_raw!$B$2:$B$478,Data_raw!$A$2:$A$478,$E12,Data_raw!$G$2:$G$478,"&lt;&gt;0",Data_raw!$E$2:$E$478,"&lt;&gt;Não identificado",Data_raw!$E$2:$E$478,"&lt;&gt;Semente",Data_raw!$E$2:$E$478,"&lt;&gt;Semente de capim",Data_raw!$E$2:$E$478,"&lt;&gt;Apenas substrato",Data_raw!$D$2:$D$478,"=eucalipto")</f>
        <v>0</v>
      </c>
      <c r="I12" s="113">
        <f>IFERROR(__xludf.DUMMYFUNCTION("""COMPUTED_VALUE"""),69.0)</f>
        <v>69</v>
      </c>
      <c r="J12" s="113">
        <f>SUMIFS(Data_raw!$G$2:$G$478,Data_raw!$A$2:$A$478,$E12,Data_raw!$E$2:$E$478,"&lt;&gt;Não identificado",Data_raw!$E$2:$E$478,"&lt;&gt;Semente",Data_raw!$E$2:$E$478,"&lt;&gt;Semente de capim",Data_raw!$E$2:$E$478,"&lt;&gt;Apenas substrato",Data_raw!$D$2:$D$478,"=mata")</f>
        <v>69</v>
      </c>
      <c r="K12" s="113">
        <f>SUMIFS(Data_raw!$G$2:$G$478,Data_raw!$A$2:$A$478,$E12,Data_raw!$E$2:$E$478,"&lt;&gt;Não identificado",Data_raw!$E$2:$E$478,"&lt;&gt;Semente",Data_raw!$E$2:$E$478,"&lt;&gt;Semente de capim",Data_raw!$E$2:$E$478,"&lt;&gt;Apenas substrato",Data_raw!$D$2:$D$478,"=eucalipto")</f>
        <v>0</v>
      </c>
    </row>
    <row r="13">
      <c r="A13" s="8" t="str">
        <f>IFERROR(__xludf.DUMMYFUNCTION("""COMPUTED_VALUE"""),"Ischnocnema guentheri")</f>
        <v>Ischnocnema guentheri</v>
      </c>
      <c r="B13" s="8" t="str">
        <f>IFERROR(__xludf.DUMMYFUNCTION("""COMPUTED_VALUE"""),"Ischnocnema juipoca")</f>
        <v>Ischnocnema juipoca</v>
      </c>
      <c r="C13" s="8">
        <f>SUMIFS(Data_raw!G$2:G$478,Data_raw!A$2:A$478,B13,Data_raw!E$2:E$478,"&lt;&gt;Não identificado",Data_raw!E$2:E$478,"&lt;&gt;Semente",Data_raw!E$2:E$478,"&lt;&gt;Semente de capim",Data_raw!E$2:E$478,"&lt;&gt;Apenas substrato",Data_raw!$D$2:$D$478,"&lt;&gt;ocasional")</f>
        <v>28</v>
      </c>
      <c r="E13" s="8" t="str">
        <f>IFERROR(__xludf.DUMMYFUNCTION("""COMPUTED_VALUE"""),"Scinax aff. dolloi")</f>
        <v>Scinax aff. dolloi</v>
      </c>
      <c r="F13" s="113">
        <f>COUNTUNIQUEIFS(Data_raw!$B$2:$B$478,Data_raw!$A$2:$A$478,$E13,Data_raw!$G$2:$G$478,"&lt;&gt;0",Data_raw!$E$2:$E$478,"&lt;&gt;Não identificado",Data_raw!$E$2:$E$478,"&lt;&gt;Semente",Data_raw!$E$2:$E$478,"&lt;&gt;Semente de capim",Data_raw!$E$2:$E$478,"&lt;&gt;Apenas substrato",Data_raw!$D$2:$D$478,"&lt;&gt;ocasional")</f>
        <v>9</v>
      </c>
      <c r="G13" s="113">
        <f>COUNTUNIQUEIFS(Data_raw!$B$2:$B$478,Data_raw!$A$2:$A$478,$E13,Data_raw!$G$2:$G$478,"&lt;&gt;0",Data_raw!$E$2:$E$478,"&lt;&gt;Não identificado",Data_raw!$E$2:$E$478,"&lt;&gt;Semente",Data_raw!$E$2:$E$478,"&lt;&gt;Semente de capim",Data_raw!$E$2:$E$478,"&lt;&gt;Apenas substrato",Data_raw!$D$2:$D$478,"=mata")</f>
        <v>6</v>
      </c>
      <c r="H13" s="114">
        <f>COUNTUNIQUEIFS(Data_raw!$B$2:$B$478,Data_raw!$A$2:$A$478,$E13,Data_raw!$G$2:$G$478,"&lt;&gt;0",Data_raw!$E$2:$E$478,"&lt;&gt;Não identificado",Data_raw!$E$2:$E$478,"&lt;&gt;Semente",Data_raw!$E$2:$E$478,"&lt;&gt;Semente de capim",Data_raw!$E$2:$E$478,"&lt;&gt;Apenas substrato",Data_raw!$D$2:$D$478,"=eucalipto")</f>
        <v>3</v>
      </c>
      <c r="I13" s="113">
        <f>IFERROR(__xludf.DUMMYFUNCTION("""COMPUTED_VALUE"""),14.0)</f>
        <v>14</v>
      </c>
      <c r="J13" s="113">
        <f>SUMIFS(Data_raw!$G$2:$G$478,Data_raw!$A$2:$A$478,$E13,Data_raw!$E$2:$E$478,"&lt;&gt;Não identificado",Data_raw!$E$2:$E$478,"&lt;&gt;Semente",Data_raw!$E$2:$E$478,"&lt;&gt;Semente de capim",Data_raw!$E$2:$E$478,"&lt;&gt;Apenas substrato",Data_raw!$D$2:$D$478,"=mata")</f>
        <v>11</v>
      </c>
      <c r="K13" s="113">
        <f>SUMIFS(Data_raw!$G$2:$G$478,Data_raw!$A$2:$A$478,$E13,Data_raw!$E$2:$E$478,"&lt;&gt;Não identificado",Data_raw!$E$2:$E$478,"&lt;&gt;Semente",Data_raw!$E$2:$E$478,"&lt;&gt;Semente de capim",Data_raw!$E$2:$E$478,"&lt;&gt;Apenas substrato",Data_raw!$D$2:$D$478,"=eucalipto")</f>
        <v>3</v>
      </c>
    </row>
    <row r="14">
      <c r="A14" s="8" t="str">
        <f>IFERROR(__xludf.DUMMYFUNCTION("""COMPUTED_VALUE"""),"Ischnocnema holti")</f>
        <v>Ischnocnema holti</v>
      </c>
      <c r="B14" s="8" t="str">
        <f>IFERROR(__xludf.DUMMYFUNCTION("""COMPUTED_VALUE"""),"Ischnocnema vizottoi")</f>
        <v>Ischnocnema vizottoi</v>
      </c>
      <c r="C14" s="8">
        <f>SUMIFS(Data_raw!G$2:G$478,Data_raw!A$2:A$478,B14,Data_raw!E$2:E$478,"&lt;&gt;Não identificado",Data_raw!E$2:E$478,"&lt;&gt;Semente",Data_raw!E$2:E$478,"&lt;&gt;Semente de capim",Data_raw!E$2:E$478,"&lt;&gt;Apenas substrato",Data_raw!$D$2:$D$478,"&lt;&gt;ocasional")</f>
        <v>4</v>
      </c>
      <c r="E14" s="63"/>
    </row>
    <row r="15">
      <c r="A15" s="8" t="str">
        <f>IFERROR(__xludf.DUMMYFUNCTION("""COMPUTED_VALUE"""),"Ischnocnema juipoca")</f>
        <v>Ischnocnema juipoca</v>
      </c>
      <c r="B15" s="8" t="str">
        <f>IFERROR(__xludf.DUMMYFUNCTION("""COMPUTED_VALUE"""),"Odontophrynus americanus")</f>
        <v>Odontophrynus americanus</v>
      </c>
      <c r="C15" s="8">
        <f>SUMIFS(Data_raw!G$2:G$478,Data_raw!A$2:A$478,B15,Data_raw!E$2:E$478,"&lt;&gt;Não identificado",Data_raw!E$2:E$478,"&lt;&gt;Semente",Data_raw!E$2:E$478,"&lt;&gt;Semente de capim",Data_raw!E$2:E$478,"&lt;&gt;Apenas substrato",Data_raw!$D$2:$D$478,"&lt;&gt;ocasional")</f>
        <v>0</v>
      </c>
      <c r="F15" s="115">
        <f t="shared" ref="F15:K15" si="1">SUM(F2:F10)</f>
        <v>92</v>
      </c>
      <c r="G15" s="115">
        <f t="shared" si="1"/>
        <v>57</v>
      </c>
      <c r="H15" s="115">
        <f t="shared" si="1"/>
        <v>35</v>
      </c>
      <c r="I15" s="115">
        <f t="shared" si="1"/>
        <v>271</v>
      </c>
      <c r="J15" s="115">
        <f t="shared" si="1"/>
        <v>122</v>
      </c>
      <c r="K15" s="115">
        <f t="shared" si="1"/>
        <v>149</v>
      </c>
    </row>
    <row r="16">
      <c r="A16" s="8" t="str">
        <f>IFERROR(__xludf.DUMMYFUNCTION("""COMPUTED_VALUE"""),"Ischnocnema vizottoi")</f>
        <v>Ischnocnema vizottoi</v>
      </c>
      <c r="B16" s="8" t="str">
        <f>IFERROR(__xludf.DUMMYFUNCTION("""COMPUTED_VALUE"""),"Ololygon obtriangulata")</f>
        <v>Ololygon obtriangulata</v>
      </c>
      <c r="C16" s="8">
        <f>SUMIFS(Data_raw!G$2:G$478,Data_raw!A$2:A$478,B16,Data_raw!E$2:E$478,"&lt;&gt;Não identificado",Data_raw!E$2:E$478,"&lt;&gt;Semente",Data_raw!E$2:E$478,"&lt;&gt;Semente de capim",Data_raw!E$2:E$478,"&lt;&gt;Apenas substrato",Data_raw!$D$2:$D$478,"&lt;&gt;ocasional")</f>
        <v>20</v>
      </c>
    </row>
    <row r="17">
      <c r="A17" s="8" t="str">
        <f>IFERROR(__xludf.DUMMYFUNCTION("""COMPUTED_VALUE"""),"Leptodactylus latrans")</f>
        <v>Leptodactylus latrans</v>
      </c>
      <c r="B17" s="8" t="str">
        <f>IFERROR(__xludf.DUMMYFUNCTION("""COMPUTED_VALUE"""),"Paratelmatobius mantiqueira")</f>
        <v>Paratelmatobius mantiqueira</v>
      </c>
      <c r="C17" s="8">
        <f>SUMIFS(Data_raw!G$2:G$478,Data_raw!A$2:A$478,B17,Data_raw!E$2:E$478,"&lt;&gt;Não identificado",Data_raw!E$2:E$478,"&lt;&gt;Semente",Data_raw!E$2:E$478,"&lt;&gt;Semente de capim",Data_raw!E$2:E$478,"&lt;&gt;Apenas substrato",Data_raw!$D$2:$D$478,"&lt;&gt;ocasional")</f>
        <v>3</v>
      </c>
    </row>
    <row r="18">
      <c r="A18" s="8" t="str">
        <f>IFERROR(__xludf.DUMMYFUNCTION("""COMPUTED_VALUE"""),"Odontophrynus americanus")</f>
        <v>Odontophrynus americanus</v>
      </c>
      <c r="B18" s="8" t="str">
        <f>IFERROR(__xludf.DUMMYFUNCTION("""COMPUTED_VALUE"""),"Physalaemus cuvieri")</f>
        <v>Physalaemus cuvieri</v>
      </c>
      <c r="C18" s="8">
        <f>SUMIFS(Data_raw!G$2:G$478,Data_raw!A$2:A$478,B18,Data_raw!E$2:E$478,"&lt;&gt;Não identificado",Data_raw!E$2:E$478,"&lt;&gt;Semente",Data_raw!E$2:E$478,"&lt;&gt;Semente de capim",Data_raw!E$2:E$478,"&lt;&gt;Apenas substrato",Data_raw!$D$2:$D$478,"&lt;&gt;ocasional")</f>
        <v>0</v>
      </c>
    </row>
    <row r="19">
      <c r="A19" s="8" t="str">
        <f>IFERROR(__xludf.DUMMYFUNCTION("""COMPUTED_VALUE"""),"Ololygon obtriangulata")</f>
        <v>Ololygon obtriangulata</v>
      </c>
      <c r="B19" s="8" t="str">
        <f>IFERROR(__xludf.DUMMYFUNCTION("""COMPUTED_VALUE"""),"Physalaemus olfersii")</f>
        <v>Physalaemus olfersii</v>
      </c>
      <c r="C19" s="8">
        <f>SUMIFS(Data_raw!G$2:G$478,Data_raw!A$2:A$478,B19,Data_raw!E$2:E$478,"&lt;&gt;Não identificado",Data_raw!E$2:E$478,"&lt;&gt;Semente",Data_raw!E$2:E$478,"&lt;&gt;Semente de capim",Data_raw!E$2:E$478,"&lt;&gt;Apenas substrato",Data_raw!$D$2:$D$478,"&lt;&gt;ocasional")</f>
        <v>43</v>
      </c>
      <c r="F19" s="8">
        <v>0.0</v>
      </c>
    </row>
    <row r="20">
      <c r="A20" s="8" t="str">
        <f>IFERROR(__xludf.DUMMYFUNCTION("""COMPUTED_VALUE"""),"Paratelmatobius mantiqueira")</f>
        <v>Paratelmatobius mantiqueira</v>
      </c>
      <c r="B20" s="8" t="str">
        <f>IFERROR(__xludf.DUMMYFUNCTION("""COMPUTED_VALUE"""),"Proceratophrys boiei")</f>
        <v>Proceratophrys boiei</v>
      </c>
      <c r="C20" s="8">
        <f>SUMIFS(Data_raw!G$2:G$478,Data_raw!A$2:A$478,B20,Data_raw!E$2:E$478,"&lt;&gt;Não identificado",Data_raw!E$2:E$478,"&lt;&gt;Semente",Data_raw!E$2:E$478,"&lt;&gt;Semente de capim",Data_raw!E$2:E$478,"&lt;&gt;Apenas substrato",Data_raw!$D$2:$D$478,"&lt;&gt;ocasional")</f>
        <v>16</v>
      </c>
    </row>
    <row r="21">
      <c r="A21" s="8" t="str">
        <f>IFERROR(__xludf.DUMMYFUNCTION("""COMPUTED_VALUE"""),"Physalaemus cuvieri")</f>
        <v>Physalaemus cuvieri</v>
      </c>
      <c r="B21" s="8" t="str">
        <f>IFERROR(__xludf.DUMMYFUNCTION("""COMPUTED_VALUE"""),"Proceratophrys itamari")</f>
        <v>Proceratophrys itamari</v>
      </c>
      <c r="C21" s="8">
        <f>SUMIFS(Data_raw!G$2:G$478,Data_raw!A$2:A$478,B21,Data_raw!E$2:E$478,"&lt;&gt;Não identificado",Data_raw!E$2:E$478,"&lt;&gt;Semente",Data_raw!E$2:E$478,"&lt;&gt;Semente de capim",Data_raw!E$2:E$478,"&lt;&gt;Apenas substrato",Data_raw!$D$2:$D$478,"&lt;&gt;ocasional")</f>
        <v>4</v>
      </c>
    </row>
    <row r="22">
      <c r="A22" s="8" t="str">
        <f>IFERROR(__xludf.DUMMYFUNCTION("""COMPUTED_VALUE"""),"Physalaemus olfersii")</f>
        <v>Physalaemus olfersii</v>
      </c>
      <c r="B22" s="8" t="str">
        <f>IFERROR(__xludf.DUMMYFUNCTION("""COMPUTED_VALUE"""),"Rhinella icterica")</f>
        <v>Rhinella icterica</v>
      </c>
      <c r="C22" s="8">
        <f>SUMIFS(Data_raw!G$2:G$478,Data_raw!A$2:A$478,B22,Data_raw!E$2:E$478,"&lt;&gt;Não identificado",Data_raw!E$2:E$478,"&lt;&gt;Semente",Data_raw!E$2:E$478,"&lt;&gt;Semente de capim",Data_raw!E$2:E$478,"&lt;&gt;Apenas substrato",Data_raw!$D$2:$D$478,"&lt;&gt;ocasional")</f>
        <v>232</v>
      </c>
    </row>
    <row r="23">
      <c r="A23" s="8" t="str">
        <f>IFERROR(__xludf.DUMMYFUNCTION("""COMPUTED_VALUE"""),"Proceratophrys boiei")</f>
        <v>Proceratophrys boiei</v>
      </c>
      <c r="B23" s="8" t="str">
        <f>IFERROR(__xludf.DUMMYFUNCTION("""COMPUTED_VALUE"""),"Rhinella ornata")</f>
        <v>Rhinella ornata</v>
      </c>
      <c r="C23" s="8">
        <f>SUMIFS(Data_raw!G$2:G$478,Data_raw!A$2:A$478,B23,Data_raw!E$2:E$478,"&lt;&gt;Não identificado",Data_raw!E$2:E$478,"&lt;&gt;Semente",Data_raw!E$2:E$478,"&lt;&gt;Semente de capim",Data_raw!E$2:E$478,"&lt;&gt;Apenas substrato",Data_raw!$D$2:$D$478,"&lt;&gt;ocasional")</f>
        <v>69</v>
      </c>
    </row>
    <row r="24">
      <c r="A24" s="8" t="str">
        <f>IFERROR(__xludf.DUMMYFUNCTION("""COMPUTED_VALUE"""),"Proceratophrys itamari")</f>
        <v>Proceratophrys itamari</v>
      </c>
      <c r="B24" s="8" t="str">
        <f>IFERROR(__xludf.DUMMYFUNCTION("""COMPUTED_VALUE"""),"Scinax aff. dolloi")</f>
        <v>Scinax aff. dolloi</v>
      </c>
      <c r="C24" s="8">
        <f>SUMIFS(Data_raw!G$2:G$478,Data_raw!A$2:A$478,B24,Data_raw!E$2:E$478,"&lt;&gt;Não identificado",Data_raw!E$2:E$478,"&lt;&gt;Semente",Data_raw!E$2:E$478,"&lt;&gt;Semente de capim",Data_raw!E$2:E$478,"&lt;&gt;Apenas substrato",Data_raw!$D$2:$D$478,"&lt;&gt;ocasional")</f>
        <v>14</v>
      </c>
    </row>
    <row r="25">
      <c r="A25" s="8" t="str">
        <f>IFERROR(__xludf.DUMMYFUNCTION("""COMPUTED_VALUE"""),"Rhinella icterica")</f>
        <v>Rhinella icterica</v>
      </c>
      <c r="B25" s="8" t="str">
        <f>IFERROR(__xludf.DUMMYFUNCTION("""COMPUTED_VALUE"""),"Trachycephalus imitatrix")</f>
        <v>Trachycephalus imitatrix</v>
      </c>
      <c r="C25" s="8">
        <f>SUMIFS(Data_raw!G$2:G$478,Data_raw!A$2:A$478,B25,Data_raw!E$2:E$478,"&lt;&gt;Não identificado",Data_raw!E$2:E$478,"&lt;&gt;Semente",Data_raw!E$2:E$478,"&lt;&gt;Semente de capim",Data_raw!E$2:E$478,"&lt;&gt;Apenas substrato",Data_raw!$D$2:$D$478,"&lt;&gt;ocasional")</f>
        <v>6</v>
      </c>
    </row>
    <row r="26">
      <c r="A26" s="8" t="str">
        <f>IFERROR(__xludf.DUMMYFUNCTION("""COMPUTED_VALUE"""),"Rhinella ornata")</f>
        <v>Rhinella ornata</v>
      </c>
      <c r="B26" s="8"/>
      <c r="C26" s="8">
        <f>SUMIFS(Data_raw!G$2:G$478,Data_raw!A$2:A$478,B26,Data_raw!E$2:E$478,"&lt;&gt;Não identificado",Data_raw!E$2:E$478,"&lt;&gt;Semente",Data_raw!E$2:E$478,"&lt;&gt;Semente de capim",Data_raw!E$2:E$478,"&lt;&gt;Apenas substrato",Data_raw!$D$2:$D$478,"&lt;&gt;ocasional")</f>
        <v>0</v>
      </c>
    </row>
    <row r="27">
      <c r="A27" s="8" t="str">
        <f>IFERROR(__xludf.DUMMYFUNCTION("""COMPUTED_VALUE"""),"Scinax aff. dolloi")</f>
        <v>Scinax aff. dolloi</v>
      </c>
      <c r="C27" s="8">
        <f>SUMIFS(Data_raw!G$2:G$478,Data_raw!A$2:A$478,B27,Data_raw!E$2:E$478,"&lt;&gt;Não identificado",Data_raw!E$2:E$478,"&lt;&gt;Semente",Data_raw!E$2:E$478,"&lt;&gt;Semente de capim",Data_raw!E$2:E$478,"&lt;&gt;Apenas substrato")</f>
        <v>0</v>
      </c>
    </row>
    <row r="28">
      <c r="A28" s="8" t="str">
        <f>IFERROR(__xludf.DUMMYFUNCTION("""COMPUTED_VALUE"""),"Scinax aff. duartei")</f>
        <v>Scinax aff. duartei</v>
      </c>
      <c r="B28" s="116">
        <f>COUNTA(B2:B27)</f>
        <v>24</v>
      </c>
      <c r="C28" s="116">
        <f>SUM(C1:C27)</f>
        <v>621</v>
      </c>
    </row>
    <row r="29">
      <c r="A29" s="8" t="str">
        <f>IFERROR(__xludf.DUMMYFUNCTION("""COMPUTED_VALUE"""),"Trachycephalus imitatrix")</f>
        <v>Trachycephalus imitatrix</v>
      </c>
    </row>
    <row r="31">
      <c r="A31" s="116">
        <f>COUNTA(A2:A30)</f>
        <v>28</v>
      </c>
    </row>
    <row r="33">
      <c r="A33" s="117" t="s">
        <v>892</v>
      </c>
      <c r="B33" s="118">
        <f>IFERROR(__xludf.DUMMYFUNCTION("COUNTUNIQUE(Data_raw!$B$2:$B$478)"),258.0)</f>
        <v>258</v>
      </c>
    </row>
    <row r="34">
      <c r="A34" s="119" t="s">
        <v>896</v>
      </c>
      <c r="B34" s="120">
        <f>IFERROR(__xludf.DUMMYFUNCTION("COUNTUNIQUE(Data_raw!$A$2:$A$478)"),28.0)</f>
        <v>28</v>
      </c>
    </row>
    <row r="35">
      <c r="A35" s="119" t="s">
        <v>897</v>
      </c>
      <c r="B35" s="120">
        <f>SUM(Data_raw!G2:G478)</f>
        <v>656</v>
      </c>
    </row>
    <row r="36">
      <c r="A36" s="121" t="s">
        <v>898</v>
      </c>
      <c r="B36" s="122">
        <f>IFERROR(__xludf.DUMMYFUNCTION("COUNTUNIQUE(Data_raw!F2:F478)"),35.0)</f>
        <v>35</v>
      </c>
    </row>
    <row r="38">
      <c r="A38" s="63" t="s">
        <v>966</v>
      </c>
    </row>
    <row r="39">
      <c r="A39" s="8" t="str">
        <f>IFERROR(__xludf.DUMMYFUNCTION("SORT(UNIQUE(Data_raw!F2:F478))"),"Acari")</f>
        <v>Acari</v>
      </c>
    </row>
    <row r="40">
      <c r="A40" s="8" t="str">
        <f>IFERROR(__xludf.DUMMYFUNCTION("""COMPUTED_VALUE"""),"Apenas substrato")</f>
        <v>Apenas substrato</v>
      </c>
    </row>
    <row r="41">
      <c r="A41" s="8" t="str">
        <f>IFERROR(__xludf.DUMMYFUNCTION("""COMPUTED_VALUE"""),"Arachnida")</f>
        <v>Arachnida</v>
      </c>
    </row>
    <row r="42">
      <c r="A42" s="8" t="str">
        <f>IFERROR(__xludf.DUMMYFUNCTION("""COMPUTED_VALUE"""),"Araneae")</f>
        <v>Araneae</v>
      </c>
    </row>
    <row r="43">
      <c r="A43" s="8" t="str">
        <f>IFERROR(__xludf.DUMMYFUNCTION("""COMPUTED_VALUE"""),"Arthropoda")</f>
        <v>Arthropoda</v>
      </c>
    </row>
    <row r="44">
      <c r="A44" s="8" t="str">
        <f>IFERROR(__xludf.DUMMYFUNCTION("""COMPUTED_VALUE"""),"Blattodea")</f>
        <v>Blattodea</v>
      </c>
    </row>
    <row r="45">
      <c r="A45" s="8" t="str">
        <f>IFERROR(__xludf.DUMMYFUNCTION("""COMPUTED_VALUE"""),"Chilopoda")</f>
        <v>Chilopoda</v>
      </c>
    </row>
    <row r="46">
      <c r="A46" s="8" t="str">
        <f>IFERROR(__xludf.DUMMYFUNCTION("""COMPUTED_VALUE"""),"Coleoptera")</f>
        <v>Coleoptera</v>
      </c>
    </row>
    <row r="47">
      <c r="A47" s="8" t="str">
        <f>IFERROR(__xludf.DUMMYFUNCTION("""COMPUTED_VALUE"""),"Coleoptera Larva")</f>
        <v>Coleoptera Larva</v>
      </c>
    </row>
    <row r="48">
      <c r="A48" s="8" t="str">
        <f>IFERROR(__xludf.DUMMYFUNCTION("""COMPUTED_VALUE"""),"Collembola")</f>
        <v>Collembola</v>
      </c>
    </row>
    <row r="49">
      <c r="A49" s="8" t="str">
        <f>IFERROR(__xludf.DUMMYFUNCTION("""COMPUTED_VALUE"""),"Dermaptera")</f>
        <v>Dermaptera</v>
      </c>
    </row>
    <row r="50">
      <c r="A50" s="8" t="str">
        <f>IFERROR(__xludf.DUMMYFUNCTION("""COMPUTED_VALUE"""),"Diplopoda")</f>
        <v>Diplopoda</v>
      </c>
    </row>
    <row r="51">
      <c r="A51" s="8" t="str">
        <f>IFERROR(__xludf.DUMMYFUNCTION("""COMPUTED_VALUE"""),"Ensifera")</f>
        <v>Ensifera</v>
      </c>
    </row>
    <row r="52">
      <c r="A52" s="8" t="str">
        <f>IFERROR(__xludf.DUMMYFUNCTION("""COMPUTED_VALUE"""),"Formicidae")</f>
        <v>Formicidae</v>
      </c>
    </row>
    <row r="53">
      <c r="A53" s="8" t="str">
        <f>IFERROR(__xludf.DUMMYFUNCTION("""COMPUTED_VALUE"""),"Hemiptera")</f>
        <v>Hemiptera</v>
      </c>
    </row>
    <row r="54">
      <c r="A54" s="8" t="str">
        <f>IFERROR(__xludf.DUMMYFUNCTION("""COMPUTED_VALUE"""),"Heteroptera")</f>
        <v>Heteroptera</v>
      </c>
    </row>
    <row r="55">
      <c r="A55" s="8" t="str">
        <f>IFERROR(__xludf.DUMMYFUNCTION("""COMPUTED_VALUE"""),"Insecta")</f>
        <v>Insecta</v>
      </c>
    </row>
    <row r="56">
      <c r="A56" s="8" t="str">
        <f>IFERROR(__xludf.DUMMYFUNCTION("""COMPUTED_VALUE"""),"Isópode")</f>
        <v>Isópode</v>
      </c>
    </row>
    <row r="57">
      <c r="A57" s="8" t="str">
        <f>IFERROR(__xludf.DUMMYFUNCTION("""COMPUTED_VALUE"""),"Isoptera")</f>
        <v>Isoptera</v>
      </c>
    </row>
    <row r="58">
      <c r="A58" s="8" t="str">
        <f>IFERROR(__xludf.DUMMYFUNCTION("""COMPUTED_VALUE"""),"Larva")</f>
        <v>Larva</v>
      </c>
    </row>
    <row r="59">
      <c r="A59" s="8" t="str">
        <f>IFERROR(__xludf.DUMMYFUNCTION("""COMPUTED_VALUE"""),"Lepidoptera Larva")</f>
        <v>Lepidoptera Larva</v>
      </c>
    </row>
    <row r="60">
      <c r="A60" s="8" t="str">
        <f>IFERROR(__xludf.DUMMYFUNCTION("""COMPUTED_VALUE"""),"Mantodea")</f>
        <v>Mantodea</v>
      </c>
    </row>
    <row r="61">
      <c r="A61" s="8" t="str">
        <f>IFERROR(__xludf.DUMMYFUNCTION("""COMPUTED_VALUE"""),"Mollusca")</f>
        <v>Mollusca</v>
      </c>
    </row>
    <row r="62">
      <c r="A62" s="8" t="str">
        <f>IFERROR(__xludf.DUMMYFUNCTION("""COMPUTED_VALUE"""),"Mosca")</f>
        <v>Mosca</v>
      </c>
    </row>
    <row r="63">
      <c r="A63" s="8" t="str">
        <f>IFERROR(__xludf.DUMMYFUNCTION("""COMPUTED_VALUE"""),"Não Identificado")</f>
        <v>Não Identificado</v>
      </c>
    </row>
    <row r="64">
      <c r="A64" s="8" t="str">
        <f>IFERROR(__xludf.DUMMYFUNCTION("""COMPUTED_VALUE"""),"Opiliones")</f>
        <v>Opiliones</v>
      </c>
    </row>
    <row r="65">
      <c r="A65" s="8" t="str">
        <f>IFERROR(__xludf.DUMMYFUNCTION("""COMPUTED_VALUE"""),"Orthoptera")</f>
        <v>Orthoptera</v>
      </c>
    </row>
    <row r="66">
      <c r="A66" s="8" t="str">
        <f>IFERROR(__xludf.DUMMYFUNCTION("""COMPUTED_VALUE"""),"Pscoptera")</f>
        <v>Pscoptera</v>
      </c>
    </row>
    <row r="67">
      <c r="A67" s="8" t="str">
        <f>IFERROR(__xludf.DUMMYFUNCTION("""COMPUTED_VALUE"""),"Pterygota")</f>
        <v>Pterygota</v>
      </c>
    </row>
    <row r="68">
      <c r="A68" s="8" t="str">
        <f>IFERROR(__xludf.DUMMYFUNCTION("""COMPUTED_VALUE"""),"Semente")</f>
        <v>Semente</v>
      </c>
    </row>
    <row r="69">
      <c r="A69" s="8" t="str">
        <f>IFERROR(__xludf.DUMMYFUNCTION("""COMPUTED_VALUE"""),"Semente de capim")</f>
        <v>Semente de capim</v>
      </c>
    </row>
    <row r="70">
      <c r="A70" s="8" t="str">
        <f>IFERROR(__xludf.DUMMYFUNCTION("""COMPUTED_VALUE"""),"Staphylinidae")</f>
        <v>Staphylinidae</v>
      </c>
    </row>
    <row r="71">
      <c r="A71" s="8" t="str">
        <f>IFERROR(__xludf.DUMMYFUNCTION("""COMPUTED_VALUE"""),"Thysanoptera")</f>
        <v>Thysanoptera</v>
      </c>
    </row>
    <row r="72">
      <c r="A72" s="8" t="str">
        <f>IFERROR(__xludf.DUMMYFUNCTION("""COMPUTED_VALUE"""),"Vazio")</f>
        <v>Vazio</v>
      </c>
    </row>
    <row r="73">
      <c r="A73" s="8" t="str">
        <f>IFERROR(__xludf.DUMMYFUNCTION("""COMPUTED_VALUE"""),"Vespa")</f>
        <v>Vespa</v>
      </c>
    </row>
    <row r="74">
      <c r="A74" s="8">
        <f>IFERROR(__xludf.DUMMYFUNCTION("COUNTUNIQUE(Data_raw!F2:F478)"),35.0)</f>
        <v>35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21.88"/>
  </cols>
  <sheetData>
    <row r="1">
      <c r="A1" s="123" t="s">
        <v>967</v>
      </c>
      <c r="I1" s="63" t="s">
        <v>968</v>
      </c>
    </row>
    <row r="2">
      <c r="A2" s="63" t="s">
        <v>137</v>
      </c>
      <c r="B2" s="63" t="s">
        <v>170</v>
      </c>
      <c r="C2" s="63" t="s">
        <v>145</v>
      </c>
      <c r="D2" s="63" t="s">
        <v>119</v>
      </c>
      <c r="E2" s="63" t="s">
        <v>134</v>
      </c>
      <c r="F2" s="63" t="s">
        <v>210</v>
      </c>
      <c r="G2" s="63" t="s">
        <v>441</v>
      </c>
      <c r="I2" s="8" t="s">
        <v>55</v>
      </c>
    </row>
    <row r="3">
      <c r="A3" s="8" t="str">
        <f>IFERROR(__xludf.DUMMYFUNCTION("UNIQUE(FILTER(Data_raw!$F2:$F478,Data_raw!$A2:$A478 = A2))"),"Formicidae")</f>
        <v>Formicidae</v>
      </c>
      <c r="B3" s="8" t="str">
        <f>IFERROR(__xludf.DUMMYFUNCTION("UNIQUE(FILTER(Data_raw!$F2:$F478,Data_raw!$A2:$A478 = B2))"),"Vazio")</f>
        <v>Vazio</v>
      </c>
      <c r="C3" s="8" t="str">
        <f>IFERROR(__xludf.DUMMYFUNCTION("UNIQUE(FILTER(Data_raw!$F2:$F478,Data_raw!$A2:$A478 = C2))"),"Vazio")</f>
        <v>Vazio</v>
      </c>
      <c r="D3" s="8" t="str">
        <f>IFERROR(__xludf.DUMMYFUNCTION("UNIQUE(FILTER(Data_raw!$F2:$F478,Data_raw!$A2:$A478 = D2))"),"Araneae")</f>
        <v>Araneae</v>
      </c>
      <c r="E3" s="8" t="str">
        <f>IFERROR(__xludf.DUMMYFUNCTION("UNIQUE(FILTER(Data_raw!$F2:$F478,Data_raw!$A2:$A478 = E2))"),"Formicidae")</f>
        <v>Formicidae</v>
      </c>
      <c r="F3" s="8" t="str">
        <f>IFERROR(__xludf.DUMMYFUNCTION("UNIQUE(FILTER(Data_raw!$F2:$F478,Data_raw!$A2:$A478 = F2))"),"Coleoptera")</f>
        <v>Coleoptera</v>
      </c>
      <c r="G3" s="8" t="str">
        <f>IFERROR(__xludf.DUMMYFUNCTION("UNIQUE(FILTER(Data_raw!$F2:$F478,Data_raw!$A2:$A478 = G2))"),"Coleoptera")</f>
        <v>Coleoptera</v>
      </c>
      <c r="I3" s="8" t="s">
        <v>784</v>
      </c>
    </row>
    <row r="4">
      <c r="A4" s="8" t="str">
        <f>IFERROR(__xludf.DUMMYFUNCTION("""COMPUTED_VALUE"""),"Arthropoda")</f>
        <v>Arthropoda</v>
      </c>
      <c r="B4" s="8" t="str">
        <f>IFERROR(__xludf.DUMMYFUNCTION("""COMPUTED_VALUE"""),"Coleoptera")</f>
        <v>Coleoptera</v>
      </c>
      <c r="C4" s="8" t="str">
        <f>IFERROR(__xludf.DUMMYFUNCTION("""COMPUTED_VALUE"""),"Opiliones")</f>
        <v>Opiliones</v>
      </c>
      <c r="D4" s="8" t="str">
        <f>IFERROR(__xludf.DUMMYFUNCTION("""COMPUTED_VALUE"""),"Collembola")</f>
        <v>Collembola</v>
      </c>
      <c r="E4" s="8" t="str">
        <f>IFERROR(__xludf.DUMMYFUNCTION("""COMPUTED_VALUE"""),"Insecta")</f>
        <v>Insecta</v>
      </c>
      <c r="F4" s="8" t="str">
        <f>IFERROR(__xludf.DUMMYFUNCTION("""COMPUTED_VALUE"""),"Opiliones")</f>
        <v>Opiliones</v>
      </c>
      <c r="G4" s="8" t="str">
        <f>IFERROR(__xludf.DUMMYFUNCTION("""COMPUTED_VALUE"""),"Formicidae")</f>
        <v>Formicidae</v>
      </c>
      <c r="I4" s="8" t="s">
        <v>794</v>
      </c>
    </row>
    <row r="5">
      <c r="A5" s="8" t="str">
        <f>IFERROR(__xludf.DUMMYFUNCTION("""COMPUTED_VALUE"""),"Coleoptera")</f>
        <v>Coleoptera</v>
      </c>
      <c r="B5" s="8" t="str">
        <f>IFERROR(__xludf.DUMMYFUNCTION("""COMPUTED_VALUE"""),"Não Identificado")</f>
        <v>Não Identificado</v>
      </c>
      <c r="C5" s="8" t="str">
        <f>IFERROR(__xludf.DUMMYFUNCTION("""COMPUTED_VALUE"""),"Coleoptera")</f>
        <v>Coleoptera</v>
      </c>
      <c r="D5" s="8" t="str">
        <f>IFERROR(__xludf.DUMMYFUNCTION("""COMPUTED_VALUE"""),"Staphylinidae")</f>
        <v>Staphylinidae</v>
      </c>
      <c r="E5" s="8" t="str">
        <f>IFERROR(__xludf.DUMMYFUNCTION("""COMPUTED_VALUE"""),"Araneae")</f>
        <v>Araneae</v>
      </c>
      <c r="F5" s="8" t="str">
        <f>IFERROR(__xludf.DUMMYFUNCTION("""COMPUTED_VALUE"""),"Dermaptera")</f>
        <v>Dermaptera</v>
      </c>
      <c r="G5" s="8" t="str">
        <f>IFERROR(__xludf.DUMMYFUNCTION("""COMPUTED_VALUE"""),"Opiliones")</f>
        <v>Opiliones</v>
      </c>
      <c r="I5" s="8" t="s">
        <v>57</v>
      </c>
    </row>
    <row r="6">
      <c r="A6" s="8" t="str">
        <f>IFERROR(__xludf.DUMMYFUNCTION("""COMPUTED_VALUE"""),"Vazio")</f>
        <v>Vazio</v>
      </c>
      <c r="B6" s="8" t="str">
        <f>IFERROR(__xludf.DUMMYFUNCTION("""COMPUTED_VALUE"""),"Araneae")</f>
        <v>Araneae</v>
      </c>
      <c r="C6" s="8" t="str">
        <f>IFERROR(__xludf.DUMMYFUNCTION("""COMPUTED_VALUE"""),"Dermaptera")</f>
        <v>Dermaptera</v>
      </c>
      <c r="D6" s="8" t="str">
        <f>IFERROR(__xludf.DUMMYFUNCTION("""COMPUTED_VALUE"""),"Lepidoptera Larva")</f>
        <v>Lepidoptera Larva</v>
      </c>
      <c r="E6" s="8" t="str">
        <f>IFERROR(__xludf.DUMMYFUNCTION("""COMPUTED_VALUE"""),"Coleoptera")</f>
        <v>Coleoptera</v>
      </c>
      <c r="F6" s="8" t="str">
        <f>IFERROR(__xludf.DUMMYFUNCTION("""COMPUTED_VALUE"""),"Coleoptera Larva")</f>
        <v>Coleoptera Larva</v>
      </c>
      <c r="G6" s="8" t="str">
        <f>IFERROR(__xludf.DUMMYFUNCTION("""COMPUTED_VALUE"""),"Hemiptera")</f>
        <v>Hemiptera</v>
      </c>
      <c r="I6" s="8" t="s">
        <v>59</v>
      </c>
    </row>
    <row r="7">
      <c r="A7" s="8" t="str">
        <f>IFERROR(__xludf.DUMMYFUNCTION("""COMPUTED_VALUE"""),"Acari")</f>
        <v>Acari</v>
      </c>
      <c r="B7" s="8" t="str">
        <f>IFERROR(__xludf.DUMMYFUNCTION("""COMPUTED_VALUE"""),"Mosca")</f>
        <v>Mosca</v>
      </c>
      <c r="C7" s="8" t="str">
        <f>IFERROR(__xludf.DUMMYFUNCTION("""COMPUTED_VALUE"""),"Araneae")</f>
        <v>Araneae</v>
      </c>
      <c r="D7" s="8" t="str">
        <f>IFERROR(__xludf.DUMMYFUNCTION("""COMPUTED_VALUE"""),"Coleoptera")</f>
        <v>Coleoptera</v>
      </c>
      <c r="E7" s="8" t="str">
        <f>IFERROR(__xludf.DUMMYFUNCTION("""COMPUTED_VALUE"""),"Vespa")</f>
        <v>Vespa</v>
      </c>
      <c r="F7" s="8" t="str">
        <f>IFERROR(__xludf.DUMMYFUNCTION("""COMPUTED_VALUE"""),"Diplopoda")</f>
        <v>Diplopoda</v>
      </c>
      <c r="G7" s="8" t="str">
        <f>IFERROR(__xludf.DUMMYFUNCTION("""COMPUTED_VALUE"""),"Diplopoda")</f>
        <v>Diplopoda</v>
      </c>
      <c r="I7" s="8" t="s">
        <v>63</v>
      </c>
    </row>
    <row r="8">
      <c r="A8" s="8" t="str">
        <f>IFERROR(__xludf.DUMMYFUNCTION("""COMPUTED_VALUE"""),"Opiliones")</f>
        <v>Opiliones</v>
      </c>
      <c r="B8" s="8" t="str">
        <f>IFERROR(__xludf.DUMMYFUNCTION("""COMPUTED_VALUE"""),"Insecta")</f>
        <v>Insecta</v>
      </c>
      <c r="C8" s="8" t="str">
        <f>IFERROR(__xludf.DUMMYFUNCTION("""COMPUTED_VALUE"""),"Chilopoda")</f>
        <v>Chilopoda</v>
      </c>
      <c r="D8" s="8" t="str">
        <f>IFERROR(__xludf.DUMMYFUNCTION("""COMPUTED_VALUE"""),"Vazio")</f>
        <v>Vazio</v>
      </c>
      <c r="E8" s="8" t="str">
        <f>IFERROR(__xludf.DUMMYFUNCTION("""COMPUTED_VALUE"""),"Staphylinidae")</f>
        <v>Staphylinidae</v>
      </c>
      <c r="F8" s="8" t="str">
        <f>IFERROR(__xludf.DUMMYFUNCTION("""COMPUTED_VALUE"""),"Semente")</f>
        <v>Semente</v>
      </c>
      <c r="G8" s="8"/>
      <c r="I8" s="8" t="s">
        <v>67</v>
      </c>
    </row>
    <row r="9">
      <c r="B9" s="8" t="str">
        <f>IFERROR(__xludf.DUMMYFUNCTION("""COMPUTED_VALUE"""),"Isoptera")</f>
        <v>Isoptera</v>
      </c>
      <c r="C9" s="8" t="str">
        <f>IFERROR(__xludf.DUMMYFUNCTION("""COMPUTED_VALUE"""),"Blattodea")</f>
        <v>Blattodea</v>
      </c>
      <c r="D9" s="8" t="str">
        <f>IFERROR(__xludf.DUMMYFUNCTION("""COMPUTED_VALUE"""),"Vespa")</f>
        <v>Vespa</v>
      </c>
      <c r="E9" s="8" t="str">
        <f>IFERROR(__xludf.DUMMYFUNCTION("""COMPUTED_VALUE"""),"Vazio")</f>
        <v>Vazio</v>
      </c>
      <c r="F9" s="8" t="str">
        <f>IFERROR(__xludf.DUMMYFUNCTION("""COMPUTED_VALUE"""),"Orthoptera")</f>
        <v>Orthoptera</v>
      </c>
      <c r="I9" s="8" t="s">
        <v>69</v>
      </c>
    </row>
    <row r="10">
      <c r="C10" s="8" t="str">
        <f>IFERROR(__xludf.DUMMYFUNCTION("""COMPUTED_VALUE"""),"Staphylinidae")</f>
        <v>Staphylinidae</v>
      </c>
      <c r="D10" s="8" t="str">
        <f>IFERROR(__xludf.DUMMYFUNCTION("""COMPUTED_VALUE"""),"Heteroptera")</f>
        <v>Heteroptera</v>
      </c>
      <c r="F10" s="8" t="str">
        <f>IFERROR(__xludf.DUMMYFUNCTION("""COMPUTED_VALUE"""),"Staphylinidae")</f>
        <v>Staphylinidae</v>
      </c>
      <c r="I10" s="8" t="s">
        <v>71</v>
      </c>
    </row>
    <row r="11">
      <c r="C11" s="8" t="str">
        <f>IFERROR(__xludf.DUMMYFUNCTION("""COMPUTED_VALUE"""),"Formicidae")</f>
        <v>Formicidae</v>
      </c>
      <c r="D11" s="8" t="str">
        <f>IFERROR(__xludf.DUMMYFUNCTION("""COMPUTED_VALUE"""),"Pscoptera")</f>
        <v>Pscoptera</v>
      </c>
      <c r="F11" s="8" t="str">
        <f>IFERROR(__xludf.DUMMYFUNCTION("""COMPUTED_VALUE"""),"Formicidae")</f>
        <v>Formicidae</v>
      </c>
      <c r="I11" s="8" t="s">
        <v>75</v>
      </c>
    </row>
    <row r="12">
      <c r="D12" s="8" t="str">
        <f>IFERROR(__xludf.DUMMYFUNCTION("""COMPUTED_VALUE"""),"Não Identificado")</f>
        <v>Não Identificado</v>
      </c>
      <c r="F12" s="8" t="str">
        <f>IFERROR(__xludf.DUMMYFUNCTION("""COMPUTED_VALUE"""),"Lepidoptera Larva")</f>
        <v>Lepidoptera Larva</v>
      </c>
      <c r="I12" s="8" t="s">
        <v>77</v>
      </c>
    </row>
    <row r="13">
      <c r="D13" s="8" t="str">
        <f>IFERROR(__xludf.DUMMYFUNCTION("""COMPUTED_VALUE"""),"Apenas substrato")</f>
        <v>Apenas substrato</v>
      </c>
      <c r="F13" s="8" t="str">
        <f>IFERROR(__xludf.DUMMYFUNCTION("""COMPUTED_VALUE"""),"Mantodea")</f>
        <v>Mantodea</v>
      </c>
      <c r="I13" s="8" t="s">
        <v>79</v>
      </c>
    </row>
    <row r="14">
      <c r="D14" s="8" t="str">
        <f>IFERROR(__xludf.DUMMYFUNCTION("""COMPUTED_VALUE"""),"Formicidae")</f>
        <v>Formicidae</v>
      </c>
      <c r="F14" s="8" t="str">
        <f>IFERROR(__xludf.DUMMYFUNCTION("""COMPUTED_VALUE"""),"Isópode")</f>
        <v>Isópode</v>
      </c>
      <c r="I14" s="8" t="s">
        <v>81</v>
      </c>
    </row>
    <row r="15">
      <c r="D15" s="8" t="str">
        <f>IFERROR(__xludf.DUMMYFUNCTION("""COMPUTED_VALUE"""),"Chilopoda")</f>
        <v>Chilopoda</v>
      </c>
      <c r="F15" s="8" t="str">
        <f>IFERROR(__xludf.DUMMYFUNCTION("""COMPUTED_VALUE"""),"Larva")</f>
        <v>Larva</v>
      </c>
      <c r="I15" s="8" t="s">
        <v>83</v>
      </c>
    </row>
    <row r="16">
      <c r="D16" s="8" t="str">
        <f>IFERROR(__xludf.DUMMYFUNCTION("""COMPUTED_VALUE"""),"Arachnida")</f>
        <v>Arachnida</v>
      </c>
      <c r="F16" s="8" t="str">
        <f>IFERROR(__xludf.DUMMYFUNCTION("""COMPUTED_VALUE"""),"Heteroptera")</f>
        <v>Heteroptera</v>
      </c>
      <c r="I16" s="8" t="s">
        <v>953</v>
      </c>
    </row>
    <row r="17">
      <c r="A17" s="123" t="s">
        <v>969</v>
      </c>
      <c r="I17" s="8" t="s">
        <v>85</v>
      </c>
    </row>
    <row r="18">
      <c r="A18" s="63" t="s">
        <v>137</v>
      </c>
      <c r="B18" s="63" t="s">
        <v>170</v>
      </c>
      <c r="C18" s="63" t="s">
        <v>145</v>
      </c>
      <c r="D18" s="63" t="s">
        <v>119</v>
      </c>
      <c r="E18" s="63" t="s">
        <v>134</v>
      </c>
      <c r="F18" s="63" t="s">
        <v>210</v>
      </c>
      <c r="G18" s="63" t="s">
        <v>441</v>
      </c>
      <c r="I18" s="8" t="s">
        <v>832</v>
      </c>
    </row>
    <row r="19">
      <c r="A19" s="8" t="str">
        <f>IFERROR(__xludf.DUMMYFUNCTION("UNIQUE(FILTER(Data_raw!$F$2:$F$478,Data_raw!$A$2:$A$478 = A$18, Data_raw!$D$2:$D$478 = ""mata""))"),"Formicidae")</f>
        <v>Formicidae</v>
      </c>
      <c r="B19" s="8" t="str">
        <f>IFERROR(__xludf.DUMMYFUNCTION("UNIQUE(FILTER(Data_raw!$F$2:$F$478,Data_raw!$A$2:$A$478 = B$18, Data_raw!$D$2:$D$478 = ""mata""))"),"Vazio")</f>
        <v>Vazio</v>
      </c>
      <c r="C19" s="8" t="str">
        <f>IFERROR(__xludf.DUMMYFUNCTION("UNIQUE(FILTER(Data_raw!$F$2:$F$478,Data_raw!$A$2:$A$478 = C$18, Data_raw!$D$2:$D$478 = ""mata""))"),"Chilopoda")</f>
        <v>Chilopoda</v>
      </c>
      <c r="D19" s="8" t="str">
        <f>IFERROR(__xludf.DUMMYFUNCTION("UNIQUE(FILTER(Data_raw!$F$2:$F$478,Data_raw!$A$2:$A$478 = D$18, Data_raw!$D$2:$D$478 = ""mata""))"),"Vazio")</f>
        <v>Vazio</v>
      </c>
      <c r="E19" s="8" t="str">
        <f>IFERROR(__xludf.DUMMYFUNCTION("UNIQUE(FILTER(Data_raw!$F$2:$F$478,Data_raw!$A$2:$A$478 = E$18, Data_raw!$D$2:$D$478 = ""mata""))"),"Formicidae")</f>
        <v>Formicidae</v>
      </c>
      <c r="F19" s="8" t="str">
        <f>IFERROR(__xludf.DUMMYFUNCTION("UNIQUE(FILTER(Data_raw!$F$2:$F$478,Data_raw!$A$2:$A$478 = F$18, Data_raw!$D$2:$D$478 = ""mata""))"),"#REF!")</f>
        <v>#REF!</v>
      </c>
      <c r="G19" s="8" t="str">
        <f>IFERROR(__xludf.DUMMYFUNCTION("UNIQUE(FILTER(Data_raw!$F$2:$F$478,Data_raw!$A$2:$A$478 = G$18, Data_raw!$D$2:$D$478 = ""mata""))"),"Coleoptera")</f>
        <v>Coleoptera</v>
      </c>
      <c r="I19" s="8" t="s">
        <v>89</v>
      </c>
    </row>
    <row r="20">
      <c r="A20" s="8" t="str">
        <f>IFERROR(__xludf.DUMMYFUNCTION("""COMPUTED_VALUE"""),"Coleoptera")</f>
        <v>Coleoptera</v>
      </c>
      <c r="B20" s="8" t="str">
        <f>IFERROR(__xludf.DUMMYFUNCTION("""COMPUTED_VALUE"""),"Coleoptera")</f>
        <v>Coleoptera</v>
      </c>
      <c r="C20" s="8" t="str">
        <f>IFERROR(__xludf.DUMMYFUNCTION("""COMPUTED_VALUE"""),"Araneae")</f>
        <v>Araneae</v>
      </c>
      <c r="D20" s="8" t="str">
        <f>IFERROR(__xludf.DUMMYFUNCTION("""COMPUTED_VALUE"""),"Coleoptera")</f>
        <v>Coleoptera</v>
      </c>
      <c r="E20" s="8" t="str">
        <f>IFERROR(__xludf.DUMMYFUNCTION("""COMPUTED_VALUE"""),"Insecta")</f>
        <v>Insecta</v>
      </c>
      <c r="F20" s="8"/>
      <c r="G20" s="8" t="str">
        <f>IFERROR(__xludf.DUMMYFUNCTION("""COMPUTED_VALUE"""),"Formicidae")</f>
        <v>Formicidae</v>
      </c>
      <c r="I20" s="8" t="s">
        <v>756</v>
      </c>
    </row>
    <row r="21">
      <c r="B21" s="8" t="str">
        <f>IFERROR(__xludf.DUMMYFUNCTION("""COMPUTED_VALUE"""),"Não Identificado")</f>
        <v>Não Identificado</v>
      </c>
      <c r="C21" s="8" t="str">
        <f>IFERROR(__xludf.DUMMYFUNCTION("""COMPUTED_VALUE"""),"Opiliones")</f>
        <v>Opiliones</v>
      </c>
      <c r="E21" s="8" t="str">
        <f>IFERROR(__xludf.DUMMYFUNCTION("""COMPUTED_VALUE"""),"Araneae")</f>
        <v>Araneae</v>
      </c>
      <c r="F21" s="8"/>
      <c r="G21" s="8" t="str">
        <f>IFERROR(__xludf.DUMMYFUNCTION("""COMPUTED_VALUE"""),"Opiliones")</f>
        <v>Opiliones</v>
      </c>
      <c r="I21" s="8" t="s">
        <v>91</v>
      </c>
    </row>
    <row r="22">
      <c r="B22" s="8" t="str">
        <f>IFERROR(__xludf.DUMMYFUNCTION("""COMPUTED_VALUE"""),"Araneae")</f>
        <v>Araneae</v>
      </c>
      <c r="C22" s="8" t="str">
        <f>IFERROR(__xludf.DUMMYFUNCTION("""COMPUTED_VALUE"""),"Coleoptera")</f>
        <v>Coleoptera</v>
      </c>
      <c r="E22" s="8" t="str">
        <f>IFERROR(__xludf.DUMMYFUNCTION("""COMPUTED_VALUE"""),"Coleoptera")</f>
        <v>Coleoptera</v>
      </c>
      <c r="F22" s="8"/>
      <c r="G22" s="8" t="str">
        <f>IFERROR(__xludf.DUMMYFUNCTION("""COMPUTED_VALUE"""),"Hemiptera")</f>
        <v>Hemiptera</v>
      </c>
      <c r="I22" s="8" t="s">
        <v>93</v>
      </c>
    </row>
    <row r="23">
      <c r="B23" s="8" t="str">
        <f>IFERROR(__xludf.DUMMYFUNCTION("""COMPUTED_VALUE"""),"Mosca")</f>
        <v>Mosca</v>
      </c>
      <c r="C23" s="8" t="str">
        <f>IFERROR(__xludf.DUMMYFUNCTION("""COMPUTED_VALUE"""),"Dermaptera")</f>
        <v>Dermaptera</v>
      </c>
      <c r="E23" s="8" t="str">
        <f>IFERROR(__xludf.DUMMYFUNCTION("""COMPUTED_VALUE"""),"Staphylinidae")</f>
        <v>Staphylinidae</v>
      </c>
      <c r="F23" s="8"/>
      <c r="G23" s="8" t="str">
        <f>IFERROR(__xludf.DUMMYFUNCTION("""COMPUTED_VALUE"""),"Diplopoda")</f>
        <v>Diplopoda</v>
      </c>
      <c r="I23" s="8" t="s">
        <v>783</v>
      </c>
    </row>
    <row r="24">
      <c r="B24" s="8" t="str">
        <f>IFERROR(__xludf.DUMMYFUNCTION("""COMPUTED_VALUE"""),"Insecta")</f>
        <v>Insecta</v>
      </c>
      <c r="C24" s="8" t="str">
        <f>IFERROR(__xludf.DUMMYFUNCTION("""COMPUTED_VALUE"""),"Formicidae")</f>
        <v>Formicidae</v>
      </c>
      <c r="E24" s="8" t="str">
        <f>IFERROR(__xludf.DUMMYFUNCTION("""COMPUTED_VALUE"""),"Vazio")</f>
        <v>Vazio</v>
      </c>
      <c r="F24" s="8"/>
      <c r="I24" s="8" t="s">
        <v>776</v>
      </c>
    </row>
    <row r="25">
      <c r="B25" s="8" t="str">
        <f>IFERROR(__xludf.DUMMYFUNCTION("""COMPUTED_VALUE"""),"Isoptera")</f>
        <v>Isoptera</v>
      </c>
      <c r="F25" s="8"/>
      <c r="I25" s="8" t="s">
        <v>97</v>
      </c>
    </row>
    <row r="26">
      <c r="F26" s="8"/>
      <c r="I26" s="8" t="s">
        <v>757</v>
      </c>
    </row>
    <row r="27">
      <c r="F27" s="8"/>
      <c r="I27" s="8" t="s">
        <v>101</v>
      </c>
    </row>
    <row r="28">
      <c r="F28" s="8"/>
    </row>
    <row r="29">
      <c r="F29" s="8"/>
    </row>
    <row r="30">
      <c r="F30" s="8"/>
    </row>
    <row r="31">
      <c r="A31" s="123" t="s">
        <v>970</v>
      </c>
    </row>
    <row r="32">
      <c r="A32" s="63" t="s">
        <v>137</v>
      </c>
      <c r="B32" s="63" t="s">
        <v>170</v>
      </c>
      <c r="C32" s="63" t="s">
        <v>145</v>
      </c>
      <c r="D32" s="63" t="s">
        <v>119</v>
      </c>
      <c r="E32" s="63" t="s">
        <v>134</v>
      </c>
      <c r="F32" s="63" t="s">
        <v>210</v>
      </c>
      <c r="G32" s="63" t="s">
        <v>441</v>
      </c>
    </row>
    <row r="33">
      <c r="A33" s="8" t="str">
        <f>IFERROR(__xludf.DUMMYFUNCTION("UNIQUE(FILTER(Data_raw!$F$2:$F$478,Data_raw!$A$2:$A$478 = A$32, Data_raw!$D$2:$D$478 = ""eucalipto""))"),"Formicidae")</f>
        <v>Formicidae</v>
      </c>
      <c r="B33" s="8" t="str">
        <f>IFERROR(__xludf.DUMMYFUNCTION("UNIQUE(FILTER(Data_raw!$F$2:$F$478,Data_raw!$A$2:$A$478 = B$32, Data_raw!$D$2:$D$478 = ""eucalipto""))"),"#N/A")</f>
        <v>#N/A</v>
      </c>
      <c r="C33" s="8" t="str">
        <f>IFERROR(__xludf.DUMMYFUNCTION("UNIQUE(FILTER(Data_raw!$F$2:$F$478,Data_raw!$A$2:$A$478 = C$32, Data_raw!$D$2:$D$478 = ""eucalipto""))"),"Vazio")</f>
        <v>Vazio</v>
      </c>
      <c r="D33" s="8" t="str">
        <f>IFERROR(__xludf.DUMMYFUNCTION("UNIQUE(FILTER(Data_raw!$F$2:$F$478,Data_raw!$A$2:$A$478 = D$32, Data_raw!$D$2:$D$478 = ""eucalipto""))"),"Araneae")</f>
        <v>Araneae</v>
      </c>
      <c r="E33" s="8" t="str">
        <f>IFERROR(__xludf.DUMMYFUNCTION("UNIQUE(FILTER(Data_raw!$F$2:$F$478,Data_raw!$A$2:$A$478 = E$32, Data_raw!$D$2:$D$478 = ""eucalipto""))"),"Vespa")</f>
        <v>Vespa</v>
      </c>
      <c r="F33" s="8" t="str">
        <f>IFERROR(__xludf.DUMMYFUNCTION("UNIQUE(FILTER(Data_raw!$F$2:$F$478,Data_raw!$A$2:$A$478 = F$32, Data_raw!$D$2:$D$478 = ""eucalipto""))"),"Coleoptera")</f>
        <v>Coleoptera</v>
      </c>
      <c r="G33" s="8" t="str">
        <f>IFERROR(__xludf.DUMMYFUNCTION("UNIQUE(FILTER(Data_raw!$F$2:$F$478,Data_raw!$A$2:$A$478 = G$32, Data_raw!$D$2:$D$478 = ""eucalipto""))"),"#N/A")</f>
        <v>#N/A</v>
      </c>
    </row>
    <row r="34">
      <c r="A34" s="8" t="str">
        <f>IFERROR(__xludf.DUMMYFUNCTION("""COMPUTED_VALUE"""),"Arthropoda")</f>
        <v>Arthropoda</v>
      </c>
      <c r="C34" s="8" t="str">
        <f>IFERROR(__xludf.DUMMYFUNCTION("""COMPUTED_VALUE"""),"Opiliones")</f>
        <v>Opiliones</v>
      </c>
      <c r="D34" s="8" t="str">
        <f>IFERROR(__xludf.DUMMYFUNCTION("""COMPUTED_VALUE"""),"Collembola")</f>
        <v>Collembola</v>
      </c>
      <c r="E34" s="8" t="str">
        <f>IFERROR(__xludf.DUMMYFUNCTION("""COMPUTED_VALUE"""),"Formicidae")</f>
        <v>Formicidae</v>
      </c>
      <c r="F34" s="8" t="str">
        <f>IFERROR(__xludf.DUMMYFUNCTION("""COMPUTED_VALUE"""),"Formicidae")</f>
        <v>Formicidae</v>
      </c>
    </row>
    <row r="35">
      <c r="A35" s="8" t="str">
        <f>IFERROR(__xludf.DUMMYFUNCTION("""COMPUTED_VALUE"""),"Vazio")</f>
        <v>Vazio</v>
      </c>
      <c r="C35" s="8" t="str">
        <f>IFERROR(__xludf.DUMMYFUNCTION("""COMPUTED_VALUE"""),"Coleoptera")</f>
        <v>Coleoptera</v>
      </c>
      <c r="D35" s="8" t="str">
        <f>IFERROR(__xludf.DUMMYFUNCTION("""COMPUTED_VALUE"""),"Staphylinidae")</f>
        <v>Staphylinidae</v>
      </c>
      <c r="E35" s="8" t="str">
        <f>IFERROR(__xludf.DUMMYFUNCTION("""COMPUTED_VALUE"""),"Vazio")</f>
        <v>Vazio</v>
      </c>
    </row>
    <row r="36">
      <c r="A36" s="8" t="str">
        <f>IFERROR(__xludf.DUMMYFUNCTION("""COMPUTED_VALUE"""),"Coleoptera")</f>
        <v>Coleoptera</v>
      </c>
      <c r="C36" s="8" t="str">
        <f>IFERROR(__xludf.DUMMYFUNCTION("""COMPUTED_VALUE"""),"Dermaptera")</f>
        <v>Dermaptera</v>
      </c>
      <c r="D36" s="8" t="str">
        <f>IFERROR(__xludf.DUMMYFUNCTION("""COMPUTED_VALUE"""),"Lepidoptera Larva")</f>
        <v>Lepidoptera Larva</v>
      </c>
      <c r="E36" s="8"/>
    </row>
    <row r="37">
      <c r="A37" s="8" t="str">
        <f>IFERROR(__xludf.DUMMYFUNCTION("""COMPUTED_VALUE"""),"Acari")</f>
        <v>Acari</v>
      </c>
      <c r="C37" s="8" t="str">
        <f>IFERROR(__xludf.DUMMYFUNCTION("""COMPUTED_VALUE"""),"Chilopoda")</f>
        <v>Chilopoda</v>
      </c>
      <c r="D37" s="8" t="str">
        <f>IFERROR(__xludf.DUMMYFUNCTION("""COMPUTED_VALUE"""),"Coleoptera")</f>
        <v>Coleoptera</v>
      </c>
    </row>
    <row r="38">
      <c r="A38" s="8" t="str">
        <f>IFERROR(__xludf.DUMMYFUNCTION("""COMPUTED_VALUE"""),"Opiliones")</f>
        <v>Opiliones</v>
      </c>
      <c r="C38" s="8" t="str">
        <f>IFERROR(__xludf.DUMMYFUNCTION("""COMPUTED_VALUE"""),"Blattodea")</f>
        <v>Blattodea</v>
      </c>
      <c r="D38" s="8" t="str">
        <f>IFERROR(__xludf.DUMMYFUNCTION("""COMPUTED_VALUE"""),"Vazio")</f>
        <v>Vazio</v>
      </c>
    </row>
    <row r="39">
      <c r="C39" s="8" t="str">
        <f>IFERROR(__xludf.DUMMYFUNCTION("""COMPUTED_VALUE"""),"Staphylinidae")</f>
        <v>Staphylinidae</v>
      </c>
      <c r="D39" s="8" t="str">
        <f>IFERROR(__xludf.DUMMYFUNCTION("""COMPUTED_VALUE"""),"Vespa")</f>
        <v>Vespa</v>
      </c>
    </row>
    <row r="40">
      <c r="D40" s="8" t="str">
        <f>IFERROR(__xludf.DUMMYFUNCTION("""COMPUTED_VALUE"""),"Heteroptera")</f>
        <v>Heteroptera</v>
      </c>
    </row>
    <row r="41">
      <c r="D41" s="8" t="str">
        <f>IFERROR(__xludf.DUMMYFUNCTION("""COMPUTED_VALUE"""),"Pscoptera")</f>
        <v>Pscoptera</v>
      </c>
    </row>
    <row r="42">
      <c r="D42" s="8" t="str">
        <f>IFERROR(__xludf.DUMMYFUNCTION("""COMPUTED_VALUE"""),"Não Identificado")</f>
        <v>Não Identificado</v>
      </c>
    </row>
    <row r="43">
      <c r="D43" s="8" t="str">
        <f>IFERROR(__xludf.DUMMYFUNCTION("""COMPUTED_VALUE"""),"Apenas substrato")</f>
        <v>Apenas substrato</v>
      </c>
    </row>
    <row r="44">
      <c r="D44" s="8" t="str">
        <f>IFERROR(__xludf.DUMMYFUNCTION("""COMPUTED_VALUE"""),"Formicidae")</f>
        <v>Formicidae</v>
      </c>
    </row>
    <row r="45">
      <c r="D45" s="8" t="str">
        <f>IFERROR(__xludf.DUMMYFUNCTION("""COMPUTED_VALUE"""),"Chilopoda")</f>
        <v>Chilopoda</v>
      </c>
    </row>
    <row r="46">
      <c r="D46" s="8" t="str">
        <f>IFERROR(__xludf.DUMMYFUNCTION("""COMPUTED_VALUE"""),"Arachnida")</f>
        <v>Arachnida</v>
      </c>
    </row>
    <row r="47">
      <c r="A47" s="123"/>
    </row>
  </sheetData>
  <mergeCells count="4">
    <mergeCell ref="A1:G1"/>
    <mergeCell ref="A17:G17"/>
    <mergeCell ref="A31:G31"/>
    <mergeCell ref="A47:G47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8"/>
      <c r="B1" s="3" t="str">
        <f>IFERROR(__xludf.DUMMYFUNCTION("TRANSPOSE(SORT(UNIQUE(FILTER(Data_raw!F2:F478,Data_raw!E$2:E$478&lt;&gt;""Não identificado"",Data_raw!E$2:E$478&lt;&gt;""Semente"",Data_raw!E$2:E$478&lt;&gt;""Semente de capim"",Data_raw!E$2:E$478&lt;&gt;""Apenas substrato"",Data_raw!E$2:E$478&lt;&gt;""Vazio""))))"),"Acari")</f>
        <v>Acari</v>
      </c>
      <c r="C1" s="8" t="str">
        <f>IFERROR(__xludf.DUMMYFUNCTION("""COMPUTED_VALUE"""),"Arachnida")</f>
        <v>Arachnida</v>
      </c>
      <c r="D1" s="8" t="str">
        <f>IFERROR(__xludf.DUMMYFUNCTION("""COMPUTED_VALUE"""),"Araneae")</f>
        <v>Araneae</v>
      </c>
      <c r="E1" s="8" t="str">
        <f>IFERROR(__xludf.DUMMYFUNCTION("""COMPUTED_VALUE"""),"Arthropoda")</f>
        <v>Arthropoda</v>
      </c>
      <c r="F1" s="8" t="str">
        <f>IFERROR(__xludf.DUMMYFUNCTION("""COMPUTED_VALUE"""),"Blattodea")</f>
        <v>Blattodea</v>
      </c>
      <c r="G1" s="8" t="str">
        <f>IFERROR(__xludf.DUMMYFUNCTION("""COMPUTED_VALUE"""),"Chilopoda")</f>
        <v>Chilopoda</v>
      </c>
      <c r="H1" s="8" t="str">
        <f>IFERROR(__xludf.DUMMYFUNCTION("""COMPUTED_VALUE"""),"Coleoptera")</f>
        <v>Coleoptera</v>
      </c>
      <c r="I1" s="8" t="str">
        <f>IFERROR(__xludf.DUMMYFUNCTION("""COMPUTED_VALUE"""),"Coleoptera Larva")</f>
        <v>Coleoptera Larva</v>
      </c>
      <c r="J1" s="8" t="str">
        <f>IFERROR(__xludf.DUMMYFUNCTION("""COMPUTED_VALUE"""),"Collembola")</f>
        <v>Collembola</v>
      </c>
      <c r="K1" s="8" t="str">
        <f>IFERROR(__xludf.DUMMYFUNCTION("""COMPUTED_VALUE"""),"Dermaptera")</f>
        <v>Dermaptera</v>
      </c>
      <c r="L1" s="8" t="str">
        <f>IFERROR(__xludf.DUMMYFUNCTION("""COMPUTED_VALUE"""),"Diplopoda")</f>
        <v>Diplopoda</v>
      </c>
      <c r="M1" s="8" t="str">
        <f>IFERROR(__xludf.DUMMYFUNCTION("""COMPUTED_VALUE"""),"Ensifera")</f>
        <v>Ensifera</v>
      </c>
      <c r="N1" s="8" t="str">
        <f>IFERROR(__xludf.DUMMYFUNCTION("""COMPUTED_VALUE"""),"Formicidae")</f>
        <v>Formicidae</v>
      </c>
      <c r="O1" s="8" t="str">
        <f>IFERROR(__xludf.DUMMYFUNCTION("""COMPUTED_VALUE"""),"Hemiptera")</f>
        <v>Hemiptera</v>
      </c>
      <c r="P1" s="8" t="str">
        <f>IFERROR(__xludf.DUMMYFUNCTION("""COMPUTED_VALUE"""),"Heteroptera")</f>
        <v>Heteroptera</v>
      </c>
      <c r="Q1" s="8" t="str">
        <f>IFERROR(__xludf.DUMMYFUNCTION("""COMPUTED_VALUE"""),"Insecta")</f>
        <v>Insecta</v>
      </c>
      <c r="R1" s="8" t="str">
        <f>IFERROR(__xludf.DUMMYFUNCTION("""COMPUTED_VALUE"""),"Isópode")</f>
        <v>Isópode</v>
      </c>
      <c r="S1" s="8" t="str">
        <f>IFERROR(__xludf.DUMMYFUNCTION("""COMPUTED_VALUE"""),"Isoptera")</f>
        <v>Isoptera</v>
      </c>
      <c r="T1" s="8" t="str">
        <f>IFERROR(__xludf.DUMMYFUNCTION("""COMPUTED_VALUE"""),"Larva")</f>
        <v>Larva</v>
      </c>
      <c r="U1" s="8" t="str">
        <f>IFERROR(__xludf.DUMMYFUNCTION("""COMPUTED_VALUE"""),"Lepidoptera Larva")</f>
        <v>Lepidoptera Larva</v>
      </c>
      <c r="V1" s="8" t="str">
        <f>IFERROR(__xludf.DUMMYFUNCTION("""COMPUTED_VALUE"""),"Mantodea")</f>
        <v>Mantodea</v>
      </c>
      <c r="W1" s="8" t="str">
        <f>IFERROR(__xludf.DUMMYFUNCTION("""COMPUTED_VALUE"""),"Mollusca")</f>
        <v>Mollusca</v>
      </c>
      <c r="X1" s="8" t="str">
        <f>IFERROR(__xludf.DUMMYFUNCTION("""COMPUTED_VALUE"""),"Mosca")</f>
        <v>Mosca</v>
      </c>
      <c r="Y1" s="8" t="str">
        <f>IFERROR(__xludf.DUMMYFUNCTION("""COMPUTED_VALUE"""),"Opiliones")</f>
        <v>Opiliones</v>
      </c>
      <c r="Z1" s="8" t="str">
        <f>IFERROR(__xludf.DUMMYFUNCTION("""COMPUTED_VALUE"""),"Orthoptera")</f>
        <v>Orthoptera</v>
      </c>
      <c r="AA1" s="8" t="str">
        <f>IFERROR(__xludf.DUMMYFUNCTION("""COMPUTED_VALUE"""),"Pscoptera")</f>
        <v>Pscoptera</v>
      </c>
      <c r="AB1" s="8" t="str">
        <f>IFERROR(__xludf.DUMMYFUNCTION("""COMPUTED_VALUE"""),"Pterygota")</f>
        <v>Pterygota</v>
      </c>
      <c r="AC1" s="8" t="str">
        <f>IFERROR(__xludf.DUMMYFUNCTION("""COMPUTED_VALUE"""),"Staphylinidae")</f>
        <v>Staphylinidae</v>
      </c>
      <c r="AD1" s="8" t="str">
        <f>IFERROR(__xludf.DUMMYFUNCTION("""COMPUTED_VALUE"""),"Thysanoptera")</f>
        <v>Thysanoptera</v>
      </c>
      <c r="AE1" s="8" t="str">
        <f>IFERROR(__xludf.DUMMYFUNCTION("""COMPUTED_VALUE"""),"Vespa")</f>
        <v>Vespa</v>
      </c>
    </row>
    <row r="2">
      <c r="A2" s="3" t="str">
        <f>IFERROR(__xludf.DUMMYFUNCTION("SORT(UNIQUE(FILTER(Data_raw!A2:A483,Data_raw!E$2:E$483&lt;&gt;""Não identificado"",Data_raw!E$2:E$483&lt;&gt;""Semente"",Data_raw!E$2:E$483&lt;&gt;""Semente de capim"",Data_raw!E$2:E$483&lt;&gt;""Apenas substrato"",Data_raw!E$2:E$483&lt;&gt;""Vazio"")))"),"Aplastodiscus albosignatus")</f>
        <v>Aplastodiscus albosignatus</v>
      </c>
      <c r="B2" s="124">
        <f>SUMIFS(Data_raw!$K$2:$K$483,Data_raw!$F$2:$F$483,MP_T_Total!B$1,Data_raw!$A$2:$A$483,MP_T_Total!$A2) / SUMIF(Data_raw!$A$2:$A$483,MP_T_Total!$A2,Data_raw!$K$2:$K$483)</f>
        <v>0</v>
      </c>
      <c r="C2" s="124">
        <f>SUMIFS(Data_raw!$K$2:$K$483,Data_raw!$F$2:$F$483,MP_T_Total!C$1,Data_raw!$A$2:$A$483,MP_T_Total!$A2) / SUMIF(Data_raw!$A$2:$A$483,MP_T_Total!$A2,Data_raw!$K$2:$K$483)</f>
        <v>0</v>
      </c>
      <c r="D2" s="124">
        <f>SUMIFS(Data_raw!$K$2:$K$483,Data_raw!$F$2:$F$483,MP_T_Total!D$1,Data_raw!$A$2:$A$483,MP_T_Total!$A2) / SUMIF(Data_raw!$A$2:$A$483,MP_T_Total!$A2,Data_raw!$K$2:$K$483)</f>
        <v>0</v>
      </c>
      <c r="E2" s="124">
        <f>SUMIFS(Data_raw!$K$2:$K$483,Data_raw!$F$2:$F$483,MP_T_Total!E$1,Data_raw!$A$2:$A$483,MP_T_Total!$A2) / SUMIF(Data_raw!$A$2:$A$483,MP_T_Total!$A2,Data_raw!$K$2:$K$483)</f>
        <v>0</v>
      </c>
      <c r="F2" s="124">
        <f>SUMIFS(Data_raw!$K$2:$K$483,Data_raw!$F$2:$F$483,MP_T_Total!F$1,Data_raw!$A$2:$A$483,MP_T_Total!$A2) / SUMIF(Data_raw!$A$2:$A$483,MP_T_Total!$A2,Data_raw!$K$2:$K$483)</f>
        <v>0</v>
      </c>
      <c r="G2" s="124">
        <f>SUMIFS(Data_raw!$K$2:$K$483,Data_raw!$F$2:$F$483,MP_T_Total!G$1,Data_raw!$A$2:$A$483,MP_T_Total!$A2) / SUMIF(Data_raw!$A$2:$A$483,MP_T_Total!$A2,Data_raw!$K$2:$K$483)</f>
        <v>0</v>
      </c>
      <c r="H2" s="124">
        <f>SUMIFS(Data_raw!$K$2:$K$483,Data_raw!$F$2:$F$483,MP_T_Total!H$1,Data_raw!$A$2:$A$483,MP_T_Total!$A2) / SUMIF(Data_raw!$A$2:$A$483,MP_T_Total!$A2,Data_raw!$K$2:$K$483)</f>
        <v>1</v>
      </c>
      <c r="I2" s="124">
        <f>SUMIFS(Data_raw!$K$2:$K$483,Data_raw!$F$2:$F$483,MP_T_Total!I$1,Data_raw!$A$2:$A$483,MP_T_Total!$A2) / SUMIF(Data_raw!$A$2:$A$483,MP_T_Total!$A2,Data_raw!$K$2:$K$483)</f>
        <v>0</v>
      </c>
      <c r="J2" s="124">
        <f>SUMIFS(Data_raw!$K$2:$K$483,Data_raw!$F$2:$F$483,MP_T_Total!J$1,Data_raw!$A$2:$A$483,MP_T_Total!$A2) / SUMIF(Data_raw!$A$2:$A$483,MP_T_Total!$A2,Data_raw!$K$2:$K$483)</f>
        <v>0</v>
      </c>
      <c r="K2" s="124">
        <f>SUMIFS(Data_raw!$K$2:$K$483,Data_raw!$F$2:$F$483,MP_T_Total!K$1,Data_raw!$A$2:$A$483,MP_T_Total!$A2) / SUMIF(Data_raw!$A$2:$A$483,MP_T_Total!$A2,Data_raw!$K$2:$K$483)</f>
        <v>0</v>
      </c>
      <c r="L2" s="124">
        <f>SUMIFS(Data_raw!$K$2:$K$483,Data_raw!$F$2:$F$483,MP_T_Total!L$1,Data_raw!$A$2:$A$483,MP_T_Total!$A2) / SUMIF(Data_raw!$A$2:$A$483,MP_T_Total!$A2,Data_raw!$K$2:$K$483)</f>
        <v>0</v>
      </c>
      <c r="M2" s="124">
        <f>SUMIFS(Data_raw!$K$2:$K$483,Data_raw!$F$2:$F$483,MP_T_Total!M$1,Data_raw!$A$2:$A$483,MP_T_Total!$A2) / SUMIF(Data_raw!$A$2:$A$483,MP_T_Total!$A2,Data_raw!$K$2:$K$483)</f>
        <v>0</v>
      </c>
      <c r="N2" s="124">
        <f>SUMIFS(Data_raw!$K$2:$K$483,Data_raw!$F$2:$F$483,MP_T_Total!N$1,Data_raw!$A$2:$A$483,MP_T_Total!$A2) / SUMIF(Data_raw!$A$2:$A$483,MP_T_Total!$A2,Data_raw!$K$2:$K$483)</f>
        <v>0</v>
      </c>
      <c r="O2" s="124">
        <f>SUMIFS(Data_raw!$K$2:$K$483,Data_raw!$F$2:$F$483,MP_T_Total!O$1,Data_raw!$A$2:$A$483,MP_T_Total!$A2) / SUMIF(Data_raw!$A$2:$A$483,MP_T_Total!$A2,Data_raw!$K$2:$K$483)</f>
        <v>0</v>
      </c>
      <c r="P2" s="124">
        <f>SUMIFS(Data_raw!$K$2:$K$483,Data_raw!$F$2:$F$483,MP_T_Total!P$1,Data_raw!$A$2:$A$483,MP_T_Total!$A2) / SUMIF(Data_raw!$A$2:$A$483,MP_T_Total!$A2,Data_raw!$K$2:$K$483)</f>
        <v>0</v>
      </c>
      <c r="Q2" s="124">
        <f>SUMIFS(Data_raw!$K$2:$K$483,Data_raw!$F$2:$F$483,MP_T_Total!Q$1,Data_raw!$A$2:$A$483,MP_T_Total!$A2) / SUMIF(Data_raw!$A$2:$A$483,MP_T_Total!$A2,Data_raw!$K$2:$K$483)</f>
        <v>0</v>
      </c>
      <c r="R2" s="124">
        <f>SUMIFS(Data_raw!$K$2:$K$483,Data_raw!$F$2:$F$483,MP_T_Total!R$1,Data_raw!$A$2:$A$483,MP_T_Total!$A2) / SUMIF(Data_raw!$A$2:$A$483,MP_T_Total!$A2,Data_raw!$K$2:$K$483)</f>
        <v>0</v>
      </c>
      <c r="S2" s="124">
        <f>SUMIFS(Data_raw!$K$2:$K$483,Data_raw!$F$2:$F$483,MP_T_Total!S$1,Data_raw!$A$2:$A$483,MP_T_Total!$A2) / SUMIF(Data_raw!$A$2:$A$483,MP_T_Total!$A2,Data_raw!$K$2:$K$483)</f>
        <v>0</v>
      </c>
      <c r="T2" s="124">
        <f>SUMIFS(Data_raw!$K$2:$K$483,Data_raw!$F$2:$F$483,MP_T_Total!T$1,Data_raw!$A$2:$A$483,MP_T_Total!$A2) / SUMIF(Data_raw!$A$2:$A$483,MP_T_Total!$A2,Data_raw!$K$2:$K$483)</f>
        <v>0</v>
      </c>
      <c r="U2" s="124">
        <f>SUMIFS(Data_raw!$K$2:$K$483,Data_raw!$F$2:$F$483,MP_T_Total!U$1,Data_raw!$A$2:$A$483,MP_T_Total!$A2) / SUMIF(Data_raw!$A$2:$A$483,MP_T_Total!$A2,Data_raw!$K$2:$K$483)</f>
        <v>0</v>
      </c>
      <c r="V2" s="124">
        <f>SUMIFS(Data_raw!$K$2:$K$483,Data_raw!$F$2:$F$483,MP_T_Total!V$1,Data_raw!$A$2:$A$483,MP_T_Total!$A2) / SUMIF(Data_raw!$A$2:$A$483,MP_T_Total!$A2,Data_raw!$K$2:$K$483)</f>
        <v>0</v>
      </c>
      <c r="W2" s="124">
        <f>SUMIFS(Data_raw!$K$2:$K$483,Data_raw!$F$2:$F$483,MP_T_Total!W$1,Data_raw!$A$2:$A$483,MP_T_Total!$A2) / SUMIF(Data_raw!$A$2:$A$483,MP_T_Total!$A2,Data_raw!$K$2:$K$483)</f>
        <v>0</v>
      </c>
      <c r="X2" s="124">
        <f>SUMIFS(Data_raw!$K$2:$K$483,Data_raw!$F$2:$F$483,MP_T_Total!X$1,Data_raw!$A$2:$A$483,MP_T_Total!$A2) / SUMIF(Data_raw!$A$2:$A$483,MP_T_Total!$A2,Data_raw!$K$2:$K$483)</f>
        <v>0</v>
      </c>
      <c r="Y2" s="124">
        <f>SUMIFS(Data_raw!$K$2:$K$483,Data_raw!$F$2:$F$483,MP_T_Total!Y$1,Data_raw!$A$2:$A$483,MP_T_Total!$A2) / SUMIF(Data_raw!$A$2:$A$483,MP_T_Total!$A2,Data_raw!$K$2:$K$483)</f>
        <v>0</v>
      </c>
      <c r="Z2" s="124">
        <f>SUMIFS(Data_raw!$K$2:$K$483,Data_raw!$F$2:$F$483,MP_T_Total!Z$1,Data_raw!$A$2:$A$483,MP_T_Total!$A2) / SUMIF(Data_raw!$A$2:$A$483,MP_T_Total!$A2,Data_raw!$K$2:$K$483)</f>
        <v>0</v>
      </c>
      <c r="AA2" s="124">
        <f>SUMIFS(Data_raw!$K$2:$K$483,Data_raw!$F$2:$F$483,MP_T_Total!AA$1,Data_raw!$A$2:$A$483,MP_T_Total!$A2) / SUMIF(Data_raw!$A$2:$A$483,MP_T_Total!$A2,Data_raw!$K$2:$K$483)</f>
        <v>0</v>
      </c>
      <c r="AB2" s="124">
        <f>SUMIFS(Data_raw!$K$2:$K$483,Data_raw!$F$2:$F$483,MP_T_Total!AB$1,Data_raw!$A$2:$A$483,MP_T_Total!$A2) / SUMIF(Data_raw!$A$2:$A$483,MP_T_Total!$A2,Data_raw!$K$2:$K$483)</f>
        <v>0</v>
      </c>
      <c r="AC2" s="124">
        <f>SUMIFS(Data_raw!$K$2:$K$483,Data_raw!$F$2:$F$483,MP_T_Total!AC$1,Data_raw!$A$2:$A$483,MP_T_Total!$A2) / SUMIF(Data_raw!$A$2:$A$483,MP_T_Total!$A2,Data_raw!$K$2:$K$483)</f>
        <v>0</v>
      </c>
      <c r="AD2" s="124">
        <f>SUMIFS(Data_raw!$K$2:$K$483,Data_raw!$F$2:$F$483,MP_T_Total!AD$1,Data_raw!$A$2:$A$483,MP_T_Total!$A2) / SUMIF(Data_raw!$A$2:$A$483,MP_T_Total!$A2,Data_raw!$K$2:$K$483)</f>
        <v>0</v>
      </c>
      <c r="AE2" s="124">
        <f>SUMIFS(Data_raw!$K$2:$K$483,Data_raw!$F$2:$F$483,MP_T_Total!AE$1,Data_raw!$A$2:$A$483,MP_T_Total!$A2) / SUMIF(Data_raw!$A$2:$A$483,MP_T_Total!$A2,Data_raw!$K$2:$K$483)</f>
        <v>0</v>
      </c>
    </row>
    <row r="3">
      <c r="A3" s="8" t="str">
        <f>IFERROR(__xludf.DUMMYFUNCTION("""COMPUTED_VALUE"""),"Boana faber")</f>
        <v>Boana faber</v>
      </c>
      <c r="B3" s="124">
        <f>SUMIFS(Data_raw!$K$2:$K$483,Data_raw!$F$2:$F$483,MP_T_Total!B$1,Data_raw!$A$2:$A$483,MP_T_Total!$A3) / SUMIF(Data_raw!$A$2:$A$483,MP_T_Total!$A3,Data_raw!$K$2:$K$483)</f>
        <v>0.00007918283316</v>
      </c>
      <c r="C3" s="124">
        <f>SUMIFS(Data_raw!$K$2:$K$483,Data_raw!$F$2:$F$483,MP_T_Total!C$1,Data_raw!$A$2:$A$483,MP_T_Total!$A3) / SUMIF(Data_raw!$A$2:$A$483,MP_T_Total!$A3,Data_raw!$K$2:$K$483)</f>
        <v>0</v>
      </c>
      <c r="D3" s="124">
        <f>SUMIFS(Data_raw!$K$2:$K$483,Data_raw!$F$2:$F$483,MP_T_Total!D$1,Data_raw!$A$2:$A$483,MP_T_Total!$A3) / SUMIF(Data_raw!$A$2:$A$483,MP_T_Total!$A3,Data_raw!$K$2:$K$483)</f>
        <v>0.310396706</v>
      </c>
      <c r="E3" s="124">
        <f>SUMIFS(Data_raw!$K$2:$K$483,Data_raw!$F$2:$F$483,MP_T_Total!E$1,Data_raw!$A$2:$A$483,MP_T_Total!$A3) / SUMIF(Data_raw!$A$2:$A$483,MP_T_Total!$A3,Data_raw!$K$2:$K$483)</f>
        <v>0</v>
      </c>
      <c r="F3" s="124">
        <f>SUMIFS(Data_raw!$K$2:$K$483,Data_raw!$F$2:$F$483,MP_T_Total!F$1,Data_raw!$A$2:$A$483,MP_T_Total!$A3) / SUMIF(Data_raw!$A$2:$A$483,MP_T_Total!$A3,Data_raw!$K$2:$K$483)</f>
        <v>0.06588011719</v>
      </c>
      <c r="G3" s="124">
        <f>SUMIFS(Data_raw!$K$2:$K$483,Data_raw!$F$2:$F$483,MP_T_Total!G$1,Data_raw!$A$2:$A$483,MP_T_Total!$A3) / SUMIF(Data_raw!$A$2:$A$483,MP_T_Total!$A3,Data_raw!$K$2:$K$483)</f>
        <v>0</v>
      </c>
      <c r="H3" s="124">
        <f>SUMIFS(Data_raw!$K$2:$K$483,Data_raw!$F$2:$F$483,MP_T_Total!H$1,Data_raw!$A$2:$A$483,MP_T_Total!$A3) / SUMIF(Data_raw!$A$2:$A$483,MP_T_Total!$A3,Data_raw!$K$2:$K$483)</f>
        <v>0</v>
      </c>
      <c r="I3" s="124">
        <f>SUMIFS(Data_raw!$K$2:$K$483,Data_raw!$F$2:$F$483,MP_T_Total!I$1,Data_raw!$A$2:$A$483,MP_T_Total!$A3) / SUMIF(Data_raw!$A$2:$A$483,MP_T_Total!$A3,Data_raw!$K$2:$K$483)</f>
        <v>0</v>
      </c>
      <c r="J3" s="124">
        <f>SUMIFS(Data_raw!$K$2:$K$483,Data_raw!$F$2:$F$483,MP_T_Total!J$1,Data_raw!$A$2:$A$483,MP_T_Total!$A3) / SUMIF(Data_raw!$A$2:$A$483,MP_T_Total!$A3,Data_raw!$K$2:$K$483)</f>
        <v>0</v>
      </c>
      <c r="K3" s="124">
        <f>SUMIFS(Data_raw!$K$2:$K$483,Data_raw!$F$2:$F$483,MP_T_Total!K$1,Data_raw!$A$2:$A$483,MP_T_Total!$A3) / SUMIF(Data_raw!$A$2:$A$483,MP_T_Total!$A3,Data_raw!$K$2:$K$483)</f>
        <v>0</v>
      </c>
      <c r="L3" s="124">
        <f>SUMIFS(Data_raw!$K$2:$K$483,Data_raw!$F$2:$F$483,MP_T_Total!L$1,Data_raw!$A$2:$A$483,MP_T_Total!$A3) / SUMIF(Data_raw!$A$2:$A$483,MP_T_Total!$A3,Data_raw!$K$2:$K$483)</f>
        <v>0.05131047589</v>
      </c>
      <c r="M3" s="124">
        <f>SUMIFS(Data_raw!$K$2:$K$483,Data_raw!$F$2:$F$483,MP_T_Total!M$1,Data_raw!$A$2:$A$483,MP_T_Total!$A3) / SUMIF(Data_raw!$A$2:$A$483,MP_T_Total!$A3,Data_raw!$K$2:$K$483)</f>
        <v>0.5701163988</v>
      </c>
      <c r="N3" s="124">
        <f>SUMIFS(Data_raw!$K$2:$K$483,Data_raw!$F$2:$F$483,MP_T_Total!N$1,Data_raw!$A$2:$A$483,MP_T_Total!$A3) / SUMIF(Data_raw!$A$2:$A$483,MP_T_Total!$A3,Data_raw!$K$2:$K$483)</f>
        <v>0</v>
      </c>
      <c r="O3" s="124">
        <f>SUMIFS(Data_raw!$K$2:$K$483,Data_raw!$F$2:$F$483,MP_T_Total!O$1,Data_raw!$A$2:$A$483,MP_T_Total!$A3) / SUMIF(Data_raw!$A$2:$A$483,MP_T_Total!$A3,Data_raw!$K$2:$K$483)</f>
        <v>0</v>
      </c>
      <c r="P3" s="124">
        <f>SUMIFS(Data_raw!$K$2:$K$483,Data_raw!$F$2:$F$483,MP_T_Total!P$1,Data_raw!$A$2:$A$483,MP_T_Total!$A3) / SUMIF(Data_raw!$A$2:$A$483,MP_T_Total!$A3,Data_raw!$K$2:$K$483)</f>
        <v>0.001583656663</v>
      </c>
      <c r="Q3" s="124">
        <f>SUMIFS(Data_raw!$K$2:$K$483,Data_raw!$F$2:$F$483,MP_T_Total!Q$1,Data_raw!$A$2:$A$483,MP_T_Total!$A3) / SUMIF(Data_raw!$A$2:$A$483,MP_T_Total!$A3,Data_raw!$K$2:$K$483)</f>
        <v>0</v>
      </c>
      <c r="R3" s="124">
        <f>SUMIFS(Data_raw!$K$2:$K$483,Data_raw!$F$2:$F$483,MP_T_Total!R$1,Data_raw!$A$2:$A$483,MP_T_Total!$A3) / SUMIF(Data_raw!$A$2:$A$483,MP_T_Total!$A3,Data_raw!$K$2:$K$483)</f>
        <v>0</v>
      </c>
      <c r="S3" s="124">
        <f>SUMIFS(Data_raw!$K$2:$K$483,Data_raw!$F$2:$F$483,MP_T_Total!S$1,Data_raw!$A$2:$A$483,MP_T_Total!$A3) / SUMIF(Data_raw!$A$2:$A$483,MP_T_Total!$A3,Data_raw!$K$2:$K$483)</f>
        <v>0</v>
      </c>
      <c r="T3" s="124">
        <f>SUMIFS(Data_raw!$K$2:$K$483,Data_raw!$F$2:$F$483,MP_T_Total!T$1,Data_raw!$A$2:$A$483,MP_T_Total!$A3) / SUMIF(Data_raw!$A$2:$A$483,MP_T_Total!$A3,Data_raw!$K$2:$K$483)</f>
        <v>0</v>
      </c>
      <c r="U3" s="124">
        <f>SUMIFS(Data_raw!$K$2:$K$483,Data_raw!$F$2:$F$483,MP_T_Total!U$1,Data_raw!$A$2:$A$483,MP_T_Total!$A3) / SUMIF(Data_raw!$A$2:$A$483,MP_T_Total!$A3,Data_raw!$K$2:$K$483)</f>
        <v>0</v>
      </c>
      <c r="V3" s="124">
        <f>SUMIFS(Data_raw!$K$2:$K$483,Data_raw!$F$2:$F$483,MP_T_Total!V$1,Data_raw!$A$2:$A$483,MP_T_Total!$A3) / SUMIF(Data_raw!$A$2:$A$483,MP_T_Total!$A3,Data_raw!$K$2:$K$483)</f>
        <v>0</v>
      </c>
      <c r="W3" s="124">
        <f>SUMIFS(Data_raw!$K$2:$K$483,Data_raw!$F$2:$F$483,MP_T_Total!W$1,Data_raw!$A$2:$A$483,MP_T_Total!$A3) / SUMIF(Data_raw!$A$2:$A$483,MP_T_Total!$A3,Data_raw!$K$2:$K$483)</f>
        <v>0</v>
      </c>
      <c r="X3" s="124">
        <f>SUMIFS(Data_raw!$K$2:$K$483,Data_raw!$F$2:$F$483,MP_T_Total!X$1,Data_raw!$A$2:$A$483,MP_T_Total!$A3) / SUMIF(Data_raw!$A$2:$A$483,MP_T_Total!$A3,Data_raw!$K$2:$K$483)</f>
        <v>0</v>
      </c>
      <c r="Y3" s="124">
        <f>SUMIFS(Data_raw!$K$2:$K$483,Data_raw!$F$2:$F$483,MP_T_Total!Y$1,Data_raw!$A$2:$A$483,MP_T_Total!$A3) / SUMIF(Data_raw!$A$2:$A$483,MP_T_Total!$A3,Data_raw!$K$2:$K$483)</f>
        <v>0</v>
      </c>
      <c r="Z3" s="124">
        <f>SUMIFS(Data_raw!$K$2:$K$483,Data_raw!$F$2:$F$483,MP_T_Total!Z$1,Data_raw!$A$2:$A$483,MP_T_Total!$A3) / SUMIF(Data_raw!$A$2:$A$483,MP_T_Total!$A3,Data_raw!$K$2:$K$483)</f>
        <v>0</v>
      </c>
      <c r="AA3" s="124">
        <f>SUMIFS(Data_raw!$K$2:$K$483,Data_raw!$F$2:$F$483,MP_T_Total!AA$1,Data_raw!$A$2:$A$483,MP_T_Total!$A3) / SUMIF(Data_raw!$A$2:$A$483,MP_T_Total!$A3,Data_raw!$K$2:$K$483)</f>
        <v>0</v>
      </c>
      <c r="AB3" s="124">
        <f>SUMIFS(Data_raw!$K$2:$K$483,Data_raw!$F$2:$F$483,MP_T_Total!AB$1,Data_raw!$A$2:$A$483,MP_T_Total!$A3) / SUMIF(Data_raw!$A$2:$A$483,MP_T_Total!$A3,Data_raw!$K$2:$K$483)</f>
        <v>0</v>
      </c>
      <c r="AC3" s="124">
        <f>SUMIFS(Data_raw!$K$2:$K$483,Data_raw!$F$2:$F$483,MP_T_Total!AC$1,Data_raw!$A$2:$A$483,MP_T_Total!$A3) / SUMIF(Data_raw!$A$2:$A$483,MP_T_Total!$A3,Data_raw!$K$2:$K$483)</f>
        <v>0</v>
      </c>
      <c r="AD3" s="124">
        <f>SUMIFS(Data_raw!$K$2:$K$483,Data_raw!$F$2:$F$483,MP_T_Total!AD$1,Data_raw!$A$2:$A$483,MP_T_Total!$A3) / SUMIF(Data_raw!$A$2:$A$483,MP_T_Total!$A3,Data_raw!$K$2:$K$483)</f>
        <v>0</v>
      </c>
      <c r="AE3" s="124">
        <f>SUMIFS(Data_raw!$K$2:$K$483,Data_raw!$F$2:$F$483,MP_T_Total!AE$1,Data_raw!$A$2:$A$483,MP_T_Total!$A3) / SUMIF(Data_raw!$A$2:$A$483,MP_T_Total!$A3,Data_raw!$K$2:$K$483)</f>
        <v>0.0006334626653</v>
      </c>
    </row>
    <row r="4">
      <c r="A4" s="8" t="str">
        <f>IFERROR(__xludf.DUMMYFUNCTION("""COMPUTED_VALUE"""),"Boana latistriata")</f>
        <v>Boana latistriata</v>
      </c>
      <c r="B4" s="124">
        <f>SUMIFS(Data_raw!$K$2:$K$483,Data_raw!$F$2:$F$483,MP_T_Total!B$1,Data_raw!$A$2:$A$483,MP_T_Total!$A4) / SUMIF(Data_raw!$A$2:$A$483,MP_T_Total!$A4,Data_raw!$K$2:$K$483)</f>
        <v>0</v>
      </c>
      <c r="C4" s="124">
        <f>SUMIFS(Data_raw!$K$2:$K$483,Data_raw!$F$2:$F$483,MP_T_Total!C$1,Data_raw!$A$2:$A$483,MP_T_Total!$A4) / SUMIF(Data_raw!$A$2:$A$483,MP_T_Total!$A4,Data_raw!$K$2:$K$483)</f>
        <v>0</v>
      </c>
      <c r="D4" s="124">
        <f>SUMIFS(Data_raw!$K$2:$K$483,Data_raw!$F$2:$F$483,MP_T_Total!D$1,Data_raw!$A$2:$A$483,MP_T_Total!$A4) / SUMIF(Data_raw!$A$2:$A$483,MP_T_Total!$A4,Data_raw!$K$2:$K$483)</f>
        <v>0.1739130435</v>
      </c>
      <c r="E4" s="124">
        <f>SUMIFS(Data_raw!$K$2:$K$483,Data_raw!$F$2:$F$483,MP_T_Total!E$1,Data_raw!$A$2:$A$483,MP_T_Total!$A4) / SUMIF(Data_raw!$A$2:$A$483,MP_T_Total!$A4,Data_raw!$K$2:$K$483)</f>
        <v>0</v>
      </c>
      <c r="F4" s="124">
        <f>SUMIFS(Data_raw!$K$2:$K$483,Data_raw!$F$2:$F$483,MP_T_Total!F$1,Data_raw!$A$2:$A$483,MP_T_Total!$A4) / SUMIF(Data_raw!$A$2:$A$483,MP_T_Total!$A4,Data_raw!$K$2:$K$483)</f>
        <v>0.7826086957</v>
      </c>
      <c r="G4" s="124">
        <f>SUMIFS(Data_raw!$K$2:$K$483,Data_raw!$F$2:$F$483,MP_T_Total!G$1,Data_raw!$A$2:$A$483,MP_T_Total!$A4) / SUMIF(Data_raw!$A$2:$A$483,MP_T_Total!$A4,Data_raw!$K$2:$K$483)</f>
        <v>0</v>
      </c>
      <c r="H4" s="124">
        <f>SUMIFS(Data_raw!$K$2:$K$483,Data_raw!$F$2:$F$483,MP_T_Total!H$1,Data_raw!$A$2:$A$483,MP_T_Total!$A4) / SUMIF(Data_raw!$A$2:$A$483,MP_T_Total!$A4,Data_raw!$K$2:$K$483)</f>
        <v>0.04347826087</v>
      </c>
      <c r="I4" s="124">
        <f>SUMIFS(Data_raw!$K$2:$K$483,Data_raw!$F$2:$F$483,MP_T_Total!I$1,Data_raw!$A$2:$A$483,MP_T_Total!$A4) / SUMIF(Data_raw!$A$2:$A$483,MP_T_Total!$A4,Data_raw!$K$2:$K$483)</f>
        <v>0</v>
      </c>
      <c r="J4" s="124">
        <f>SUMIFS(Data_raw!$K$2:$K$483,Data_raw!$F$2:$F$483,MP_T_Total!J$1,Data_raw!$A$2:$A$483,MP_T_Total!$A4) / SUMIF(Data_raw!$A$2:$A$483,MP_T_Total!$A4,Data_raw!$K$2:$K$483)</f>
        <v>0</v>
      </c>
      <c r="K4" s="124">
        <f>SUMIFS(Data_raw!$K$2:$K$483,Data_raw!$F$2:$F$483,MP_T_Total!K$1,Data_raw!$A$2:$A$483,MP_T_Total!$A4) / SUMIF(Data_raw!$A$2:$A$483,MP_T_Total!$A4,Data_raw!$K$2:$K$483)</f>
        <v>0</v>
      </c>
      <c r="L4" s="124">
        <f>SUMIFS(Data_raw!$K$2:$K$483,Data_raw!$F$2:$F$483,MP_T_Total!L$1,Data_raw!$A$2:$A$483,MP_T_Total!$A4) / SUMIF(Data_raw!$A$2:$A$483,MP_T_Total!$A4,Data_raw!$K$2:$K$483)</f>
        <v>0</v>
      </c>
      <c r="M4" s="124">
        <f>SUMIFS(Data_raw!$K$2:$K$483,Data_raw!$F$2:$F$483,MP_T_Total!M$1,Data_raw!$A$2:$A$483,MP_T_Total!$A4) / SUMIF(Data_raw!$A$2:$A$483,MP_T_Total!$A4,Data_raw!$K$2:$K$483)</f>
        <v>0</v>
      </c>
      <c r="N4" s="124">
        <f>SUMIFS(Data_raw!$K$2:$K$483,Data_raw!$F$2:$F$483,MP_T_Total!N$1,Data_raw!$A$2:$A$483,MP_T_Total!$A4) / SUMIF(Data_raw!$A$2:$A$483,MP_T_Total!$A4,Data_raw!$K$2:$K$483)</f>
        <v>0</v>
      </c>
      <c r="O4" s="124">
        <f>SUMIFS(Data_raw!$K$2:$K$483,Data_raw!$F$2:$F$483,MP_T_Total!O$1,Data_raw!$A$2:$A$483,MP_T_Total!$A4) / SUMIF(Data_raw!$A$2:$A$483,MP_T_Total!$A4,Data_raw!$K$2:$K$483)</f>
        <v>0</v>
      </c>
      <c r="P4" s="124">
        <f>SUMIFS(Data_raw!$K$2:$K$483,Data_raw!$F$2:$F$483,MP_T_Total!P$1,Data_raw!$A$2:$A$483,MP_T_Total!$A4) / SUMIF(Data_raw!$A$2:$A$483,MP_T_Total!$A4,Data_raw!$K$2:$K$483)</f>
        <v>0</v>
      </c>
      <c r="Q4" s="124">
        <f>SUMIFS(Data_raw!$K$2:$K$483,Data_raw!$F$2:$F$483,MP_T_Total!Q$1,Data_raw!$A$2:$A$483,MP_T_Total!$A4) / SUMIF(Data_raw!$A$2:$A$483,MP_T_Total!$A4,Data_raw!$K$2:$K$483)</f>
        <v>0</v>
      </c>
      <c r="R4" s="124">
        <f>SUMIFS(Data_raw!$K$2:$K$483,Data_raw!$F$2:$F$483,MP_T_Total!R$1,Data_raw!$A$2:$A$483,MP_T_Total!$A4) / SUMIF(Data_raw!$A$2:$A$483,MP_T_Total!$A4,Data_raw!$K$2:$K$483)</f>
        <v>0</v>
      </c>
      <c r="S4" s="124">
        <f>SUMIFS(Data_raw!$K$2:$K$483,Data_raw!$F$2:$F$483,MP_T_Total!S$1,Data_raw!$A$2:$A$483,MP_T_Total!$A4) / SUMIF(Data_raw!$A$2:$A$483,MP_T_Total!$A4,Data_raw!$K$2:$K$483)</f>
        <v>0</v>
      </c>
      <c r="T4" s="124">
        <f>SUMIFS(Data_raw!$K$2:$K$483,Data_raw!$F$2:$F$483,MP_T_Total!T$1,Data_raw!$A$2:$A$483,MP_T_Total!$A4) / SUMIF(Data_raw!$A$2:$A$483,MP_T_Total!$A4,Data_raw!$K$2:$K$483)</f>
        <v>0</v>
      </c>
      <c r="U4" s="124">
        <f>SUMIFS(Data_raw!$K$2:$K$483,Data_raw!$F$2:$F$483,MP_T_Total!U$1,Data_raw!$A$2:$A$483,MP_T_Total!$A4) / SUMIF(Data_raw!$A$2:$A$483,MP_T_Total!$A4,Data_raw!$K$2:$K$483)</f>
        <v>0</v>
      </c>
      <c r="V4" s="124">
        <f>SUMIFS(Data_raw!$K$2:$K$483,Data_raw!$F$2:$F$483,MP_T_Total!V$1,Data_raw!$A$2:$A$483,MP_T_Total!$A4) / SUMIF(Data_raw!$A$2:$A$483,MP_T_Total!$A4,Data_raw!$K$2:$K$483)</f>
        <v>0</v>
      </c>
      <c r="W4" s="124">
        <f>SUMIFS(Data_raw!$K$2:$K$483,Data_raw!$F$2:$F$483,MP_T_Total!W$1,Data_raw!$A$2:$A$483,MP_T_Total!$A4) / SUMIF(Data_raw!$A$2:$A$483,MP_T_Total!$A4,Data_raw!$K$2:$K$483)</f>
        <v>0</v>
      </c>
      <c r="X4" s="124">
        <f>SUMIFS(Data_raw!$K$2:$K$483,Data_raw!$F$2:$F$483,MP_T_Total!X$1,Data_raw!$A$2:$A$483,MP_T_Total!$A4) / SUMIF(Data_raw!$A$2:$A$483,MP_T_Total!$A4,Data_raw!$K$2:$K$483)</f>
        <v>0</v>
      </c>
      <c r="Y4" s="124">
        <f>SUMIFS(Data_raw!$K$2:$K$483,Data_raw!$F$2:$F$483,MP_T_Total!Y$1,Data_raw!$A$2:$A$483,MP_T_Total!$A4) / SUMIF(Data_raw!$A$2:$A$483,MP_T_Total!$A4,Data_raw!$K$2:$K$483)</f>
        <v>0</v>
      </c>
      <c r="Z4" s="124">
        <f>SUMIFS(Data_raw!$K$2:$K$483,Data_raw!$F$2:$F$483,MP_T_Total!Z$1,Data_raw!$A$2:$A$483,MP_T_Total!$A4) / SUMIF(Data_raw!$A$2:$A$483,MP_T_Total!$A4,Data_raw!$K$2:$K$483)</f>
        <v>0</v>
      </c>
      <c r="AA4" s="124">
        <f>SUMIFS(Data_raw!$K$2:$K$483,Data_raw!$F$2:$F$483,MP_T_Total!AA$1,Data_raw!$A$2:$A$483,MP_T_Total!$A4) / SUMIF(Data_raw!$A$2:$A$483,MP_T_Total!$A4,Data_raw!$K$2:$K$483)</f>
        <v>0</v>
      </c>
      <c r="AB4" s="124">
        <f>SUMIFS(Data_raw!$K$2:$K$483,Data_raw!$F$2:$F$483,MP_T_Total!AB$1,Data_raw!$A$2:$A$483,MP_T_Total!$A4) / SUMIF(Data_raw!$A$2:$A$483,MP_T_Total!$A4,Data_raw!$K$2:$K$483)</f>
        <v>0</v>
      </c>
      <c r="AC4" s="124">
        <f>SUMIFS(Data_raw!$K$2:$K$483,Data_raw!$F$2:$F$483,MP_T_Total!AC$1,Data_raw!$A$2:$A$483,MP_T_Total!$A4) / SUMIF(Data_raw!$A$2:$A$483,MP_T_Total!$A4,Data_raw!$K$2:$K$483)</f>
        <v>0</v>
      </c>
      <c r="AD4" s="124">
        <f>SUMIFS(Data_raw!$K$2:$K$483,Data_raw!$F$2:$F$483,MP_T_Total!AD$1,Data_raw!$A$2:$A$483,MP_T_Total!$A4) / SUMIF(Data_raw!$A$2:$A$483,MP_T_Total!$A4,Data_raw!$K$2:$K$483)</f>
        <v>0</v>
      </c>
      <c r="AE4" s="124">
        <f>SUMIFS(Data_raw!$K$2:$K$483,Data_raw!$F$2:$F$483,MP_T_Total!AE$1,Data_raw!$A$2:$A$483,MP_T_Total!$A4) / SUMIF(Data_raw!$A$2:$A$483,MP_T_Total!$A4,Data_raw!$K$2:$K$483)</f>
        <v>0</v>
      </c>
    </row>
    <row r="5">
      <c r="A5" s="8" t="str">
        <f>IFERROR(__xludf.DUMMYFUNCTION("""COMPUTED_VALUE"""),"Boana prasina")</f>
        <v>Boana prasina</v>
      </c>
      <c r="B5" s="124">
        <f>SUMIFS(Data_raw!$K$2:$K$483,Data_raw!$F$2:$F$483,MP_T_Total!B$1,Data_raw!$A$2:$A$483,MP_T_Total!$A5) / SUMIF(Data_raw!$A$2:$A$483,MP_T_Total!$A5,Data_raw!$K$2:$K$483)</f>
        <v>0</v>
      </c>
      <c r="C5" s="124">
        <f>SUMIFS(Data_raw!$K$2:$K$483,Data_raw!$F$2:$F$483,MP_T_Total!C$1,Data_raw!$A$2:$A$483,MP_T_Total!$A5) / SUMIF(Data_raw!$A$2:$A$483,MP_T_Total!$A5,Data_raw!$K$2:$K$483)</f>
        <v>0</v>
      </c>
      <c r="D5" s="124">
        <f>SUMIFS(Data_raw!$K$2:$K$483,Data_raw!$F$2:$F$483,MP_T_Total!D$1,Data_raw!$A$2:$A$483,MP_T_Total!$A5) / SUMIF(Data_raw!$A$2:$A$483,MP_T_Total!$A5,Data_raw!$K$2:$K$483)</f>
        <v>0</v>
      </c>
      <c r="E5" s="124">
        <f>SUMIFS(Data_raw!$K$2:$K$483,Data_raw!$F$2:$F$483,MP_T_Total!E$1,Data_raw!$A$2:$A$483,MP_T_Total!$A5) / SUMIF(Data_raw!$A$2:$A$483,MP_T_Total!$A5,Data_raw!$K$2:$K$483)</f>
        <v>0</v>
      </c>
      <c r="F5" s="124">
        <f>SUMIFS(Data_raw!$K$2:$K$483,Data_raw!$F$2:$F$483,MP_T_Total!F$1,Data_raw!$A$2:$A$483,MP_T_Total!$A5) / SUMIF(Data_raw!$A$2:$A$483,MP_T_Total!$A5,Data_raw!$K$2:$K$483)</f>
        <v>0</v>
      </c>
      <c r="G5" s="124">
        <f>SUMIFS(Data_raw!$K$2:$K$483,Data_raw!$F$2:$F$483,MP_T_Total!G$1,Data_raw!$A$2:$A$483,MP_T_Total!$A5) / SUMIF(Data_raw!$A$2:$A$483,MP_T_Total!$A5,Data_raw!$K$2:$K$483)</f>
        <v>0</v>
      </c>
      <c r="H5" s="124">
        <f>SUMIFS(Data_raw!$K$2:$K$483,Data_raw!$F$2:$F$483,MP_T_Total!H$1,Data_raw!$A$2:$A$483,MP_T_Total!$A5) / SUMIF(Data_raw!$A$2:$A$483,MP_T_Total!$A5,Data_raw!$K$2:$K$483)</f>
        <v>0</v>
      </c>
      <c r="I5" s="124">
        <f>SUMIFS(Data_raw!$K$2:$K$483,Data_raw!$F$2:$F$483,MP_T_Total!I$1,Data_raw!$A$2:$A$483,MP_T_Total!$A5) / SUMIF(Data_raw!$A$2:$A$483,MP_T_Total!$A5,Data_raw!$K$2:$K$483)</f>
        <v>0</v>
      </c>
      <c r="J5" s="124">
        <f>SUMIFS(Data_raw!$K$2:$K$483,Data_raw!$F$2:$F$483,MP_T_Total!J$1,Data_raw!$A$2:$A$483,MP_T_Total!$A5) / SUMIF(Data_raw!$A$2:$A$483,MP_T_Total!$A5,Data_raw!$K$2:$K$483)</f>
        <v>0</v>
      </c>
      <c r="K5" s="124">
        <f>SUMIFS(Data_raw!$K$2:$K$483,Data_raw!$F$2:$F$483,MP_T_Total!K$1,Data_raw!$A$2:$A$483,MP_T_Total!$A5) / SUMIF(Data_raw!$A$2:$A$483,MP_T_Total!$A5,Data_raw!$K$2:$K$483)</f>
        <v>0</v>
      </c>
      <c r="L5" s="124">
        <f>SUMIFS(Data_raw!$K$2:$K$483,Data_raw!$F$2:$F$483,MP_T_Total!L$1,Data_raw!$A$2:$A$483,MP_T_Total!$A5) / SUMIF(Data_raw!$A$2:$A$483,MP_T_Total!$A5,Data_raw!$K$2:$K$483)</f>
        <v>0</v>
      </c>
      <c r="M5" s="124">
        <f>SUMIFS(Data_raw!$K$2:$K$483,Data_raw!$F$2:$F$483,MP_T_Total!M$1,Data_raw!$A$2:$A$483,MP_T_Total!$A5) / SUMIF(Data_raw!$A$2:$A$483,MP_T_Total!$A5,Data_raw!$K$2:$K$483)</f>
        <v>0</v>
      </c>
      <c r="N5" s="124">
        <f>SUMIFS(Data_raw!$K$2:$K$483,Data_raw!$F$2:$F$483,MP_T_Total!N$1,Data_raw!$A$2:$A$483,MP_T_Total!$A5) / SUMIF(Data_raw!$A$2:$A$483,MP_T_Total!$A5,Data_raw!$K$2:$K$483)</f>
        <v>0</v>
      </c>
      <c r="O5" s="124">
        <f>SUMIFS(Data_raw!$K$2:$K$483,Data_raw!$F$2:$F$483,MP_T_Total!O$1,Data_raw!$A$2:$A$483,MP_T_Total!$A5) / SUMIF(Data_raw!$A$2:$A$483,MP_T_Total!$A5,Data_raw!$K$2:$K$483)</f>
        <v>0</v>
      </c>
      <c r="P5" s="124">
        <f>SUMIFS(Data_raw!$K$2:$K$483,Data_raw!$F$2:$F$483,MP_T_Total!P$1,Data_raw!$A$2:$A$483,MP_T_Total!$A5) / SUMIF(Data_raw!$A$2:$A$483,MP_T_Total!$A5,Data_raw!$K$2:$K$483)</f>
        <v>0</v>
      </c>
      <c r="Q5" s="124">
        <f>SUMIFS(Data_raw!$K$2:$K$483,Data_raw!$F$2:$F$483,MP_T_Total!Q$1,Data_raw!$A$2:$A$483,MP_T_Total!$A5) / SUMIF(Data_raw!$A$2:$A$483,MP_T_Total!$A5,Data_raw!$K$2:$K$483)</f>
        <v>0</v>
      </c>
      <c r="R5" s="124">
        <f>SUMIFS(Data_raw!$K$2:$K$483,Data_raw!$F$2:$F$483,MP_T_Total!R$1,Data_raw!$A$2:$A$483,MP_T_Total!$A5) / SUMIF(Data_raw!$A$2:$A$483,MP_T_Total!$A5,Data_raw!$K$2:$K$483)</f>
        <v>0</v>
      </c>
      <c r="S5" s="124">
        <f>SUMIFS(Data_raw!$K$2:$K$483,Data_raw!$F$2:$F$483,MP_T_Total!S$1,Data_raw!$A$2:$A$483,MP_T_Total!$A5) / SUMIF(Data_raw!$A$2:$A$483,MP_T_Total!$A5,Data_raw!$K$2:$K$483)</f>
        <v>0</v>
      </c>
      <c r="T5" s="124">
        <f>SUMIFS(Data_raw!$K$2:$K$483,Data_raw!$F$2:$F$483,MP_T_Total!T$1,Data_raw!$A$2:$A$483,MP_T_Total!$A5) / SUMIF(Data_raw!$A$2:$A$483,MP_T_Total!$A5,Data_raw!$K$2:$K$483)</f>
        <v>0</v>
      </c>
      <c r="U5" s="124">
        <f>SUMIFS(Data_raw!$K$2:$K$483,Data_raw!$F$2:$F$483,MP_T_Total!U$1,Data_raw!$A$2:$A$483,MP_T_Total!$A5) / SUMIF(Data_raw!$A$2:$A$483,MP_T_Total!$A5,Data_raw!$K$2:$K$483)</f>
        <v>0</v>
      </c>
      <c r="V5" s="124">
        <f>SUMIFS(Data_raw!$K$2:$K$483,Data_raw!$F$2:$F$483,MP_T_Total!V$1,Data_raw!$A$2:$A$483,MP_T_Total!$A5) / SUMIF(Data_raw!$A$2:$A$483,MP_T_Total!$A5,Data_raw!$K$2:$K$483)</f>
        <v>0</v>
      </c>
      <c r="W5" s="124">
        <f>SUMIFS(Data_raw!$K$2:$K$483,Data_raw!$F$2:$F$483,MP_T_Total!W$1,Data_raw!$A$2:$A$483,MP_T_Total!$A5) / SUMIF(Data_raw!$A$2:$A$483,MP_T_Total!$A5,Data_raw!$K$2:$K$483)</f>
        <v>0</v>
      </c>
      <c r="X5" s="124">
        <f>SUMIFS(Data_raw!$K$2:$K$483,Data_raw!$F$2:$F$483,MP_T_Total!X$1,Data_raw!$A$2:$A$483,MP_T_Total!$A5) / SUMIF(Data_raw!$A$2:$A$483,MP_T_Total!$A5,Data_raw!$K$2:$K$483)</f>
        <v>0</v>
      </c>
      <c r="Y5" s="124">
        <f>SUMIFS(Data_raw!$K$2:$K$483,Data_raw!$F$2:$F$483,MP_T_Total!Y$1,Data_raw!$A$2:$A$483,MP_T_Total!$A5) / SUMIF(Data_raw!$A$2:$A$483,MP_T_Total!$A5,Data_raw!$K$2:$K$483)</f>
        <v>0</v>
      </c>
      <c r="Z5" s="124">
        <f>SUMIFS(Data_raw!$K$2:$K$483,Data_raw!$F$2:$F$483,MP_T_Total!Z$1,Data_raw!$A$2:$A$483,MP_T_Total!$A5) / SUMIF(Data_raw!$A$2:$A$483,MP_T_Total!$A5,Data_raw!$K$2:$K$483)</f>
        <v>1</v>
      </c>
      <c r="AA5" s="124">
        <f>SUMIFS(Data_raw!$K$2:$K$483,Data_raw!$F$2:$F$483,MP_T_Total!AA$1,Data_raw!$A$2:$A$483,MP_T_Total!$A5) / SUMIF(Data_raw!$A$2:$A$483,MP_T_Total!$A5,Data_raw!$K$2:$K$483)</f>
        <v>0</v>
      </c>
      <c r="AB5" s="124">
        <f>SUMIFS(Data_raw!$K$2:$K$483,Data_raw!$F$2:$F$483,MP_T_Total!AB$1,Data_raw!$A$2:$A$483,MP_T_Total!$A5) / SUMIF(Data_raw!$A$2:$A$483,MP_T_Total!$A5,Data_raw!$K$2:$K$483)</f>
        <v>0</v>
      </c>
      <c r="AC5" s="124">
        <f>SUMIFS(Data_raw!$K$2:$K$483,Data_raw!$F$2:$F$483,MP_T_Total!AC$1,Data_raw!$A$2:$A$483,MP_T_Total!$A5) / SUMIF(Data_raw!$A$2:$A$483,MP_T_Total!$A5,Data_raw!$K$2:$K$483)</f>
        <v>0</v>
      </c>
      <c r="AD5" s="124">
        <f>SUMIFS(Data_raw!$K$2:$K$483,Data_raw!$F$2:$F$483,MP_T_Total!AD$1,Data_raw!$A$2:$A$483,MP_T_Total!$A5) / SUMIF(Data_raw!$A$2:$A$483,MP_T_Total!$A5,Data_raw!$K$2:$K$483)</f>
        <v>0</v>
      </c>
      <c r="AE5" s="124">
        <f>SUMIFS(Data_raw!$K$2:$K$483,Data_raw!$F$2:$F$483,MP_T_Total!AE$1,Data_raw!$A$2:$A$483,MP_T_Total!$A5) / SUMIF(Data_raw!$A$2:$A$483,MP_T_Total!$A5,Data_raw!$K$2:$K$483)</f>
        <v>0</v>
      </c>
    </row>
    <row r="6">
      <c r="A6" s="8" t="str">
        <f>IFERROR(__xludf.DUMMYFUNCTION("""COMPUTED_VALUE"""),"Bokermannohyla luctuosa")</f>
        <v>Bokermannohyla luctuosa</v>
      </c>
      <c r="B6" s="124">
        <f>SUMIFS(Data_raw!$K$2:$K$483,Data_raw!$F$2:$F$483,MP_T_Total!B$1,Data_raw!$A$2:$A$483,MP_T_Total!$A6) / SUMIF(Data_raw!$A$2:$A$483,MP_T_Total!$A6,Data_raw!$K$2:$K$483)</f>
        <v>0.0004206983593</v>
      </c>
      <c r="C6" s="124">
        <f>SUMIFS(Data_raw!$K$2:$K$483,Data_raw!$F$2:$F$483,MP_T_Total!C$1,Data_raw!$A$2:$A$483,MP_T_Total!$A6) / SUMIF(Data_raw!$A$2:$A$483,MP_T_Total!$A6,Data_raw!$K$2:$K$483)</f>
        <v>0</v>
      </c>
      <c r="D6" s="124">
        <f>SUMIFS(Data_raw!$K$2:$K$483,Data_raw!$F$2:$F$483,MP_T_Total!D$1,Data_raw!$A$2:$A$483,MP_T_Total!$A6) / SUMIF(Data_raw!$A$2:$A$483,MP_T_Total!$A6,Data_raw!$K$2:$K$483)</f>
        <v>0.2385359697</v>
      </c>
      <c r="E6" s="124">
        <f>SUMIFS(Data_raw!$K$2:$K$483,Data_raw!$F$2:$F$483,MP_T_Total!E$1,Data_raw!$A$2:$A$483,MP_T_Total!$A6) / SUMIF(Data_raw!$A$2:$A$483,MP_T_Total!$A6,Data_raw!$K$2:$K$483)</f>
        <v>0</v>
      </c>
      <c r="F6" s="124">
        <f>SUMIFS(Data_raw!$K$2:$K$483,Data_raw!$F$2:$F$483,MP_T_Total!F$1,Data_raw!$A$2:$A$483,MP_T_Total!$A6) / SUMIF(Data_raw!$A$2:$A$483,MP_T_Total!$A6,Data_raw!$K$2:$K$483)</f>
        <v>0.001682793437</v>
      </c>
      <c r="G6" s="124">
        <f>SUMIFS(Data_raw!$K$2:$K$483,Data_raw!$F$2:$F$483,MP_T_Total!G$1,Data_raw!$A$2:$A$483,MP_T_Total!$A6) / SUMIF(Data_raw!$A$2:$A$483,MP_T_Total!$A6,Data_raw!$K$2:$K$483)</f>
        <v>0</v>
      </c>
      <c r="H6" s="124">
        <f>SUMIFS(Data_raw!$K$2:$K$483,Data_raw!$F$2:$F$483,MP_T_Total!H$1,Data_raw!$A$2:$A$483,MP_T_Total!$A6) / SUMIF(Data_raw!$A$2:$A$483,MP_T_Total!$A6,Data_raw!$K$2:$K$483)</f>
        <v>0.07404291123</v>
      </c>
      <c r="I6" s="124">
        <f>SUMIFS(Data_raw!$K$2:$K$483,Data_raw!$F$2:$F$483,MP_T_Total!I$1,Data_raw!$A$2:$A$483,MP_T_Total!$A6) / SUMIF(Data_raw!$A$2:$A$483,MP_T_Total!$A6,Data_raw!$K$2:$K$483)</f>
        <v>0</v>
      </c>
      <c r="J6" s="124">
        <f>SUMIFS(Data_raw!$K$2:$K$483,Data_raw!$F$2:$F$483,MP_T_Total!J$1,Data_raw!$A$2:$A$483,MP_T_Total!$A6) / SUMIF(Data_raw!$A$2:$A$483,MP_T_Total!$A6,Data_raw!$K$2:$K$483)</f>
        <v>0</v>
      </c>
      <c r="K6" s="124">
        <f>SUMIFS(Data_raw!$K$2:$K$483,Data_raw!$F$2:$F$483,MP_T_Total!K$1,Data_raw!$A$2:$A$483,MP_T_Total!$A6) / SUMIF(Data_raw!$A$2:$A$483,MP_T_Total!$A6,Data_raw!$K$2:$K$483)</f>
        <v>0</v>
      </c>
      <c r="L6" s="124">
        <f>SUMIFS(Data_raw!$K$2:$K$483,Data_raw!$F$2:$F$483,MP_T_Total!L$1,Data_raw!$A$2:$A$483,MP_T_Total!$A6) / SUMIF(Data_raw!$A$2:$A$483,MP_T_Total!$A6,Data_raw!$K$2:$K$483)</f>
        <v>0</v>
      </c>
      <c r="M6" s="124">
        <f>SUMIFS(Data_raw!$K$2:$K$483,Data_raw!$F$2:$F$483,MP_T_Total!M$1,Data_raw!$A$2:$A$483,MP_T_Total!$A6) / SUMIF(Data_raw!$A$2:$A$483,MP_T_Total!$A6,Data_raw!$K$2:$K$483)</f>
        <v>0.08077408498</v>
      </c>
      <c r="N6" s="124">
        <f>SUMIFS(Data_raw!$K$2:$K$483,Data_raw!$F$2:$F$483,MP_T_Total!N$1,Data_raw!$A$2:$A$483,MP_T_Total!$A6) / SUMIF(Data_raw!$A$2:$A$483,MP_T_Total!$A6,Data_raw!$K$2:$K$483)</f>
        <v>0</v>
      </c>
      <c r="O6" s="124">
        <f>SUMIFS(Data_raw!$K$2:$K$483,Data_raw!$F$2:$F$483,MP_T_Total!O$1,Data_raw!$A$2:$A$483,MP_T_Total!$A6) / SUMIF(Data_raw!$A$2:$A$483,MP_T_Total!$A6,Data_raw!$K$2:$K$483)</f>
        <v>0</v>
      </c>
      <c r="P6" s="124">
        <f>SUMIFS(Data_raw!$K$2:$K$483,Data_raw!$F$2:$F$483,MP_T_Total!P$1,Data_raw!$A$2:$A$483,MP_T_Total!$A6) / SUMIF(Data_raw!$A$2:$A$483,MP_T_Total!$A6,Data_raw!$K$2:$K$483)</f>
        <v>0.5414387884</v>
      </c>
      <c r="Q6" s="124">
        <f>SUMIFS(Data_raw!$K$2:$K$483,Data_raw!$F$2:$F$483,MP_T_Total!Q$1,Data_raw!$A$2:$A$483,MP_T_Total!$A6) / SUMIF(Data_raw!$A$2:$A$483,MP_T_Total!$A6,Data_raw!$K$2:$K$483)</f>
        <v>0</v>
      </c>
      <c r="R6" s="124">
        <f>SUMIFS(Data_raw!$K$2:$K$483,Data_raw!$F$2:$F$483,MP_T_Total!R$1,Data_raw!$A$2:$A$483,MP_T_Total!$A6) / SUMIF(Data_raw!$A$2:$A$483,MP_T_Total!$A6,Data_raw!$K$2:$K$483)</f>
        <v>0</v>
      </c>
      <c r="S6" s="124">
        <f>SUMIFS(Data_raw!$K$2:$K$483,Data_raw!$F$2:$F$483,MP_T_Total!S$1,Data_raw!$A$2:$A$483,MP_T_Total!$A6) / SUMIF(Data_raw!$A$2:$A$483,MP_T_Total!$A6,Data_raw!$K$2:$K$483)</f>
        <v>0</v>
      </c>
      <c r="T6" s="124">
        <f>SUMIFS(Data_raw!$K$2:$K$483,Data_raw!$F$2:$F$483,MP_T_Total!T$1,Data_raw!$A$2:$A$483,MP_T_Total!$A6) / SUMIF(Data_raw!$A$2:$A$483,MP_T_Total!$A6,Data_raw!$K$2:$K$483)</f>
        <v>0</v>
      </c>
      <c r="U6" s="124">
        <f>SUMIFS(Data_raw!$K$2:$K$483,Data_raw!$F$2:$F$483,MP_T_Total!U$1,Data_raw!$A$2:$A$483,MP_T_Total!$A6) / SUMIF(Data_raw!$A$2:$A$483,MP_T_Total!$A6,Data_raw!$K$2:$K$483)</f>
        <v>0</v>
      </c>
      <c r="V6" s="124">
        <f>SUMIFS(Data_raw!$K$2:$K$483,Data_raw!$F$2:$F$483,MP_T_Total!V$1,Data_raw!$A$2:$A$483,MP_T_Total!$A6) / SUMIF(Data_raw!$A$2:$A$483,MP_T_Total!$A6,Data_raw!$K$2:$K$483)</f>
        <v>0</v>
      </c>
      <c r="W6" s="124">
        <f>SUMIFS(Data_raw!$K$2:$K$483,Data_raw!$F$2:$F$483,MP_T_Total!W$1,Data_raw!$A$2:$A$483,MP_T_Total!$A6) / SUMIF(Data_raw!$A$2:$A$483,MP_T_Total!$A6,Data_raw!$K$2:$K$483)</f>
        <v>0</v>
      </c>
      <c r="X6" s="124">
        <f>SUMIFS(Data_raw!$K$2:$K$483,Data_raw!$F$2:$F$483,MP_T_Total!X$1,Data_raw!$A$2:$A$483,MP_T_Total!$A6) / SUMIF(Data_raw!$A$2:$A$483,MP_T_Total!$A6,Data_raw!$K$2:$K$483)</f>
        <v>0</v>
      </c>
      <c r="Y6" s="124">
        <f>SUMIFS(Data_raw!$K$2:$K$483,Data_raw!$F$2:$F$483,MP_T_Total!Y$1,Data_raw!$A$2:$A$483,MP_T_Total!$A6) / SUMIF(Data_raw!$A$2:$A$483,MP_T_Total!$A6,Data_raw!$K$2:$K$483)</f>
        <v>0.06310475389</v>
      </c>
      <c r="Z6" s="124">
        <f>SUMIFS(Data_raw!$K$2:$K$483,Data_raw!$F$2:$F$483,MP_T_Total!Z$1,Data_raw!$A$2:$A$483,MP_T_Total!$A6) / SUMIF(Data_raw!$A$2:$A$483,MP_T_Total!$A6,Data_raw!$K$2:$K$483)</f>
        <v>0</v>
      </c>
      <c r="AA6" s="124">
        <f>SUMIFS(Data_raw!$K$2:$K$483,Data_raw!$F$2:$F$483,MP_T_Total!AA$1,Data_raw!$A$2:$A$483,MP_T_Total!$A6) / SUMIF(Data_raw!$A$2:$A$483,MP_T_Total!$A6,Data_raw!$K$2:$K$483)</f>
        <v>0</v>
      </c>
      <c r="AB6" s="124">
        <f>SUMIFS(Data_raw!$K$2:$K$483,Data_raw!$F$2:$F$483,MP_T_Total!AB$1,Data_raw!$A$2:$A$483,MP_T_Total!$A6) / SUMIF(Data_raw!$A$2:$A$483,MP_T_Total!$A6,Data_raw!$K$2:$K$483)</f>
        <v>0</v>
      </c>
      <c r="AC6" s="124">
        <f>SUMIFS(Data_raw!$K$2:$K$483,Data_raw!$F$2:$F$483,MP_T_Total!AC$1,Data_raw!$A$2:$A$483,MP_T_Total!$A6) / SUMIF(Data_raw!$A$2:$A$483,MP_T_Total!$A6,Data_raw!$K$2:$K$483)</f>
        <v>0</v>
      </c>
      <c r="AD6" s="124">
        <f>SUMIFS(Data_raw!$K$2:$K$483,Data_raw!$F$2:$F$483,MP_T_Total!AD$1,Data_raw!$A$2:$A$483,MP_T_Total!$A6) / SUMIF(Data_raw!$A$2:$A$483,MP_T_Total!$A6,Data_raw!$K$2:$K$483)</f>
        <v>0</v>
      </c>
      <c r="AE6" s="124">
        <f>SUMIFS(Data_raw!$K$2:$K$483,Data_raw!$F$2:$F$483,MP_T_Total!AE$1,Data_raw!$A$2:$A$483,MP_T_Total!$A6) / SUMIF(Data_raw!$A$2:$A$483,MP_T_Total!$A6,Data_raw!$K$2:$K$483)</f>
        <v>0</v>
      </c>
    </row>
    <row r="7">
      <c r="A7" s="8" t="str">
        <f>IFERROR(__xludf.DUMMYFUNCTION("""COMPUTED_VALUE"""),"Chiasmocleis mantiqueira")</f>
        <v>Chiasmocleis mantiqueira</v>
      </c>
      <c r="B7" s="124">
        <f>SUMIFS(Data_raw!$K$2:$K$483,Data_raw!$F$2:$F$483,MP_T_Total!B$1,Data_raw!$A$2:$A$483,MP_T_Total!$A7) / SUMIF(Data_raw!$A$2:$A$483,MP_T_Total!$A7,Data_raw!$K$2:$K$483)</f>
        <v>0.0006108735492</v>
      </c>
      <c r="C7" s="124">
        <f>SUMIFS(Data_raw!$K$2:$K$483,Data_raw!$F$2:$F$483,MP_T_Total!C$1,Data_raw!$A$2:$A$483,MP_T_Total!$A7) / SUMIF(Data_raw!$A$2:$A$483,MP_T_Total!$A7,Data_raw!$K$2:$K$483)</f>
        <v>0</v>
      </c>
      <c r="D7" s="124">
        <f>SUMIFS(Data_raw!$K$2:$K$483,Data_raw!$F$2:$F$483,MP_T_Total!D$1,Data_raw!$A$2:$A$483,MP_T_Total!$A7) / SUMIF(Data_raw!$A$2:$A$483,MP_T_Total!$A7,Data_raw!$K$2:$K$483)</f>
        <v>0</v>
      </c>
      <c r="E7" s="124">
        <f>SUMIFS(Data_raw!$K$2:$K$483,Data_raw!$F$2:$F$483,MP_T_Total!E$1,Data_raw!$A$2:$A$483,MP_T_Total!$A7) / SUMIF(Data_raw!$A$2:$A$483,MP_T_Total!$A7,Data_raw!$K$2:$K$483)</f>
        <v>0</v>
      </c>
      <c r="F7" s="124">
        <f>SUMIFS(Data_raw!$K$2:$K$483,Data_raw!$F$2:$F$483,MP_T_Total!F$1,Data_raw!$A$2:$A$483,MP_T_Total!$A7) / SUMIF(Data_raw!$A$2:$A$483,MP_T_Total!$A7,Data_raw!$K$2:$K$483)</f>
        <v>0</v>
      </c>
      <c r="G7" s="124">
        <f>SUMIFS(Data_raw!$K$2:$K$483,Data_raw!$F$2:$F$483,MP_T_Total!G$1,Data_raw!$A$2:$A$483,MP_T_Total!$A7) / SUMIF(Data_raw!$A$2:$A$483,MP_T_Total!$A7,Data_raw!$K$2:$K$483)</f>
        <v>0</v>
      </c>
      <c r="H7" s="124">
        <f>SUMIFS(Data_raw!$K$2:$K$483,Data_raw!$F$2:$F$483,MP_T_Total!H$1,Data_raw!$A$2:$A$483,MP_T_Total!$A7) / SUMIF(Data_raw!$A$2:$A$483,MP_T_Total!$A7,Data_raw!$K$2:$K$483)</f>
        <v>0.05864386072</v>
      </c>
      <c r="I7" s="124">
        <f>SUMIFS(Data_raw!$K$2:$K$483,Data_raw!$F$2:$F$483,MP_T_Total!I$1,Data_raw!$A$2:$A$483,MP_T_Total!$A7) / SUMIF(Data_raw!$A$2:$A$483,MP_T_Total!$A7,Data_raw!$K$2:$K$483)</f>
        <v>0</v>
      </c>
      <c r="J7" s="124">
        <f>SUMIFS(Data_raw!$K$2:$K$483,Data_raw!$F$2:$F$483,MP_T_Total!J$1,Data_raw!$A$2:$A$483,MP_T_Total!$A7) / SUMIF(Data_raw!$A$2:$A$483,MP_T_Total!$A7,Data_raw!$K$2:$K$483)</f>
        <v>0</v>
      </c>
      <c r="K7" s="124">
        <f>SUMIFS(Data_raw!$K$2:$K$483,Data_raw!$F$2:$F$483,MP_T_Total!K$1,Data_raw!$A$2:$A$483,MP_T_Total!$A7) / SUMIF(Data_raw!$A$2:$A$483,MP_T_Total!$A7,Data_raw!$K$2:$K$483)</f>
        <v>0</v>
      </c>
      <c r="L7" s="124">
        <f>SUMIFS(Data_raw!$K$2:$K$483,Data_raw!$F$2:$F$483,MP_T_Total!L$1,Data_raw!$A$2:$A$483,MP_T_Total!$A7) / SUMIF(Data_raw!$A$2:$A$483,MP_T_Total!$A7,Data_raw!$K$2:$K$483)</f>
        <v>0</v>
      </c>
      <c r="M7" s="124">
        <f>SUMIFS(Data_raw!$K$2:$K$483,Data_raw!$F$2:$F$483,MP_T_Total!M$1,Data_raw!$A$2:$A$483,MP_T_Total!$A7) / SUMIF(Data_raw!$A$2:$A$483,MP_T_Total!$A7,Data_raw!$K$2:$K$483)</f>
        <v>0</v>
      </c>
      <c r="N7" s="124">
        <f>SUMIFS(Data_raw!$K$2:$K$483,Data_raw!$F$2:$F$483,MP_T_Total!N$1,Data_raw!$A$2:$A$483,MP_T_Total!$A7) / SUMIF(Data_raw!$A$2:$A$483,MP_T_Total!$A7,Data_raw!$K$2:$K$483)</f>
        <v>0.9407452657</v>
      </c>
      <c r="O7" s="124">
        <f>SUMIFS(Data_raw!$K$2:$K$483,Data_raw!$F$2:$F$483,MP_T_Total!O$1,Data_raw!$A$2:$A$483,MP_T_Total!$A7) / SUMIF(Data_raw!$A$2:$A$483,MP_T_Total!$A7,Data_raw!$K$2:$K$483)</f>
        <v>0</v>
      </c>
      <c r="P7" s="124">
        <f>SUMIFS(Data_raw!$K$2:$K$483,Data_raw!$F$2:$F$483,MP_T_Total!P$1,Data_raw!$A$2:$A$483,MP_T_Total!$A7) / SUMIF(Data_raw!$A$2:$A$483,MP_T_Total!$A7,Data_raw!$K$2:$K$483)</f>
        <v>0</v>
      </c>
      <c r="Q7" s="124">
        <f>SUMIFS(Data_raw!$K$2:$K$483,Data_raw!$F$2:$F$483,MP_T_Total!Q$1,Data_raw!$A$2:$A$483,MP_T_Total!$A7) / SUMIF(Data_raw!$A$2:$A$483,MP_T_Total!$A7,Data_raw!$K$2:$K$483)</f>
        <v>0</v>
      </c>
      <c r="R7" s="124">
        <f>SUMIFS(Data_raw!$K$2:$K$483,Data_raw!$F$2:$F$483,MP_T_Total!R$1,Data_raw!$A$2:$A$483,MP_T_Total!$A7) / SUMIF(Data_raw!$A$2:$A$483,MP_T_Total!$A7,Data_raw!$K$2:$K$483)</f>
        <v>0</v>
      </c>
      <c r="S7" s="124">
        <f>SUMIFS(Data_raw!$K$2:$K$483,Data_raw!$F$2:$F$483,MP_T_Total!S$1,Data_raw!$A$2:$A$483,MP_T_Total!$A7) / SUMIF(Data_raw!$A$2:$A$483,MP_T_Total!$A7,Data_raw!$K$2:$K$483)</f>
        <v>0</v>
      </c>
      <c r="T7" s="124">
        <f>SUMIFS(Data_raw!$K$2:$K$483,Data_raw!$F$2:$F$483,MP_T_Total!T$1,Data_raw!$A$2:$A$483,MP_T_Total!$A7) / SUMIF(Data_raw!$A$2:$A$483,MP_T_Total!$A7,Data_raw!$K$2:$K$483)</f>
        <v>0</v>
      </c>
      <c r="U7" s="124">
        <f>SUMIFS(Data_raw!$K$2:$K$483,Data_raw!$F$2:$F$483,MP_T_Total!U$1,Data_raw!$A$2:$A$483,MP_T_Total!$A7) / SUMIF(Data_raw!$A$2:$A$483,MP_T_Total!$A7,Data_raw!$K$2:$K$483)</f>
        <v>0</v>
      </c>
      <c r="V7" s="124">
        <f>SUMIFS(Data_raw!$K$2:$K$483,Data_raw!$F$2:$F$483,MP_T_Total!V$1,Data_raw!$A$2:$A$483,MP_T_Total!$A7) / SUMIF(Data_raw!$A$2:$A$483,MP_T_Total!$A7,Data_raw!$K$2:$K$483)</f>
        <v>0</v>
      </c>
      <c r="W7" s="124">
        <f>SUMIFS(Data_raw!$K$2:$K$483,Data_raw!$F$2:$F$483,MP_T_Total!W$1,Data_raw!$A$2:$A$483,MP_T_Total!$A7) / SUMIF(Data_raw!$A$2:$A$483,MP_T_Total!$A7,Data_raw!$K$2:$K$483)</f>
        <v>0</v>
      </c>
      <c r="X7" s="124">
        <f>SUMIFS(Data_raw!$K$2:$K$483,Data_raw!$F$2:$F$483,MP_T_Total!X$1,Data_raw!$A$2:$A$483,MP_T_Total!$A7) / SUMIF(Data_raw!$A$2:$A$483,MP_T_Total!$A7,Data_raw!$K$2:$K$483)</f>
        <v>0</v>
      </c>
      <c r="Y7" s="124">
        <f>SUMIFS(Data_raw!$K$2:$K$483,Data_raw!$F$2:$F$483,MP_T_Total!Y$1,Data_raw!$A$2:$A$483,MP_T_Total!$A7) / SUMIF(Data_raw!$A$2:$A$483,MP_T_Total!$A7,Data_raw!$K$2:$K$483)</f>
        <v>0</v>
      </c>
      <c r="Z7" s="124">
        <f>SUMIFS(Data_raw!$K$2:$K$483,Data_raw!$F$2:$F$483,MP_T_Total!Z$1,Data_raw!$A$2:$A$483,MP_T_Total!$A7) / SUMIF(Data_raw!$A$2:$A$483,MP_T_Total!$A7,Data_raw!$K$2:$K$483)</f>
        <v>0</v>
      </c>
      <c r="AA7" s="124">
        <f>SUMIFS(Data_raw!$K$2:$K$483,Data_raw!$F$2:$F$483,MP_T_Total!AA$1,Data_raw!$A$2:$A$483,MP_T_Total!$A7) / SUMIF(Data_raw!$A$2:$A$483,MP_T_Total!$A7,Data_raw!$K$2:$K$483)</f>
        <v>0</v>
      </c>
      <c r="AB7" s="124">
        <f>SUMIFS(Data_raw!$K$2:$K$483,Data_raw!$F$2:$F$483,MP_T_Total!AB$1,Data_raw!$A$2:$A$483,MP_T_Total!$A7) / SUMIF(Data_raw!$A$2:$A$483,MP_T_Total!$A7,Data_raw!$K$2:$K$483)</f>
        <v>0</v>
      </c>
      <c r="AC7" s="124">
        <f>SUMIFS(Data_raw!$K$2:$K$483,Data_raw!$F$2:$F$483,MP_T_Total!AC$1,Data_raw!$A$2:$A$483,MP_T_Total!$A7) / SUMIF(Data_raw!$A$2:$A$483,MP_T_Total!$A7,Data_raw!$K$2:$K$483)</f>
        <v>0</v>
      </c>
      <c r="AD7" s="124">
        <f>SUMIFS(Data_raw!$K$2:$K$483,Data_raw!$F$2:$F$483,MP_T_Total!AD$1,Data_raw!$A$2:$A$483,MP_T_Total!$A7) / SUMIF(Data_raw!$A$2:$A$483,MP_T_Total!$A7,Data_raw!$K$2:$K$483)</f>
        <v>0</v>
      </c>
      <c r="AE7" s="124">
        <f>SUMIFS(Data_raw!$K$2:$K$483,Data_raw!$F$2:$F$483,MP_T_Total!AE$1,Data_raw!$A$2:$A$483,MP_T_Total!$A7) / SUMIF(Data_raw!$A$2:$A$483,MP_T_Total!$A7,Data_raw!$K$2:$K$483)</f>
        <v>0</v>
      </c>
    </row>
    <row r="8">
      <c r="A8" s="8" t="str">
        <f>IFERROR(__xludf.DUMMYFUNCTION("""COMPUTED_VALUE"""),"Dendropsophus microps")</f>
        <v>Dendropsophus microps</v>
      </c>
      <c r="B8" s="124">
        <f>SUMIFS(Data_raw!$K$2:$K$483,Data_raw!$F$2:$F$483,MP_T_Total!B$1,Data_raw!$A$2:$A$483,MP_T_Total!$A8) / SUMIF(Data_raw!$A$2:$A$483,MP_T_Total!$A8,Data_raw!$K$2:$K$483)</f>
        <v>0</v>
      </c>
      <c r="C8" s="124">
        <f>SUMIFS(Data_raw!$K$2:$K$483,Data_raw!$F$2:$F$483,MP_T_Total!C$1,Data_raw!$A$2:$A$483,MP_T_Total!$A8) / SUMIF(Data_raw!$A$2:$A$483,MP_T_Total!$A8,Data_raw!$K$2:$K$483)</f>
        <v>0</v>
      </c>
      <c r="D8" s="124">
        <f>SUMIFS(Data_raw!$K$2:$K$483,Data_raw!$F$2:$F$483,MP_T_Total!D$1,Data_raw!$A$2:$A$483,MP_T_Total!$A8) / SUMIF(Data_raw!$A$2:$A$483,MP_T_Total!$A8,Data_raw!$K$2:$K$483)</f>
        <v>0.01630434783</v>
      </c>
      <c r="E8" s="124">
        <f>SUMIFS(Data_raw!$K$2:$K$483,Data_raw!$F$2:$F$483,MP_T_Total!E$1,Data_raw!$A$2:$A$483,MP_T_Total!$A8) / SUMIF(Data_raw!$A$2:$A$483,MP_T_Total!$A8,Data_raw!$K$2:$K$483)</f>
        <v>0</v>
      </c>
      <c r="F8" s="124">
        <f>SUMIFS(Data_raw!$K$2:$K$483,Data_raw!$F$2:$F$483,MP_T_Total!F$1,Data_raw!$A$2:$A$483,MP_T_Total!$A8) / SUMIF(Data_raw!$A$2:$A$483,MP_T_Total!$A8,Data_raw!$K$2:$K$483)</f>
        <v>0</v>
      </c>
      <c r="G8" s="124">
        <f>SUMIFS(Data_raw!$K$2:$K$483,Data_raw!$F$2:$F$483,MP_T_Total!G$1,Data_raw!$A$2:$A$483,MP_T_Total!$A8) / SUMIF(Data_raw!$A$2:$A$483,MP_T_Total!$A8,Data_raw!$K$2:$K$483)</f>
        <v>0</v>
      </c>
      <c r="H8" s="124">
        <f>SUMIFS(Data_raw!$K$2:$K$483,Data_raw!$F$2:$F$483,MP_T_Total!H$1,Data_raw!$A$2:$A$483,MP_T_Total!$A8) / SUMIF(Data_raw!$A$2:$A$483,MP_T_Total!$A8,Data_raw!$K$2:$K$483)</f>
        <v>0.1684782609</v>
      </c>
      <c r="I8" s="124">
        <f>SUMIFS(Data_raw!$K$2:$K$483,Data_raw!$F$2:$F$483,MP_T_Total!I$1,Data_raw!$A$2:$A$483,MP_T_Total!$A8) / SUMIF(Data_raw!$A$2:$A$483,MP_T_Total!$A8,Data_raw!$K$2:$K$483)</f>
        <v>0</v>
      </c>
      <c r="J8" s="124">
        <f>SUMIFS(Data_raw!$K$2:$K$483,Data_raw!$F$2:$F$483,MP_T_Total!J$1,Data_raw!$A$2:$A$483,MP_T_Total!$A8) / SUMIF(Data_raw!$A$2:$A$483,MP_T_Total!$A8,Data_raw!$K$2:$K$483)</f>
        <v>0</v>
      </c>
      <c r="K8" s="124">
        <f>SUMIFS(Data_raw!$K$2:$K$483,Data_raw!$F$2:$F$483,MP_T_Total!K$1,Data_raw!$A$2:$A$483,MP_T_Total!$A8) / SUMIF(Data_raw!$A$2:$A$483,MP_T_Total!$A8,Data_raw!$K$2:$K$483)</f>
        <v>0</v>
      </c>
      <c r="L8" s="124">
        <f>SUMIFS(Data_raw!$K$2:$K$483,Data_raw!$F$2:$F$483,MP_T_Total!L$1,Data_raw!$A$2:$A$483,MP_T_Total!$A8) / SUMIF(Data_raw!$A$2:$A$483,MP_T_Total!$A8,Data_raw!$K$2:$K$483)</f>
        <v>0</v>
      </c>
      <c r="M8" s="124">
        <f>SUMIFS(Data_raw!$K$2:$K$483,Data_raw!$F$2:$F$483,MP_T_Total!M$1,Data_raw!$A$2:$A$483,MP_T_Total!$A8) / SUMIF(Data_raw!$A$2:$A$483,MP_T_Total!$A8,Data_raw!$K$2:$K$483)</f>
        <v>0</v>
      </c>
      <c r="N8" s="124">
        <f>SUMIFS(Data_raw!$K$2:$K$483,Data_raw!$F$2:$F$483,MP_T_Total!N$1,Data_raw!$A$2:$A$483,MP_T_Total!$A8) / SUMIF(Data_raw!$A$2:$A$483,MP_T_Total!$A8,Data_raw!$K$2:$K$483)</f>
        <v>0</v>
      </c>
      <c r="O8" s="124">
        <f>SUMIFS(Data_raw!$K$2:$K$483,Data_raw!$F$2:$F$483,MP_T_Total!O$1,Data_raw!$A$2:$A$483,MP_T_Total!$A8) / SUMIF(Data_raw!$A$2:$A$483,MP_T_Total!$A8,Data_raw!$K$2:$K$483)</f>
        <v>0</v>
      </c>
      <c r="P8" s="124">
        <f>SUMIFS(Data_raw!$K$2:$K$483,Data_raw!$F$2:$F$483,MP_T_Total!P$1,Data_raw!$A$2:$A$483,MP_T_Total!$A8) / SUMIF(Data_raw!$A$2:$A$483,MP_T_Total!$A8,Data_raw!$K$2:$K$483)</f>
        <v>0</v>
      </c>
      <c r="Q8" s="124">
        <f>SUMIFS(Data_raw!$K$2:$K$483,Data_raw!$F$2:$F$483,MP_T_Total!Q$1,Data_raw!$A$2:$A$483,MP_T_Total!$A8) / SUMIF(Data_raw!$A$2:$A$483,MP_T_Total!$A8,Data_raw!$K$2:$K$483)</f>
        <v>0</v>
      </c>
      <c r="R8" s="124">
        <f>SUMIFS(Data_raw!$K$2:$K$483,Data_raw!$F$2:$F$483,MP_T_Total!R$1,Data_raw!$A$2:$A$483,MP_T_Total!$A8) / SUMIF(Data_raw!$A$2:$A$483,MP_T_Total!$A8,Data_raw!$K$2:$K$483)</f>
        <v>0</v>
      </c>
      <c r="S8" s="124">
        <f>SUMIFS(Data_raw!$K$2:$K$483,Data_raw!$F$2:$F$483,MP_T_Total!S$1,Data_raw!$A$2:$A$483,MP_T_Total!$A8) / SUMIF(Data_raw!$A$2:$A$483,MP_T_Total!$A8,Data_raw!$K$2:$K$483)</f>
        <v>0.4239130435</v>
      </c>
      <c r="T8" s="124">
        <f>SUMIFS(Data_raw!$K$2:$K$483,Data_raw!$F$2:$F$483,MP_T_Total!T$1,Data_raw!$A$2:$A$483,MP_T_Total!$A8) / SUMIF(Data_raw!$A$2:$A$483,MP_T_Total!$A8,Data_raw!$K$2:$K$483)</f>
        <v>0</v>
      </c>
      <c r="U8" s="124">
        <f>SUMIFS(Data_raw!$K$2:$K$483,Data_raw!$F$2:$F$483,MP_T_Total!U$1,Data_raw!$A$2:$A$483,MP_T_Total!$A8) / SUMIF(Data_raw!$A$2:$A$483,MP_T_Total!$A8,Data_raw!$K$2:$K$483)</f>
        <v>0</v>
      </c>
      <c r="V8" s="124">
        <f>SUMIFS(Data_raw!$K$2:$K$483,Data_raw!$F$2:$F$483,MP_T_Total!V$1,Data_raw!$A$2:$A$483,MP_T_Total!$A8) / SUMIF(Data_raw!$A$2:$A$483,MP_T_Total!$A8,Data_raw!$K$2:$K$483)</f>
        <v>0</v>
      </c>
      <c r="W8" s="124">
        <f>SUMIFS(Data_raw!$K$2:$K$483,Data_raw!$F$2:$F$483,MP_T_Total!W$1,Data_raw!$A$2:$A$483,MP_T_Total!$A8) / SUMIF(Data_raw!$A$2:$A$483,MP_T_Total!$A8,Data_raw!$K$2:$K$483)</f>
        <v>0</v>
      </c>
      <c r="X8" s="124">
        <f>SUMIFS(Data_raw!$K$2:$K$483,Data_raw!$F$2:$F$483,MP_T_Total!X$1,Data_raw!$A$2:$A$483,MP_T_Total!$A8) / SUMIF(Data_raw!$A$2:$A$483,MP_T_Total!$A8,Data_raw!$K$2:$K$483)</f>
        <v>0.3913043478</v>
      </c>
      <c r="Y8" s="124">
        <f>SUMIFS(Data_raw!$K$2:$K$483,Data_raw!$F$2:$F$483,MP_T_Total!Y$1,Data_raw!$A$2:$A$483,MP_T_Total!$A8) / SUMIF(Data_raw!$A$2:$A$483,MP_T_Total!$A8,Data_raw!$K$2:$K$483)</f>
        <v>0</v>
      </c>
      <c r="Z8" s="124">
        <f>SUMIFS(Data_raw!$K$2:$K$483,Data_raw!$F$2:$F$483,MP_T_Total!Z$1,Data_raw!$A$2:$A$483,MP_T_Total!$A8) / SUMIF(Data_raw!$A$2:$A$483,MP_T_Total!$A8,Data_raw!$K$2:$K$483)</f>
        <v>0</v>
      </c>
      <c r="AA8" s="124">
        <f>SUMIFS(Data_raw!$K$2:$K$483,Data_raw!$F$2:$F$483,MP_T_Total!AA$1,Data_raw!$A$2:$A$483,MP_T_Total!$A8) / SUMIF(Data_raw!$A$2:$A$483,MP_T_Total!$A8,Data_raw!$K$2:$K$483)</f>
        <v>0</v>
      </c>
      <c r="AB8" s="124">
        <f>SUMIFS(Data_raw!$K$2:$K$483,Data_raw!$F$2:$F$483,MP_T_Total!AB$1,Data_raw!$A$2:$A$483,MP_T_Total!$A8) / SUMIF(Data_raw!$A$2:$A$483,MP_T_Total!$A8,Data_raw!$K$2:$K$483)</f>
        <v>0</v>
      </c>
      <c r="AC8" s="124">
        <f>SUMIFS(Data_raw!$K$2:$K$483,Data_raw!$F$2:$F$483,MP_T_Total!AC$1,Data_raw!$A$2:$A$483,MP_T_Total!$A8) / SUMIF(Data_raw!$A$2:$A$483,MP_T_Total!$A8,Data_raw!$K$2:$K$483)</f>
        <v>0</v>
      </c>
      <c r="AD8" s="124">
        <f>SUMIFS(Data_raw!$K$2:$K$483,Data_raw!$F$2:$F$483,MP_T_Total!AD$1,Data_raw!$A$2:$A$483,MP_T_Total!$A8) / SUMIF(Data_raw!$A$2:$A$483,MP_T_Total!$A8,Data_raw!$K$2:$K$483)</f>
        <v>0</v>
      </c>
      <c r="AE8" s="124">
        <f>SUMIFS(Data_raw!$K$2:$K$483,Data_raw!$F$2:$F$483,MP_T_Total!AE$1,Data_raw!$A$2:$A$483,MP_T_Total!$A8) / SUMIF(Data_raw!$A$2:$A$483,MP_T_Total!$A8,Data_raw!$K$2:$K$483)</f>
        <v>0</v>
      </c>
    </row>
    <row r="9">
      <c r="A9" s="8" t="str">
        <f>IFERROR(__xludf.DUMMYFUNCTION("""COMPUTED_VALUE"""),"Dendropsophus minutus")</f>
        <v>Dendropsophus minutus</v>
      </c>
      <c r="B9" s="124">
        <f>SUMIFS(Data_raw!$K$2:$K$483,Data_raw!$F$2:$F$483,MP_T_Total!B$1,Data_raw!$A$2:$A$483,MP_T_Total!$A9) / SUMIF(Data_raw!$A$2:$A$483,MP_T_Total!$A9,Data_raw!$K$2:$K$483)</f>
        <v>0</v>
      </c>
      <c r="C9" s="124">
        <f>SUMIFS(Data_raw!$K$2:$K$483,Data_raw!$F$2:$F$483,MP_T_Total!C$1,Data_raw!$A$2:$A$483,MP_T_Total!$A9) / SUMIF(Data_raw!$A$2:$A$483,MP_T_Total!$A9,Data_raw!$K$2:$K$483)</f>
        <v>0</v>
      </c>
      <c r="D9" s="124">
        <f>SUMIFS(Data_raw!$K$2:$K$483,Data_raw!$F$2:$F$483,MP_T_Total!D$1,Data_raw!$A$2:$A$483,MP_T_Total!$A9) / SUMIF(Data_raw!$A$2:$A$483,MP_T_Total!$A9,Data_raw!$K$2:$K$483)</f>
        <v>0</v>
      </c>
      <c r="E9" s="124">
        <f>SUMIFS(Data_raw!$K$2:$K$483,Data_raw!$F$2:$F$483,MP_T_Total!E$1,Data_raw!$A$2:$A$483,MP_T_Total!$A9) / SUMIF(Data_raw!$A$2:$A$483,MP_T_Total!$A9,Data_raw!$K$2:$K$483)</f>
        <v>0</v>
      </c>
      <c r="F9" s="124">
        <f>SUMIFS(Data_raw!$K$2:$K$483,Data_raw!$F$2:$F$483,MP_T_Total!F$1,Data_raw!$A$2:$A$483,MP_T_Total!$A9) / SUMIF(Data_raw!$A$2:$A$483,MP_T_Total!$A9,Data_raw!$K$2:$K$483)</f>
        <v>0</v>
      </c>
      <c r="G9" s="124">
        <f>SUMIFS(Data_raw!$K$2:$K$483,Data_raw!$F$2:$F$483,MP_T_Total!G$1,Data_raw!$A$2:$A$483,MP_T_Total!$A9) / SUMIF(Data_raw!$A$2:$A$483,MP_T_Total!$A9,Data_raw!$K$2:$K$483)</f>
        <v>0</v>
      </c>
      <c r="H9" s="124">
        <f>SUMIFS(Data_raw!$K$2:$K$483,Data_raw!$F$2:$F$483,MP_T_Total!H$1,Data_raw!$A$2:$A$483,MP_T_Total!$A9) / SUMIF(Data_raw!$A$2:$A$483,MP_T_Total!$A9,Data_raw!$K$2:$K$483)</f>
        <v>0</v>
      </c>
      <c r="I9" s="124">
        <f>SUMIFS(Data_raw!$K$2:$K$483,Data_raw!$F$2:$F$483,MP_T_Total!I$1,Data_raw!$A$2:$A$483,MP_T_Total!$A9) / SUMIF(Data_raw!$A$2:$A$483,MP_T_Total!$A9,Data_raw!$K$2:$K$483)</f>
        <v>0</v>
      </c>
      <c r="J9" s="124">
        <f>SUMIFS(Data_raw!$K$2:$K$483,Data_raw!$F$2:$F$483,MP_T_Total!J$1,Data_raw!$A$2:$A$483,MP_T_Total!$A9) / SUMIF(Data_raw!$A$2:$A$483,MP_T_Total!$A9,Data_raw!$K$2:$K$483)</f>
        <v>0</v>
      </c>
      <c r="K9" s="124">
        <f>SUMIFS(Data_raw!$K$2:$K$483,Data_raw!$F$2:$F$483,MP_T_Total!K$1,Data_raw!$A$2:$A$483,MP_T_Total!$A9) / SUMIF(Data_raw!$A$2:$A$483,MP_T_Total!$A9,Data_raw!$K$2:$K$483)</f>
        <v>0</v>
      </c>
      <c r="L9" s="124">
        <f>SUMIFS(Data_raw!$K$2:$K$483,Data_raw!$F$2:$F$483,MP_T_Total!L$1,Data_raw!$A$2:$A$483,MP_T_Total!$A9) / SUMIF(Data_raw!$A$2:$A$483,MP_T_Total!$A9,Data_raw!$K$2:$K$483)</f>
        <v>0</v>
      </c>
      <c r="M9" s="124">
        <f>SUMIFS(Data_raw!$K$2:$K$483,Data_raw!$F$2:$F$483,MP_T_Total!M$1,Data_raw!$A$2:$A$483,MP_T_Total!$A9) / SUMIF(Data_raw!$A$2:$A$483,MP_T_Total!$A9,Data_raw!$K$2:$K$483)</f>
        <v>0</v>
      </c>
      <c r="N9" s="124">
        <f>SUMIFS(Data_raw!$K$2:$K$483,Data_raw!$F$2:$F$483,MP_T_Total!N$1,Data_raw!$A$2:$A$483,MP_T_Total!$A9) / SUMIF(Data_raw!$A$2:$A$483,MP_T_Total!$A9,Data_raw!$K$2:$K$483)</f>
        <v>0</v>
      </c>
      <c r="O9" s="124">
        <f>SUMIFS(Data_raw!$K$2:$K$483,Data_raw!$F$2:$F$483,MP_T_Total!O$1,Data_raw!$A$2:$A$483,MP_T_Total!$A9) / SUMIF(Data_raw!$A$2:$A$483,MP_T_Total!$A9,Data_raw!$K$2:$K$483)</f>
        <v>0</v>
      </c>
      <c r="P9" s="124">
        <f>SUMIFS(Data_raw!$K$2:$K$483,Data_raw!$F$2:$F$483,MP_T_Total!P$1,Data_raw!$A$2:$A$483,MP_T_Total!$A9) / SUMIF(Data_raw!$A$2:$A$483,MP_T_Total!$A9,Data_raw!$K$2:$K$483)</f>
        <v>0</v>
      </c>
      <c r="Q9" s="124">
        <f>SUMIFS(Data_raw!$K$2:$K$483,Data_raw!$F$2:$F$483,MP_T_Total!Q$1,Data_raw!$A$2:$A$483,MP_T_Total!$A9) / SUMIF(Data_raw!$A$2:$A$483,MP_T_Total!$A9,Data_raw!$K$2:$K$483)</f>
        <v>0</v>
      </c>
      <c r="R9" s="124">
        <f>SUMIFS(Data_raw!$K$2:$K$483,Data_raw!$F$2:$F$483,MP_T_Total!R$1,Data_raw!$A$2:$A$483,MP_T_Total!$A9) / SUMIF(Data_raw!$A$2:$A$483,MP_T_Total!$A9,Data_raw!$K$2:$K$483)</f>
        <v>0</v>
      </c>
      <c r="S9" s="124">
        <f>SUMIFS(Data_raw!$K$2:$K$483,Data_raw!$F$2:$F$483,MP_T_Total!S$1,Data_raw!$A$2:$A$483,MP_T_Total!$A9) / SUMIF(Data_raw!$A$2:$A$483,MP_T_Total!$A9,Data_raw!$K$2:$K$483)</f>
        <v>0</v>
      </c>
      <c r="T9" s="124">
        <f>SUMIFS(Data_raw!$K$2:$K$483,Data_raw!$F$2:$F$483,MP_T_Total!T$1,Data_raw!$A$2:$A$483,MP_T_Total!$A9) / SUMIF(Data_raw!$A$2:$A$483,MP_T_Total!$A9,Data_raw!$K$2:$K$483)</f>
        <v>0</v>
      </c>
      <c r="U9" s="124">
        <f>SUMIFS(Data_raw!$K$2:$K$483,Data_raw!$F$2:$F$483,MP_T_Total!U$1,Data_raw!$A$2:$A$483,MP_T_Total!$A9) / SUMIF(Data_raw!$A$2:$A$483,MP_T_Total!$A9,Data_raw!$K$2:$K$483)</f>
        <v>0</v>
      </c>
      <c r="V9" s="124">
        <f>SUMIFS(Data_raw!$K$2:$K$483,Data_raw!$F$2:$F$483,MP_T_Total!V$1,Data_raw!$A$2:$A$483,MP_T_Total!$A9) / SUMIF(Data_raw!$A$2:$A$483,MP_T_Total!$A9,Data_raw!$K$2:$K$483)</f>
        <v>0</v>
      </c>
      <c r="W9" s="124">
        <f>SUMIFS(Data_raw!$K$2:$K$483,Data_raw!$F$2:$F$483,MP_T_Total!W$1,Data_raw!$A$2:$A$483,MP_T_Total!$A9) / SUMIF(Data_raw!$A$2:$A$483,MP_T_Total!$A9,Data_raw!$K$2:$K$483)</f>
        <v>0</v>
      </c>
      <c r="X9" s="124">
        <f>SUMIFS(Data_raw!$K$2:$K$483,Data_raw!$F$2:$F$483,MP_T_Total!X$1,Data_raw!$A$2:$A$483,MP_T_Total!$A9) / SUMIF(Data_raw!$A$2:$A$483,MP_T_Total!$A9,Data_raw!$K$2:$K$483)</f>
        <v>0</v>
      </c>
      <c r="Y9" s="124">
        <f>SUMIFS(Data_raw!$K$2:$K$483,Data_raw!$F$2:$F$483,MP_T_Total!Y$1,Data_raw!$A$2:$A$483,MP_T_Total!$A9) / SUMIF(Data_raw!$A$2:$A$483,MP_T_Total!$A9,Data_raw!$K$2:$K$483)</f>
        <v>0</v>
      </c>
      <c r="Z9" s="124">
        <f>SUMIFS(Data_raw!$K$2:$K$483,Data_raw!$F$2:$F$483,MP_T_Total!Z$1,Data_raw!$A$2:$A$483,MP_T_Total!$A9) / SUMIF(Data_raw!$A$2:$A$483,MP_T_Total!$A9,Data_raw!$K$2:$K$483)</f>
        <v>0</v>
      </c>
      <c r="AA9" s="124">
        <f>SUMIFS(Data_raw!$K$2:$K$483,Data_raw!$F$2:$F$483,MP_T_Total!AA$1,Data_raw!$A$2:$A$483,MP_T_Total!$A9) / SUMIF(Data_raw!$A$2:$A$483,MP_T_Total!$A9,Data_raw!$K$2:$K$483)</f>
        <v>0</v>
      </c>
      <c r="AB9" s="124">
        <f>SUMIFS(Data_raw!$K$2:$K$483,Data_raw!$F$2:$F$483,MP_T_Total!AB$1,Data_raw!$A$2:$A$483,MP_T_Total!$A9) / SUMIF(Data_raw!$A$2:$A$483,MP_T_Total!$A9,Data_raw!$K$2:$K$483)</f>
        <v>0</v>
      </c>
      <c r="AC9" s="124">
        <f>SUMIFS(Data_raw!$K$2:$K$483,Data_raw!$F$2:$F$483,MP_T_Total!AC$1,Data_raw!$A$2:$A$483,MP_T_Total!$A9) / SUMIF(Data_raw!$A$2:$A$483,MP_T_Total!$A9,Data_raw!$K$2:$K$483)</f>
        <v>0</v>
      </c>
      <c r="AD9" s="124">
        <f>SUMIFS(Data_raw!$K$2:$K$483,Data_raw!$F$2:$F$483,MP_T_Total!AD$1,Data_raw!$A$2:$A$483,MP_T_Total!$A9) / SUMIF(Data_raw!$A$2:$A$483,MP_T_Total!$A9,Data_raw!$K$2:$K$483)</f>
        <v>1</v>
      </c>
      <c r="AE9" s="124">
        <f>SUMIFS(Data_raw!$K$2:$K$483,Data_raw!$F$2:$F$483,MP_T_Total!AE$1,Data_raw!$A$2:$A$483,MP_T_Total!$A9) / SUMIF(Data_raw!$A$2:$A$483,MP_T_Total!$A9,Data_raw!$K$2:$K$483)</f>
        <v>0</v>
      </c>
    </row>
    <row r="10">
      <c r="A10" s="8" t="str">
        <f>IFERROR(__xludf.DUMMYFUNCTION("""COMPUTED_VALUE"""),"Holoaden luederwaldti")</f>
        <v>Holoaden luederwaldti</v>
      </c>
      <c r="B10" s="124">
        <f>SUMIFS(Data_raw!$K$2:$K$483,Data_raw!$F$2:$F$483,MP_T_Total!B$1,Data_raw!$A$2:$A$483,MP_T_Total!$A10) / SUMIF(Data_raw!$A$2:$A$483,MP_T_Total!$A10,Data_raw!$K$2:$K$483)</f>
        <v>0</v>
      </c>
      <c r="C10" s="124">
        <f>SUMIFS(Data_raw!$K$2:$K$483,Data_raw!$F$2:$F$483,MP_T_Total!C$1,Data_raw!$A$2:$A$483,MP_T_Total!$A10) / SUMIF(Data_raw!$A$2:$A$483,MP_T_Total!$A10,Data_raw!$K$2:$K$483)</f>
        <v>0</v>
      </c>
      <c r="D10" s="124">
        <f>SUMIFS(Data_raw!$K$2:$K$483,Data_raw!$F$2:$F$483,MP_T_Total!D$1,Data_raw!$A$2:$A$483,MP_T_Total!$A10) / SUMIF(Data_raw!$A$2:$A$483,MP_T_Total!$A10,Data_raw!$K$2:$K$483)</f>
        <v>0</v>
      </c>
      <c r="E10" s="124">
        <f>SUMIFS(Data_raw!$K$2:$K$483,Data_raw!$F$2:$F$483,MP_T_Total!E$1,Data_raw!$A$2:$A$483,MP_T_Total!$A10) / SUMIF(Data_raw!$A$2:$A$483,MP_T_Total!$A10,Data_raw!$K$2:$K$483)</f>
        <v>0</v>
      </c>
      <c r="F10" s="124">
        <f>SUMIFS(Data_raw!$K$2:$K$483,Data_raw!$F$2:$F$483,MP_T_Total!F$1,Data_raw!$A$2:$A$483,MP_T_Total!$A10) / SUMIF(Data_raw!$A$2:$A$483,MP_T_Total!$A10,Data_raw!$K$2:$K$483)</f>
        <v>0</v>
      </c>
      <c r="G10" s="124">
        <f>SUMIFS(Data_raw!$K$2:$K$483,Data_raw!$F$2:$F$483,MP_T_Total!G$1,Data_raw!$A$2:$A$483,MP_T_Total!$A10) / SUMIF(Data_raw!$A$2:$A$483,MP_T_Total!$A10,Data_raw!$K$2:$K$483)</f>
        <v>0</v>
      </c>
      <c r="H10" s="124">
        <f>SUMIFS(Data_raw!$K$2:$K$483,Data_raw!$F$2:$F$483,MP_T_Total!H$1,Data_raw!$A$2:$A$483,MP_T_Total!$A10) / SUMIF(Data_raw!$A$2:$A$483,MP_T_Total!$A10,Data_raw!$K$2:$K$483)</f>
        <v>1</v>
      </c>
      <c r="I10" s="124">
        <f>SUMIFS(Data_raw!$K$2:$K$483,Data_raw!$F$2:$F$483,MP_T_Total!I$1,Data_raw!$A$2:$A$483,MP_T_Total!$A10) / SUMIF(Data_raw!$A$2:$A$483,MP_T_Total!$A10,Data_raw!$K$2:$K$483)</f>
        <v>0</v>
      </c>
      <c r="J10" s="124">
        <f>SUMIFS(Data_raw!$K$2:$K$483,Data_raw!$F$2:$F$483,MP_T_Total!J$1,Data_raw!$A$2:$A$483,MP_T_Total!$A10) / SUMIF(Data_raw!$A$2:$A$483,MP_T_Total!$A10,Data_raw!$K$2:$K$483)</f>
        <v>0</v>
      </c>
      <c r="K10" s="124">
        <f>SUMIFS(Data_raw!$K$2:$K$483,Data_raw!$F$2:$F$483,MP_T_Total!K$1,Data_raw!$A$2:$A$483,MP_T_Total!$A10) / SUMIF(Data_raw!$A$2:$A$483,MP_T_Total!$A10,Data_raw!$K$2:$K$483)</f>
        <v>0</v>
      </c>
      <c r="L10" s="124">
        <f>SUMIFS(Data_raw!$K$2:$K$483,Data_raw!$F$2:$F$483,MP_T_Total!L$1,Data_raw!$A$2:$A$483,MP_T_Total!$A10) / SUMIF(Data_raw!$A$2:$A$483,MP_T_Total!$A10,Data_raw!$K$2:$K$483)</f>
        <v>0</v>
      </c>
      <c r="M10" s="124">
        <f>SUMIFS(Data_raw!$K$2:$K$483,Data_raw!$F$2:$F$483,MP_T_Total!M$1,Data_raw!$A$2:$A$483,MP_T_Total!$A10) / SUMIF(Data_raw!$A$2:$A$483,MP_T_Total!$A10,Data_raw!$K$2:$K$483)</f>
        <v>0</v>
      </c>
      <c r="N10" s="124">
        <f>SUMIFS(Data_raw!$K$2:$K$483,Data_raw!$F$2:$F$483,MP_T_Total!N$1,Data_raw!$A$2:$A$483,MP_T_Total!$A10) / SUMIF(Data_raw!$A$2:$A$483,MP_T_Total!$A10,Data_raw!$K$2:$K$483)</f>
        <v>0</v>
      </c>
      <c r="O10" s="124">
        <f>SUMIFS(Data_raw!$K$2:$K$483,Data_raw!$F$2:$F$483,MP_T_Total!O$1,Data_raw!$A$2:$A$483,MP_T_Total!$A10) / SUMIF(Data_raw!$A$2:$A$483,MP_T_Total!$A10,Data_raw!$K$2:$K$483)</f>
        <v>0</v>
      </c>
      <c r="P10" s="124">
        <f>SUMIFS(Data_raw!$K$2:$K$483,Data_raw!$F$2:$F$483,MP_T_Total!P$1,Data_raw!$A$2:$A$483,MP_T_Total!$A10) / SUMIF(Data_raw!$A$2:$A$483,MP_T_Total!$A10,Data_raw!$K$2:$K$483)</f>
        <v>0</v>
      </c>
      <c r="Q10" s="124">
        <f>SUMIFS(Data_raw!$K$2:$K$483,Data_raw!$F$2:$F$483,MP_T_Total!Q$1,Data_raw!$A$2:$A$483,MP_T_Total!$A10) / SUMIF(Data_raw!$A$2:$A$483,MP_T_Total!$A10,Data_raw!$K$2:$K$483)</f>
        <v>0</v>
      </c>
      <c r="R10" s="124">
        <f>SUMIFS(Data_raw!$K$2:$K$483,Data_raw!$F$2:$F$483,MP_T_Total!R$1,Data_raw!$A$2:$A$483,MP_T_Total!$A10) / SUMIF(Data_raw!$A$2:$A$483,MP_T_Total!$A10,Data_raw!$K$2:$K$483)</f>
        <v>0</v>
      </c>
      <c r="S10" s="124">
        <f>SUMIFS(Data_raw!$K$2:$K$483,Data_raw!$F$2:$F$483,MP_T_Total!S$1,Data_raw!$A$2:$A$483,MP_T_Total!$A10) / SUMIF(Data_raw!$A$2:$A$483,MP_T_Total!$A10,Data_raw!$K$2:$K$483)</f>
        <v>0</v>
      </c>
      <c r="T10" s="124">
        <f>SUMIFS(Data_raw!$K$2:$K$483,Data_raw!$F$2:$F$483,MP_T_Total!T$1,Data_raw!$A$2:$A$483,MP_T_Total!$A10) / SUMIF(Data_raw!$A$2:$A$483,MP_T_Total!$A10,Data_raw!$K$2:$K$483)</f>
        <v>0</v>
      </c>
      <c r="U10" s="124">
        <f>SUMIFS(Data_raw!$K$2:$K$483,Data_raw!$F$2:$F$483,MP_T_Total!U$1,Data_raw!$A$2:$A$483,MP_T_Total!$A10) / SUMIF(Data_raw!$A$2:$A$483,MP_T_Total!$A10,Data_raw!$K$2:$K$483)</f>
        <v>0</v>
      </c>
      <c r="V10" s="124">
        <f>SUMIFS(Data_raw!$K$2:$K$483,Data_raw!$F$2:$F$483,MP_T_Total!V$1,Data_raw!$A$2:$A$483,MP_T_Total!$A10) / SUMIF(Data_raw!$A$2:$A$483,MP_T_Total!$A10,Data_raw!$K$2:$K$483)</f>
        <v>0</v>
      </c>
      <c r="W10" s="124">
        <f>SUMIFS(Data_raw!$K$2:$K$483,Data_raw!$F$2:$F$483,MP_T_Total!W$1,Data_raw!$A$2:$A$483,MP_T_Total!$A10) / SUMIF(Data_raw!$A$2:$A$483,MP_T_Total!$A10,Data_raw!$K$2:$K$483)</f>
        <v>0</v>
      </c>
      <c r="X10" s="124">
        <f>SUMIFS(Data_raw!$K$2:$K$483,Data_raw!$F$2:$F$483,MP_T_Total!X$1,Data_raw!$A$2:$A$483,MP_T_Total!$A10) / SUMIF(Data_raw!$A$2:$A$483,MP_T_Total!$A10,Data_raw!$K$2:$K$483)</f>
        <v>0</v>
      </c>
      <c r="Y10" s="124">
        <f>SUMIFS(Data_raw!$K$2:$K$483,Data_raw!$F$2:$F$483,MP_T_Total!Y$1,Data_raw!$A$2:$A$483,MP_T_Total!$A10) / SUMIF(Data_raw!$A$2:$A$483,MP_T_Total!$A10,Data_raw!$K$2:$K$483)</f>
        <v>0</v>
      </c>
      <c r="Z10" s="124">
        <f>SUMIFS(Data_raw!$K$2:$K$483,Data_raw!$F$2:$F$483,MP_T_Total!Z$1,Data_raw!$A$2:$A$483,MP_T_Total!$A10) / SUMIF(Data_raw!$A$2:$A$483,MP_T_Total!$A10,Data_raw!$K$2:$K$483)</f>
        <v>0</v>
      </c>
      <c r="AA10" s="124">
        <f>SUMIFS(Data_raw!$K$2:$K$483,Data_raw!$F$2:$F$483,MP_T_Total!AA$1,Data_raw!$A$2:$A$483,MP_T_Total!$A10) / SUMIF(Data_raw!$A$2:$A$483,MP_T_Total!$A10,Data_raw!$K$2:$K$483)</f>
        <v>0</v>
      </c>
      <c r="AB10" s="124">
        <f>SUMIFS(Data_raw!$K$2:$K$483,Data_raw!$F$2:$F$483,MP_T_Total!AB$1,Data_raw!$A$2:$A$483,MP_T_Total!$A10) / SUMIF(Data_raw!$A$2:$A$483,MP_T_Total!$A10,Data_raw!$K$2:$K$483)</f>
        <v>0</v>
      </c>
      <c r="AC10" s="124">
        <f>SUMIFS(Data_raw!$K$2:$K$483,Data_raw!$F$2:$F$483,MP_T_Total!AC$1,Data_raw!$A$2:$A$483,MP_T_Total!$A10) / SUMIF(Data_raw!$A$2:$A$483,MP_T_Total!$A10,Data_raw!$K$2:$K$483)</f>
        <v>0</v>
      </c>
      <c r="AD10" s="124">
        <f>SUMIFS(Data_raw!$K$2:$K$483,Data_raw!$F$2:$F$483,MP_T_Total!AD$1,Data_raw!$A$2:$A$483,MP_T_Total!$A10) / SUMIF(Data_raw!$A$2:$A$483,MP_T_Total!$A10,Data_raw!$K$2:$K$483)</f>
        <v>0</v>
      </c>
      <c r="AE10" s="124">
        <f>SUMIFS(Data_raw!$K$2:$K$483,Data_raw!$F$2:$F$483,MP_T_Total!AE$1,Data_raw!$A$2:$A$483,MP_T_Total!$A10) / SUMIF(Data_raw!$A$2:$A$483,MP_T_Total!$A10,Data_raw!$K$2:$K$483)</f>
        <v>0</v>
      </c>
    </row>
    <row r="11">
      <c r="A11" s="8" t="str">
        <f>IFERROR(__xludf.DUMMYFUNCTION("""COMPUTED_VALUE"""),"Hylodes aff. sazimai")</f>
        <v>Hylodes aff. sazimai</v>
      </c>
      <c r="B11" s="124">
        <f>SUMIFS(Data_raw!$K$2:$K$483,Data_raw!$F$2:$F$483,MP_T_Total!B$1,Data_raw!$A$2:$A$483,MP_T_Total!$A11) / SUMIF(Data_raw!$A$2:$A$483,MP_T_Total!$A11,Data_raw!$K$2:$K$483)</f>
        <v>0</v>
      </c>
      <c r="C11" s="124">
        <f>SUMIFS(Data_raw!$K$2:$K$483,Data_raw!$F$2:$F$483,MP_T_Total!C$1,Data_raw!$A$2:$A$483,MP_T_Total!$A11) / SUMIF(Data_raw!$A$2:$A$483,MP_T_Total!$A11,Data_raw!$K$2:$K$483)</f>
        <v>0</v>
      </c>
      <c r="D11" s="124">
        <f>SUMIFS(Data_raw!$K$2:$K$483,Data_raw!$F$2:$F$483,MP_T_Total!D$1,Data_raw!$A$2:$A$483,MP_T_Total!$A11) / SUMIF(Data_raw!$A$2:$A$483,MP_T_Total!$A11,Data_raw!$K$2:$K$483)</f>
        <v>0.03488372093</v>
      </c>
      <c r="E11" s="124">
        <f>SUMIFS(Data_raw!$K$2:$K$483,Data_raw!$F$2:$F$483,MP_T_Total!E$1,Data_raw!$A$2:$A$483,MP_T_Total!$A11) / SUMIF(Data_raw!$A$2:$A$483,MP_T_Total!$A11,Data_raw!$K$2:$K$483)</f>
        <v>0</v>
      </c>
      <c r="F11" s="124">
        <f>SUMIFS(Data_raw!$K$2:$K$483,Data_raw!$F$2:$F$483,MP_T_Total!F$1,Data_raw!$A$2:$A$483,MP_T_Total!$A11) / SUMIF(Data_raw!$A$2:$A$483,MP_T_Total!$A11,Data_raw!$K$2:$K$483)</f>
        <v>0</v>
      </c>
      <c r="G11" s="124">
        <f>SUMIFS(Data_raw!$K$2:$K$483,Data_raw!$F$2:$F$483,MP_T_Total!G$1,Data_raw!$A$2:$A$483,MP_T_Total!$A11) / SUMIF(Data_raw!$A$2:$A$483,MP_T_Total!$A11,Data_raw!$K$2:$K$483)</f>
        <v>0</v>
      </c>
      <c r="H11" s="124">
        <f>SUMIFS(Data_raw!$K$2:$K$483,Data_raw!$F$2:$F$483,MP_T_Total!H$1,Data_raw!$A$2:$A$483,MP_T_Total!$A11) / SUMIF(Data_raw!$A$2:$A$483,MP_T_Total!$A11,Data_raw!$K$2:$K$483)</f>
        <v>0.3139534884</v>
      </c>
      <c r="I11" s="124">
        <f>SUMIFS(Data_raw!$K$2:$K$483,Data_raw!$F$2:$F$483,MP_T_Total!I$1,Data_raw!$A$2:$A$483,MP_T_Total!$A11) / SUMIF(Data_raw!$A$2:$A$483,MP_T_Total!$A11,Data_raw!$K$2:$K$483)</f>
        <v>0</v>
      </c>
      <c r="J11" s="124">
        <f>SUMIFS(Data_raw!$K$2:$K$483,Data_raw!$F$2:$F$483,MP_T_Total!J$1,Data_raw!$A$2:$A$483,MP_T_Total!$A11) / SUMIF(Data_raw!$A$2:$A$483,MP_T_Total!$A11,Data_raw!$K$2:$K$483)</f>
        <v>0.1395348837</v>
      </c>
      <c r="K11" s="124">
        <f>SUMIFS(Data_raw!$K$2:$K$483,Data_raw!$F$2:$F$483,MP_T_Total!K$1,Data_raw!$A$2:$A$483,MP_T_Total!$A11) / SUMIF(Data_raw!$A$2:$A$483,MP_T_Total!$A11,Data_raw!$K$2:$K$483)</f>
        <v>0</v>
      </c>
      <c r="L11" s="124">
        <f>SUMIFS(Data_raw!$K$2:$K$483,Data_raw!$F$2:$F$483,MP_T_Total!L$1,Data_raw!$A$2:$A$483,MP_T_Total!$A11) / SUMIF(Data_raw!$A$2:$A$483,MP_T_Total!$A11,Data_raw!$K$2:$K$483)</f>
        <v>0</v>
      </c>
      <c r="M11" s="124">
        <f>SUMIFS(Data_raw!$K$2:$K$483,Data_raw!$F$2:$F$483,MP_T_Total!M$1,Data_raw!$A$2:$A$483,MP_T_Total!$A11) / SUMIF(Data_raw!$A$2:$A$483,MP_T_Total!$A11,Data_raw!$K$2:$K$483)</f>
        <v>0</v>
      </c>
      <c r="N11" s="124">
        <f>SUMIFS(Data_raw!$K$2:$K$483,Data_raw!$F$2:$F$483,MP_T_Total!N$1,Data_raw!$A$2:$A$483,MP_T_Total!$A11) / SUMIF(Data_raw!$A$2:$A$483,MP_T_Total!$A11,Data_raw!$K$2:$K$483)</f>
        <v>0</v>
      </c>
      <c r="O11" s="124">
        <f>SUMIFS(Data_raw!$K$2:$K$483,Data_raw!$F$2:$F$483,MP_T_Total!O$1,Data_raw!$A$2:$A$483,MP_T_Total!$A11) / SUMIF(Data_raw!$A$2:$A$483,MP_T_Total!$A11,Data_raw!$K$2:$K$483)</f>
        <v>0</v>
      </c>
      <c r="P11" s="124">
        <f>SUMIFS(Data_raw!$K$2:$K$483,Data_raw!$F$2:$F$483,MP_T_Total!P$1,Data_raw!$A$2:$A$483,MP_T_Total!$A11) / SUMIF(Data_raw!$A$2:$A$483,MP_T_Total!$A11,Data_raw!$K$2:$K$483)</f>
        <v>0</v>
      </c>
      <c r="Q11" s="124">
        <f>SUMIFS(Data_raw!$K$2:$K$483,Data_raw!$F$2:$F$483,MP_T_Total!Q$1,Data_raw!$A$2:$A$483,MP_T_Total!$A11) / SUMIF(Data_raw!$A$2:$A$483,MP_T_Total!$A11,Data_raw!$K$2:$K$483)</f>
        <v>0</v>
      </c>
      <c r="R11" s="124">
        <f>SUMIFS(Data_raw!$K$2:$K$483,Data_raw!$F$2:$F$483,MP_T_Total!R$1,Data_raw!$A$2:$A$483,MP_T_Total!$A11) / SUMIF(Data_raw!$A$2:$A$483,MP_T_Total!$A11,Data_raw!$K$2:$K$483)</f>
        <v>0</v>
      </c>
      <c r="S11" s="124">
        <f>SUMIFS(Data_raw!$K$2:$K$483,Data_raw!$F$2:$F$483,MP_T_Total!S$1,Data_raw!$A$2:$A$483,MP_T_Total!$A11) / SUMIF(Data_raw!$A$2:$A$483,MP_T_Total!$A11,Data_raw!$K$2:$K$483)</f>
        <v>0</v>
      </c>
      <c r="T11" s="124">
        <f>SUMIFS(Data_raw!$K$2:$K$483,Data_raw!$F$2:$F$483,MP_T_Total!T$1,Data_raw!$A$2:$A$483,MP_T_Total!$A11) / SUMIF(Data_raw!$A$2:$A$483,MP_T_Total!$A11,Data_raw!$K$2:$K$483)</f>
        <v>0</v>
      </c>
      <c r="U11" s="124">
        <f>SUMIFS(Data_raw!$K$2:$K$483,Data_raw!$F$2:$F$483,MP_T_Total!U$1,Data_raw!$A$2:$A$483,MP_T_Total!$A11) / SUMIF(Data_raw!$A$2:$A$483,MP_T_Total!$A11,Data_raw!$K$2:$K$483)</f>
        <v>0</v>
      </c>
      <c r="V11" s="124">
        <f>SUMIFS(Data_raw!$K$2:$K$483,Data_raw!$F$2:$F$483,MP_T_Total!V$1,Data_raw!$A$2:$A$483,MP_T_Total!$A11) / SUMIF(Data_raw!$A$2:$A$483,MP_T_Total!$A11,Data_raw!$K$2:$K$483)</f>
        <v>0</v>
      </c>
      <c r="W11" s="124">
        <f>SUMIFS(Data_raw!$K$2:$K$483,Data_raw!$F$2:$F$483,MP_T_Total!W$1,Data_raw!$A$2:$A$483,MP_T_Total!$A11) / SUMIF(Data_raw!$A$2:$A$483,MP_T_Total!$A11,Data_raw!$K$2:$K$483)</f>
        <v>0</v>
      </c>
      <c r="X11" s="124">
        <f>SUMIFS(Data_raw!$K$2:$K$483,Data_raw!$F$2:$F$483,MP_T_Total!X$1,Data_raw!$A$2:$A$483,MP_T_Total!$A11) / SUMIF(Data_raw!$A$2:$A$483,MP_T_Total!$A11,Data_raw!$K$2:$K$483)</f>
        <v>0</v>
      </c>
      <c r="Y11" s="124">
        <f>SUMIFS(Data_raw!$K$2:$K$483,Data_raw!$F$2:$F$483,MP_T_Total!Y$1,Data_raw!$A$2:$A$483,MP_T_Total!$A11) / SUMIF(Data_raw!$A$2:$A$483,MP_T_Total!$A11,Data_raw!$K$2:$K$483)</f>
        <v>0</v>
      </c>
      <c r="Z11" s="124">
        <f>SUMIFS(Data_raw!$K$2:$K$483,Data_raw!$F$2:$F$483,MP_T_Total!Z$1,Data_raw!$A$2:$A$483,MP_T_Total!$A11) / SUMIF(Data_raw!$A$2:$A$483,MP_T_Total!$A11,Data_raw!$K$2:$K$483)</f>
        <v>0</v>
      </c>
      <c r="AA11" s="124">
        <f>SUMIFS(Data_raw!$K$2:$K$483,Data_raw!$F$2:$F$483,MP_T_Total!AA$1,Data_raw!$A$2:$A$483,MP_T_Total!$A11) / SUMIF(Data_raw!$A$2:$A$483,MP_T_Total!$A11,Data_raw!$K$2:$K$483)</f>
        <v>0</v>
      </c>
      <c r="AB11" s="124">
        <f>SUMIFS(Data_raw!$K$2:$K$483,Data_raw!$F$2:$F$483,MP_T_Total!AB$1,Data_raw!$A$2:$A$483,MP_T_Total!$A11) / SUMIF(Data_raw!$A$2:$A$483,MP_T_Total!$A11,Data_raw!$K$2:$K$483)</f>
        <v>0</v>
      </c>
      <c r="AC11" s="124">
        <f>SUMIFS(Data_raw!$K$2:$K$483,Data_raw!$F$2:$F$483,MP_T_Total!AC$1,Data_raw!$A$2:$A$483,MP_T_Total!$A11) / SUMIF(Data_raw!$A$2:$A$483,MP_T_Total!$A11,Data_raw!$K$2:$K$483)</f>
        <v>0</v>
      </c>
      <c r="AD11" s="124">
        <f>SUMIFS(Data_raw!$K$2:$K$483,Data_raw!$F$2:$F$483,MP_T_Total!AD$1,Data_raw!$A$2:$A$483,MP_T_Total!$A11) / SUMIF(Data_raw!$A$2:$A$483,MP_T_Total!$A11,Data_raw!$K$2:$K$483)</f>
        <v>0</v>
      </c>
      <c r="AE11" s="124">
        <f>SUMIFS(Data_raw!$K$2:$K$483,Data_raw!$F$2:$F$483,MP_T_Total!AE$1,Data_raw!$A$2:$A$483,MP_T_Total!$A11) / SUMIF(Data_raw!$A$2:$A$483,MP_T_Total!$A11,Data_raw!$K$2:$K$483)</f>
        <v>0.2790697674</v>
      </c>
    </row>
    <row r="12">
      <c r="A12" s="8" t="str">
        <f>IFERROR(__xludf.DUMMYFUNCTION("""COMPUTED_VALUE"""),"Ischnocnema guentheri")</f>
        <v>Ischnocnema guentheri</v>
      </c>
      <c r="B12" s="124">
        <f>SUMIFS(Data_raw!$K$2:$K$483,Data_raw!$F$2:$F$483,MP_T_Total!B$1,Data_raw!$A$2:$A$483,MP_T_Total!$A12) / SUMIF(Data_raw!$A$2:$A$483,MP_T_Total!$A12,Data_raw!$K$2:$K$483)</f>
        <v>0</v>
      </c>
      <c r="C12" s="124">
        <f>SUMIFS(Data_raw!$K$2:$K$483,Data_raw!$F$2:$F$483,MP_T_Total!C$1,Data_raw!$A$2:$A$483,MP_T_Total!$A12) / SUMIF(Data_raw!$A$2:$A$483,MP_T_Total!$A12,Data_raw!$K$2:$K$483)</f>
        <v>0</v>
      </c>
      <c r="D12" s="124">
        <f>SUMIFS(Data_raw!$K$2:$K$483,Data_raw!$F$2:$F$483,MP_T_Total!D$1,Data_raw!$A$2:$A$483,MP_T_Total!$A12) / SUMIF(Data_raw!$A$2:$A$483,MP_T_Total!$A12,Data_raw!$K$2:$K$483)</f>
        <v>0.02781546811</v>
      </c>
      <c r="E12" s="124">
        <f>SUMIFS(Data_raw!$K$2:$K$483,Data_raw!$F$2:$F$483,MP_T_Total!E$1,Data_raw!$A$2:$A$483,MP_T_Total!$A12) / SUMIF(Data_raw!$A$2:$A$483,MP_T_Total!$A12,Data_raw!$K$2:$K$483)</f>
        <v>0</v>
      </c>
      <c r="F12" s="124">
        <f>SUMIFS(Data_raw!$K$2:$K$483,Data_raw!$F$2:$F$483,MP_T_Total!F$1,Data_raw!$A$2:$A$483,MP_T_Total!$A12) / SUMIF(Data_raw!$A$2:$A$483,MP_T_Total!$A12,Data_raw!$K$2:$K$483)</f>
        <v>0.3500678426</v>
      </c>
      <c r="G12" s="124">
        <f>SUMIFS(Data_raw!$K$2:$K$483,Data_raw!$F$2:$F$483,MP_T_Total!G$1,Data_raw!$A$2:$A$483,MP_T_Total!$A12) / SUMIF(Data_raw!$A$2:$A$483,MP_T_Total!$A12,Data_raw!$K$2:$K$483)</f>
        <v>0.08208955224</v>
      </c>
      <c r="H12" s="124">
        <f>SUMIFS(Data_raw!$K$2:$K$483,Data_raw!$F$2:$F$483,MP_T_Total!H$1,Data_raw!$A$2:$A$483,MP_T_Total!$A12) / SUMIF(Data_raw!$A$2:$A$483,MP_T_Total!$A12,Data_raw!$K$2:$K$483)</f>
        <v>0.2917232022</v>
      </c>
      <c r="I12" s="124">
        <f>SUMIFS(Data_raw!$K$2:$K$483,Data_raw!$F$2:$F$483,MP_T_Total!I$1,Data_raw!$A$2:$A$483,MP_T_Total!$A12) / SUMIF(Data_raw!$A$2:$A$483,MP_T_Total!$A12,Data_raw!$K$2:$K$483)</f>
        <v>0</v>
      </c>
      <c r="J12" s="124">
        <f>SUMIFS(Data_raw!$K$2:$K$483,Data_raw!$F$2:$F$483,MP_T_Total!J$1,Data_raw!$A$2:$A$483,MP_T_Total!$A12) / SUMIF(Data_raw!$A$2:$A$483,MP_T_Total!$A12,Data_raw!$K$2:$K$483)</f>
        <v>0</v>
      </c>
      <c r="K12" s="124">
        <f>SUMIFS(Data_raw!$K$2:$K$483,Data_raw!$F$2:$F$483,MP_T_Total!K$1,Data_raw!$A$2:$A$483,MP_T_Total!$A12) / SUMIF(Data_raw!$A$2:$A$483,MP_T_Total!$A12,Data_raw!$K$2:$K$483)</f>
        <v>0.09362279512</v>
      </c>
      <c r="L12" s="124">
        <f>SUMIFS(Data_raw!$K$2:$K$483,Data_raw!$F$2:$F$483,MP_T_Total!L$1,Data_raw!$A$2:$A$483,MP_T_Total!$A12) / SUMIF(Data_raw!$A$2:$A$483,MP_T_Total!$A12,Data_raw!$K$2:$K$483)</f>
        <v>0</v>
      </c>
      <c r="M12" s="124">
        <f>SUMIFS(Data_raw!$K$2:$K$483,Data_raw!$F$2:$F$483,MP_T_Total!M$1,Data_raw!$A$2:$A$483,MP_T_Total!$A12) / SUMIF(Data_raw!$A$2:$A$483,MP_T_Total!$A12,Data_raw!$K$2:$K$483)</f>
        <v>0</v>
      </c>
      <c r="N12" s="124">
        <f>SUMIFS(Data_raw!$K$2:$K$483,Data_raw!$F$2:$F$483,MP_T_Total!N$1,Data_raw!$A$2:$A$483,MP_T_Total!$A12) / SUMIF(Data_raw!$A$2:$A$483,MP_T_Total!$A12,Data_raw!$K$2:$K$483)</f>
        <v>0.01356852103</v>
      </c>
      <c r="O12" s="124">
        <f>SUMIFS(Data_raw!$K$2:$K$483,Data_raw!$F$2:$F$483,MP_T_Total!O$1,Data_raw!$A$2:$A$483,MP_T_Total!$A12) / SUMIF(Data_raw!$A$2:$A$483,MP_T_Total!$A12,Data_raw!$K$2:$K$483)</f>
        <v>0</v>
      </c>
      <c r="P12" s="124">
        <f>SUMIFS(Data_raw!$K$2:$K$483,Data_raw!$F$2:$F$483,MP_T_Total!P$1,Data_raw!$A$2:$A$483,MP_T_Total!$A12) / SUMIF(Data_raw!$A$2:$A$483,MP_T_Total!$A12,Data_raw!$K$2:$K$483)</f>
        <v>0</v>
      </c>
      <c r="Q12" s="124">
        <f>SUMIFS(Data_raw!$K$2:$K$483,Data_raw!$F$2:$F$483,MP_T_Total!Q$1,Data_raw!$A$2:$A$483,MP_T_Total!$A12) / SUMIF(Data_raw!$A$2:$A$483,MP_T_Total!$A12,Data_raw!$K$2:$K$483)</f>
        <v>0</v>
      </c>
      <c r="R12" s="124">
        <f>SUMIFS(Data_raw!$K$2:$K$483,Data_raw!$F$2:$F$483,MP_T_Total!R$1,Data_raw!$A$2:$A$483,MP_T_Total!$A12) / SUMIF(Data_raw!$A$2:$A$483,MP_T_Total!$A12,Data_raw!$K$2:$K$483)</f>
        <v>0</v>
      </c>
      <c r="S12" s="124">
        <f>SUMIFS(Data_raw!$K$2:$K$483,Data_raw!$F$2:$F$483,MP_T_Total!S$1,Data_raw!$A$2:$A$483,MP_T_Total!$A12) / SUMIF(Data_raw!$A$2:$A$483,MP_T_Total!$A12,Data_raw!$K$2:$K$483)</f>
        <v>0</v>
      </c>
      <c r="T12" s="124">
        <f>SUMIFS(Data_raw!$K$2:$K$483,Data_raw!$F$2:$F$483,MP_T_Total!T$1,Data_raw!$A$2:$A$483,MP_T_Total!$A12) / SUMIF(Data_raw!$A$2:$A$483,MP_T_Total!$A12,Data_raw!$K$2:$K$483)</f>
        <v>0</v>
      </c>
      <c r="U12" s="124">
        <f>SUMIFS(Data_raw!$K$2:$K$483,Data_raw!$F$2:$F$483,MP_T_Total!U$1,Data_raw!$A$2:$A$483,MP_T_Total!$A12) / SUMIF(Data_raw!$A$2:$A$483,MP_T_Total!$A12,Data_raw!$K$2:$K$483)</f>
        <v>0</v>
      </c>
      <c r="V12" s="124">
        <f>SUMIFS(Data_raw!$K$2:$K$483,Data_raw!$F$2:$F$483,MP_T_Total!V$1,Data_raw!$A$2:$A$483,MP_T_Total!$A12) / SUMIF(Data_raw!$A$2:$A$483,MP_T_Total!$A12,Data_raw!$K$2:$K$483)</f>
        <v>0</v>
      </c>
      <c r="W12" s="124">
        <f>SUMIFS(Data_raw!$K$2:$K$483,Data_raw!$F$2:$F$483,MP_T_Total!W$1,Data_raw!$A$2:$A$483,MP_T_Total!$A12) / SUMIF(Data_raw!$A$2:$A$483,MP_T_Total!$A12,Data_raw!$K$2:$K$483)</f>
        <v>0</v>
      </c>
      <c r="X12" s="124">
        <f>SUMIFS(Data_raw!$K$2:$K$483,Data_raw!$F$2:$F$483,MP_T_Total!X$1,Data_raw!$A$2:$A$483,MP_T_Total!$A12) / SUMIF(Data_raw!$A$2:$A$483,MP_T_Total!$A12,Data_raw!$K$2:$K$483)</f>
        <v>0</v>
      </c>
      <c r="Y12" s="124">
        <f>SUMIFS(Data_raw!$K$2:$K$483,Data_raw!$F$2:$F$483,MP_T_Total!Y$1,Data_raw!$A$2:$A$483,MP_T_Total!$A12) / SUMIF(Data_raw!$A$2:$A$483,MP_T_Total!$A12,Data_raw!$K$2:$K$483)</f>
        <v>0.1194029851</v>
      </c>
      <c r="Z12" s="124">
        <f>SUMIFS(Data_raw!$K$2:$K$483,Data_raw!$F$2:$F$483,MP_T_Total!Z$1,Data_raw!$A$2:$A$483,MP_T_Total!$A12) / SUMIF(Data_raw!$A$2:$A$483,MP_T_Total!$A12,Data_raw!$K$2:$K$483)</f>
        <v>0</v>
      </c>
      <c r="AA12" s="124">
        <f>SUMIFS(Data_raw!$K$2:$K$483,Data_raw!$F$2:$F$483,MP_T_Total!AA$1,Data_raw!$A$2:$A$483,MP_T_Total!$A12) / SUMIF(Data_raw!$A$2:$A$483,MP_T_Total!$A12,Data_raw!$K$2:$K$483)</f>
        <v>0</v>
      </c>
      <c r="AB12" s="124">
        <f>SUMIFS(Data_raw!$K$2:$K$483,Data_raw!$F$2:$F$483,MP_T_Total!AB$1,Data_raw!$A$2:$A$483,MP_T_Total!$A12) / SUMIF(Data_raw!$A$2:$A$483,MP_T_Total!$A12,Data_raw!$K$2:$K$483)</f>
        <v>0</v>
      </c>
      <c r="AC12" s="124">
        <f>SUMIFS(Data_raw!$K$2:$K$483,Data_raw!$F$2:$F$483,MP_T_Total!AC$1,Data_raw!$A$2:$A$483,MP_T_Total!$A12) / SUMIF(Data_raw!$A$2:$A$483,MP_T_Total!$A12,Data_raw!$K$2:$K$483)</f>
        <v>0.02170963365</v>
      </c>
      <c r="AD12" s="124">
        <f>SUMIFS(Data_raw!$K$2:$K$483,Data_raw!$F$2:$F$483,MP_T_Total!AD$1,Data_raw!$A$2:$A$483,MP_T_Total!$A12) / SUMIF(Data_raw!$A$2:$A$483,MP_T_Total!$A12,Data_raw!$K$2:$K$483)</f>
        <v>0</v>
      </c>
      <c r="AE12" s="124">
        <f>SUMIFS(Data_raw!$K$2:$K$483,Data_raw!$F$2:$F$483,MP_T_Total!AE$1,Data_raw!$A$2:$A$483,MP_T_Total!$A12) / SUMIF(Data_raw!$A$2:$A$483,MP_T_Total!$A12,Data_raw!$K$2:$K$483)</f>
        <v>0</v>
      </c>
    </row>
    <row r="13">
      <c r="A13" s="8" t="str">
        <f>IFERROR(__xludf.DUMMYFUNCTION("""COMPUTED_VALUE"""),"Ischnocnema holti")</f>
        <v>Ischnocnema holti</v>
      </c>
      <c r="B13" s="124">
        <f>SUMIFS(Data_raw!$K$2:$K$483,Data_raw!$F$2:$F$483,MP_T_Total!B$1,Data_raw!$A$2:$A$483,MP_T_Total!$A13) / SUMIF(Data_raw!$A$2:$A$483,MP_T_Total!$A13,Data_raw!$K$2:$K$483)</f>
        <v>0</v>
      </c>
      <c r="C13" s="124">
        <f>SUMIFS(Data_raw!$K$2:$K$483,Data_raw!$F$2:$F$483,MP_T_Total!C$1,Data_raw!$A$2:$A$483,MP_T_Total!$A13) / SUMIF(Data_raw!$A$2:$A$483,MP_T_Total!$A13,Data_raw!$K$2:$K$483)</f>
        <v>0</v>
      </c>
      <c r="D13" s="124">
        <f>SUMIFS(Data_raw!$K$2:$K$483,Data_raw!$F$2:$F$483,MP_T_Total!D$1,Data_raw!$A$2:$A$483,MP_T_Total!$A13) / SUMIF(Data_raw!$A$2:$A$483,MP_T_Total!$A13,Data_raw!$K$2:$K$483)</f>
        <v>0</v>
      </c>
      <c r="E13" s="124">
        <f>SUMIFS(Data_raw!$K$2:$K$483,Data_raw!$F$2:$F$483,MP_T_Total!E$1,Data_raw!$A$2:$A$483,MP_T_Total!$A13) / SUMIF(Data_raw!$A$2:$A$483,MP_T_Total!$A13,Data_raw!$K$2:$K$483)</f>
        <v>0</v>
      </c>
      <c r="F13" s="124">
        <f>SUMIFS(Data_raw!$K$2:$K$483,Data_raw!$F$2:$F$483,MP_T_Total!F$1,Data_raw!$A$2:$A$483,MP_T_Total!$A13) / SUMIF(Data_raw!$A$2:$A$483,MP_T_Total!$A13,Data_raw!$K$2:$K$483)</f>
        <v>0.1658031088</v>
      </c>
      <c r="G13" s="124">
        <f>SUMIFS(Data_raw!$K$2:$K$483,Data_raw!$F$2:$F$483,MP_T_Total!G$1,Data_raw!$A$2:$A$483,MP_T_Total!$A13) / SUMIF(Data_raw!$A$2:$A$483,MP_T_Total!$A13,Data_raw!$K$2:$K$483)</f>
        <v>0</v>
      </c>
      <c r="H13" s="124">
        <f>SUMIFS(Data_raw!$K$2:$K$483,Data_raw!$F$2:$F$483,MP_T_Total!H$1,Data_raw!$A$2:$A$483,MP_T_Total!$A13) / SUMIF(Data_raw!$A$2:$A$483,MP_T_Total!$A13,Data_raw!$K$2:$K$483)</f>
        <v>0.7046632124</v>
      </c>
      <c r="I13" s="124">
        <f>SUMIFS(Data_raw!$K$2:$K$483,Data_raw!$F$2:$F$483,MP_T_Total!I$1,Data_raw!$A$2:$A$483,MP_T_Total!$A13) / SUMIF(Data_raw!$A$2:$A$483,MP_T_Total!$A13,Data_raw!$K$2:$K$483)</f>
        <v>0.02590673575</v>
      </c>
      <c r="J13" s="124">
        <f>SUMIFS(Data_raw!$K$2:$K$483,Data_raw!$F$2:$F$483,MP_T_Total!J$1,Data_raw!$A$2:$A$483,MP_T_Total!$A13) / SUMIF(Data_raw!$A$2:$A$483,MP_T_Total!$A13,Data_raw!$K$2:$K$483)</f>
        <v>0</v>
      </c>
      <c r="K13" s="124">
        <f>SUMIFS(Data_raw!$K$2:$K$483,Data_raw!$F$2:$F$483,MP_T_Total!K$1,Data_raw!$A$2:$A$483,MP_T_Total!$A13) / SUMIF(Data_raw!$A$2:$A$483,MP_T_Total!$A13,Data_raw!$K$2:$K$483)</f>
        <v>0</v>
      </c>
      <c r="L13" s="124">
        <f>SUMIFS(Data_raw!$K$2:$K$483,Data_raw!$F$2:$F$483,MP_T_Total!L$1,Data_raw!$A$2:$A$483,MP_T_Total!$A13) / SUMIF(Data_raw!$A$2:$A$483,MP_T_Total!$A13,Data_raw!$K$2:$K$483)</f>
        <v>0</v>
      </c>
      <c r="M13" s="124">
        <f>SUMIFS(Data_raw!$K$2:$K$483,Data_raw!$F$2:$F$483,MP_T_Total!M$1,Data_raw!$A$2:$A$483,MP_T_Total!$A13) / SUMIF(Data_raw!$A$2:$A$483,MP_T_Total!$A13,Data_raw!$K$2:$K$483)</f>
        <v>0</v>
      </c>
      <c r="N13" s="124">
        <f>SUMIFS(Data_raw!$K$2:$K$483,Data_raw!$F$2:$F$483,MP_T_Total!N$1,Data_raw!$A$2:$A$483,MP_T_Total!$A13) / SUMIF(Data_raw!$A$2:$A$483,MP_T_Total!$A13,Data_raw!$K$2:$K$483)</f>
        <v>0</v>
      </c>
      <c r="O13" s="124">
        <f>SUMIFS(Data_raw!$K$2:$K$483,Data_raw!$F$2:$F$483,MP_T_Total!O$1,Data_raw!$A$2:$A$483,MP_T_Total!$A13) / SUMIF(Data_raw!$A$2:$A$483,MP_T_Total!$A13,Data_raw!$K$2:$K$483)</f>
        <v>0</v>
      </c>
      <c r="P13" s="124">
        <f>SUMIFS(Data_raw!$K$2:$K$483,Data_raw!$F$2:$F$483,MP_T_Total!P$1,Data_raw!$A$2:$A$483,MP_T_Total!$A13) / SUMIF(Data_raw!$A$2:$A$483,MP_T_Total!$A13,Data_raw!$K$2:$K$483)</f>
        <v>0.0414507772</v>
      </c>
      <c r="Q13" s="124">
        <f>SUMIFS(Data_raw!$K$2:$K$483,Data_raw!$F$2:$F$483,MP_T_Total!Q$1,Data_raw!$A$2:$A$483,MP_T_Total!$A13) / SUMIF(Data_raw!$A$2:$A$483,MP_T_Total!$A13,Data_raw!$K$2:$K$483)</f>
        <v>0</v>
      </c>
      <c r="R13" s="124">
        <f>SUMIFS(Data_raw!$K$2:$K$483,Data_raw!$F$2:$F$483,MP_T_Total!R$1,Data_raw!$A$2:$A$483,MP_T_Total!$A13) / SUMIF(Data_raw!$A$2:$A$483,MP_T_Total!$A13,Data_raw!$K$2:$K$483)</f>
        <v>0</v>
      </c>
      <c r="S13" s="124">
        <f>SUMIFS(Data_raw!$K$2:$K$483,Data_raw!$F$2:$F$483,MP_T_Total!S$1,Data_raw!$A$2:$A$483,MP_T_Total!$A13) / SUMIF(Data_raw!$A$2:$A$483,MP_T_Total!$A13,Data_raw!$K$2:$K$483)</f>
        <v>0</v>
      </c>
      <c r="T13" s="124">
        <f>SUMIFS(Data_raw!$K$2:$K$483,Data_raw!$F$2:$F$483,MP_T_Total!T$1,Data_raw!$A$2:$A$483,MP_T_Total!$A13) / SUMIF(Data_raw!$A$2:$A$483,MP_T_Total!$A13,Data_raw!$K$2:$K$483)</f>
        <v>0</v>
      </c>
      <c r="U13" s="124">
        <f>SUMIFS(Data_raw!$K$2:$K$483,Data_raw!$F$2:$F$483,MP_T_Total!U$1,Data_raw!$A$2:$A$483,MP_T_Total!$A13) / SUMIF(Data_raw!$A$2:$A$483,MP_T_Total!$A13,Data_raw!$K$2:$K$483)</f>
        <v>0</v>
      </c>
      <c r="V13" s="124">
        <f>SUMIFS(Data_raw!$K$2:$K$483,Data_raw!$F$2:$F$483,MP_T_Total!V$1,Data_raw!$A$2:$A$483,MP_T_Total!$A13) / SUMIF(Data_raw!$A$2:$A$483,MP_T_Total!$A13,Data_raw!$K$2:$K$483)</f>
        <v>0</v>
      </c>
      <c r="W13" s="124">
        <f>SUMIFS(Data_raw!$K$2:$K$483,Data_raw!$F$2:$F$483,MP_T_Total!W$1,Data_raw!$A$2:$A$483,MP_T_Total!$A13) / SUMIF(Data_raw!$A$2:$A$483,MP_T_Total!$A13,Data_raw!$K$2:$K$483)</f>
        <v>0</v>
      </c>
      <c r="X13" s="124">
        <f>SUMIFS(Data_raw!$K$2:$K$483,Data_raw!$F$2:$F$483,MP_T_Total!X$1,Data_raw!$A$2:$A$483,MP_T_Total!$A13) / SUMIF(Data_raw!$A$2:$A$483,MP_T_Total!$A13,Data_raw!$K$2:$K$483)</f>
        <v>0</v>
      </c>
      <c r="Y13" s="124">
        <f>SUMIFS(Data_raw!$K$2:$K$483,Data_raw!$F$2:$F$483,MP_T_Total!Y$1,Data_raw!$A$2:$A$483,MP_T_Total!$A13) / SUMIF(Data_raw!$A$2:$A$483,MP_T_Total!$A13,Data_raw!$K$2:$K$483)</f>
        <v>0</v>
      </c>
      <c r="Z13" s="124">
        <f>SUMIFS(Data_raw!$K$2:$K$483,Data_raw!$F$2:$F$483,MP_T_Total!Z$1,Data_raw!$A$2:$A$483,MP_T_Total!$A13) / SUMIF(Data_raw!$A$2:$A$483,MP_T_Total!$A13,Data_raw!$K$2:$K$483)</f>
        <v>0</v>
      </c>
      <c r="AA13" s="124">
        <f>SUMIFS(Data_raw!$K$2:$K$483,Data_raw!$F$2:$F$483,MP_T_Total!AA$1,Data_raw!$A$2:$A$483,MP_T_Total!$A13) / SUMIF(Data_raw!$A$2:$A$483,MP_T_Total!$A13,Data_raw!$K$2:$K$483)</f>
        <v>0</v>
      </c>
      <c r="AB13" s="124">
        <f>SUMIFS(Data_raw!$K$2:$K$483,Data_raw!$F$2:$F$483,MP_T_Total!AB$1,Data_raw!$A$2:$A$483,MP_T_Total!$A13) / SUMIF(Data_raw!$A$2:$A$483,MP_T_Total!$A13,Data_raw!$K$2:$K$483)</f>
        <v>0</v>
      </c>
      <c r="AC13" s="124">
        <f>SUMIFS(Data_raw!$K$2:$K$483,Data_raw!$F$2:$F$483,MP_T_Total!AC$1,Data_raw!$A$2:$A$483,MP_T_Total!$A13) / SUMIF(Data_raw!$A$2:$A$483,MP_T_Total!$A13,Data_raw!$K$2:$K$483)</f>
        <v>0</v>
      </c>
      <c r="AD13" s="124">
        <f>SUMIFS(Data_raw!$K$2:$K$483,Data_raw!$F$2:$F$483,MP_T_Total!AD$1,Data_raw!$A$2:$A$483,MP_T_Total!$A13) / SUMIF(Data_raw!$A$2:$A$483,MP_T_Total!$A13,Data_raw!$K$2:$K$483)</f>
        <v>0</v>
      </c>
      <c r="AE13" s="124">
        <f>SUMIFS(Data_raw!$K$2:$K$483,Data_raw!$F$2:$F$483,MP_T_Total!AE$1,Data_raw!$A$2:$A$483,MP_T_Total!$A13) / SUMIF(Data_raw!$A$2:$A$483,MP_T_Total!$A13,Data_raw!$K$2:$K$483)</f>
        <v>0.0621761658</v>
      </c>
    </row>
    <row r="14">
      <c r="A14" s="8" t="str">
        <f>IFERROR(__xludf.DUMMYFUNCTION("""COMPUTED_VALUE"""),"Ischnocnema juipoca")</f>
        <v>Ischnocnema juipoca</v>
      </c>
      <c r="B14" s="124">
        <f>SUMIFS(Data_raw!$K$2:$K$483,Data_raw!$F$2:$F$483,MP_T_Total!B$1,Data_raw!$A$2:$A$483,MP_T_Total!$A14) / SUMIF(Data_raw!$A$2:$A$483,MP_T_Total!$A14,Data_raw!$K$2:$K$483)</f>
        <v>0</v>
      </c>
      <c r="C14" s="124">
        <f>SUMIFS(Data_raw!$K$2:$K$483,Data_raw!$F$2:$F$483,MP_T_Total!C$1,Data_raw!$A$2:$A$483,MP_T_Total!$A14) / SUMIF(Data_raw!$A$2:$A$483,MP_T_Total!$A14,Data_raw!$K$2:$K$483)</f>
        <v>0</v>
      </c>
      <c r="D14" s="124">
        <f>SUMIFS(Data_raw!$K$2:$K$483,Data_raw!$F$2:$F$483,MP_T_Total!D$1,Data_raw!$A$2:$A$483,MP_T_Total!$A14) / SUMIF(Data_raw!$A$2:$A$483,MP_T_Total!$A14,Data_raw!$K$2:$K$483)</f>
        <v>0.433295325</v>
      </c>
      <c r="E14" s="124">
        <f>SUMIFS(Data_raw!$K$2:$K$483,Data_raw!$F$2:$F$483,MP_T_Total!E$1,Data_raw!$A$2:$A$483,MP_T_Total!$A14) / SUMIF(Data_raw!$A$2:$A$483,MP_T_Total!$A14,Data_raw!$K$2:$K$483)</f>
        <v>0</v>
      </c>
      <c r="F14" s="124">
        <f>SUMIFS(Data_raw!$K$2:$K$483,Data_raw!$F$2:$F$483,MP_T_Total!F$1,Data_raw!$A$2:$A$483,MP_T_Total!$A14) / SUMIF(Data_raw!$A$2:$A$483,MP_T_Total!$A14,Data_raw!$K$2:$K$483)</f>
        <v>0</v>
      </c>
      <c r="G14" s="124">
        <f>SUMIFS(Data_raw!$K$2:$K$483,Data_raw!$F$2:$F$483,MP_T_Total!G$1,Data_raw!$A$2:$A$483,MP_T_Total!$A14) / SUMIF(Data_raw!$A$2:$A$483,MP_T_Total!$A14,Data_raw!$K$2:$K$483)</f>
        <v>0.04561003421</v>
      </c>
      <c r="H14" s="124">
        <f>SUMIFS(Data_raw!$K$2:$K$483,Data_raw!$F$2:$F$483,MP_T_Total!H$1,Data_raw!$A$2:$A$483,MP_T_Total!$A14) / SUMIF(Data_raw!$A$2:$A$483,MP_T_Total!$A14,Data_raw!$K$2:$K$483)</f>
        <v>0.2189281642</v>
      </c>
      <c r="I14" s="124">
        <f>SUMIFS(Data_raw!$K$2:$K$483,Data_raw!$F$2:$F$483,MP_T_Total!I$1,Data_raw!$A$2:$A$483,MP_T_Total!$A14) / SUMIF(Data_raw!$A$2:$A$483,MP_T_Total!$A14,Data_raw!$K$2:$K$483)</f>
        <v>0</v>
      </c>
      <c r="J14" s="124">
        <f>SUMIFS(Data_raw!$K$2:$K$483,Data_raw!$F$2:$F$483,MP_T_Total!J$1,Data_raw!$A$2:$A$483,MP_T_Total!$A14) / SUMIF(Data_raw!$A$2:$A$483,MP_T_Total!$A14,Data_raw!$K$2:$K$483)</f>
        <v>0.001140250855</v>
      </c>
      <c r="K14" s="124">
        <f>SUMIFS(Data_raw!$K$2:$K$483,Data_raw!$F$2:$F$483,MP_T_Total!K$1,Data_raw!$A$2:$A$483,MP_T_Total!$A14) / SUMIF(Data_raw!$A$2:$A$483,MP_T_Total!$A14,Data_raw!$K$2:$K$483)</f>
        <v>0</v>
      </c>
      <c r="L14" s="124">
        <f>SUMIFS(Data_raw!$K$2:$K$483,Data_raw!$F$2:$F$483,MP_T_Total!L$1,Data_raw!$A$2:$A$483,MP_T_Total!$A14) / SUMIF(Data_raw!$A$2:$A$483,MP_T_Total!$A14,Data_raw!$K$2:$K$483)</f>
        <v>0</v>
      </c>
      <c r="M14" s="124">
        <f>SUMIFS(Data_raw!$K$2:$K$483,Data_raw!$F$2:$F$483,MP_T_Total!M$1,Data_raw!$A$2:$A$483,MP_T_Total!$A14) / SUMIF(Data_raw!$A$2:$A$483,MP_T_Total!$A14,Data_raw!$K$2:$K$483)</f>
        <v>0</v>
      </c>
      <c r="N14" s="124">
        <f>SUMIFS(Data_raw!$K$2:$K$483,Data_raw!$F$2:$F$483,MP_T_Total!N$1,Data_raw!$A$2:$A$483,MP_T_Total!$A14) / SUMIF(Data_raw!$A$2:$A$483,MP_T_Total!$A14,Data_raw!$K$2:$K$483)</f>
        <v>0.004561003421</v>
      </c>
      <c r="O14" s="124">
        <f>SUMIFS(Data_raw!$K$2:$K$483,Data_raw!$F$2:$F$483,MP_T_Total!O$1,Data_raw!$A$2:$A$483,MP_T_Total!$A14) / SUMIF(Data_raw!$A$2:$A$483,MP_T_Total!$A14,Data_raw!$K$2:$K$483)</f>
        <v>0</v>
      </c>
      <c r="P14" s="124">
        <f>SUMIFS(Data_raw!$K$2:$K$483,Data_raw!$F$2:$F$483,MP_T_Total!P$1,Data_raw!$A$2:$A$483,MP_T_Total!$A14) / SUMIF(Data_raw!$A$2:$A$483,MP_T_Total!$A14,Data_raw!$K$2:$K$483)</f>
        <v>0</v>
      </c>
      <c r="Q14" s="124">
        <f>SUMIFS(Data_raw!$K$2:$K$483,Data_raw!$F$2:$F$483,MP_T_Total!Q$1,Data_raw!$A$2:$A$483,MP_T_Total!$A14) / SUMIF(Data_raw!$A$2:$A$483,MP_T_Total!$A14,Data_raw!$K$2:$K$483)</f>
        <v>0</v>
      </c>
      <c r="R14" s="124">
        <f>SUMIFS(Data_raw!$K$2:$K$483,Data_raw!$F$2:$F$483,MP_T_Total!R$1,Data_raw!$A$2:$A$483,MP_T_Total!$A14) / SUMIF(Data_raw!$A$2:$A$483,MP_T_Total!$A14,Data_raw!$K$2:$K$483)</f>
        <v>0</v>
      </c>
      <c r="S14" s="124">
        <f>SUMIFS(Data_raw!$K$2:$K$483,Data_raw!$F$2:$F$483,MP_T_Total!S$1,Data_raw!$A$2:$A$483,MP_T_Total!$A14) / SUMIF(Data_raw!$A$2:$A$483,MP_T_Total!$A14,Data_raw!$K$2:$K$483)</f>
        <v>0</v>
      </c>
      <c r="T14" s="124">
        <f>SUMIFS(Data_raw!$K$2:$K$483,Data_raw!$F$2:$F$483,MP_T_Total!T$1,Data_raw!$A$2:$A$483,MP_T_Total!$A14) / SUMIF(Data_raw!$A$2:$A$483,MP_T_Total!$A14,Data_raw!$K$2:$K$483)</f>
        <v>0</v>
      </c>
      <c r="U14" s="124">
        <f>SUMIFS(Data_raw!$K$2:$K$483,Data_raw!$F$2:$F$483,MP_T_Total!U$1,Data_raw!$A$2:$A$483,MP_T_Total!$A14) / SUMIF(Data_raw!$A$2:$A$483,MP_T_Total!$A14,Data_raw!$K$2:$K$483)</f>
        <v>0.2645381984</v>
      </c>
      <c r="V14" s="124">
        <f>SUMIFS(Data_raw!$K$2:$K$483,Data_raw!$F$2:$F$483,MP_T_Total!V$1,Data_raw!$A$2:$A$483,MP_T_Total!$A14) / SUMIF(Data_raw!$A$2:$A$483,MP_T_Total!$A14,Data_raw!$K$2:$K$483)</f>
        <v>0</v>
      </c>
      <c r="W14" s="124">
        <f>SUMIFS(Data_raw!$K$2:$K$483,Data_raw!$F$2:$F$483,MP_T_Total!W$1,Data_raw!$A$2:$A$483,MP_T_Total!$A14) / SUMIF(Data_raw!$A$2:$A$483,MP_T_Total!$A14,Data_raw!$K$2:$K$483)</f>
        <v>0</v>
      </c>
      <c r="X14" s="124">
        <f>SUMIFS(Data_raw!$K$2:$K$483,Data_raw!$F$2:$F$483,MP_T_Total!X$1,Data_raw!$A$2:$A$483,MP_T_Total!$A14) / SUMIF(Data_raw!$A$2:$A$483,MP_T_Total!$A14,Data_raw!$K$2:$K$483)</f>
        <v>0</v>
      </c>
      <c r="Y14" s="124">
        <f>SUMIFS(Data_raw!$K$2:$K$483,Data_raw!$F$2:$F$483,MP_T_Total!Y$1,Data_raw!$A$2:$A$483,MP_T_Total!$A14) / SUMIF(Data_raw!$A$2:$A$483,MP_T_Total!$A14,Data_raw!$K$2:$K$483)</f>
        <v>0</v>
      </c>
      <c r="Z14" s="124">
        <f>SUMIFS(Data_raw!$K$2:$K$483,Data_raw!$F$2:$F$483,MP_T_Total!Z$1,Data_raw!$A$2:$A$483,MP_T_Total!$A14) / SUMIF(Data_raw!$A$2:$A$483,MP_T_Total!$A14,Data_raw!$K$2:$K$483)</f>
        <v>0</v>
      </c>
      <c r="AA14" s="124">
        <f>SUMIFS(Data_raw!$K$2:$K$483,Data_raw!$F$2:$F$483,MP_T_Total!AA$1,Data_raw!$A$2:$A$483,MP_T_Total!$A14) / SUMIF(Data_raw!$A$2:$A$483,MP_T_Total!$A14,Data_raw!$K$2:$K$483)</f>
        <v>0</v>
      </c>
      <c r="AB14" s="124">
        <f>SUMIFS(Data_raw!$K$2:$K$483,Data_raw!$F$2:$F$483,MP_T_Total!AB$1,Data_raw!$A$2:$A$483,MP_T_Total!$A14) / SUMIF(Data_raw!$A$2:$A$483,MP_T_Total!$A14,Data_raw!$K$2:$K$483)</f>
        <v>0</v>
      </c>
      <c r="AC14" s="124">
        <f>SUMIFS(Data_raw!$K$2:$K$483,Data_raw!$F$2:$F$483,MP_T_Total!AC$1,Data_raw!$A$2:$A$483,MP_T_Total!$A14) / SUMIF(Data_raw!$A$2:$A$483,MP_T_Total!$A14,Data_raw!$K$2:$K$483)</f>
        <v>0.0228050171</v>
      </c>
      <c r="AD14" s="124">
        <f>SUMIFS(Data_raw!$K$2:$K$483,Data_raw!$F$2:$F$483,MP_T_Total!AD$1,Data_raw!$A$2:$A$483,MP_T_Total!$A14) / SUMIF(Data_raw!$A$2:$A$483,MP_T_Total!$A14,Data_raw!$K$2:$K$483)</f>
        <v>0</v>
      </c>
      <c r="AE14" s="124">
        <f>SUMIFS(Data_raw!$K$2:$K$483,Data_raw!$F$2:$F$483,MP_T_Total!AE$1,Data_raw!$A$2:$A$483,MP_T_Total!$A14) / SUMIF(Data_raw!$A$2:$A$483,MP_T_Total!$A14,Data_raw!$K$2:$K$483)</f>
        <v>0.009122006842</v>
      </c>
    </row>
    <row r="15">
      <c r="A15" s="8" t="str">
        <f>IFERROR(__xludf.DUMMYFUNCTION("""COMPUTED_VALUE"""),"Ischnocnema vizottoi")</f>
        <v>Ischnocnema vizottoi</v>
      </c>
      <c r="B15" s="124">
        <f>SUMIFS(Data_raw!$K$2:$K$483,Data_raw!$F$2:$F$483,MP_T_Total!B$1,Data_raw!$A$2:$A$483,MP_T_Total!$A15) / SUMIF(Data_raw!$A$2:$A$483,MP_T_Total!$A15,Data_raw!$K$2:$K$483)</f>
        <v>0</v>
      </c>
      <c r="C15" s="124">
        <f>SUMIFS(Data_raw!$K$2:$K$483,Data_raw!$F$2:$F$483,MP_T_Total!C$1,Data_raw!$A$2:$A$483,MP_T_Total!$A15) / SUMIF(Data_raw!$A$2:$A$483,MP_T_Total!$A15,Data_raw!$K$2:$K$483)</f>
        <v>0</v>
      </c>
      <c r="D15" s="124">
        <f>SUMIFS(Data_raw!$K$2:$K$483,Data_raw!$F$2:$F$483,MP_T_Total!D$1,Data_raw!$A$2:$A$483,MP_T_Total!$A15) / SUMIF(Data_raw!$A$2:$A$483,MP_T_Total!$A15,Data_raw!$K$2:$K$483)</f>
        <v>0</v>
      </c>
      <c r="E15" s="124">
        <f>SUMIFS(Data_raw!$K$2:$K$483,Data_raw!$F$2:$F$483,MP_T_Total!E$1,Data_raw!$A$2:$A$483,MP_T_Total!$A15) / SUMIF(Data_raw!$A$2:$A$483,MP_T_Total!$A15,Data_raw!$K$2:$K$483)</f>
        <v>0</v>
      </c>
      <c r="F15" s="124">
        <f>SUMIFS(Data_raw!$K$2:$K$483,Data_raw!$F$2:$F$483,MP_T_Total!F$1,Data_raw!$A$2:$A$483,MP_T_Total!$A15) / SUMIF(Data_raw!$A$2:$A$483,MP_T_Total!$A15,Data_raw!$K$2:$K$483)</f>
        <v>0</v>
      </c>
      <c r="G15" s="124">
        <f>SUMIFS(Data_raw!$K$2:$K$483,Data_raw!$F$2:$F$483,MP_T_Total!G$1,Data_raw!$A$2:$A$483,MP_T_Total!$A15) / SUMIF(Data_raw!$A$2:$A$483,MP_T_Total!$A15,Data_raw!$K$2:$K$483)</f>
        <v>0</v>
      </c>
      <c r="H15" s="124">
        <f>SUMIFS(Data_raw!$K$2:$K$483,Data_raw!$F$2:$F$483,MP_T_Total!H$1,Data_raw!$A$2:$A$483,MP_T_Total!$A15) / SUMIF(Data_raw!$A$2:$A$483,MP_T_Total!$A15,Data_raw!$K$2:$K$483)</f>
        <v>0</v>
      </c>
      <c r="I15" s="124">
        <f>SUMIFS(Data_raw!$K$2:$K$483,Data_raw!$F$2:$F$483,MP_T_Total!I$1,Data_raw!$A$2:$A$483,MP_T_Total!$A15) / SUMIF(Data_raw!$A$2:$A$483,MP_T_Total!$A15,Data_raw!$K$2:$K$483)</f>
        <v>0</v>
      </c>
      <c r="J15" s="124">
        <f>SUMIFS(Data_raw!$K$2:$K$483,Data_raw!$F$2:$F$483,MP_T_Total!J$1,Data_raw!$A$2:$A$483,MP_T_Total!$A15) / SUMIF(Data_raw!$A$2:$A$483,MP_T_Total!$A15,Data_raw!$K$2:$K$483)</f>
        <v>0</v>
      </c>
      <c r="K15" s="124">
        <f>SUMIFS(Data_raw!$K$2:$K$483,Data_raw!$F$2:$F$483,MP_T_Total!K$1,Data_raw!$A$2:$A$483,MP_T_Total!$A15) / SUMIF(Data_raw!$A$2:$A$483,MP_T_Total!$A15,Data_raw!$K$2:$K$483)</f>
        <v>0</v>
      </c>
      <c r="L15" s="124">
        <f>SUMIFS(Data_raw!$K$2:$K$483,Data_raw!$F$2:$F$483,MP_T_Total!L$1,Data_raw!$A$2:$A$483,MP_T_Total!$A15) / SUMIF(Data_raw!$A$2:$A$483,MP_T_Total!$A15,Data_raw!$K$2:$K$483)</f>
        <v>0</v>
      </c>
      <c r="M15" s="124">
        <f>SUMIFS(Data_raw!$K$2:$K$483,Data_raw!$F$2:$F$483,MP_T_Total!M$1,Data_raw!$A$2:$A$483,MP_T_Total!$A15) / SUMIF(Data_raw!$A$2:$A$483,MP_T_Total!$A15,Data_raw!$K$2:$K$483)</f>
        <v>0</v>
      </c>
      <c r="N15" s="124">
        <f>SUMIFS(Data_raw!$K$2:$K$483,Data_raw!$F$2:$F$483,MP_T_Total!N$1,Data_raw!$A$2:$A$483,MP_T_Total!$A15) / SUMIF(Data_raw!$A$2:$A$483,MP_T_Total!$A15,Data_raw!$K$2:$K$483)</f>
        <v>0.2</v>
      </c>
      <c r="O15" s="124">
        <f>SUMIFS(Data_raw!$K$2:$K$483,Data_raw!$F$2:$F$483,MP_T_Total!O$1,Data_raw!$A$2:$A$483,MP_T_Total!$A15) / SUMIF(Data_raw!$A$2:$A$483,MP_T_Total!$A15,Data_raw!$K$2:$K$483)</f>
        <v>0</v>
      </c>
      <c r="P15" s="124">
        <f>SUMIFS(Data_raw!$K$2:$K$483,Data_raw!$F$2:$F$483,MP_T_Total!P$1,Data_raw!$A$2:$A$483,MP_T_Total!$A15) / SUMIF(Data_raw!$A$2:$A$483,MP_T_Total!$A15,Data_raw!$K$2:$K$483)</f>
        <v>0.8</v>
      </c>
      <c r="Q15" s="124">
        <f>SUMIFS(Data_raw!$K$2:$K$483,Data_raw!$F$2:$F$483,MP_T_Total!Q$1,Data_raw!$A$2:$A$483,MP_T_Total!$A15) / SUMIF(Data_raw!$A$2:$A$483,MP_T_Total!$A15,Data_raw!$K$2:$K$483)</f>
        <v>0</v>
      </c>
      <c r="R15" s="124">
        <f>SUMIFS(Data_raw!$K$2:$K$483,Data_raw!$F$2:$F$483,MP_T_Total!R$1,Data_raw!$A$2:$A$483,MP_T_Total!$A15) / SUMIF(Data_raw!$A$2:$A$483,MP_T_Total!$A15,Data_raw!$K$2:$K$483)</f>
        <v>0</v>
      </c>
      <c r="S15" s="124">
        <f>SUMIFS(Data_raw!$K$2:$K$483,Data_raw!$F$2:$F$483,MP_T_Total!S$1,Data_raw!$A$2:$A$483,MP_T_Total!$A15) / SUMIF(Data_raw!$A$2:$A$483,MP_T_Total!$A15,Data_raw!$K$2:$K$483)</f>
        <v>0</v>
      </c>
      <c r="T15" s="124">
        <f>SUMIFS(Data_raw!$K$2:$K$483,Data_raw!$F$2:$F$483,MP_T_Total!T$1,Data_raw!$A$2:$A$483,MP_T_Total!$A15) / SUMIF(Data_raw!$A$2:$A$483,MP_T_Total!$A15,Data_raw!$K$2:$K$483)</f>
        <v>0</v>
      </c>
      <c r="U15" s="124">
        <f>SUMIFS(Data_raw!$K$2:$K$483,Data_raw!$F$2:$F$483,MP_T_Total!U$1,Data_raw!$A$2:$A$483,MP_T_Total!$A15) / SUMIF(Data_raw!$A$2:$A$483,MP_T_Total!$A15,Data_raw!$K$2:$K$483)</f>
        <v>0</v>
      </c>
      <c r="V15" s="124">
        <f>SUMIFS(Data_raw!$K$2:$K$483,Data_raw!$F$2:$F$483,MP_T_Total!V$1,Data_raw!$A$2:$A$483,MP_T_Total!$A15) / SUMIF(Data_raw!$A$2:$A$483,MP_T_Total!$A15,Data_raw!$K$2:$K$483)</f>
        <v>0</v>
      </c>
      <c r="W15" s="124">
        <f>SUMIFS(Data_raw!$K$2:$K$483,Data_raw!$F$2:$F$483,MP_T_Total!W$1,Data_raw!$A$2:$A$483,MP_T_Total!$A15) / SUMIF(Data_raw!$A$2:$A$483,MP_T_Total!$A15,Data_raw!$K$2:$K$483)</f>
        <v>0</v>
      </c>
      <c r="X15" s="124">
        <f>SUMIFS(Data_raw!$K$2:$K$483,Data_raw!$F$2:$F$483,MP_T_Total!X$1,Data_raw!$A$2:$A$483,MP_T_Total!$A15) / SUMIF(Data_raw!$A$2:$A$483,MP_T_Total!$A15,Data_raw!$K$2:$K$483)</f>
        <v>0</v>
      </c>
      <c r="Y15" s="124">
        <f>SUMIFS(Data_raw!$K$2:$K$483,Data_raw!$F$2:$F$483,MP_T_Total!Y$1,Data_raw!$A$2:$A$483,MP_T_Total!$A15) / SUMIF(Data_raw!$A$2:$A$483,MP_T_Total!$A15,Data_raw!$K$2:$K$483)</f>
        <v>0</v>
      </c>
      <c r="Z15" s="124">
        <f>SUMIFS(Data_raw!$K$2:$K$483,Data_raw!$F$2:$F$483,MP_T_Total!Z$1,Data_raw!$A$2:$A$483,MP_T_Total!$A15) / SUMIF(Data_raw!$A$2:$A$483,MP_T_Total!$A15,Data_raw!$K$2:$K$483)</f>
        <v>0</v>
      </c>
      <c r="AA15" s="124">
        <f>SUMIFS(Data_raw!$K$2:$K$483,Data_raw!$F$2:$F$483,MP_T_Total!AA$1,Data_raw!$A$2:$A$483,MP_T_Total!$A15) / SUMIF(Data_raw!$A$2:$A$483,MP_T_Total!$A15,Data_raw!$K$2:$K$483)</f>
        <v>0</v>
      </c>
      <c r="AB15" s="124">
        <f>SUMIFS(Data_raw!$K$2:$K$483,Data_raw!$F$2:$F$483,MP_T_Total!AB$1,Data_raw!$A$2:$A$483,MP_T_Total!$A15) / SUMIF(Data_raw!$A$2:$A$483,MP_T_Total!$A15,Data_raw!$K$2:$K$483)</f>
        <v>0</v>
      </c>
      <c r="AC15" s="124">
        <f>SUMIFS(Data_raw!$K$2:$K$483,Data_raw!$F$2:$F$483,MP_T_Total!AC$1,Data_raw!$A$2:$A$483,MP_T_Total!$A15) / SUMIF(Data_raw!$A$2:$A$483,MP_T_Total!$A15,Data_raw!$K$2:$K$483)</f>
        <v>0</v>
      </c>
      <c r="AD15" s="124">
        <f>SUMIFS(Data_raw!$K$2:$K$483,Data_raw!$F$2:$F$483,MP_T_Total!AD$1,Data_raw!$A$2:$A$483,MP_T_Total!$A15) / SUMIF(Data_raw!$A$2:$A$483,MP_T_Total!$A15,Data_raw!$K$2:$K$483)</f>
        <v>0</v>
      </c>
      <c r="AE15" s="124">
        <f>SUMIFS(Data_raw!$K$2:$K$483,Data_raw!$F$2:$F$483,MP_T_Total!AE$1,Data_raw!$A$2:$A$483,MP_T_Total!$A15) / SUMIF(Data_raw!$A$2:$A$483,MP_T_Total!$A15,Data_raw!$K$2:$K$483)</f>
        <v>0</v>
      </c>
    </row>
    <row r="16">
      <c r="A16" s="8" t="str">
        <f>IFERROR(__xludf.DUMMYFUNCTION("""COMPUTED_VALUE"""),"Odontophrynus americanus")</f>
        <v>Odontophrynus americanus</v>
      </c>
      <c r="B16" s="124">
        <f>SUMIFS(Data_raw!$K$2:$K$483,Data_raw!$F$2:$F$483,MP_T_Total!B$1,Data_raw!$A$2:$A$483,MP_T_Total!$A16) / SUMIF(Data_raw!$A$2:$A$483,MP_T_Total!$A16,Data_raw!$K$2:$K$483)</f>
        <v>0</v>
      </c>
      <c r="C16" s="124">
        <f>SUMIFS(Data_raw!$K$2:$K$483,Data_raw!$F$2:$F$483,MP_T_Total!C$1,Data_raw!$A$2:$A$483,MP_T_Total!$A16) / SUMIF(Data_raw!$A$2:$A$483,MP_T_Total!$A16,Data_raw!$K$2:$K$483)</f>
        <v>0</v>
      </c>
      <c r="D16" s="124">
        <f>SUMIFS(Data_raw!$K$2:$K$483,Data_raw!$F$2:$F$483,MP_T_Total!D$1,Data_raw!$A$2:$A$483,MP_T_Total!$A16) / SUMIF(Data_raw!$A$2:$A$483,MP_T_Total!$A16,Data_raw!$K$2:$K$483)</f>
        <v>0</v>
      </c>
      <c r="E16" s="124">
        <f>SUMIFS(Data_raw!$K$2:$K$483,Data_raw!$F$2:$F$483,MP_T_Total!E$1,Data_raw!$A$2:$A$483,MP_T_Total!$A16) / SUMIF(Data_raw!$A$2:$A$483,MP_T_Total!$A16,Data_raw!$K$2:$K$483)</f>
        <v>0</v>
      </c>
      <c r="F16" s="124">
        <f>SUMIFS(Data_raw!$K$2:$K$483,Data_raw!$F$2:$F$483,MP_T_Total!F$1,Data_raw!$A$2:$A$483,MP_T_Total!$A16) / SUMIF(Data_raw!$A$2:$A$483,MP_T_Total!$A16,Data_raw!$K$2:$K$483)</f>
        <v>0</v>
      </c>
      <c r="G16" s="124">
        <f>SUMIFS(Data_raw!$K$2:$K$483,Data_raw!$F$2:$F$483,MP_T_Total!G$1,Data_raw!$A$2:$A$483,MP_T_Total!$A16) / SUMIF(Data_raw!$A$2:$A$483,MP_T_Total!$A16,Data_raw!$K$2:$K$483)</f>
        <v>0</v>
      </c>
      <c r="H16" s="124">
        <f>SUMIFS(Data_raw!$K$2:$K$483,Data_raw!$F$2:$F$483,MP_T_Total!H$1,Data_raw!$A$2:$A$483,MP_T_Total!$A16) / SUMIF(Data_raw!$A$2:$A$483,MP_T_Total!$A16,Data_raw!$K$2:$K$483)</f>
        <v>1</v>
      </c>
      <c r="I16" s="124">
        <f>SUMIFS(Data_raw!$K$2:$K$483,Data_raw!$F$2:$F$483,MP_T_Total!I$1,Data_raw!$A$2:$A$483,MP_T_Total!$A16) / SUMIF(Data_raw!$A$2:$A$483,MP_T_Total!$A16,Data_raw!$K$2:$K$483)</f>
        <v>0</v>
      </c>
      <c r="J16" s="124">
        <f>SUMIFS(Data_raw!$K$2:$K$483,Data_raw!$F$2:$F$483,MP_T_Total!J$1,Data_raw!$A$2:$A$483,MP_T_Total!$A16) / SUMIF(Data_raw!$A$2:$A$483,MP_T_Total!$A16,Data_raw!$K$2:$K$483)</f>
        <v>0</v>
      </c>
      <c r="K16" s="124">
        <f>SUMIFS(Data_raw!$K$2:$K$483,Data_raw!$F$2:$F$483,MP_T_Total!K$1,Data_raw!$A$2:$A$483,MP_T_Total!$A16) / SUMIF(Data_raw!$A$2:$A$483,MP_T_Total!$A16,Data_raw!$K$2:$K$483)</f>
        <v>0</v>
      </c>
      <c r="L16" s="124">
        <f>SUMIFS(Data_raw!$K$2:$K$483,Data_raw!$F$2:$F$483,MP_T_Total!L$1,Data_raw!$A$2:$A$483,MP_T_Total!$A16) / SUMIF(Data_raw!$A$2:$A$483,MP_T_Total!$A16,Data_raw!$K$2:$K$483)</f>
        <v>0</v>
      </c>
      <c r="M16" s="124">
        <f>SUMIFS(Data_raw!$K$2:$K$483,Data_raw!$F$2:$F$483,MP_T_Total!M$1,Data_raw!$A$2:$A$483,MP_T_Total!$A16) / SUMIF(Data_raw!$A$2:$A$483,MP_T_Total!$A16,Data_raw!$K$2:$K$483)</f>
        <v>0</v>
      </c>
      <c r="N16" s="124">
        <f>SUMIFS(Data_raw!$K$2:$K$483,Data_raw!$F$2:$F$483,MP_T_Total!N$1,Data_raw!$A$2:$A$483,MP_T_Total!$A16) / SUMIF(Data_raw!$A$2:$A$483,MP_T_Total!$A16,Data_raw!$K$2:$K$483)</f>
        <v>0</v>
      </c>
      <c r="O16" s="124">
        <f>SUMIFS(Data_raw!$K$2:$K$483,Data_raw!$F$2:$F$483,MP_T_Total!O$1,Data_raw!$A$2:$A$483,MP_T_Total!$A16) / SUMIF(Data_raw!$A$2:$A$483,MP_T_Total!$A16,Data_raw!$K$2:$K$483)</f>
        <v>0</v>
      </c>
      <c r="P16" s="124">
        <f>SUMIFS(Data_raw!$K$2:$K$483,Data_raw!$F$2:$F$483,MP_T_Total!P$1,Data_raw!$A$2:$A$483,MP_T_Total!$A16) / SUMIF(Data_raw!$A$2:$A$483,MP_T_Total!$A16,Data_raw!$K$2:$K$483)</f>
        <v>0</v>
      </c>
      <c r="Q16" s="124">
        <f>SUMIFS(Data_raw!$K$2:$K$483,Data_raw!$F$2:$F$483,MP_T_Total!Q$1,Data_raw!$A$2:$A$483,MP_T_Total!$A16) / SUMIF(Data_raw!$A$2:$A$483,MP_T_Total!$A16,Data_raw!$K$2:$K$483)</f>
        <v>0</v>
      </c>
      <c r="R16" s="124">
        <f>SUMIFS(Data_raw!$K$2:$K$483,Data_raw!$F$2:$F$483,MP_T_Total!R$1,Data_raw!$A$2:$A$483,MP_T_Total!$A16) / SUMIF(Data_raw!$A$2:$A$483,MP_T_Total!$A16,Data_raw!$K$2:$K$483)</f>
        <v>0</v>
      </c>
      <c r="S16" s="124">
        <f>SUMIFS(Data_raw!$K$2:$K$483,Data_raw!$F$2:$F$483,MP_T_Total!S$1,Data_raw!$A$2:$A$483,MP_T_Total!$A16) / SUMIF(Data_raw!$A$2:$A$483,MP_T_Total!$A16,Data_raw!$K$2:$K$483)</f>
        <v>0</v>
      </c>
      <c r="T16" s="124">
        <f>SUMIFS(Data_raw!$K$2:$K$483,Data_raw!$F$2:$F$483,MP_T_Total!T$1,Data_raw!$A$2:$A$483,MP_T_Total!$A16) / SUMIF(Data_raw!$A$2:$A$483,MP_T_Total!$A16,Data_raw!$K$2:$K$483)</f>
        <v>0</v>
      </c>
      <c r="U16" s="124">
        <f>SUMIFS(Data_raw!$K$2:$K$483,Data_raw!$F$2:$F$483,MP_T_Total!U$1,Data_raw!$A$2:$A$483,MP_T_Total!$A16) / SUMIF(Data_raw!$A$2:$A$483,MP_T_Total!$A16,Data_raw!$K$2:$K$483)</f>
        <v>0</v>
      </c>
      <c r="V16" s="124">
        <f>SUMIFS(Data_raw!$K$2:$K$483,Data_raw!$F$2:$F$483,MP_T_Total!V$1,Data_raw!$A$2:$A$483,MP_T_Total!$A16) / SUMIF(Data_raw!$A$2:$A$483,MP_T_Total!$A16,Data_raw!$K$2:$K$483)</f>
        <v>0</v>
      </c>
      <c r="W16" s="124">
        <f>SUMIFS(Data_raw!$K$2:$K$483,Data_raw!$F$2:$F$483,MP_T_Total!W$1,Data_raw!$A$2:$A$483,MP_T_Total!$A16) / SUMIF(Data_raw!$A$2:$A$483,MP_T_Total!$A16,Data_raw!$K$2:$K$483)</f>
        <v>0</v>
      </c>
      <c r="X16" s="124">
        <f>SUMIFS(Data_raw!$K$2:$K$483,Data_raw!$F$2:$F$483,MP_T_Total!X$1,Data_raw!$A$2:$A$483,MP_T_Total!$A16) / SUMIF(Data_raw!$A$2:$A$483,MP_T_Total!$A16,Data_raw!$K$2:$K$483)</f>
        <v>0</v>
      </c>
      <c r="Y16" s="124">
        <f>SUMIFS(Data_raw!$K$2:$K$483,Data_raw!$F$2:$F$483,MP_T_Total!Y$1,Data_raw!$A$2:$A$483,MP_T_Total!$A16) / SUMIF(Data_raw!$A$2:$A$483,MP_T_Total!$A16,Data_raw!$K$2:$K$483)</f>
        <v>0</v>
      </c>
      <c r="Z16" s="124">
        <f>SUMIFS(Data_raw!$K$2:$K$483,Data_raw!$F$2:$F$483,MP_T_Total!Z$1,Data_raw!$A$2:$A$483,MP_T_Total!$A16) / SUMIF(Data_raw!$A$2:$A$483,MP_T_Total!$A16,Data_raw!$K$2:$K$483)</f>
        <v>0</v>
      </c>
      <c r="AA16" s="124">
        <f>SUMIFS(Data_raw!$K$2:$K$483,Data_raw!$F$2:$F$483,MP_T_Total!AA$1,Data_raw!$A$2:$A$483,MP_T_Total!$A16) / SUMIF(Data_raw!$A$2:$A$483,MP_T_Total!$A16,Data_raw!$K$2:$K$483)</f>
        <v>0</v>
      </c>
      <c r="AB16" s="124">
        <f>SUMIFS(Data_raw!$K$2:$K$483,Data_raw!$F$2:$F$483,MP_T_Total!AB$1,Data_raw!$A$2:$A$483,MP_T_Total!$A16) / SUMIF(Data_raw!$A$2:$A$483,MP_T_Total!$A16,Data_raw!$K$2:$K$483)</f>
        <v>0</v>
      </c>
      <c r="AC16" s="124">
        <f>SUMIFS(Data_raw!$K$2:$K$483,Data_raw!$F$2:$F$483,MP_T_Total!AC$1,Data_raw!$A$2:$A$483,MP_T_Total!$A16) / SUMIF(Data_raw!$A$2:$A$483,MP_T_Total!$A16,Data_raw!$K$2:$K$483)</f>
        <v>0</v>
      </c>
      <c r="AD16" s="124">
        <f>SUMIFS(Data_raw!$K$2:$K$483,Data_raw!$F$2:$F$483,MP_T_Total!AD$1,Data_raw!$A$2:$A$483,MP_T_Total!$A16) / SUMIF(Data_raw!$A$2:$A$483,MP_T_Total!$A16,Data_raw!$K$2:$K$483)</f>
        <v>0</v>
      </c>
      <c r="AE16" s="124">
        <f>SUMIFS(Data_raw!$K$2:$K$483,Data_raw!$F$2:$F$483,MP_T_Total!AE$1,Data_raw!$A$2:$A$483,MP_T_Total!$A16) / SUMIF(Data_raw!$A$2:$A$483,MP_T_Total!$A16,Data_raw!$K$2:$K$483)</f>
        <v>0</v>
      </c>
    </row>
    <row r="17">
      <c r="A17" s="8" t="str">
        <f>IFERROR(__xludf.DUMMYFUNCTION("""COMPUTED_VALUE"""),"Ololygon obtriangulata")</f>
        <v>Ololygon obtriangulata</v>
      </c>
      <c r="B17" s="124">
        <f>SUMIFS(Data_raw!$K$2:$K$483,Data_raw!$F$2:$F$483,MP_T_Total!B$1,Data_raw!$A$2:$A$483,MP_T_Total!$A17) / SUMIF(Data_raw!$A$2:$A$483,MP_T_Total!$A17,Data_raw!$K$2:$K$483)</f>
        <v>0</v>
      </c>
      <c r="C17" s="124">
        <f>SUMIFS(Data_raw!$K$2:$K$483,Data_raw!$F$2:$F$483,MP_T_Total!C$1,Data_raw!$A$2:$A$483,MP_T_Total!$A17) / SUMIF(Data_raw!$A$2:$A$483,MP_T_Total!$A17,Data_raw!$K$2:$K$483)</f>
        <v>0</v>
      </c>
      <c r="D17" s="124">
        <f>SUMIFS(Data_raw!$K$2:$K$483,Data_raw!$F$2:$F$483,MP_T_Total!D$1,Data_raw!$A$2:$A$483,MP_T_Total!$A17) / SUMIF(Data_raw!$A$2:$A$483,MP_T_Total!$A17,Data_raw!$K$2:$K$483)</f>
        <v>0.888</v>
      </c>
      <c r="E17" s="124">
        <f>SUMIFS(Data_raw!$K$2:$K$483,Data_raw!$F$2:$F$483,MP_T_Total!E$1,Data_raw!$A$2:$A$483,MP_T_Total!$A17) / SUMIF(Data_raw!$A$2:$A$483,MP_T_Total!$A17,Data_raw!$K$2:$K$483)</f>
        <v>0</v>
      </c>
      <c r="F17" s="124">
        <f>SUMIFS(Data_raw!$K$2:$K$483,Data_raw!$F$2:$F$483,MP_T_Total!F$1,Data_raw!$A$2:$A$483,MP_T_Total!$A17) / SUMIF(Data_raw!$A$2:$A$483,MP_T_Total!$A17,Data_raw!$K$2:$K$483)</f>
        <v>0</v>
      </c>
      <c r="G17" s="124">
        <f>SUMIFS(Data_raw!$K$2:$K$483,Data_raw!$F$2:$F$483,MP_T_Total!G$1,Data_raw!$A$2:$A$483,MP_T_Total!$A17) / SUMIF(Data_raw!$A$2:$A$483,MP_T_Total!$A17,Data_raw!$K$2:$K$483)</f>
        <v>0</v>
      </c>
      <c r="H17" s="124">
        <f>SUMIFS(Data_raw!$K$2:$K$483,Data_raw!$F$2:$F$483,MP_T_Total!H$1,Data_raw!$A$2:$A$483,MP_T_Total!$A17) / SUMIF(Data_raw!$A$2:$A$483,MP_T_Total!$A17,Data_raw!$K$2:$K$483)</f>
        <v>0.016</v>
      </c>
      <c r="I17" s="124">
        <f>SUMIFS(Data_raw!$K$2:$K$483,Data_raw!$F$2:$F$483,MP_T_Total!I$1,Data_raw!$A$2:$A$483,MP_T_Total!$A17) / SUMIF(Data_raw!$A$2:$A$483,MP_T_Total!$A17,Data_raw!$K$2:$K$483)</f>
        <v>0</v>
      </c>
      <c r="J17" s="124">
        <f>SUMIFS(Data_raw!$K$2:$K$483,Data_raw!$F$2:$F$483,MP_T_Total!J$1,Data_raw!$A$2:$A$483,MP_T_Total!$A17) / SUMIF(Data_raw!$A$2:$A$483,MP_T_Total!$A17,Data_raw!$K$2:$K$483)</f>
        <v>0</v>
      </c>
      <c r="K17" s="124">
        <f>SUMIFS(Data_raw!$K$2:$K$483,Data_raw!$F$2:$F$483,MP_T_Total!K$1,Data_raw!$A$2:$A$483,MP_T_Total!$A17) / SUMIF(Data_raw!$A$2:$A$483,MP_T_Total!$A17,Data_raw!$K$2:$K$483)</f>
        <v>0</v>
      </c>
      <c r="L17" s="124">
        <f>SUMIFS(Data_raw!$K$2:$K$483,Data_raw!$F$2:$F$483,MP_T_Total!L$1,Data_raw!$A$2:$A$483,MP_T_Total!$A17) / SUMIF(Data_raw!$A$2:$A$483,MP_T_Total!$A17,Data_raw!$K$2:$K$483)</f>
        <v>0</v>
      </c>
      <c r="M17" s="124">
        <f>SUMIFS(Data_raw!$K$2:$K$483,Data_raw!$F$2:$F$483,MP_T_Total!M$1,Data_raw!$A$2:$A$483,MP_T_Total!$A17) / SUMIF(Data_raw!$A$2:$A$483,MP_T_Total!$A17,Data_raw!$K$2:$K$483)</f>
        <v>0</v>
      </c>
      <c r="N17" s="124">
        <f>SUMIFS(Data_raw!$K$2:$K$483,Data_raw!$F$2:$F$483,MP_T_Total!N$1,Data_raw!$A$2:$A$483,MP_T_Total!$A17) / SUMIF(Data_raw!$A$2:$A$483,MP_T_Total!$A17,Data_raw!$K$2:$K$483)</f>
        <v>0</v>
      </c>
      <c r="O17" s="124">
        <f>SUMIFS(Data_raw!$K$2:$K$483,Data_raw!$F$2:$F$483,MP_T_Total!O$1,Data_raw!$A$2:$A$483,MP_T_Total!$A17) / SUMIF(Data_raw!$A$2:$A$483,MP_T_Total!$A17,Data_raw!$K$2:$K$483)</f>
        <v>0</v>
      </c>
      <c r="P17" s="124">
        <f>SUMIFS(Data_raw!$K$2:$K$483,Data_raw!$F$2:$F$483,MP_T_Total!P$1,Data_raw!$A$2:$A$483,MP_T_Total!$A17) / SUMIF(Data_raw!$A$2:$A$483,MP_T_Total!$A17,Data_raw!$K$2:$K$483)</f>
        <v>0</v>
      </c>
      <c r="Q17" s="124">
        <f>SUMIFS(Data_raw!$K$2:$K$483,Data_raw!$F$2:$F$483,MP_T_Total!Q$1,Data_raw!$A$2:$A$483,MP_T_Total!$A17) / SUMIF(Data_raw!$A$2:$A$483,MP_T_Total!$A17,Data_raw!$K$2:$K$483)</f>
        <v>0</v>
      </c>
      <c r="R17" s="124">
        <f>SUMIFS(Data_raw!$K$2:$K$483,Data_raw!$F$2:$F$483,MP_T_Total!R$1,Data_raw!$A$2:$A$483,MP_T_Total!$A17) / SUMIF(Data_raw!$A$2:$A$483,MP_T_Total!$A17,Data_raw!$K$2:$K$483)</f>
        <v>0</v>
      </c>
      <c r="S17" s="124">
        <f>SUMIFS(Data_raw!$K$2:$K$483,Data_raw!$F$2:$F$483,MP_T_Total!S$1,Data_raw!$A$2:$A$483,MP_T_Total!$A17) / SUMIF(Data_raw!$A$2:$A$483,MP_T_Total!$A17,Data_raw!$K$2:$K$483)</f>
        <v>0</v>
      </c>
      <c r="T17" s="124">
        <f>SUMIFS(Data_raw!$K$2:$K$483,Data_raw!$F$2:$F$483,MP_T_Total!T$1,Data_raw!$A$2:$A$483,MP_T_Total!$A17) / SUMIF(Data_raw!$A$2:$A$483,MP_T_Total!$A17,Data_raw!$K$2:$K$483)</f>
        <v>0</v>
      </c>
      <c r="U17" s="124">
        <f>SUMIFS(Data_raw!$K$2:$K$483,Data_raw!$F$2:$F$483,MP_T_Total!U$1,Data_raw!$A$2:$A$483,MP_T_Total!$A17) / SUMIF(Data_raw!$A$2:$A$483,MP_T_Total!$A17,Data_raw!$K$2:$K$483)</f>
        <v>0</v>
      </c>
      <c r="V17" s="124">
        <f>SUMIFS(Data_raw!$K$2:$K$483,Data_raw!$F$2:$F$483,MP_T_Total!V$1,Data_raw!$A$2:$A$483,MP_T_Total!$A17) / SUMIF(Data_raw!$A$2:$A$483,MP_T_Total!$A17,Data_raw!$K$2:$K$483)</f>
        <v>0</v>
      </c>
      <c r="W17" s="124">
        <f>SUMIFS(Data_raw!$K$2:$K$483,Data_raw!$F$2:$F$483,MP_T_Total!W$1,Data_raw!$A$2:$A$483,MP_T_Total!$A17) / SUMIF(Data_raw!$A$2:$A$483,MP_T_Total!$A17,Data_raw!$K$2:$K$483)</f>
        <v>0</v>
      </c>
      <c r="X17" s="124">
        <f>SUMIFS(Data_raw!$K$2:$K$483,Data_raw!$F$2:$F$483,MP_T_Total!X$1,Data_raw!$A$2:$A$483,MP_T_Total!$A17) / SUMIF(Data_raw!$A$2:$A$483,MP_T_Total!$A17,Data_raw!$K$2:$K$483)</f>
        <v>0</v>
      </c>
      <c r="Y17" s="124">
        <f>SUMIFS(Data_raw!$K$2:$K$483,Data_raw!$F$2:$F$483,MP_T_Total!Y$1,Data_raw!$A$2:$A$483,MP_T_Total!$A17) / SUMIF(Data_raw!$A$2:$A$483,MP_T_Total!$A17,Data_raw!$K$2:$K$483)</f>
        <v>0</v>
      </c>
      <c r="Z17" s="124">
        <f>SUMIFS(Data_raw!$K$2:$K$483,Data_raw!$F$2:$F$483,MP_T_Total!Z$1,Data_raw!$A$2:$A$483,MP_T_Total!$A17) / SUMIF(Data_raw!$A$2:$A$483,MP_T_Total!$A17,Data_raw!$K$2:$K$483)</f>
        <v>0</v>
      </c>
      <c r="AA17" s="124">
        <f>SUMIFS(Data_raw!$K$2:$K$483,Data_raw!$F$2:$F$483,MP_T_Total!AA$1,Data_raw!$A$2:$A$483,MP_T_Total!$A17) / SUMIF(Data_raw!$A$2:$A$483,MP_T_Total!$A17,Data_raw!$K$2:$K$483)</f>
        <v>0</v>
      </c>
      <c r="AB17" s="124">
        <f>SUMIFS(Data_raw!$K$2:$K$483,Data_raw!$F$2:$F$483,MP_T_Total!AB$1,Data_raw!$A$2:$A$483,MP_T_Total!$A17) / SUMIF(Data_raw!$A$2:$A$483,MP_T_Total!$A17,Data_raw!$K$2:$K$483)</f>
        <v>0.096</v>
      </c>
      <c r="AC17" s="124">
        <f>SUMIFS(Data_raw!$K$2:$K$483,Data_raw!$F$2:$F$483,MP_T_Total!AC$1,Data_raw!$A$2:$A$483,MP_T_Total!$A17) / SUMIF(Data_raw!$A$2:$A$483,MP_T_Total!$A17,Data_raw!$K$2:$K$483)</f>
        <v>0</v>
      </c>
      <c r="AD17" s="124">
        <f>SUMIFS(Data_raw!$K$2:$K$483,Data_raw!$F$2:$F$483,MP_T_Total!AD$1,Data_raw!$A$2:$A$483,MP_T_Total!$A17) / SUMIF(Data_raw!$A$2:$A$483,MP_T_Total!$A17,Data_raw!$K$2:$K$483)</f>
        <v>0</v>
      </c>
      <c r="AE17" s="124">
        <f>SUMIFS(Data_raw!$K$2:$K$483,Data_raw!$F$2:$F$483,MP_T_Total!AE$1,Data_raw!$A$2:$A$483,MP_T_Total!$A17) / SUMIF(Data_raw!$A$2:$A$483,MP_T_Total!$A17,Data_raw!$K$2:$K$483)</f>
        <v>0</v>
      </c>
    </row>
    <row r="18">
      <c r="A18" s="8" t="str">
        <f>IFERROR(__xludf.DUMMYFUNCTION("""COMPUTED_VALUE"""),"Paratelmatobius mantiqueira")</f>
        <v>Paratelmatobius mantiqueira</v>
      </c>
      <c r="B18" s="124">
        <f>SUMIFS(Data_raw!$K$2:$K$483,Data_raw!$F$2:$F$483,MP_T_Total!B$1,Data_raw!$A$2:$A$483,MP_T_Total!$A18) / SUMIF(Data_raw!$A$2:$A$483,MP_T_Total!$A18,Data_raw!$K$2:$K$483)</f>
        <v>0</v>
      </c>
      <c r="C18" s="124">
        <f>SUMIFS(Data_raw!$K$2:$K$483,Data_raw!$F$2:$F$483,MP_T_Total!C$1,Data_raw!$A$2:$A$483,MP_T_Total!$A18) / SUMIF(Data_raw!$A$2:$A$483,MP_T_Total!$A18,Data_raw!$K$2:$K$483)</f>
        <v>0</v>
      </c>
      <c r="D18" s="124">
        <f>SUMIFS(Data_raw!$K$2:$K$483,Data_raw!$F$2:$F$483,MP_T_Total!D$1,Data_raw!$A$2:$A$483,MP_T_Total!$A18) / SUMIF(Data_raw!$A$2:$A$483,MP_T_Total!$A18,Data_raw!$K$2:$K$483)</f>
        <v>0.01123595506</v>
      </c>
      <c r="E18" s="124">
        <f>SUMIFS(Data_raw!$K$2:$K$483,Data_raw!$F$2:$F$483,MP_T_Total!E$1,Data_raw!$A$2:$A$483,MP_T_Total!$A18) / SUMIF(Data_raw!$A$2:$A$483,MP_T_Total!$A18,Data_raw!$K$2:$K$483)</f>
        <v>0</v>
      </c>
      <c r="F18" s="124">
        <f>SUMIFS(Data_raw!$K$2:$K$483,Data_raw!$F$2:$F$483,MP_T_Total!F$1,Data_raw!$A$2:$A$483,MP_T_Total!$A18) / SUMIF(Data_raw!$A$2:$A$483,MP_T_Total!$A18,Data_raw!$K$2:$K$483)</f>
        <v>0</v>
      </c>
      <c r="G18" s="124">
        <f>SUMIFS(Data_raw!$K$2:$K$483,Data_raw!$F$2:$F$483,MP_T_Total!G$1,Data_raw!$A$2:$A$483,MP_T_Total!$A18) / SUMIF(Data_raw!$A$2:$A$483,MP_T_Total!$A18,Data_raw!$K$2:$K$483)</f>
        <v>0</v>
      </c>
      <c r="H18" s="124">
        <f>SUMIFS(Data_raw!$K$2:$K$483,Data_raw!$F$2:$F$483,MP_T_Total!H$1,Data_raw!$A$2:$A$483,MP_T_Total!$A18) / SUMIF(Data_raw!$A$2:$A$483,MP_T_Total!$A18,Data_raw!$K$2:$K$483)</f>
        <v>0</v>
      </c>
      <c r="I18" s="124">
        <f>SUMIFS(Data_raw!$K$2:$K$483,Data_raw!$F$2:$F$483,MP_T_Total!I$1,Data_raw!$A$2:$A$483,MP_T_Total!$A18) / SUMIF(Data_raw!$A$2:$A$483,MP_T_Total!$A18,Data_raw!$K$2:$K$483)</f>
        <v>0</v>
      </c>
      <c r="J18" s="124">
        <f>SUMIFS(Data_raw!$K$2:$K$483,Data_raw!$F$2:$F$483,MP_T_Total!J$1,Data_raw!$A$2:$A$483,MP_T_Total!$A18) / SUMIF(Data_raw!$A$2:$A$483,MP_T_Total!$A18,Data_raw!$K$2:$K$483)</f>
        <v>0</v>
      </c>
      <c r="K18" s="124">
        <f>SUMIFS(Data_raw!$K$2:$K$483,Data_raw!$F$2:$F$483,MP_T_Total!K$1,Data_raw!$A$2:$A$483,MP_T_Total!$A18) / SUMIF(Data_raw!$A$2:$A$483,MP_T_Total!$A18,Data_raw!$K$2:$K$483)</f>
        <v>0</v>
      </c>
      <c r="L18" s="124">
        <f>SUMIFS(Data_raw!$K$2:$K$483,Data_raw!$F$2:$F$483,MP_T_Total!L$1,Data_raw!$A$2:$A$483,MP_T_Total!$A18) / SUMIF(Data_raw!$A$2:$A$483,MP_T_Total!$A18,Data_raw!$K$2:$K$483)</f>
        <v>0</v>
      </c>
      <c r="M18" s="124">
        <f>SUMIFS(Data_raw!$K$2:$K$483,Data_raw!$F$2:$F$483,MP_T_Total!M$1,Data_raw!$A$2:$A$483,MP_T_Total!$A18) / SUMIF(Data_raw!$A$2:$A$483,MP_T_Total!$A18,Data_raw!$K$2:$K$483)</f>
        <v>0</v>
      </c>
      <c r="N18" s="124">
        <f>SUMIFS(Data_raw!$K$2:$K$483,Data_raw!$F$2:$F$483,MP_T_Total!N$1,Data_raw!$A$2:$A$483,MP_T_Total!$A18) / SUMIF(Data_raw!$A$2:$A$483,MP_T_Total!$A18,Data_raw!$K$2:$K$483)</f>
        <v>0</v>
      </c>
      <c r="O18" s="124">
        <f>SUMIFS(Data_raw!$K$2:$K$483,Data_raw!$F$2:$F$483,MP_T_Total!O$1,Data_raw!$A$2:$A$483,MP_T_Total!$A18) / SUMIF(Data_raw!$A$2:$A$483,MP_T_Total!$A18,Data_raw!$K$2:$K$483)</f>
        <v>0</v>
      </c>
      <c r="P18" s="124">
        <f>SUMIFS(Data_raw!$K$2:$K$483,Data_raw!$F$2:$F$483,MP_T_Total!P$1,Data_raw!$A$2:$A$483,MP_T_Total!$A18) / SUMIF(Data_raw!$A$2:$A$483,MP_T_Total!$A18,Data_raw!$K$2:$K$483)</f>
        <v>0</v>
      </c>
      <c r="Q18" s="124">
        <f>SUMIFS(Data_raw!$K$2:$K$483,Data_raw!$F$2:$F$483,MP_T_Total!Q$1,Data_raw!$A$2:$A$483,MP_T_Total!$A18) / SUMIF(Data_raw!$A$2:$A$483,MP_T_Total!$A18,Data_raw!$K$2:$K$483)</f>
        <v>0</v>
      </c>
      <c r="R18" s="124">
        <f>SUMIFS(Data_raw!$K$2:$K$483,Data_raw!$F$2:$F$483,MP_T_Total!R$1,Data_raw!$A$2:$A$483,MP_T_Total!$A18) / SUMIF(Data_raw!$A$2:$A$483,MP_T_Total!$A18,Data_raw!$K$2:$K$483)</f>
        <v>0.9887640449</v>
      </c>
      <c r="S18" s="124">
        <f>SUMIFS(Data_raw!$K$2:$K$483,Data_raw!$F$2:$F$483,MP_T_Total!S$1,Data_raw!$A$2:$A$483,MP_T_Total!$A18) / SUMIF(Data_raw!$A$2:$A$483,MP_T_Total!$A18,Data_raw!$K$2:$K$483)</f>
        <v>0</v>
      </c>
      <c r="T18" s="124">
        <f>SUMIFS(Data_raw!$K$2:$K$483,Data_raw!$F$2:$F$483,MP_T_Total!T$1,Data_raw!$A$2:$A$483,MP_T_Total!$A18) / SUMIF(Data_raw!$A$2:$A$483,MP_T_Total!$A18,Data_raw!$K$2:$K$483)</f>
        <v>0</v>
      </c>
      <c r="U18" s="124">
        <f>SUMIFS(Data_raw!$K$2:$K$483,Data_raw!$F$2:$F$483,MP_T_Total!U$1,Data_raw!$A$2:$A$483,MP_T_Total!$A18) / SUMIF(Data_raw!$A$2:$A$483,MP_T_Total!$A18,Data_raw!$K$2:$K$483)</f>
        <v>0</v>
      </c>
      <c r="V18" s="124">
        <f>SUMIFS(Data_raw!$K$2:$K$483,Data_raw!$F$2:$F$483,MP_T_Total!V$1,Data_raw!$A$2:$A$483,MP_T_Total!$A18) / SUMIF(Data_raw!$A$2:$A$483,MP_T_Total!$A18,Data_raw!$K$2:$K$483)</f>
        <v>0</v>
      </c>
      <c r="W18" s="124">
        <f>SUMIFS(Data_raw!$K$2:$K$483,Data_raw!$F$2:$F$483,MP_T_Total!W$1,Data_raw!$A$2:$A$483,MP_T_Total!$A18) / SUMIF(Data_raw!$A$2:$A$483,MP_T_Total!$A18,Data_raw!$K$2:$K$483)</f>
        <v>0</v>
      </c>
      <c r="X18" s="124">
        <f>SUMIFS(Data_raw!$K$2:$K$483,Data_raw!$F$2:$F$483,MP_T_Total!X$1,Data_raw!$A$2:$A$483,MP_T_Total!$A18) / SUMIF(Data_raw!$A$2:$A$483,MP_T_Total!$A18,Data_raw!$K$2:$K$483)</f>
        <v>0</v>
      </c>
      <c r="Y18" s="124">
        <f>SUMIFS(Data_raw!$K$2:$K$483,Data_raw!$F$2:$F$483,MP_T_Total!Y$1,Data_raw!$A$2:$A$483,MP_T_Total!$A18) / SUMIF(Data_raw!$A$2:$A$483,MP_T_Total!$A18,Data_raw!$K$2:$K$483)</f>
        <v>0</v>
      </c>
      <c r="Z18" s="124">
        <f>SUMIFS(Data_raw!$K$2:$K$483,Data_raw!$F$2:$F$483,MP_T_Total!Z$1,Data_raw!$A$2:$A$483,MP_T_Total!$A18) / SUMIF(Data_raw!$A$2:$A$483,MP_T_Total!$A18,Data_raw!$K$2:$K$483)</f>
        <v>0</v>
      </c>
      <c r="AA18" s="124">
        <f>SUMIFS(Data_raw!$K$2:$K$483,Data_raw!$F$2:$F$483,MP_T_Total!AA$1,Data_raw!$A$2:$A$483,MP_T_Total!$A18) / SUMIF(Data_raw!$A$2:$A$483,MP_T_Total!$A18,Data_raw!$K$2:$K$483)</f>
        <v>0</v>
      </c>
      <c r="AB18" s="124">
        <f>SUMIFS(Data_raw!$K$2:$K$483,Data_raw!$F$2:$F$483,MP_T_Total!AB$1,Data_raw!$A$2:$A$483,MP_T_Total!$A18) / SUMIF(Data_raw!$A$2:$A$483,MP_T_Total!$A18,Data_raw!$K$2:$K$483)</f>
        <v>0</v>
      </c>
      <c r="AC18" s="124">
        <f>SUMIFS(Data_raw!$K$2:$K$483,Data_raw!$F$2:$F$483,MP_T_Total!AC$1,Data_raw!$A$2:$A$483,MP_T_Total!$A18) / SUMIF(Data_raw!$A$2:$A$483,MP_T_Total!$A18,Data_raw!$K$2:$K$483)</f>
        <v>0</v>
      </c>
      <c r="AD18" s="124">
        <f>SUMIFS(Data_raw!$K$2:$K$483,Data_raw!$F$2:$F$483,MP_T_Total!AD$1,Data_raw!$A$2:$A$483,MP_T_Total!$A18) / SUMIF(Data_raw!$A$2:$A$483,MP_T_Total!$A18,Data_raw!$K$2:$K$483)</f>
        <v>0</v>
      </c>
      <c r="AE18" s="124">
        <f>SUMIFS(Data_raw!$K$2:$K$483,Data_raw!$F$2:$F$483,MP_T_Total!AE$1,Data_raw!$A$2:$A$483,MP_T_Total!$A18) / SUMIF(Data_raw!$A$2:$A$483,MP_T_Total!$A18,Data_raw!$K$2:$K$483)</f>
        <v>0</v>
      </c>
    </row>
    <row r="19">
      <c r="A19" s="8" t="str">
        <f>IFERROR(__xludf.DUMMYFUNCTION("""COMPUTED_VALUE"""),"Physalaemus cuvieri")</f>
        <v>Physalaemus cuvieri</v>
      </c>
      <c r="B19" s="124">
        <f>SUMIFS(Data_raw!$K$2:$K$483,Data_raw!$F$2:$F$483,MP_T_Total!B$1,Data_raw!$A$2:$A$483,MP_T_Total!$A19) / SUMIF(Data_raw!$A$2:$A$483,MP_T_Total!$A19,Data_raw!$K$2:$K$483)</f>
        <v>0</v>
      </c>
      <c r="C19" s="124">
        <f>SUMIFS(Data_raw!$K$2:$K$483,Data_raw!$F$2:$F$483,MP_T_Total!C$1,Data_raw!$A$2:$A$483,MP_T_Total!$A19) / SUMIF(Data_raw!$A$2:$A$483,MP_T_Total!$A19,Data_raw!$K$2:$K$483)</f>
        <v>0</v>
      </c>
      <c r="D19" s="124">
        <f>SUMIFS(Data_raw!$K$2:$K$483,Data_raw!$F$2:$F$483,MP_T_Total!D$1,Data_raw!$A$2:$A$483,MP_T_Total!$A19) / SUMIF(Data_raw!$A$2:$A$483,MP_T_Total!$A19,Data_raw!$K$2:$K$483)</f>
        <v>0</v>
      </c>
      <c r="E19" s="124">
        <f>SUMIFS(Data_raw!$K$2:$K$483,Data_raw!$F$2:$F$483,MP_T_Total!E$1,Data_raw!$A$2:$A$483,MP_T_Total!$A19) / SUMIF(Data_raw!$A$2:$A$483,MP_T_Total!$A19,Data_raw!$K$2:$K$483)</f>
        <v>0</v>
      </c>
      <c r="F19" s="124">
        <f>SUMIFS(Data_raw!$K$2:$K$483,Data_raw!$F$2:$F$483,MP_T_Total!F$1,Data_raw!$A$2:$A$483,MP_T_Total!$A19) / SUMIF(Data_raw!$A$2:$A$483,MP_T_Total!$A19,Data_raw!$K$2:$K$483)</f>
        <v>0</v>
      </c>
      <c r="G19" s="124">
        <f>SUMIFS(Data_raw!$K$2:$K$483,Data_raw!$F$2:$F$483,MP_T_Total!G$1,Data_raw!$A$2:$A$483,MP_T_Total!$A19) / SUMIF(Data_raw!$A$2:$A$483,MP_T_Total!$A19,Data_raw!$K$2:$K$483)</f>
        <v>0</v>
      </c>
      <c r="H19" s="124">
        <f>SUMIFS(Data_raw!$K$2:$K$483,Data_raw!$F$2:$F$483,MP_T_Total!H$1,Data_raw!$A$2:$A$483,MP_T_Total!$A19) / SUMIF(Data_raw!$A$2:$A$483,MP_T_Total!$A19,Data_raw!$K$2:$K$483)</f>
        <v>0</v>
      </c>
      <c r="I19" s="124">
        <f>SUMIFS(Data_raw!$K$2:$K$483,Data_raw!$F$2:$F$483,MP_T_Total!I$1,Data_raw!$A$2:$A$483,MP_T_Total!$A19) / SUMIF(Data_raw!$A$2:$A$483,MP_T_Total!$A19,Data_raw!$K$2:$K$483)</f>
        <v>0</v>
      </c>
      <c r="J19" s="124">
        <f>SUMIFS(Data_raw!$K$2:$K$483,Data_raw!$F$2:$F$483,MP_T_Total!J$1,Data_raw!$A$2:$A$483,MP_T_Total!$A19) / SUMIF(Data_raw!$A$2:$A$483,MP_T_Total!$A19,Data_raw!$K$2:$K$483)</f>
        <v>0</v>
      </c>
      <c r="K19" s="124">
        <f>SUMIFS(Data_raw!$K$2:$K$483,Data_raw!$F$2:$F$483,MP_T_Total!K$1,Data_raw!$A$2:$A$483,MP_T_Total!$A19) / SUMIF(Data_raw!$A$2:$A$483,MP_T_Total!$A19,Data_raw!$K$2:$K$483)</f>
        <v>0</v>
      </c>
      <c r="L19" s="124">
        <f>SUMIFS(Data_raw!$K$2:$K$483,Data_raw!$F$2:$F$483,MP_T_Total!L$1,Data_raw!$A$2:$A$483,MP_T_Total!$A19) / SUMIF(Data_raw!$A$2:$A$483,MP_T_Total!$A19,Data_raw!$K$2:$K$483)</f>
        <v>0</v>
      </c>
      <c r="M19" s="124">
        <f>SUMIFS(Data_raw!$K$2:$K$483,Data_raw!$F$2:$F$483,MP_T_Total!M$1,Data_raw!$A$2:$A$483,MP_T_Total!$A19) / SUMIF(Data_raw!$A$2:$A$483,MP_T_Total!$A19,Data_raw!$K$2:$K$483)</f>
        <v>0</v>
      </c>
      <c r="N19" s="124">
        <f>SUMIFS(Data_raw!$K$2:$K$483,Data_raw!$F$2:$F$483,MP_T_Total!N$1,Data_raw!$A$2:$A$483,MP_T_Total!$A19) / SUMIF(Data_raw!$A$2:$A$483,MP_T_Total!$A19,Data_raw!$K$2:$K$483)</f>
        <v>1</v>
      </c>
      <c r="O19" s="124">
        <f>SUMIFS(Data_raw!$K$2:$K$483,Data_raw!$F$2:$F$483,MP_T_Total!O$1,Data_raw!$A$2:$A$483,MP_T_Total!$A19) / SUMIF(Data_raw!$A$2:$A$483,MP_T_Total!$A19,Data_raw!$K$2:$K$483)</f>
        <v>0</v>
      </c>
      <c r="P19" s="124">
        <f>SUMIFS(Data_raw!$K$2:$K$483,Data_raw!$F$2:$F$483,MP_T_Total!P$1,Data_raw!$A$2:$A$483,MP_T_Total!$A19) / SUMIF(Data_raw!$A$2:$A$483,MP_T_Total!$A19,Data_raw!$K$2:$K$483)</f>
        <v>0</v>
      </c>
      <c r="Q19" s="124">
        <f>SUMIFS(Data_raw!$K$2:$K$483,Data_raw!$F$2:$F$483,MP_T_Total!Q$1,Data_raw!$A$2:$A$483,MP_T_Total!$A19) / SUMIF(Data_raw!$A$2:$A$483,MP_T_Total!$A19,Data_raw!$K$2:$K$483)</f>
        <v>0</v>
      </c>
      <c r="R19" s="124">
        <f>SUMIFS(Data_raw!$K$2:$K$483,Data_raw!$F$2:$F$483,MP_T_Total!R$1,Data_raw!$A$2:$A$483,MP_T_Total!$A19) / SUMIF(Data_raw!$A$2:$A$483,MP_T_Total!$A19,Data_raw!$K$2:$K$483)</f>
        <v>0</v>
      </c>
      <c r="S19" s="124">
        <f>SUMIFS(Data_raw!$K$2:$K$483,Data_raw!$F$2:$F$483,MP_T_Total!S$1,Data_raw!$A$2:$A$483,MP_T_Total!$A19) / SUMIF(Data_raw!$A$2:$A$483,MP_T_Total!$A19,Data_raw!$K$2:$K$483)</f>
        <v>0</v>
      </c>
      <c r="T19" s="124">
        <f>SUMIFS(Data_raw!$K$2:$K$483,Data_raw!$F$2:$F$483,MP_T_Total!T$1,Data_raw!$A$2:$A$483,MP_T_Total!$A19) / SUMIF(Data_raw!$A$2:$A$483,MP_T_Total!$A19,Data_raw!$K$2:$K$483)</f>
        <v>0</v>
      </c>
      <c r="U19" s="124">
        <f>SUMIFS(Data_raw!$K$2:$K$483,Data_raw!$F$2:$F$483,MP_T_Total!U$1,Data_raw!$A$2:$A$483,MP_T_Total!$A19) / SUMIF(Data_raw!$A$2:$A$483,MP_T_Total!$A19,Data_raw!$K$2:$K$483)</f>
        <v>0</v>
      </c>
      <c r="V19" s="124">
        <f>SUMIFS(Data_raw!$K$2:$K$483,Data_raw!$F$2:$F$483,MP_T_Total!V$1,Data_raw!$A$2:$A$483,MP_T_Total!$A19) / SUMIF(Data_raw!$A$2:$A$483,MP_T_Total!$A19,Data_raw!$K$2:$K$483)</f>
        <v>0</v>
      </c>
      <c r="W19" s="124">
        <f>SUMIFS(Data_raw!$K$2:$K$483,Data_raw!$F$2:$F$483,MP_T_Total!W$1,Data_raw!$A$2:$A$483,MP_T_Total!$A19) / SUMIF(Data_raw!$A$2:$A$483,MP_T_Total!$A19,Data_raw!$K$2:$K$483)</f>
        <v>0</v>
      </c>
      <c r="X19" s="124">
        <f>SUMIFS(Data_raw!$K$2:$K$483,Data_raw!$F$2:$F$483,MP_T_Total!X$1,Data_raw!$A$2:$A$483,MP_T_Total!$A19) / SUMIF(Data_raw!$A$2:$A$483,MP_T_Total!$A19,Data_raw!$K$2:$K$483)</f>
        <v>0</v>
      </c>
      <c r="Y19" s="124">
        <f>SUMIFS(Data_raw!$K$2:$K$483,Data_raw!$F$2:$F$483,MP_T_Total!Y$1,Data_raw!$A$2:$A$483,MP_T_Total!$A19) / SUMIF(Data_raw!$A$2:$A$483,MP_T_Total!$A19,Data_raw!$K$2:$K$483)</f>
        <v>0</v>
      </c>
      <c r="Z19" s="124">
        <f>SUMIFS(Data_raw!$K$2:$K$483,Data_raw!$F$2:$F$483,MP_T_Total!Z$1,Data_raw!$A$2:$A$483,MP_T_Total!$A19) / SUMIF(Data_raw!$A$2:$A$483,MP_T_Total!$A19,Data_raw!$K$2:$K$483)</f>
        <v>0</v>
      </c>
      <c r="AA19" s="124">
        <f>SUMIFS(Data_raw!$K$2:$K$483,Data_raw!$F$2:$F$483,MP_T_Total!AA$1,Data_raw!$A$2:$A$483,MP_T_Total!$A19) / SUMIF(Data_raw!$A$2:$A$483,MP_T_Total!$A19,Data_raw!$K$2:$K$483)</f>
        <v>0</v>
      </c>
      <c r="AB19" s="124">
        <f>SUMIFS(Data_raw!$K$2:$K$483,Data_raw!$F$2:$F$483,MP_T_Total!AB$1,Data_raw!$A$2:$A$483,MP_T_Total!$A19) / SUMIF(Data_raw!$A$2:$A$483,MP_T_Total!$A19,Data_raw!$K$2:$K$483)</f>
        <v>0</v>
      </c>
      <c r="AC19" s="124">
        <f>SUMIFS(Data_raw!$K$2:$K$483,Data_raw!$F$2:$F$483,MP_T_Total!AC$1,Data_raw!$A$2:$A$483,MP_T_Total!$A19) / SUMIF(Data_raw!$A$2:$A$483,MP_T_Total!$A19,Data_raw!$K$2:$K$483)</f>
        <v>0</v>
      </c>
      <c r="AD19" s="124">
        <f>SUMIFS(Data_raw!$K$2:$K$483,Data_raw!$F$2:$F$483,MP_T_Total!AD$1,Data_raw!$A$2:$A$483,MP_T_Total!$A19) / SUMIF(Data_raw!$A$2:$A$483,MP_T_Total!$A19,Data_raw!$K$2:$K$483)</f>
        <v>0</v>
      </c>
      <c r="AE19" s="124">
        <f>SUMIFS(Data_raw!$K$2:$K$483,Data_raw!$F$2:$F$483,MP_T_Total!AE$1,Data_raw!$A$2:$A$483,MP_T_Total!$A19) / SUMIF(Data_raw!$A$2:$A$483,MP_T_Total!$A19,Data_raw!$K$2:$K$483)</f>
        <v>0</v>
      </c>
    </row>
    <row r="20">
      <c r="A20" s="8" t="str">
        <f>IFERROR(__xludf.DUMMYFUNCTION("""COMPUTED_VALUE"""),"Physalaemus olfersii")</f>
        <v>Physalaemus olfersii</v>
      </c>
      <c r="B20" s="124">
        <f>SUMIFS(Data_raw!$K$2:$K$483,Data_raw!$F$2:$F$483,MP_T_Total!B$1,Data_raw!$A$2:$A$483,MP_T_Total!$A20) / SUMIF(Data_raw!$A$2:$A$483,MP_T_Total!$A20,Data_raw!$K$2:$K$483)</f>
        <v>0</v>
      </c>
      <c r="C20" s="124">
        <f>SUMIFS(Data_raw!$K$2:$K$483,Data_raw!$F$2:$F$483,MP_T_Total!C$1,Data_raw!$A$2:$A$483,MP_T_Total!$A20) / SUMIF(Data_raw!$A$2:$A$483,MP_T_Total!$A20,Data_raw!$K$2:$K$483)</f>
        <v>0</v>
      </c>
      <c r="D20" s="124">
        <f>SUMIFS(Data_raw!$K$2:$K$483,Data_raw!$F$2:$F$483,MP_T_Total!D$1,Data_raw!$A$2:$A$483,MP_T_Total!$A20) / SUMIF(Data_raw!$A$2:$A$483,MP_T_Total!$A20,Data_raw!$K$2:$K$483)</f>
        <v>0.01760176018</v>
      </c>
      <c r="E20" s="124">
        <f>SUMIFS(Data_raw!$K$2:$K$483,Data_raw!$F$2:$F$483,MP_T_Total!E$1,Data_raw!$A$2:$A$483,MP_T_Total!$A20) / SUMIF(Data_raw!$A$2:$A$483,MP_T_Total!$A20,Data_raw!$K$2:$K$483)</f>
        <v>0</v>
      </c>
      <c r="F20" s="124">
        <f>SUMIFS(Data_raw!$K$2:$K$483,Data_raw!$F$2:$F$483,MP_T_Total!F$1,Data_raw!$A$2:$A$483,MP_T_Total!$A20) / SUMIF(Data_raw!$A$2:$A$483,MP_T_Total!$A20,Data_raw!$K$2:$K$483)</f>
        <v>0</v>
      </c>
      <c r="G20" s="124">
        <f>SUMIFS(Data_raw!$K$2:$K$483,Data_raw!$F$2:$F$483,MP_T_Total!G$1,Data_raw!$A$2:$A$483,MP_T_Total!$A20) / SUMIF(Data_raw!$A$2:$A$483,MP_T_Total!$A20,Data_raw!$K$2:$K$483)</f>
        <v>0</v>
      </c>
      <c r="H20" s="124">
        <f>SUMIFS(Data_raw!$K$2:$K$483,Data_raw!$F$2:$F$483,MP_T_Total!H$1,Data_raw!$A$2:$A$483,MP_T_Total!$A20) / SUMIF(Data_raw!$A$2:$A$483,MP_T_Total!$A20,Data_raw!$K$2:$K$483)</f>
        <v>0.3058305831</v>
      </c>
      <c r="I20" s="124">
        <f>SUMIFS(Data_raw!$K$2:$K$483,Data_raw!$F$2:$F$483,MP_T_Total!I$1,Data_raw!$A$2:$A$483,MP_T_Total!$A20) / SUMIF(Data_raw!$A$2:$A$483,MP_T_Total!$A20,Data_raw!$K$2:$K$483)</f>
        <v>0</v>
      </c>
      <c r="J20" s="124">
        <f>SUMIFS(Data_raw!$K$2:$K$483,Data_raw!$F$2:$F$483,MP_T_Total!J$1,Data_raw!$A$2:$A$483,MP_T_Total!$A20) / SUMIF(Data_raw!$A$2:$A$483,MP_T_Total!$A20,Data_raw!$K$2:$K$483)</f>
        <v>0</v>
      </c>
      <c r="K20" s="124">
        <f>SUMIFS(Data_raw!$K$2:$K$483,Data_raw!$F$2:$F$483,MP_T_Total!K$1,Data_raw!$A$2:$A$483,MP_T_Total!$A20) / SUMIF(Data_raw!$A$2:$A$483,MP_T_Total!$A20,Data_raw!$K$2:$K$483)</f>
        <v>0</v>
      </c>
      <c r="L20" s="124">
        <f>SUMIFS(Data_raw!$K$2:$K$483,Data_raw!$F$2:$F$483,MP_T_Total!L$1,Data_raw!$A$2:$A$483,MP_T_Total!$A20) / SUMIF(Data_raw!$A$2:$A$483,MP_T_Total!$A20,Data_raw!$K$2:$K$483)</f>
        <v>0</v>
      </c>
      <c r="M20" s="124">
        <f>SUMIFS(Data_raw!$K$2:$K$483,Data_raw!$F$2:$F$483,MP_T_Total!M$1,Data_raw!$A$2:$A$483,MP_T_Total!$A20) / SUMIF(Data_raw!$A$2:$A$483,MP_T_Total!$A20,Data_raw!$K$2:$K$483)</f>
        <v>0</v>
      </c>
      <c r="N20" s="124">
        <f>SUMIFS(Data_raw!$K$2:$K$483,Data_raw!$F$2:$F$483,MP_T_Total!N$1,Data_raw!$A$2:$A$483,MP_T_Total!$A20) / SUMIF(Data_raw!$A$2:$A$483,MP_T_Total!$A20,Data_raw!$K$2:$K$483)</f>
        <v>0.4653465347</v>
      </c>
      <c r="O20" s="124">
        <f>SUMIFS(Data_raw!$K$2:$K$483,Data_raw!$F$2:$F$483,MP_T_Total!O$1,Data_raw!$A$2:$A$483,MP_T_Total!$A20) / SUMIF(Data_raw!$A$2:$A$483,MP_T_Total!$A20,Data_raw!$K$2:$K$483)</f>
        <v>0</v>
      </c>
      <c r="P20" s="124">
        <f>SUMIFS(Data_raw!$K$2:$K$483,Data_raw!$F$2:$F$483,MP_T_Total!P$1,Data_raw!$A$2:$A$483,MP_T_Total!$A20) / SUMIF(Data_raw!$A$2:$A$483,MP_T_Total!$A20,Data_raw!$K$2:$K$483)</f>
        <v>0</v>
      </c>
      <c r="Q20" s="124">
        <f>SUMIFS(Data_raw!$K$2:$K$483,Data_raw!$F$2:$F$483,MP_T_Total!Q$1,Data_raw!$A$2:$A$483,MP_T_Total!$A20) / SUMIF(Data_raw!$A$2:$A$483,MP_T_Total!$A20,Data_raw!$K$2:$K$483)</f>
        <v>0</v>
      </c>
      <c r="R20" s="124">
        <f>SUMIFS(Data_raw!$K$2:$K$483,Data_raw!$F$2:$F$483,MP_T_Total!R$1,Data_raw!$A$2:$A$483,MP_T_Total!$A20) / SUMIF(Data_raw!$A$2:$A$483,MP_T_Total!$A20,Data_raw!$K$2:$K$483)</f>
        <v>0</v>
      </c>
      <c r="S20" s="124">
        <f>SUMIFS(Data_raw!$K$2:$K$483,Data_raw!$F$2:$F$483,MP_T_Total!S$1,Data_raw!$A$2:$A$483,MP_T_Total!$A20) / SUMIF(Data_raw!$A$2:$A$483,MP_T_Total!$A20,Data_raw!$K$2:$K$483)</f>
        <v>0</v>
      </c>
      <c r="T20" s="124">
        <f>SUMIFS(Data_raw!$K$2:$K$483,Data_raw!$F$2:$F$483,MP_T_Total!T$1,Data_raw!$A$2:$A$483,MP_T_Total!$A20) / SUMIF(Data_raw!$A$2:$A$483,MP_T_Total!$A20,Data_raw!$K$2:$K$483)</f>
        <v>0</v>
      </c>
      <c r="U20" s="124">
        <f>SUMIFS(Data_raw!$K$2:$K$483,Data_raw!$F$2:$F$483,MP_T_Total!U$1,Data_raw!$A$2:$A$483,MP_T_Total!$A20) / SUMIF(Data_raw!$A$2:$A$483,MP_T_Total!$A20,Data_raw!$K$2:$K$483)</f>
        <v>0</v>
      </c>
      <c r="V20" s="124">
        <f>SUMIFS(Data_raw!$K$2:$K$483,Data_raw!$F$2:$F$483,MP_T_Total!V$1,Data_raw!$A$2:$A$483,MP_T_Total!$A20) / SUMIF(Data_raw!$A$2:$A$483,MP_T_Total!$A20,Data_raw!$K$2:$K$483)</f>
        <v>0</v>
      </c>
      <c r="W20" s="124">
        <f>SUMIFS(Data_raw!$K$2:$K$483,Data_raw!$F$2:$F$483,MP_T_Total!W$1,Data_raw!$A$2:$A$483,MP_T_Total!$A20) / SUMIF(Data_raw!$A$2:$A$483,MP_T_Total!$A20,Data_raw!$K$2:$K$483)</f>
        <v>0</v>
      </c>
      <c r="X20" s="124">
        <f>SUMIFS(Data_raw!$K$2:$K$483,Data_raw!$F$2:$F$483,MP_T_Total!X$1,Data_raw!$A$2:$A$483,MP_T_Total!$A20) / SUMIF(Data_raw!$A$2:$A$483,MP_T_Total!$A20,Data_raw!$K$2:$K$483)</f>
        <v>0</v>
      </c>
      <c r="Y20" s="124">
        <f>SUMIFS(Data_raw!$K$2:$K$483,Data_raw!$F$2:$F$483,MP_T_Total!Y$1,Data_raw!$A$2:$A$483,MP_T_Total!$A20) / SUMIF(Data_raw!$A$2:$A$483,MP_T_Total!$A20,Data_raw!$K$2:$K$483)</f>
        <v>0</v>
      </c>
      <c r="Z20" s="124">
        <f>SUMIFS(Data_raw!$K$2:$K$483,Data_raw!$F$2:$F$483,MP_T_Total!Z$1,Data_raw!$A$2:$A$483,MP_T_Total!$A20) / SUMIF(Data_raw!$A$2:$A$483,MP_T_Total!$A20,Data_raw!$K$2:$K$483)</f>
        <v>0</v>
      </c>
      <c r="AA20" s="124">
        <f>SUMIFS(Data_raw!$K$2:$K$483,Data_raw!$F$2:$F$483,MP_T_Total!AA$1,Data_raw!$A$2:$A$483,MP_T_Total!$A20) / SUMIF(Data_raw!$A$2:$A$483,MP_T_Total!$A20,Data_raw!$K$2:$K$483)</f>
        <v>0</v>
      </c>
      <c r="AB20" s="124">
        <f>SUMIFS(Data_raw!$K$2:$K$483,Data_raw!$F$2:$F$483,MP_T_Total!AB$1,Data_raw!$A$2:$A$483,MP_T_Total!$A20) / SUMIF(Data_raw!$A$2:$A$483,MP_T_Total!$A20,Data_raw!$K$2:$K$483)</f>
        <v>0</v>
      </c>
      <c r="AC20" s="124">
        <f>SUMIFS(Data_raw!$K$2:$K$483,Data_raw!$F$2:$F$483,MP_T_Total!AC$1,Data_raw!$A$2:$A$483,MP_T_Total!$A20) / SUMIF(Data_raw!$A$2:$A$483,MP_T_Total!$A20,Data_raw!$K$2:$K$483)</f>
        <v>0.2112211221</v>
      </c>
      <c r="AD20" s="124">
        <f>SUMIFS(Data_raw!$K$2:$K$483,Data_raw!$F$2:$F$483,MP_T_Total!AD$1,Data_raw!$A$2:$A$483,MP_T_Total!$A20) / SUMIF(Data_raw!$A$2:$A$483,MP_T_Total!$A20,Data_raw!$K$2:$K$483)</f>
        <v>0</v>
      </c>
      <c r="AE20" s="124">
        <f>SUMIFS(Data_raw!$K$2:$K$483,Data_raw!$F$2:$F$483,MP_T_Total!AE$1,Data_raw!$A$2:$A$483,MP_T_Total!$A20) / SUMIF(Data_raw!$A$2:$A$483,MP_T_Total!$A20,Data_raw!$K$2:$K$483)</f>
        <v>0</v>
      </c>
    </row>
    <row r="21">
      <c r="A21" s="8" t="str">
        <f>IFERROR(__xludf.DUMMYFUNCTION("""COMPUTED_VALUE"""),"Proceratophrys boiei")</f>
        <v>Proceratophrys boiei</v>
      </c>
      <c r="B21" s="124">
        <f>SUMIFS(Data_raw!$K$2:$K$483,Data_raw!$F$2:$F$483,MP_T_Total!B$1,Data_raw!$A$2:$A$483,MP_T_Total!$A21) / SUMIF(Data_raw!$A$2:$A$483,MP_T_Total!$A21,Data_raw!$K$2:$K$483)</f>
        <v>0.0002259887006</v>
      </c>
      <c r="C21" s="124">
        <f>SUMIFS(Data_raw!$K$2:$K$483,Data_raw!$F$2:$F$483,MP_T_Total!C$1,Data_raw!$A$2:$A$483,MP_T_Total!$A21) / SUMIF(Data_raw!$A$2:$A$483,MP_T_Total!$A21,Data_raw!$K$2:$K$483)</f>
        <v>0</v>
      </c>
      <c r="D21" s="124">
        <f>SUMIFS(Data_raw!$K$2:$K$483,Data_raw!$F$2:$F$483,MP_T_Total!D$1,Data_raw!$A$2:$A$483,MP_T_Total!$A21) / SUMIF(Data_raw!$A$2:$A$483,MP_T_Total!$A21,Data_raw!$K$2:$K$483)</f>
        <v>0</v>
      </c>
      <c r="E21" s="124">
        <f>SUMIFS(Data_raw!$K$2:$K$483,Data_raw!$F$2:$F$483,MP_T_Total!E$1,Data_raw!$A$2:$A$483,MP_T_Total!$A21) / SUMIF(Data_raw!$A$2:$A$483,MP_T_Total!$A21,Data_raw!$K$2:$K$483)</f>
        <v>0</v>
      </c>
      <c r="F21" s="124">
        <f>SUMIFS(Data_raw!$K$2:$K$483,Data_raw!$F$2:$F$483,MP_T_Total!F$1,Data_raw!$A$2:$A$483,MP_T_Total!$A21) / SUMIF(Data_raw!$A$2:$A$483,MP_T_Total!$A21,Data_raw!$K$2:$K$483)</f>
        <v>0</v>
      </c>
      <c r="G21" s="124">
        <f>SUMIFS(Data_raw!$K$2:$K$483,Data_raw!$F$2:$F$483,MP_T_Total!G$1,Data_raw!$A$2:$A$483,MP_T_Total!$A21) / SUMIF(Data_raw!$A$2:$A$483,MP_T_Total!$A21,Data_raw!$K$2:$K$483)</f>
        <v>0.0009039548023</v>
      </c>
      <c r="H21" s="124">
        <f>SUMIFS(Data_raw!$K$2:$K$483,Data_raw!$F$2:$F$483,MP_T_Total!H$1,Data_raw!$A$2:$A$483,MP_T_Total!$A21) / SUMIF(Data_raw!$A$2:$A$483,MP_T_Total!$A21,Data_raw!$K$2:$K$483)</f>
        <v>0.8666666667</v>
      </c>
      <c r="I21" s="124">
        <f>SUMIFS(Data_raw!$K$2:$K$483,Data_raw!$F$2:$F$483,MP_T_Total!I$1,Data_raw!$A$2:$A$483,MP_T_Total!$A21) / SUMIF(Data_raw!$A$2:$A$483,MP_T_Total!$A21,Data_raw!$K$2:$K$483)</f>
        <v>0</v>
      </c>
      <c r="J21" s="124">
        <f>SUMIFS(Data_raw!$K$2:$K$483,Data_raw!$F$2:$F$483,MP_T_Total!J$1,Data_raw!$A$2:$A$483,MP_T_Total!$A21) / SUMIF(Data_raw!$A$2:$A$483,MP_T_Total!$A21,Data_raw!$K$2:$K$483)</f>
        <v>0</v>
      </c>
      <c r="K21" s="124">
        <f>SUMIFS(Data_raw!$K$2:$K$483,Data_raw!$F$2:$F$483,MP_T_Total!K$1,Data_raw!$A$2:$A$483,MP_T_Total!$A21) / SUMIF(Data_raw!$A$2:$A$483,MP_T_Total!$A21,Data_raw!$K$2:$K$483)</f>
        <v>0</v>
      </c>
      <c r="L21" s="124">
        <f>SUMIFS(Data_raw!$K$2:$K$483,Data_raw!$F$2:$F$483,MP_T_Total!L$1,Data_raw!$A$2:$A$483,MP_T_Total!$A21) / SUMIF(Data_raw!$A$2:$A$483,MP_T_Total!$A21,Data_raw!$K$2:$K$483)</f>
        <v>0.001129943503</v>
      </c>
      <c r="M21" s="124">
        <f>SUMIFS(Data_raw!$K$2:$K$483,Data_raw!$F$2:$F$483,MP_T_Total!M$1,Data_raw!$A$2:$A$483,MP_T_Total!$A21) / SUMIF(Data_raw!$A$2:$A$483,MP_T_Total!$A21,Data_raw!$K$2:$K$483)</f>
        <v>0.1107344633</v>
      </c>
      <c r="N21" s="124">
        <f>SUMIFS(Data_raw!$K$2:$K$483,Data_raw!$F$2:$F$483,MP_T_Total!N$1,Data_raw!$A$2:$A$483,MP_T_Total!$A21) / SUMIF(Data_raw!$A$2:$A$483,MP_T_Total!$A21,Data_raw!$K$2:$K$483)</f>
        <v>0</v>
      </c>
      <c r="O21" s="124">
        <f>SUMIFS(Data_raw!$K$2:$K$483,Data_raw!$F$2:$F$483,MP_T_Total!O$1,Data_raw!$A$2:$A$483,MP_T_Total!$A21) / SUMIF(Data_raw!$A$2:$A$483,MP_T_Total!$A21,Data_raw!$K$2:$K$483)</f>
        <v>0</v>
      </c>
      <c r="P21" s="124">
        <f>SUMIFS(Data_raw!$K$2:$K$483,Data_raw!$F$2:$F$483,MP_T_Total!P$1,Data_raw!$A$2:$A$483,MP_T_Total!$A21) / SUMIF(Data_raw!$A$2:$A$483,MP_T_Total!$A21,Data_raw!$K$2:$K$483)</f>
        <v>0</v>
      </c>
      <c r="Q21" s="124">
        <f>SUMIFS(Data_raw!$K$2:$K$483,Data_raw!$F$2:$F$483,MP_T_Total!Q$1,Data_raw!$A$2:$A$483,MP_T_Total!$A21) / SUMIF(Data_raw!$A$2:$A$483,MP_T_Total!$A21,Data_raw!$K$2:$K$483)</f>
        <v>0</v>
      </c>
      <c r="R21" s="124">
        <f>SUMIFS(Data_raw!$K$2:$K$483,Data_raw!$F$2:$F$483,MP_T_Total!R$1,Data_raw!$A$2:$A$483,MP_T_Total!$A21) / SUMIF(Data_raw!$A$2:$A$483,MP_T_Total!$A21,Data_raw!$K$2:$K$483)</f>
        <v>0.00406779661</v>
      </c>
      <c r="S21" s="124">
        <f>SUMIFS(Data_raw!$K$2:$K$483,Data_raw!$F$2:$F$483,MP_T_Total!S$1,Data_raw!$A$2:$A$483,MP_T_Total!$A21) / SUMIF(Data_raw!$A$2:$A$483,MP_T_Total!$A21,Data_raw!$K$2:$K$483)</f>
        <v>0</v>
      </c>
      <c r="T21" s="124">
        <f>SUMIFS(Data_raw!$K$2:$K$483,Data_raw!$F$2:$F$483,MP_T_Total!T$1,Data_raw!$A$2:$A$483,MP_T_Total!$A21) / SUMIF(Data_raw!$A$2:$A$483,MP_T_Total!$A21,Data_raw!$K$2:$K$483)</f>
        <v>0</v>
      </c>
      <c r="U21" s="124">
        <f>SUMIFS(Data_raw!$K$2:$K$483,Data_raw!$F$2:$F$483,MP_T_Total!U$1,Data_raw!$A$2:$A$483,MP_T_Total!$A21) / SUMIF(Data_raw!$A$2:$A$483,MP_T_Total!$A21,Data_raw!$K$2:$K$483)</f>
        <v>0</v>
      </c>
      <c r="V21" s="124">
        <f>SUMIFS(Data_raw!$K$2:$K$483,Data_raw!$F$2:$F$483,MP_T_Total!V$1,Data_raw!$A$2:$A$483,MP_T_Total!$A21) / SUMIF(Data_raw!$A$2:$A$483,MP_T_Total!$A21,Data_raw!$K$2:$K$483)</f>
        <v>0</v>
      </c>
      <c r="W21" s="124">
        <f>SUMIFS(Data_raw!$K$2:$K$483,Data_raw!$F$2:$F$483,MP_T_Total!W$1,Data_raw!$A$2:$A$483,MP_T_Total!$A21) / SUMIF(Data_raw!$A$2:$A$483,MP_T_Total!$A21,Data_raw!$K$2:$K$483)</f>
        <v>0</v>
      </c>
      <c r="X21" s="124">
        <f>SUMIFS(Data_raw!$K$2:$K$483,Data_raw!$F$2:$F$483,MP_T_Total!X$1,Data_raw!$A$2:$A$483,MP_T_Total!$A21) / SUMIF(Data_raw!$A$2:$A$483,MP_T_Total!$A21,Data_raw!$K$2:$K$483)</f>
        <v>0</v>
      </c>
      <c r="Y21" s="124">
        <f>SUMIFS(Data_raw!$K$2:$K$483,Data_raw!$F$2:$F$483,MP_T_Total!Y$1,Data_raw!$A$2:$A$483,MP_T_Total!$A21) / SUMIF(Data_raw!$A$2:$A$483,MP_T_Total!$A21,Data_raw!$K$2:$K$483)</f>
        <v>0</v>
      </c>
      <c r="Z21" s="124">
        <f>SUMIFS(Data_raw!$K$2:$K$483,Data_raw!$F$2:$F$483,MP_T_Total!Z$1,Data_raw!$A$2:$A$483,MP_T_Total!$A21) / SUMIF(Data_raw!$A$2:$A$483,MP_T_Total!$A21,Data_raw!$K$2:$K$483)</f>
        <v>0</v>
      </c>
      <c r="AA21" s="124">
        <f>SUMIFS(Data_raw!$K$2:$K$483,Data_raw!$F$2:$F$483,MP_T_Total!AA$1,Data_raw!$A$2:$A$483,MP_T_Total!$A21) / SUMIF(Data_raw!$A$2:$A$483,MP_T_Total!$A21,Data_raw!$K$2:$K$483)</f>
        <v>0</v>
      </c>
      <c r="AB21" s="124">
        <f>SUMIFS(Data_raw!$K$2:$K$483,Data_raw!$F$2:$F$483,MP_T_Total!AB$1,Data_raw!$A$2:$A$483,MP_T_Total!$A21) / SUMIF(Data_raw!$A$2:$A$483,MP_T_Total!$A21,Data_raw!$K$2:$K$483)</f>
        <v>0</v>
      </c>
      <c r="AC21" s="124">
        <f>SUMIFS(Data_raw!$K$2:$K$483,Data_raw!$F$2:$F$483,MP_T_Total!AC$1,Data_raw!$A$2:$A$483,MP_T_Total!$A21) / SUMIF(Data_raw!$A$2:$A$483,MP_T_Total!$A21,Data_raw!$K$2:$K$483)</f>
        <v>0.01627118644</v>
      </c>
      <c r="AD21" s="124">
        <f>SUMIFS(Data_raw!$K$2:$K$483,Data_raw!$F$2:$F$483,MP_T_Total!AD$1,Data_raw!$A$2:$A$483,MP_T_Total!$A21) / SUMIF(Data_raw!$A$2:$A$483,MP_T_Total!$A21,Data_raw!$K$2:$K$483)</f>
        <v>0</v>
      </c>
      <c r="AE21" s="124">
        <f>SUMIFS(Data_raw!$K$2:$K$483,Data_raw!$F$2:$F$483,MP_T_Total!AE$1,Data_raw!$A$2:$A$483,MP_T_Total!$A21) / SUMIF(Data_raw!$A$2:$A$483,MP_T_Total!$A21,Data_raw!$K$2:$K$483)</f>
        <v>0</v>
      </c>
    </row>
    <row r="22">
      <c r="A22" s="8" t="str">
        <f>IFERROR(__xludf.DUMMYFUNCTION("""COMPUTED_VALUE"""),"Proceratophrys itamari")</f>
        <v>Proceratophrys itamari</v>
      </c>
      <c r="B22" s="124">
        <f>SUMIFS(Data_raw!$K$2:$K$483,Data_raw!$F$2:$F$483,MP_T_Total!B$1,Data_raw!$A$2:$A$483,MP_T_Total!$A22) / SUMIF(Data_raw!$A$2:$A$483,MP_T_Total!$A22,Data_raw!$K$2:$K$483)</f>
        <v>0</v>
      </c>
      <c r="C22" s="124">
        <f>SUMIFS(Data_raw!$K$2:$K$483,Data_raw!$F$2:$F$483,MP_T_Total!C$1,Data_raw!$A$2:$A$483,MP_T_Total!$A22) / SUMIF(Data_raw!$A$2:$A$483,MP_T_Total!$A22,Data_raw!$K$2:$K$483)</f>
        <v>0</v>
      </c>
      <c r="D22" s="124">
        <f>SUMIFS(Data_raw!$K$2:$K$483,Data_raw!$F$2:$F$483,MP_T_Total!D$1,Data_raw!$A$2:$A$483,MP_T_Total!$A22) / SUMIF(Data_raw!$A$2:$A$483,MP_T_Total!$A22,Data_raw!$K$2:$K$483)</f>
        <v>0.170212766</v>
      </c>
      <c r="E22" s="124">
        <f>SUMIFS(Data_raw!$K$2:$K$483,Data_raw!$F$2:$F$483,MP_T_Total!E$1,Data_raw!$A$2:$A$483,MP_T_Total!$A22) / SUMIF(Data_raw!$A$2:$A$483,MP_T_Total!$A22,Data_raw!$K$2:$K$483)</f>
        <v>0</v>
      </c>
      <c r="F22" s="124">
        <f>SUMIFS(Data_raw!$K$2:$K$483,Data_raw!$F$2:$F$483,MP_T_Total!F$1,Data_raw!$A$2:$A$483,MP_T_Total!$A22) / SUMIF(Data_raw!$A$2:$A$483,MP_T_Total!$A22,Data_raw!$K$2:$K$483)</f>
        <v>0</v>
      </c>
      <c r="G22" s="124">
        <f>SUMIFS(Data_raw!$K$2:$K$483,Data_raw!$F$2:$F$483,MP_T_Total!G$1,Data_raw!$A$2:$A$483,MP_T_Total!$A22) / SUMIF(Data_raw!$A$2:$A$483,MP_T_Total!$A22,Data_raw!$K$2:$K$483)</f>
        <v>0</v>
      </c>
      <c r="H22" s="124">
        <f>SUMIFS(Data_raw!$K$2:$K$483,Data_raw!$F$2:$F$483,MP_T_Total!H$1,Data_raw!$A$2:$A$483,MP_T_Total!$A22) / SUMIF(Data_raw!$A$2:$A$483,MP_T_Total!$A22,Data_raw!$K$2:$K$483)</f>
        <v>0.1985815603</v>
      </c>
      <c r="I22" s="124">
        <f>SUMIFS(Data_raw!$K$2:$K$483,Data_raw!$F$2:$F$483,MP_T_Total!I$1,Data_raw!$A$2:$A$483,MP_T_Total!$A22) / SUMIF(Data_raw!$A$2:$A$483,MP_T_Total!$A22,Data_raw!$K$2:$K$483)</f>
        <v>0</v>
      </c>
      <c r="J22" s="124">
        <f>SUMIFS(Data_raw!$K$2:$K$483,Data_raw!$F$2:$F$483,MP_T_Total!J$1,Data_raw!$A$2:$A$483,MP_T_Total!$A22) / SUMIF(Data_raw!$A$2:$A$483,MP_T_Total!$A22,Data_raw!$K$2:$K$483)</f>
        <v>0</v>
      </c>
      <c r="K22" s="124">
        <f>SUMIFS(Data_raw!$K$2:$K$483,Data_raw!$F$2:$F$483,MP_T_Total!K$1,Data_raw!$A$2:$A$483,MP_T_Total!$A22) / SUMIF(Data_raw!$A$2:$A$483,MP_T_Total!$A22,Data_raw!$K$2:$K$483)</f>
        <v>0</v>
      </c>
      <c r="L22" s="124">
        <f>SUMIFS(Data_raw!$K$2:$K$483,Data_raw!$F$2:$F$483,MP_T_Total!L$1,Data_raw!$A$2:$A$483,MP_T_Total!$A22) / SUMIF(Data_raw!$A$2:$A$483,MP_T_Total!$A22,Data_raw!$K$2:$K$483)</f>
        <v>0</v>
      </c>
      <c r="M22" s="124">
        <f>SUMIFS(Data_raw!$K$2:$K$483,Data_raw!$F$2:$F$483,MP_T_Total!M$1,Data_raw!$A$2:$A$483,MP_T_Total!$A22) / SUMIF(Data_raw!$A$2:$A$483,MP_T_Total!$A22,Data_raw!$K$2:$K$483)</f>
        <v>0</v>
      </c>
      <c r="N22" s="124">
        <f>SUMIFS(Data_raw!$K$2:$K$483,Data_raw!$F$2:$F$483,MP_T_Total!N$1,Data_raw!$A$2:$A$483,MP_T_Total!$A22) / SUMIF(Data_raw!$A$2:$A$483,MP_T_Total!$A22,Data_raw!$K$2:$K$483)</f>
        <v>0</v>
      </c>
      <c r="O22" s="124">
        <f>SUMIFS(Data_raw!$K$2:$K$483,Data_raw!$F$2:$F$483,MP_T_Total!O$1,Data_raw!$A$2:$A$483,MP_T_Total!$A22) / SUMIF(Data_raw!$A$2:$A$483,MP_T_Total!$A22,Data_raw!$K$2:$K$483)</f>
        <v>0</v>
      </c>
      <c r="P22" s="124">
        <f>SUMIFS(Data_raw!$K$2:$K$483,Data_raw!$F$2:$F$483,MP_T_Total!P$1,Data_raw!$A$2:$A$483,MP_T_Total!$A22) / SUMIF(Data_raw!$A$2:$A$483,MP_T_Total!$A22,Data_raw!$K$2:$K$483)</f>
        <v>0.1418439716</v>
      </c>
      <c r="Q22" s="124">
        <f>SUMIFS(Data_raw!$K$2:$K$483,Data_raw!$F$2:$F$483,MP_T_Total!Q$1,Data_raw!$A$2:$A$483,MP_T_Total!$A22) / SUMIF(Data_raw!$A$2:$A$483,MP_T_Total!$A22,Data_raw!$K$2:$K$483)</f>
        <v>0</v>
      </c>
      <c r="R22" s="124">
        <f>SUMIFS(Data_raw!$K$2:$K$483,Data_raw!$F$2:$F$483,MP_T_Total!R$1,Data_raw!$A$2:$A$483,MP_T_Total!$A22) / SUMIF(Data_raw!$A$2:$A$483,MP_T_Total!$A22,Data_raw!$K$2:$K$483)</f>
        <v>0.4893617021</v>
      </c>
      <c r="S22" s="124">
        <f>SUMIFS(Data_raw!$K$2:$K$483,Data_raw!$F$2:$F$483,MP_T_Total!S$1,Data_raw!$A$2:$A$483,MP_T_Total!$A22) / SUMIF(Data_raw!$A$2:$A$483,MP_T_Total!$A22,Data_raw!$K$2:$K$483)</f>
        <v>0</v>
      </c>
      <c r="T22" s="124">
        <f>SUMIFS(Data_raw!$K$2:$K$483,Data_raw!$F$2:$F$483,MP_T_Total!T$1,Data_raw!$A$2:$A$483,MP_T_Total!$A22) / SUMIF(Data_raw!$A$2:$A$483,MP_T_Total!$A22,Data_raw!$K$2:$K$483)</f>
        <v>0</v>
      </c>
      <c r="U22" s="124">
        <f>SUMIFS(Data_raw!$K$2:$K$483,Data_raw!$F$2:$F$483,MP_T_Total!U$1,Data_raw!$A$2:$A$483,MP_T_Total!$A22) / SUMIF(Data_raw!$A$2:$A$483,MP_T_Total!$A22,Data_raw!$K$2:$K$483)</f>
        <v>0</v>
      </c>
      <c r="V22" s="124">
        <f>SUMIFS(Data_raw!$K$2:$K$483,Data_raw!$F$2:$F$483,MP_T_Total!V$1,Data_raw!$A$2:$A$483,MP_T_Total!$A22) / SUMIF(Data_raw!$A$2:$A$483,MP_T_Total!$A22,Data_raw!$K$2:$K$483)</f>
        <v>0</v>
      </c>
      <c r="W22" s="124">
        <f>SUMIFS(Data_raw!$K$2:$K$483,Data_raw!$F$2:$F$483,MP_T_Total!W$1,Data_raw!$A$2:$A$483,MP_T_Total!$A22) / SUMIF(Data_raw!$A$2:$A$483,MP_T_Total!$A22,Data_raw!$K$2:$K$483)</f>
        <v>0</v>
      </c>
      <c r="X22" s="124">
        <f>SUMIFS(Data_raw!$K$2:$K$483,Data_raw!$F$2:$F$483,MP_T_Total!X$1,Data_raw!$A$2:$A$483,MP_T_Total!$A22) / SUMIF(Data_raw!$A$2:$A$483,MP_T_Total!$A22,Data_raw!$K$2:$K$483)</f>
        <v>0</v>
      </c>
      <c r="Y22" s="124">
        <f>SUMIFS(Data_raw!$K$2:$K$483,Data_raw!$F$2:$F$483,MP_T_Total!Y$1,Data_raw!$A$2:$A$483,MP_T_Total!$A22) / SUMIF(Data_raw!$A$2:$A$483,MP_T_Total!$A22,Data_raw!$K$2:$K$483)</f>
        <v>0</v>
      </c>
      <c r="Z22" s="124">
        <f>SUMIFS(Data_raw!$K$2:$K$483,Data_raw!$F$2:$F$483,MP_T_Total!Z$1,Data_raw!$A$2:$A$483,MP_T_Total!$A22) / SUMIF(Data_raw!$A$2:$A$483,MP_T_Total!$A22,Data_raw!$K$2:$K$483)</f>
        <v>0</v>
      </c>
      <c r="AA22" s="124">
        <f>SUMIFS(Data_raw!$K$2:$K$483,Data_raw!$F$2:$F$483,MP_T_Total!AA$1,Data_raw!$A$2:$A$483,MP_T_Total!$A22) / SUMIF(Data_raw!$A$2:$A$483,MP_T_Total!$A22,Data_raw!$K$2:$K$483)</f>
        <v>0</v>
      </c>
      <c r="AB22" s="124">
        <f>SUMIFS(Data_raw!$K$2:$K$483,Data_raw!$F$2:$F$483,MP_T_Total!AB$1,Data_raw!$A$2:$A$483,MP_T_Total!$A22) / SUMIF(Data_raw!$A$2:$A$483,MP_T_Total!$A22,Data_raw!$K$2:$K$483)</f>
        <v>0</v>
      </c>
      <c r="AC22" s="124">
        <f>SUMIFS(Data_raw!$K$2:$K$483,Data_raw!$F$2:$F$483,MP_T_Total!AC$1,Data_raw!$A$2:$A$483,MP_T_Total!$A22) / SUMIF(Data_raw!$A$2:$A$483,MP_T_Total!$A22,Data_raw!$K$2:$K$483)</f>
        <v>0</v>
      </c>
      <c r="AD22" s="124">
        <f>SUMIFS(Data_raw!$K$2:$K$483,Data_raw!$F$2:$F$483,MP_T_Total!AD$1,Data_raw!$A$2:$A$483,MP_T_Total!$A22) / SUMIF(Data_raw!$A$2:$A$483,MP_T_Total!$A22,Data_raw!$K$2:$K$483)</f>
        <v>0</v>
      </c>
      <c r="AE22" s="124">
        <f>SUMIFS(Data_raw!$K$2:$K$483,Data_raw!$F$2:$F$483,MP_T_Total!AE$1,Data_raw!$A$2:$A$483,MP_T_Total!$A22) / SUMIF(Data_raw!$A$2:$A$483,MP_T_Total!$A22,Data_raw!$K$2:$K$483)</f>
        <v>0</v>
      </c>
    </row>
    <row r="23">
      <c r="A23" s="8" t="str">
        <f>IFERROR(__xludf.DUMMYFUNCTION("""COMPUTED_VALUE"""),"Rhinella icterica")</f>
        <v>Rhinella icterica</v>
      </c>
      <c r="B23" s="124">
        <f>SUMIFS(Data_raw!$K$2:$K$483,Data_raw!$F$2:$F$483,MP_T_Total!B$1,Data_raw!$A$2:$A$483,MP_T_Total!$A23) / SUMIF(Data_raw!$A$2:$A$483,MP_T_Total!$A23,Data_raw!$K$2:$K$483)</f>
        <v>0</v>
      </c>
      <c r="C23" s="124">
        <f>SUMIFS(Data_raw!$K$2:$K$483,Data_raw!$F$2:$F$483,MP_T_Total!C$1,Data_raw!$A$2:$A$483,MP_T_Total!$A23) / SUMIF(Data_raw!$A$2:$A$483,MP_T_Total!$A23,Data_raw!$K$2:$K$483)</f>
        <v>0</v>
      </c>
      <c r="D23" s="124">
        <f>SUMIFS(Data_raw!$K$2:$K$483,Data_raw!$F$2:$F$483,MP_T_Total!D$1,Data_raw!$A$2:$A$483,MP_T_Total!$A23) / SUMIF(Data_raw!$A$2:$A$483,MP_T_Total!$A23,Data_raw!$K$2:$K$483)</f>
        <v>0</v>
      </c>
      <c r="E23" s="124">
        <f>SUMIFS(Data_raw!$K$2:$K$483,Data_raw!$F$2:$F$483,MP_T_Total!E$1,Data_raw!$A$2:$A$483,MP_T_Total!$A23) / SUMIF(Data_raw!$A$2:$A$483,MP_T_Total!$A23,Data_raw!$K$2:$K$483)</f>
        <v>0</v>
      </c>
      <c r="F23" s="124">
        <f>SUMIFS(Data_raw!$K$2:$K$483,Data_raw!$F$2:$F$483,MP_T_Total!F$1,Data_raw!$A$2:$A$483,MP_T_Total!$A23) / SUMIF(Data_raw!$A$2:$A$483,MP_T_Total!$A23,Data_raw!$K$2:$K$483)</f>
        <v>0</v>
      </c>
      <c r="G23" s="124">
        <f>SUMIFS(Data_raw!$K$2:$K$483,Data_raw!$F$2:$F$483,MP_T_Total!G$1,Data_raw!$A$2:$A$483,MP_T_Total!$A23) / SUMIF(Data_raw!$A$2:$A$483,MP_T_Total!$A23,Data_raw!$K$2:$K$483)</f>
        <v>0</v>
      </c>
      <c r="H23" s="124">
        <f>SUMIFS(Data_raw!$K$2:$K$483,Data_raw!$F$2:$F$483,MP_T_Total!H$1,Data_raw!$A$2:$A$483,MP_T_Total!$A23) / SUMIF(Data_raw!$A$2:$A$483,MP_T_Total!$A23,Data_raw!$K$2:$K$483)</f>
        <v>0.9169876537</v>
      </c>
      <c r="I23" s="124">
        <f>SUMIFS(Data_raw!$K$2:$K$483,Data_raw!$F$2:$F$483,MP_T_Total!I$1,Data_raw!$A$2:$A$483,MP_T_Total!$A23) / SUMIF(Data_raw!$A$2:$A$483,MP_T_Total!$A23,Data_raw!$K$2:$K$483)</f>
        <v>0.002238406204</v>
      </c>
      <c r="J23" s="124">
        <f>SUMIFS(Data_raw!$K$2:$K$483,Data_raw!$F$2:$F$483,MP_T_Total!J$1,Data_raw!$A$2:$A$483,MP_T_Total!$A23) / SUMIF(Data_raw!$A$2:$A$483,MP_T_Total!$A23,Data_raw!$K$2:$K$483)</f>
        <v>0</v>
      </c>
      <c r="K23" s="124">
        <f>SUMIFS(Data_raw!$K$2:$K$483,Data_raw!$F$2:$F$483,MP_T_Total!K$1,Data_raw!$A$2:$A$483,MP_T_Total!$A23) / SUMIF(Data_raw!$A$2:$A$483,MP_T_Total!$A23,Data_raw!$K$2:$K$483)</f>
        <v>0.003010050508</v>
      </c>
      <c r="L23" s="124">
        <f>SUMIFS(Data_raw!$K$2:$K$483,Data_raw!$F$2:$F$483,MP_T_Total!L$1,Data_raw!$A$2:$A$483,MP_T_Total!$A23) / SUMIF(Data_raw!$A$2:$A$483,MP_T_Total!$A23,Data_raw!$K$2:$K$483)</f>
        <v>0.03904137544</v>
      </c>
      <c r="M23" s="124">
        <f>SUMIFS(Data_raw!$K$2:$K$483,Data_raw!$F$2:$F$483,MP_T_Total!M$1,Data_raw!$A$2:$A$483,MP_T_Total!$A23) / SUMIF(Data_raw!$A$2:$A$483,MP_T_Total!$A23,Data_raw!$K$2:$K$483)</f>
        <v>0</v>
      </c>
      <c r="N23" s="124">
        <f>SUMIFS(Data_raw!$K$2:$K$483,Data_raw!$F$2:$F$483,MP_T_Total!N$1,Data_raw!$A$2:$A$483,MP_T_Total!$A23) / SUMIF(Data_raw!$A$2:$A$483,MP_T_Total!$A23,Data_raw!$K$2:$K$483)</f>
        <v>0.006268812816</v>
      </c>
      <c r="O23" s="124">
        <f>SUMIFS(Data_raw!$K$2:$K$483,Data_raw!$F$2:$F$483,MP_T_Total!O$1,Data_raw!$A$2:$A$483,MP_T_Total!$A23) / SUMIF(Data_raw!$A$2:$A$483,MP_T_Total!$A23,Data_raw!$K$2:$K$483)</f>
        <v>0</v>
      </c>
      <c r="P23" s="124">
        <f>SUMIFS(Data_raw!$K$2:$K$483,Data_raw!$F$2:$F$483,MP_T_Total!P$1,Data_raw!$A$2:$A$483,MP_T_Total!$A23) / SUMIF(Data_raw!$A$2:$A$483,MP_T_Total!$A23,Data_raw!$K$2:$K$483)</f>
        <v>0.004132442222</v>
      </c>
      <c r="Q23" s="124">
        <f>SUMIFS(Data_raw!$K$2:$K$483,Data_raw!$F$2:$F$483,MP_T_Total!Q$1,Data_raw!$A$2:$A$483,MP_T_Total!$A23) / SUMIF(Data_raw!$A$2:$A$483,MP_T_Total!$A23,Data_raw!$K$2:$K$483)</f>
        <v>0</v>
      </c>
      <c r="R23" s="124">
        <f>SUMIFS(Data_raw!$K$2:$K$483,Data_raw!$F$2:$F$483,MP_T_Total!R$1,Data_raw!$A$2:$A$483,MP_T_Total!$A23) / SUMIF(Data_raw!$A$2:$A$483,MP_T_Total!$A23,Data_raw!$K$2:$K$483)</f>
        <v>0.0001721850926</v>
      </c>
      <c r="S23" s="124">
        <f>SUMIFS(Data_raw!$K$2:$K$483,Data_raw!$F$2:$F$483,MP_T_Total!S$1,Data_raw!$A$2:$A$483,MP_T_Total!$A23) / SUMIF(Data_raw!$A$2:$A$483,MP_T_Total!$A23,Data_raw!$K$2:$K$483)</f>
        <v>0</v>
      </c>
      <c r="T23" s="124">
        <f>SUMIFS(Data_raw!$K$2:$K$483,Data_raw!$F$2:$F$483,MP_T_Total!T$1,Data_raw!$A$2:$A$483,MP_T_Total!$A23) / SUMIF(Data_raw!$A$2:$A$483,MP_T_Total!$A23,Data_raw!$K$2:$K$483)</f>
        <v>0.0002550890261</v>
      </c>
      <c r="U23" s="124">
        <f>SUMIFS(Data_raw!$K$2:$K$483,Data_raw!$F$2:$F$483,MP_T_Total!U$1,Data_raw!$A$2:$A$483,MP_T_Total!$A23) / SUMIF(Data_raw!$A$2:$A$483,MP_T_Total!$A23,Data_raw!$K$2:$K$483)</f>
        <v>0.003061068313</v>
      </c>
      <c r="V23" s="124">
        <f>SUMIFS(Data_raw!$K$2:$K$483,Data_raw!$F$2:$F$483,MP_T_Total!V$1,Data_raw!$A$2:$A$483,MP_T_Total!$A23) / SUMIF(Data_raw!$A$2:$A$483,MP_T_Total!$A23,Data_raw!$K$2:$K$483)</f>
        <v>0</v>
      </c>
      <c r="W23" s="124">
        <f>SUMIFS(Data_raw!$K$2:$K$483,Data_raw!$F$2:$F$483,MP_T_Total!W$1,Data_raw!$A$2:$A$483,MP_T_Total!$A23) / SUMIF(Data_raw!$A$2:$A$483,MP_T_Total!$A23,Data_raw!$K$2:$K$483)</f>
        <v>0</v>
      </c>
      <c r="X23" s="124">
        <f>SUMIFS(Data_raw!$K$2:$K$483,Data_raw!$F$2:$F$483,MP_T_Total!X$1,Data_raw!$A$2:$A$483,MP_T_Total!$A23) / SUMIF(Data_raw!$A$2:$A$483,MP_T_Total!$A23,Data_raw!$K$2:$K$483)</f>
        <v>0</v>
      </c>
      <c r="Y23" s="124">
        <f>SUMIFS(Data_raw!$K$2:$K$483,Data_raw!$F$2:$F$483,MP_T_Total!Y$1,Data_raw!$A$2:$A$483,MP_T_Total!$A23) / SUMIF(Data_raw!$A$2:$A$483,MP_T_Total!$A23,Data_raw!$K$2:$K$483)</f>
        <v>0.02314932912</v>
      </c>
      <c r="Z23" s="124">
        <f>SUMIFS(Data_raw!$K$2:$K$483,Data_raw!$F$2:$F$483,MP_T_Total!Z$1,Data_raw!$A$2:$A$483,MP_T_Total!$A23) / SUMIF(Data_raw!$A$2:$A$483,MP_T_Total!$A23,Data_raw!$K$2:$K$483)</f>
        <v>0</v>
      </c>
      <c r="AA23" s="124">
        <f>SUMIFS(Data_raw!$K$2:$K$483,Data_raw!$F$2:$F$483,MP_T_Total!AA$1,Data_raw!$A$2:$A$483,MP_T_Total!$A23) / SUMIF(Data_raw!$A$2:$A$483,MP_T_Total!$A23,Data_raw!$K$2:$K$483)</f>
        <v>0</v>
      </c>
      <c r="AB23" s="124">
        <f>SUMIFS(Data_raw!$K$2:$K$483,Data_raw!$F$2:$F$483,MP_T_Total!AB$1,Data_raw!$A$2:$A$483,MP_T_Total!$A23) / SUMIF(Data_raw!$A$2:$A$483,MP_T_Total!$A23,Data_raw!$K$2:$K$483)</f>
        <v>0</v>
      </c>
      <c r="AC23" s="124">
        <f>SUMIFS(Data_raw!$K$2:$K$483,Data_raw!$F$2:$F$483,MP_T_Total!AC$1,Data_raw!$A$2:$A$483,MP_T_Total!$A23) / SUMIF(Data_raw!$A$2:$A$483,MP_T_Total!$A23,Data_raw!$K$2:$K$483)</f>
        <v>0.001396612418</v>
      </c>
      <c r="AD23" s="124">
        <f>SUMIFS(Data_raw!$K$2:$K$483,Data_raw!$F$2:$F$483,MP_T_Total!AD$1,Data_raw!$A$2:$A$483,MP_T_Total!$A23) / SUMIF(Data_raw!$A$2:$A$483,MP_T_Total!$A23,Data_raw!$K$2:$K$483)</f>
        <v>0</v>
      </c>
      <c r="AE23" s="124">
        <f>SUMIFS(Data_raw!$K$2:$K$483,Data_raw!$F$2:$F$483,MP_T_Total!AE$1,Data_raw!$A$2:$A$483,MP_T_Total!$A23) / SUMIF(Data_raw!$A$2:$A$483,MP_T_Total!$A23,Data_raw!$K$2:$K$483)</f>
        <v>0</v>
      </c>
    </row>
    <row r="24">
      <c r="A24" s="8" t="str">
        <f>IFERROR(__xludf.DUMMYFUNCTION("""COMPUTED_VALUE"""),"Rhinella ornata")</f>
        <v>Rhinella ornata</v>
      </c>
      <c r="B24" s="124">
        <f>SUMIFS(Data_raw!$K$2:$K$483,Data_raw!$F$2:$F$483,MP_T_Total!B$1,Data_raw!$A$2:$A$483,MP_T_Total!$A24) / SUMIF(Data_raw!$A$2:$A$483,MP_T_Total!$A24,Data_raw!$K$2:$K$483)</f>
        <v>0</v>
      </c>
      <c r="C24" s="124">
        <f>SUMIFS(Data_raw!$K$2:$K$483,Data_raw!$F$2:$F$483,MP_T_Total!C$1,Data_raw!$A$2:$A$483,MP_T_Total!$A24) / SUMIF(Data_raw!$A$2:$A$483,MP_T_Total!$A24,Data_raw!$K$2:$K$483)</f>
        <v>0</v>
      </c>
      <c r="D24" s="124">
        <f>SUMIFS(Data_raw!$K$2:$K$483,Data_raw!$F$2:$F$483,MP_T_Total!D$1,Data_raw!$A$2:$A$483,MP_T_Total!$A24) / SUMIF(Data_raw!$A$2:$A$483,MP_T_Total!$A24,Data_raw!$K$2:$K$483)</f>
        <v>0</v>
      </c>
      <c r="E24" s="124">
        <f>SUMIFS(Data_raw!$K$2:$K$483,Data_raw!$F$2:$F$483,MP_T_Total!E$1,Data_raw!$A$2:$A$483,MP_T_Total!$A24) / SUMIF(Data_raw!$A$2:$A$483,MP_T_Total!$A24,Data_raw!$K$2:$K$483)</f>
        <v>0</v>
      </c>
      <c r="F24" s="124">
        <f>SUMIFS(Data_raw!$K$2:$K$483,Data_raw!$F$2:$F$483,MP_T_Total!F$1,Data_raw!$A$2:$A$483,MP_T_Total!$A24) / SUMIF(Data_raw!$A$2:$A$483,MP_T_Total!$A24,Data_raw!$K$2:$K$483)</f>
        <v>0</v>
      </c>
      <c r="G24" s="124">
        <f>SUMIFS(Data_raw!$K$2:$K$483,Data_raw!$F$2:$F$483,MP_T_Total!G$1,Data_raw!$A$2:$A$483,MP_T_Total!$A24) / SUMIF(Data_raw!$A$2:$A$483,MP_T_Total!$A24,Data_raw!$K$2:$K$483)</f>
        <v>0</v>
      </c>
      <c r="H24" s="124">
        <f>SUMIFS(Data_raw!$K$2:$K$483,Data_raw!$F$2:$F$483,MP_T_Total!H$1,Data_raw!$A$2:$A$483,MP_T_Total!$A24) / SUMIF(Data_raw!$A$2:$A$483,MP_T_Total!$A24,Data_raw!$K$2:$K$483)</f>
        <v>0.420754717</v>
      </c>
      <c r="I24" s="124">
        <f>SUMIFS(Data_raw!$K$2:$K$483,Data_raw!$F$2:$F$483,MP_T_Total!I$1,Data_raw!$A$2:$A$483,MP_T_Total!$A24) / SUMIF(Data_raw!$A$2:$A$483,MP_T_Total!$A24,Data_raw!$K$2:$K$483)</f>
        <v>0</v>
      </c>
      <c r="J24" s="124">
        <f>SUMIFS(Data_raw!$K$2:$K$483,Data_raw!$F$2:$F$483,MP_T_Total!J$1,Data_raw!$A$2:$A$483,MP_T_Total!$A24) / SUMIF(Data_raw!$A$2:$A$483,MP_T_Total!$A24,Data_raw!$K$2:$K$483)</f>
        <v>0</v>
      </c>
      <c r="K24" s="124">
        <f>SUMIFS(Data_raw!$K$2:$K$483,Data_raw!$F$2:$F$483,MP_T_Total!K$1,Data_raw!$A$2:$A$483,MP_T_Total!$A24) / SUMIF(Data_raw!$A$2:$A$483,MP_T_Total!$A24,Data_raw!$K$2:$K$483)</f>
        <v>0</v>
      </c>
      <c r="L24" s="124">
        <f>SUMIFS(Data_raw!$K$2:$K$483,Data_raw!$F$2:$F$483,MP_T_Total!L$1,Data_raw!$A$2:$A$483,MP_T_Total!$A24) / SUMIF(Data_raw!$A$2:$A$483,MP_T_Total!$A24,Data_raw!$K$2:$K$483)</f>
        <v>0.1485849057</v>
      </c>
      <c r="M24" s="124">
        <f>SUMIFS(Data_raw!$K$2:$K$483,Data_raw!$F$2:$F$483,MP_T_Total!M$1,Data_raw!$A$2:$A$483,MP_T_Total!$A24) / SUMIF(Data_raw!$A$2:$A$483,MP_T_Total!$A24,Data_raw!$K$2:$K$483)</f>
        <v>0</v>
      </c>
      <c r="N24" s="124">
        <f>SUMIFS(Data_raw!$K$2:$K$483,Data_raw!$F$2:$F$483,MP_T_Total!N$1,Data_raw!$A$2:$A$483,MP_T_Total!$A24) / SUMIF(Data_raw!$A$2:$A$483,MP_T_Total!$A24,Data_raw!$K$2:$K$483)</f>
        <v>0.2721698113</v>
      </c>
      <c r="O24" s="124">
        <f>SUMIFS(Data_raw!$K$2:$K$483,Data_raw!$F$2:$F$483,MP_T_Total!O$1,Data_raw!$A$2:$A$483,MP_T_Total!$A24) / SUMIF(Data_raw!$A$2:$A$483,MP_T_Total!$A24,Data_raw!$K$2:$K$483)</f>
        <v>0.141509434</v>
      </c>
      <c r="P24" s="124">
        <f>SUMIFS(Data_raw!$K$2:$K$483,Data_raw!$F$2:$F$483,MP_T_Total!P$1,Data_raw!$A$2:$A$483,MP_T_Total!$A24) / SUMIF(Data_raw!$A$2:$A$483,MP_T_Total!$A24,Data_raw!$K$2:$K$483)</f>
        <v>0</v>
      </c>
      <c r="Q24" s="124">
        <f>SUMIFS(Data_raw!$K$2:$K$483,Data_raw!$F$2:$F$483,MP_T_Total!Q$1,Data_raw!$A$2:$A$483,MP_T_Total!$A24) / SUMIF(Data_raw!$A$2:$A$483,MP_T_Total!$A24,Data_raw!$K$2:$K$483)</f>
        <v>0</v>
      </c>
      <c r="R24" s="124">
        <f>SUMIFS(Data_raw!$K$2:$K$483,Data_raw!$F$2:$F$483,MP_T_Total!R$1,Data_raw!$A$2:$A$483,MP_T_Total!$A24) / SUMIF(Data_raw!$A$2:$A$483,MP_T_Total!$A24,Data_raw!$K$2:$K$483)</f>
        <v>0</v>
      </c>
      <c r="S24" s="124">
        <f>SUMIFS(Data_raw!$K$2:$K$483,Data_raw!$F$2:$F$483,MP_T_Total!S$1,Data_raw!$A$2:$A$483,MP_T_Total!$A24) / SUMIF(Data_raw!$A$2:$A$483,MP_T_Total!$A24,Data_raw!$K$2:$K$483)</f>
        <v>0</v>
      </c>
      <c r="T24" s="124">
        <f>SUMIFS(Data_raw!$K$2:$K$483,Data_raw!$F$2:$F$483,MP_T_Total!T$1,Data_raw!$A$2:$A$483,MP_T_Total!$A24) / SUMIF(Data_raw!$A$2:$A$483,MP_T_Total!$A24,Data_raw!$K$2:$K$483)</f>
        <v>0</v>
      </c>
      <c r="U24" s="124">
        <f>SUMIFS(Data_raw!$K$2:$K$483,Data_raw!$F$2:$F$483,MP_T_Total!U$1,Data_raw!$A$2:$A$483,MP_T_Total!$A24) / SUMIF(Data_raw!$A$2:$A$483,MP_T_Total!$A24,Data_raw!$K$2:$K$483)</f>
        <v>0</v>
      </c>
      <c r="V24" s="124">
        <f>SUMIFS(Data_raw!$K$2:$K$483,Data_raw!$F$2:$F$483,MP_T_Total!V$1,Data_raw!$A$2:$A$483,MP_T_Total!$A24) / SUMIF(Data_raw!$A$2:$A$483,MP_T_Total!$A24,Data_raw!$K$2:$K$483)</f>
        <v>0</v>
      </c>
      <c r="W24" s="124">
        <f>SUMIFS(Data_raw!$K$2:$K$483,Data_raw!$F$2:$F$483,MP_T_Total!W$1,Data_raw!$A$2:$A$483,MP_T_Total!$A24) / SUMIF(Data_raw!$A$2:$A$483,MP_T_Total!$A24,Data_raw!$K$2:$K$483)</f>
        <v>0</v>
      </c>
      <c r="X24" s="124">
        <f>SUMIFS(Data_raw!$K$2:$K$483,Data_raw!$F$2:$F$483,MP_T_Total!X$1,Data_raw!$A$2:$A$483,MP_T_Total!$A24) / SUMIF(Data_raw!$A$2:$A$483,MP_T_Total!$A24,Data_raw!$K$2:$K$483)</f>
        <v>0</v>
      </c>
      <c r="Y24" s="124">
        <f>SUMIFS(Data_raw!$K$2:$K$483,Data_raw!$F$2:$F$483,MP_T_Total!Y$1,Data_raw!$A$2:$A$483,MP_T_Total!$A24) / SUMIF(Data_raw!$A$2:$A$483,MP_T_Total!$A24,Data_raw!$K$2:$K$483)</f>
        <v>0.01698113208</v>
      </c>
      <c r="Z24" s="124">
        <f>SUMIFS(Data_raw!$K$2:$K$483,Data_raw!$F$2:$F$483,MP_T_Total!Z$1,Data_raw!$A$2:$A$483,MP_T_Total!$A24) / SUMIF(Data_raw!$A$2:$A$483,MP_T_Total!$A24,Data_raw!$K$2:$K$483)</f>
        <v>0</v>
      </c>
      <c r="AA24" s="124">
        <f>SUMIFS(Data_raw!$K$2:$K$483,Data_raw!$F$2:$F$483,MP_T_Total!AA$1,Data_raw!$A$2:$A$483,MP_T_Total!$A24) / SUMIF(Data_raw!$A$2:$A$483,MP_T_Total!$A24,Data_raw!$K$2:$K$483)</f>
        <v>0</v>
      </c>
      <c r="AB24" s="124">
        <f>SUMIFS(Data_raw!$K$2:$K$483,Data_raw!$F$2:$F$483,MP_T_Total!AB$1,Data_raw!$A$2:$A$483,MP_T_Total!$A24) / SUMIF(Data_raw!$A$2:$A$483,MP_T_Total!$A24,Data_raw!$K$2:$K$483)</f>
        <v>0</v>
      </c>
      <c r="AC24" s="124">
        <f>SUMIFS(Data_raw!$K$2:$K$483,Data_raw!$F$2:$F$483,MP_T_Total!AC$1,Data_raw!$A$2:$A$483,MP_T_Total!$A24) / SUMIF(Data_raw!$A$2:$A$483,MP_T_Total!$A24,Data_raw!$K$2:$K$483)</f>
        <v>0</v>
      </c>
      <c r="AD24" s="124">
        <f>SUMIFS(Data_raw!$K$2:$K$483,Data_raw!$F$2:$F$483,MP_T_Total!AD$1,Data_raw!$A$2:$A$483,MP_T_Total!$A24) / SUMIF(Data_raw!$A$2:$A$483,MP_T_Total!$A24,Data_raw!$K$2:$K$483)</f>
        <v>0</v>
      </c>
      <c r="AE24" s="124">
        <f>SUMIFS(Data_raw!$K$2:$K$483,Data_raw!$F$2:$F$483,MP_T_Total!AE$1,Data_raw!$A$2:$A$483,MP_T_Total!$A24) / SUMIF(Data_raw!$A$2:$A$483,MP_T_Total!$A24,Data_raw!$K$2:$K$483)</f>
        <v>0</v>
      </c>
    </row>
    <row r="25">
      <c r="A25" s="8" t="str">
        <f>IFERROR(__xludf.DUMMYFUNCTION("""COMPUTED_VALUE"""),"Scinax aff. dolloi")</f>
        <v>Scinax aff. dolloi</v>
      </c>
      <c r="B25" s="124">
        <f>SUMIFS(Data_raw!$K$2:$K$483,Data_raw!$F$2:$F$483,MP_T_Total!B$1,Data_raw!$A$2:$A$483,MP_T_Total!$A25) / SUMIF(Data_raw!$A$2:$A$483,MP_T_Total!$A25,Data_raw!$K$2:$K$483)</f>
        <v>0</v>
      </c>
      <c r="C25" s="124">
        <f>SUMIFS(Data_raw!$K$2:$K$483,Data_raw!$F$2:$F$483,MP_T_Total!C$1,Data_raw!$A$2:$A$483,MP_T_Total!$A25) / SUMIF(Data_raw!$A$2:$A$483,MP_T_Total!$A25,Data_raw!$K$2:$K$483)</f>
        <v>0</v>
      </c>
      <c r="D25" s="124">
        <f>SUMIFS(Data_raw!$K$2:$K$483,Data_raw!$F$2:$F$483,MP_T_Total!D$1,Data_raw!$A$2:$A$483,MP_T_Total!$A25) / SUMIF(Data_raw!$A$2:$A$483,MP_T_Total!$A25,Data_raw!$K$2:$K$483)</f>
        <v>0.5264483627</v>
      </c>
      <c r="E25" s="124">
        <f>SUMIFS(Data_raw!$K$2:$K$483,Data_raw!$F$2:$F$483,MP_T_Total!E$1,Data_raw!$A$2:$A$483,MP_T_Total!$A25) / SUMIF(Data_raw!$A$2:$A$483,MP_T_Total!$A25,Data_raw!$K$2:$K$483)</f>
        <v>0</v>
      </c>
      <c r="F25" s="124">
        <f>SUMIFS(Data_raw!$K$2:$K$483,Data_raw!$F$2:$F$483,MP_T_Total!F$1,Data_raw!$A$2:$A$483,MP_T_Total!$A25) / SUMIF(Data_raw!$A$2:$A$483,MP_T_Total!$A25,Data_raw!$K$2:$K$483)</f>
        <v>0</v>
      </c>
      <c r="G25" s="124">
        <f>SUMIFS(Data_raw!$K$2:$K$483,Data_raw!$F$2:$F$483,MP_T_Total!G$1,Data_raw!$A$2:$A$483,MP_T_Total!$A25) / SUMIF(Data_raw!$A$2:$A$483,MP_T_Total!$A25,Data_raw!$K$2:$K$483)</f>
        <v>0</v>
      </c>
      <c r="H25" s="124">
        <f>SUMIFS(Data_raw!$K$2:$K$483,Data_raw!$F$2:$F$483,MP_T_Total!H$1,Data_raw!$A$2:$A$483,MP_T_Total!$A25) / SUMIF(Data_raw!$A$2:$A$483,MP_T_Total!$A25,Data_raw!$K$2:$K$483)</f>
        <v>0.4735516373</v>
      </c>
      <c r="I25" s="124">
        <f>SUMIFS(Data_raw!$K$2:$K$483,Data_raw!$F$2:$F$483,MP_T_Total!I$1,Data_raw!$A$2:$A$483,MP_T_Total!$A25) / SUMIF(Data_raw!$A$2:$A$483,MP_T_Total!$A25,Data_raw!$K$2:$K$483)</f>
        <v>0</v>
      </c>
      <c r="J25" s="124">
        <f>SUMIFS(Data_raw!$K$2:$K$483,Data_raw!$F$2:$F$483,MP_T_Total!J$1,Data_raw!$A$2:$A$483,MP_T_Total!$A25) / SUMIF(Data_raw!$A$2:$A$483,MP_T_Total!$A25,Data_raw!$K$2:$K$483)</f>
        <v>0</v>
      </c>
      <c r="K25" s="124">
        <f>SUMIFS(Data_raw!$K$2:$K$483,Data_raw!$F$2:$F$483,MP_T_Total!K$1,Data_raw!$A$2:$A$483,MP_T_Total!$A25) / SUMIF(Data_raw!$A$2:$A$483,MP_T_Total!$A25,Data_raw!$K$2:$K$483)</f>
        <v>0</v>
      </c>
      <c r="L25" s="124">
        <f>SUMIFS(Data_raw!$K$2:$K$483,Data_raw!$F$2:$F$483,MP_T_Total!L$1,Data_raw!$A$2:$A$483,MP_T_Total!$A25) / SUMIF(Data_raw!$A$2:$A$483,MP_T_Total!$A25,Data_raw!$K$2:$K$483)</f>
        <v>0</v>
      </c>
      <c r="M25" s="124">
        <f>SUMIFS(Data_raw!$K$2:$K$483,Data_raw!$F$2:$F$483,MP_T_Total!M$1,Data_raw!$A$2:$A$483,MP_T_Total!$A25) / SUMIF(Data_raw!$A$2:$A$483,MP_T_Total!$A25,Data_raw!$K$2:$K$483)</f>
        <v>0</v>
      </c>
      <c r="N25" s="124">
        <f>SUMIFS(Data_raw!$K$2:$K$483,Data_raw!$F$2:$F$483,MP_T_Total!N$1,Data_raw!$A$2:$A$483,MP_T_Total!$A25) / SUMIF(Data_raw!$A$2:$A$483,MP_T_Total!$A25,Data_raw!$K$2:$K$483)</f>
        <v>0</v>
      </c>
      <c r="O25" s="124">
        <f>SUMIFS(Data_raw!$K$2:$K$483,Data_raw!$F$2:$F$483,MP_T_Total!O$1,Data_raw!$A$2:$A$483,MP_T_Total!$A25) / SUMIF(Data_raw!$A$2:$A$483,MP_T_Total!$A25,Data_raw!$K$2:$K$483)</f>
        <v>0</v>
      </c>
      <c r="P25" s="124">
        <f>SUMIFS(Data_raw!$K$2:$K$483,Data_raw!$F$2:$F$483,MP_T_Total!P$1,Data_raw!$A$2:$A$483,MP_T_Total!$A25) / SUMIF(Data_raw!$A$2:$A$483,MP_T_Total!$A25,Data_raw!$K$2:$K$483)</f>
        <v>0</v>
      </c>
      <c r="Q25" s="124">
        <f>SUMIFS(Data_raw!$K$2:$K$483,Data_raw!$F$2:$F$483,MP_T_Total!Q$1,Data_raw!$A$2:$A$483,MP_T_Total!$A25) / SUMIF(Data_raw!$A$2:$A$483,MP_T_Total!$A25,Data_raw!$K$2:$K$483)</f>
        <v>0</v>
      </c>
      <c r="R25" s="124">
        <f>SUMIFS(Data_raw!$K$2:$K$483,Data_raw!$F$2:$F$483,MP_T_Total!R$1,Data_raw!$A$2:$A$483,MP_T_Total!$A25) / SUMIF(Data_raw!$A$2:$A$483,MP_T_Total!$A25,Data_raw!$K$2:$K$483)</f>
        <v>0</v>
      </c>
      <c r="S25" s="124">
        <f>SUMIFS(Data_raw!$K$2:$K$483,Data_raw!$F$2:$F$483,MP_T_Total!S$1,Data_raw!$A$2:$A$483,MP_T_Total!$A25) / SUMIF(Data_raw!$A$2:$A$483,MP_T_Total!$A25,Data_raw!$K$2:$K$483)</f>
        <v>0</v>
      </c>
      <c r="T25" s="124">
        <f>SUMIFS(Data_raw!$K$2:$K$483,Data_raw!$F$2:$F$483,MP_T_Total!T$1,Data_raw!$A$2:$A$483,MP_T_Total!$A25) / SUMIF(Data_raw!$A$2:$A$483,MP_T_Total!$A25,Data_raw!$K$2:$K$483)</f>
        <v>0</v>
      </c>
      <c r="U25" s="124">
        <f>SUMIFS(Data_raw!$K$2:$K$483,Data_raw!$F$2:$F$483,MP_T_Total!U$1,Data_raw!$A$2:$A$483,MP_T_Total!$A25) / SUMIF(Data_raw!$A$2:$A$483,MP_T_Total!$A25,Data_raw!$K$2:$K$483)</f>
        <v>0</v>
      </c>
      <c r="V25" s="124">
        <f>SUMIFS(Data_raw!$K$2:$K$483,Data_raw!$F$2:$F$483,MP_T_Total!V$1,Data_raw!$A$2:$A$483,MP_T_Total!$A25) / SUMIF(Data_raw!$A$2:$A$483,MP_T_Total!$A25,Data_raw!$K$2:$K$483)</f>
        <v>0</v>
      </c>
      <c r="W25" s="124">
        <f>SUMIFS(Data_raw!$K$2:$K$483,Data_raw!$F$2:$F$483,MP_T_Total!W$1,Data_raw!$A$2:$A$483,MP_T_Total!$A25) / SUMIF(Data_raw!$A$2:$A$483,MP_T_Total!$A25,Data_raw!$K$2:$K$483)</f>
        <v>0</v>
      </c>
      <c r="X25" s="124">
        <f>SUMIFS(Data_raw!$K$2:$K$483,Data_raw!$F$2:$F$483,MP_T_Total!X$1,Data_raw!$A$2:$A$483,MP_T_Total!$A25) / SUMIF(Data_raw!$A$2:$A$483,MP_T_Total!$A25,Data_raw!$K$2:$K$483)</f>
        <v>0</v>
      </c>
      <c r="Y25" s="124">
        <f>SUMIFS(Data_raw!$K$2:$K$483,Data_raw!$F$2:$F$483,MP_T_Total!Y$1,Data_raw!$A$2:$A$483,MP_T_Total!$A25) / SUMIF(Data_raw!$A$2:$A$483,MP_T_Total!$A25,Data_raw!$K$2:$K$483)</f>
        <v>0</v>
      </c>
      <c r="Z25" s="124">
        <f>SUMIFS(Data_raw!$K$2:$K$483,Data_raw!$F$2:$F$483,MP_T_Total!Z$1,Data_raw!$A$2:$A$483,MP_T_Total!$A25) / SUMIF(Data_raw!$A$2:$A$483,MP_T_Total!$A25,Data_raw!$K$2:$K$483)</f>
        <v>0</v>
      </c>
      <c r="AA25" s="124">
        <f>SUMIFS(Data_raw!$K$2:$K$483,Data_raw!$F$2:$F$483,MP_T_Total!AA$1,Data_raw!$A$2:$A$483,MP_T_Total!$A25) / SUMIF(Data_raw!$A$2:$A$483,MP_T_Total!$A25,Data_raw!$K$2:$K$483)</f>
        <v>0</v>
      </c>
      <c r="AB25" s="124">
        <f>SUMIFS(Data_raw!$K$2:$K$483,Data_raw!$F$2:$F$483,MP_T_Total!AB$1,Data_raw!$A$2:$A$483,MP_T_Total!$A25) / SUMIF(Data_raw!$A$2:$A$483,MP_T_Total!$A25,Data_raw!$K$2:$K$483)</f>
        <v>0</v>
      </c>
      <c r="AC25" s="124">
        <f>SUMIFS(Data_raw!$K$2:$K$483,Data_raw!$F$2:$F$483,MP_T_Total!AC$1,Data_raw!$A$2:$A$483,MP_T_Total!$A25) / SUMIF(Data_raw!$A$2:$A$483,MP_T_Total!$A25,Data_raw!$K$2:$K$483)</f>
        <v>0</v>
      </c>
      <c r="AD25" s="124">
        <f>SUMIFS(Data_raw!$K$2:$K$483,Data_raw!$F$2:$F$483,MP_T_Total!AD$1,Data_raw!$A$2:$A$483,MP_T_Total!$A25) / SUMIF(Data_raw!$A$2:$A$483,MP_T_Total!$A25,Data_raw!$K$2:$K$483)</f>
        <v>0</v>
      </c>
      <c r="AE25" s="124">
        <f>SUMIFS(Data_raw!$K$2:$K$483,Data_raw!$F$2:$F$483,MP_T_Total!AE$1,Data_raw!$A$2:$A$483,MP_T_Total!$A25) / SUMIF(Data_raw!$A$2:$A$483,MP_T_Total!$A25,Data_raw!$K$2:$K$483)</f>
        <v>0</v>
      </c>
    </row>
    <row r="26">
      <c r="A26" s="8" t="str">
        <f>IFERROR(__xludf.DUMMYFUNCTION("""COMPUTED_VALUE"""),"Trachycephalus imitatrix")</f>
        <v>Trachycephalus imitatrix</v>
      </c>
      <c r="B26" s="124">
        <f>SUMIFS(Data_raw!$K$2:$K$483,Data_raw!$F$2:$F$483,MP_T_Total!B$1,Data_raw!$A$2:$A$483,MP_T_Total!$A26) / SUMIF(Data_raw!$A$2:$A$483,MP_T_Total!$A26,Data_raw!$K$2:$K$483)</f>
        <v>0</v>
      </c>
      <c r="C26" s="124">
        <f>SUMIFS(Data_raw!$K$2:$K$483,Data_raw!$F$2:$F$483,MP_T_Total!C$1,Data_raw!$A$2:$A$483,MP_T_Total!$A26) / SUMIF(Data_raw!$A$2:$A$483,MP_T_Total!$A26,Data_raw!$K$2:$K$483)</f>
        <v>0</v>
      </c>
      <c r="D26" s="124">
        <f>SUMIFS(Data_raw!$K$2:$K$483,Data_raw!$F$2:$F$483,MP_T_Total!D$1,Data_raw!$A$2:$A$483,MP_T_Total!$A26) / SUMIF(Data_raw!$A$2:$A$483,MP_T_Total!$A26,Data_raw!$K$2:$K$483)</f>
        <v>0</v>
      </c>
      <c r="E26" s="124">
        <f>SUMIFS(Data_raw!$K$2:$K$483,Data_raw!$F$2:$F$483,MP_T_Total!E$1,Data_raw!$A$2:$A$483,MP_T_Total!$A26) / SUMIF(Data_raw!$A$2:$A$483,MP_T_Total!$A26,Data_raw!$K$2:$K$483)</f>
        <v>0</v>
      </c>
      <c r="F26" s="124">
        <f>SUMIFS(Data_raw!$K$2:$K$483,Data_raw!$F$2:$F$483,MP_T_Total!F$1,Data_raw!$A$2:$A$483,MP_T_Total!$A26) / SUMIF(Data_raw!$A$2:$A$483,MP_T_Total!$A26,Data_raw!$K$2:$K$483)</f>
        <v>0</v>
      </c>
      <c r="G26" s="124">
        <f>SUMIFS(Data_raw!$K$2:$K$483,Data_raw!$F$2:$F$483,MP_T_Total!G$1,Data_raw!$A$2:$A$483,MP_T_Total!$A26) / SUMIF(Data_raw!$A$2:$A$483,MP_T_Total!$A26,Data_raw!$K$2:$K$483)</f>
        <v>0</v>
      </c>
      <c r="H26" s="124">
        <f>SUMIFS(Data_raw!$K$2:$K$483,Data_raw!$F$2:$F$483,MP_T_Total!H$1,Data_raw!$A$2:$A$483,MP_T_Total!$A26) / SUMIF(Data_raw!$A$2:$A$483,MP_T_Total!$A26,Data_raw!$K$2:$K$483)</f>
        <v>1</v>
      </c>
      <c r="I26" s="124">
        <f>SUMIFS(Data_raw!$K$2:$K$483,Data_raw!$F$2:$F$483,MP_T_Total!I$1,Data_raw!$A$2:$A$483,MP_T_Total!$A26) / SUMIF(Data_raw!$A$2:$A$483,MP_T_Total!$A26,Data_raw!$K$2:$K$483)</f>
        <v>0</v>
      </c>
      <c r="J26" s="124">
        <f>SUMIFS(Data_raw!$K$2:$K$483,Data_raw!$F$2:$F$483,MP_T_Total!J$1,Data_raw!$A$2:$A$483,MP_T_Total!$A26) / SUMIF(Data_raw!$A$2:$A$483,MP_T_Total!$A26,Data_raw!$K$2:$K$483)</f>
        <v>0</v>
      </c>
      <c r="K26" s="124">
        <f>SUMIFS(Data_raw!$K$2:$K$483,Data_raw!$F$2:$F$483,MP_T_Total!K$1,Data_raw!$A$2:$A$483,MP_T_Total!$A26) / SUMIF(Data_raw!$A$2:$A$483,MP_T_Total!$A26,Data_raw!$K$2:$K$483)</f>
        <v>0</v>
      </c>
      <c r="L26" s="124">
        <f>SUMIFS(Data_raw!$K$2:$K$483,Data_raw!$F$2:$F$483,MP_T_Total!L$1,Data_raw!$A$2:$A$483,MP_T_Total!$A26) / SUMIF(Data_raw!$A$2:$A$483,MP_T_Total!$A26,Data_raw!$K$2:$K$483)</f>
        <v>0</v>
      </c>
      <c r="M26" s="124">
        <f>SUMIFS(Data_raw!$K$2:$K$483,Data_raw!$F$2:$F$483,MP_T_Total!M$1,Data_raw!$A$2:$A$483,MP_T_Total!$A26) / SUMIF(Data_raw!$A$2:$A$483,MP_T_Total!$A26,Data_raw!$K$2:$K$483)</f>
        <v>0</v>
      </c>
      <c r="N26" s="124">
        <f>SUMIFS(Data_raw!$K$2:$K$483,Data_raw!$F$2:$F$483,MP_T_Total!N$1,Data_raw!$A$2:$A$483,MP_T_Total!$A26) / SUMIF(Data_raw!$A$2:$A$483,MP_T_Total!$A26,Data_raw!$K$2:$K$483)</f>
        <v>0</v>
      </c>
      <c r="O26" s="124">
        <f>SUMIFS(Data_raw!$K$2:$K$483,Data_raw!$F$2:$F$483,MP_T_Total!O$1,Data_raw!$A$2:$A$483,MP_T_Total!$A26) / SUMIF(Data_raw!$A$2:$A$483,MP_T_Total!$A26,Data_raw!$K$2:$K$483)</f>
        <v>0</v>
      </c>
      <c r="P26" s="124">
        <f>SUMIFS(Data_raw!$K$2:$K$483,Data_raw!$F$2:$F$483,MP_T_Total!P$1,Data_raw!$A$2:$A$483,MP_T_Total!$A26) / SUMIF(Data_raw!$A$2:$A$483,MP_T_Total!$A26,Data_raw!$K$2:$K$483)</f>
        <v>0</v>
      </c>
      <c r="Q26" s="124">
        <f>SUMIFS(Data_raw!$K$2:$K$483,Data_raw!$F$2:$F$483,MP_T_Total!Q$1,Data_raw!$A$2:$A$483,MP_T_Total!$A26) / SUMIF(Data_raw!$A$2:$A$483,MP_T_Total!$A26,Data_raw!$K$2:$K$483)</f>
        <v>0</v>
      </c>
      <c r="R26" s="124">
        <f>SUMIFS(Data_raw!$K$2:$K$483,Data_raw!$F$2:$F$483,MP_T_Total!R$1,Data_raw!$A$2:$A$483,MP_T_Total!$A26) / SUMIF(Data_raw!$A$2:$A$483,MP_T_Total!$A26,Data_raw!$K$2:$K$483)</f>
        <v>0</v>
      </c>
      <c r="S26" s="124">
        <f>SUMIFS(Data_raw!$K$2:$K$483,Data_raw!$F$2:$F$483,MP_T_Total!S$1,Data_raw!$A$2:$A$483,MP_T_Total!$A26) / SUMIF(Data_raw!$A$2:$A$483,MP_T_Total!$A26,Data_raw!$K$2:$K$483)</f>
        <v>0</v>
      </c>
      <c r="T26" s="124">
        <f>SUMIFS(Data_raw!$K$2:$K$483,Data_raw!$F$2:$F$483,MP_T_Total!T$1,Data_raw!$A$2:$A$483,MP_T_Total!$A26) / SUMIF(Data_raw!$A$2:$A$483,MP_T_Total!$A26,Data_raw!$K$2:$K$483)</f>
        <v>0</v>
      </c>
      <c r="U26" s="124">
        <f>SUMIFS(Data_raw!$K$2:$K$483,Data_raw!$F$2:$F$483,MP_T_Total!U$1,Data_raw!$A$2:$A$483,MP_T_Total!$A26) / SUMIF(Data_raw!$A$2:$A$483,MP_T_Total!$A26,Data_raw!$K$2:$K$483)</f>
        <v>0</v>
      </c>
      <c r="V26" s="124">
        <f>SUMIFS(Data_raw!$K$2:$K$483,Data_raw!$F$2:$F$483,MP_T_Total!V$1,Data_raw!$A$2:$A$483,MP_T_Total!$A26) / SUMIF(Data_raw!$A$2:$A$483,MP_T_Total!$A26,Data_raw!$K$2:$K$483)</f>
        <v>0</v>
      </c>
      <c r="W26" s="124">
        <f>SUMIFS(Data_raw!$K$2:$K$483,Data_raw!$F$2:$F$483,MP_T_Total!W$1,Data_raw!$A$2:$A$483,MP_T_Total!$A26) / SUMIF(Data_raw!$A$2:$A$483,MP_T_Total!$A26,Data_raw!$K$2:$K$483)</f>
        <v>0</v>
      </c>
      <c r="X26" s="124">
        <f>SUMIFS(Data_raw!$K$2:$K$483,Data_raw!$F$2:$F$483,MP_T_Total!X$1,Data_raw!$A$2:$A$483,MP_T_Total!$A26) / SUMIF(Data_raw!$A$2:$A$483,MP_T_Total!$A26,Data_raw!$K$2:$K$483)</f>
        <v>0</v>
      </c>
      <c r="Y26" s="124">
        <f>SUMIFS(Data_raw!$K$2:$K$483,Data_raw!$F$2:$F$483,MP_T_Total!Y$1,Data_raw!$A$2:$A$483,MP_T_Total!$A26) / SUMIF(Data_raw!$A$2:$A$483,MP_T_Total!$A26,Data_raw!$K$2:$K$483)</f>
        <v>0</v>
      </c>
      <c r="Z26" s="124">
        <f>SUMIFS(Data_raw!$K$2:$K$483,Data_raw!$F$2:$F$483,MP_T_Total!Z$1,Data_raw!$A$2:$A$483,MP_T_Total!$A26) / SUMIF(Data_raw!$A$2:$A$483,MP_T_Total!$A26,Data_raw!$K$2:$K$483)</f>
        <v>0</v>
      </c>
      <c r="AA26" s="124">
        <f>SUMIFS(Data_raw!$K$2:$K$483,Data_raw!$F$2:$F$483,MP_T_Total!AA$1,Data_raw!$A$2:$A$483,MP_T_Total!$A26) / SUMIF(Data_raw!$A$2:$A$483,MP_T_Total!$A26,Data_raw!$K$2:$K$483)</f>
        <v>0</v>
      </c>
      <c r="AB26" s="124">
        <f>SUMIFS(Data_raw!$K$2:$K$483,Data_raw!$F$2:$F$483,MP_T_Total!AB$1,Data_raw!$A$2:$A$483,MP_T_Total!$A26) / SUMIF(Data_raw!$A$2:$A$483,MP_T_Total!$A26,Data_raw!$K$2:$K$483)</f>
        <v>0</v>
      </c>
      <c r="AC26" s="124">
        <f>SUMIFS(Data_raw!$K$2:$K$483,Data_raw!$F$2:$F$483,MP_T_Total!AC$1,Data_raw!$A$2:$A$483,MP_T_Total!$A26) / SUMIF(Data_raw!$A$2:$A$483,MP_T_Total!$A26,Data_raw!$K$2:$K$483)</f>
        <v>0</v>
      </c>
      <c r="AD26" s="124">
        <f>SUMIFS(Data_raw!$K$2:$K$483,Data_raw!$F$2:$F$483,MP_T_Total!AD$1,Data_raw!$A$2:$A$483,MP_T_Total!$A26) / SUMIF(Data_raw!$A$2:$A$483,MP_T_Total!$A26,Data_raw!$K$2:$K$483)</f>
        <v>0</v>
      </c>
      <c r="AE26" s="124">
        <f>SUMIFS(Data_raw!$K$2:$K$483,Data_raw!$F$2:$F$483,MP_T_Total!AE$1,Data_raw!$A$2:$A$483,MP_T_Total!$A26) / SUMIF(Data_raw!$A$2:$A$483,MP_T_Total!$A26,Data_raw!$K$2:$K$483)</f>
        <v>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8"/>
      <c r="B1" s="3" t="str">
        <f>IFERROR(__xludf.DUMMYFUNCTION("TRANSPOSE(SORT(UNIQUE(FILTER(Data_raw!F2:F478,Data_raw!D2:D478 = ""mata"",Data_raw!E$2:E$478&lt;&gt;""Não identificado"",Data_raw!E$2:E$478&lt;&gt;""Semente"",Data_raw!E$2:E$478&lt;&gt;""Semente de capim"",Data_raw!E$2:E$478&lt;&gt;""Apenas substrato"",Data_raw!E$2:E$478&lt;&gt;""Vazi"&amp;"o""))))"),"Acari")</f>
        <v>Acari</v>
      </c>
      <c r="C1" s="63" t="str">
        <f>IFERROR(__xludf.DUMMYFUNCTION("""COMPUTED_VALUE"""),"Arachnida")</f>
        <v>Arachnida</v>
      </c>
      <c r="D1" s="63" t="str">
        <f>IFERROR(__xludf.DUMMYFUNCTION("""COMPUTED_VALUE"""),"Araneae")</f>
        <v>Araneae</v>
      </c>
      <c r="E1" s="63" t="str">
        <f>IFERROR(__xludf.DUMMYFUNCTION("""COMPUTED_VALUE"""),"Arthropoda")</f>
        <v>Arthropoda</v>
      </c>
      <c r="F1" s="63" t="str">
        <f>IFERROR(__xludf.DUMMYFUNCTION("""COMPUTED_VALUE"""),"Blattodea")</f>
        <v>Blattodea</v>
      </c>
      <c r="G1" s="63" t="str">
        <f>IFERROR(__xludf.DUMMYFUNCTION("""COMPUTED_VALUE"""),"Chilopoda")</f>
        <v>Chilopoda</v>
      </c>
      <c r="H1" s="63" t="str">
        <f>IFERROR(__xludf.DUMMYFUNCTION("""COMPUTED_VALUE"""),"Coleoptera")</f>
        <v>Coleoptera</v>
      </c>
      <c r="I1" s="63" t="str">
        <f>IFERROR(__xludf.DUMMYFUNCTION("""COMPUTED_VALUE"""),"Coleoptera Larva")</f>
        <v>Coleoptera Larva</v>
      </c>
      <c r="J1" s="63" t="str">
        <f>IFERROR(__xludf.DUMMYFUNCTION("""COMPUTED_VALUE"""),"Collembola")</f>
        <v>Collembola</v>
      </c>
      <c r="K1" s="63" t="str">
        <f>IFERROR(__xludf.DUMMYFUNCTION("""COMPUTED_VALUE"""),"Dermaptera")</f>
        <v>Dermaptera</v>
      </c>
      <c r="L1" s="63" t="str">
        <f>IFERROR(__xludf.DUMMYFUNCTION("""COMPUTED_VALUE"""),"Diplopoda")</f>
        <v>Diplopoda</v>
      </c>
      <c r="M1" s="63" t="str">
        <f>IFERROR(__xludf.DUMMYFUNCTION("""COMPUTED_VALUE"""),"Ensifera")</f>
        <v>Ensifera</v>
      </c>
      <c r="N1" s="63" t="str">
        <f>IFERROR(__xludf.DUMMYFUNCTION("""COMPUTED_VALUE"""),"Formicidae")</f>
        <v>Formicidae</v>
      </c>
      <c r="O1" s="63" t="str">
        <f>IFERROR(__xludf.DUMMYFUNCTION("""COMPUTED_VALUE"""),"Hemiptera")</f>
        <v>Hemiptera</v>
      </c>
      <c r="P1" s="63" t="str">
        <f>IFERROR(__xludf.DUMMYFUNCTION("""COMPUTED_VALUE"""),"Heteroptera")</f>
        <v>Heteroptera</v>
      </c>
      <c r="Q1" s="63" t="str">
        <f>IFERROR(__xludf.DUMMYFUNCTION("""COMPUTED_VALUE"""),"Insecta")</f>
        <v>Insecta</v>
      </c>
      <c r="R1" s="63" t="str">
        <f>IFERROR(__xludf.DUMMYFUNCTION("""COMPUTED_VALUE"""),"Isópode")</f>
        <v>Isópode</v>
      </c>
      <c r="S1" s="63" t="str">
        <f>IFERROR(__xludf.DUMMYFUNCTION("""COMPUTED_VALUE"""),"Isoptera")</f>
        <v>Isoptera</v>
      </c>
      <c r="T1" s="63" t="str">
        <f>IFERROR(__xludf.DUMMYFUNCTION("""COMPUTED_VALUE"""),"Larva")</f>
        <v>Larva</v>
      </c>
      <c r="U1" s="63" t="str">
        <f>IFERROR(__xludf.DUMMYFUNCTION("""COMPUTED_VALUE"""),"Lepidoptera Larva")</f>
        <v>Lepidoptera Larva</v>
      </c>
      <c r="V1" s="63" t="str">
        <f>IFERROR(__xludf.DUMMYFUNCTION("""COMPUTED_VALUE"""),"Mantodea")</f>
        <v>Mantodea</v>
      </c>
      <c r="W1" s="63" t="str">
        <f>IFERROR(__xludf.DUMMYFUNCTION("""COMPUTED_VALUE"""),"Mosca")</f>
        <v>Mosca</v>
      </c>
      <c r="X1" s="63" t="str">
        <f>IFERROR(__xludf.DUMMYFUNCTION("""COMPUTED_VALUE"""),"Opiliones")</f>
        <v>Opiliones</v>
      </c>
      <c r="Y1" s="63" t="str">
        <f>IFERROR(__xludf.DUMMYFUNCTION("""COMPUTED_VALUE"""),"Orthoptera")</f>
        <v>Orthoptera</v>
      </c>
      <c r="Z1" s="63" t="str">
        <f>IFERROR(__xludf.DUMMYFUNCTION("""COMPUTED_VALUE"""),"Pterygota")</f>
        <v>Pterygota</v>
      </c>
      <c r="AA1" s="63" t="str">
        <f>IFERROR(__xludf.DUMMYFUNCTION("""COMPUTED_VALUE"""),"Staphylinidae")</f>
        <v>Staphylinidae</v>
      </c>
      <c r="AB1" s="63" t="str">
        <f>IFERROR(__xludf.DUMMYFUNCTION("""COMPUTED_VALUE"""),"Vespa")</f>
        <v>Vespa</v>
      </c>
    </row>
    <row r="2">
      <c r="A2" s="3" t="str">
        <f>IFERROR(__xludf.DUMMYFUNCTION("SORT(UNIQUE(FILTER(Data_raw!A2:A483,Data_raw!D2:D483 = ""mata"",Data_raw!E$2:E$483&lt;&gt;""Não identificado"",Data_raw!E$2:E$483&lt;&gt;""Semente"",Data_raw!E$2:E$483&lt;&gt;""Semente de capim"",Data_raw!E$2:E$483&lt;&gt;""Apenas substrato"",Data_raw!E$2:E$483&lt;&gt;""Vazio"")))"),"Aplastodiscus albosignatus")</f>
        <v>Aplastodiscus albosignatus</v>
      </c>
      <c r="B2" s="124">
        <f>SUMIFS(Data_raw!$K$2:$K$483,Data_raw!$F$2:$F$483,MP_T_Mata!B$1,Data_raw!$A$2:$A$483,MP_T_Mata!$A2) / SUMIF(Data_raw!$A$2:$A$483,MP_T_Mata!$A2,Data_raw!$K$2:$K$483)</f>
        <v>0</v>
      </c>
      <c r="C2" s="124">
        <f>SUMIFS(Data_raw!$K$2:$K$483,Data_raw!$F$2:$F$483,MP_T_Mata!C$1,Data_raw!$A$2:$A$483,MP_T_Mata!$A2) / SUMIF(Data_raw!$A$2:$A$483,MP_T_Mata!$A2,Data_raw!$K$2:$K$483)</f>
        <v>0</v>
      </c>
      <c r="D2" s="124">
        <f>SUMIFS(Data_raw!$K$2:$K$483,Data_raw!$F$2:$F$483,MP_T_Mata!D$1,Data_raw!$A$2:$A$483,MP_T_Mata!$A2) / SUMIF(Data_raw!$A$2:$A$483,MP_T_Mata!$A2,Data_raw!$K$2:$K$483)</f>
        <v>0</v>
      </c>
      <c r="E2" s="124">
        <f>SUMIFS(Data_raw!$K$2:$K$483,Data_raw!$F$2:$F$483,MP_T_Mata!E$1,Data_raw!$A$2:$A$483,MP_T_Mata!$A2) / SUMIF(Data_raw!$A$2:$A$483,MP_T_Mata!$A2,Data_raw!$K$2:$K$483)</f>
        <v>0</v>
      </c>
      <c r="F2" s="124">
        <f>SUMIFS(Data_raw!$K$2:$K$483,Data_raw!$F$2:$F$483,MP_T_Mata!F$1,Data_raw!$A$2:$A$483,MP_T_Mata!$A2) / SUMIF(Data_raw!$A$2:$A$483,MP_T_Mata!$A2,Data_raw!$K$2:$K$483)</f>
        <v>0</v>
      </c>
      <c r="G2" s="124">
        <f>SUMIFS(Data_raw!$K$2:$K$483,Data_raw!$F$2:$F$483,MP_T_Mata!G$1,Data_raw!$A$2:$A$483,MP_T_Mata!$A2) / SUMIF(Data_raw!$A$2:$A$483,MP_T_Mata!$A2,Data_raw!$K$2:$K$483)</f>
        <v>0</v>
      </c>
      <c r="H2" s="124">
        <f>SUMIFS(Data_raw!$K$2:$K$483,Data_raw!$F$2:$F$483,MP_T_Mata!H$1,Data_raw!$A$2:$A$483,MP_T_Mata!$A2) / SUMIF(Data_raw!$A$2:$A$483,MP_T_Mata!$A2,Data_raw!$K$2:$K$483)</f>
        <v>1</v>
      </c>
      <c r="I2" s="124">
        <f>SUMIFS(Data_raw!$K$2:$K$483,Data_raw!$F$2:$F$483,MP_T_Mata!I$1,Data_raw!$A$2:$A$483,MP_T_Mata!$A2) / SUMIF(Data_raw!$A$2:$A$483,MP_T_Mata!$A2,Data_raw!$K$2:$K$483)</f>
        <v>0</v>
      </c>
      <c r="J2" s="124">
        <f>SUMIFS(Data_raw!$K$2:$K$483,Data_raw!$F$2:$F$483,MP_T_Mata!J$1,Data_raw!$A$2:$A$483,MP_T_Mata!$A2) / SUMIF(Data_raw!$A$2:$A$483,MP_T_Mata!$A2,Data_raw!$K$2:$K$483)</f>
        <v>0</v>
      </c>
      <c r="K2" s="124">
        <f>SUMIFS(Data_raw!$K$2:$K$483,Data_raw!$F$2:$F$483,MP_T_Mata!K$1,Data_raw!$A$2:$A$483,MP_T_Mata!$A2) / SUMIF(Data_raw!$A$2:$A$483,MP_T_Mata!$A2,Data_raw!$K$2:$K$483)</f>
        <v>0</v>
      </c>
      <c r="L2" s="124">
        <f>SUMIFS(Data_raw!$K$2:$K$483,Data_raw!$F$2:$F$483,MP_T_Mata!L$1,Data_raw!$A$2:$A$483,MP_T_Mata!$A2) / SUMIF(Data_raw!$A$2:$A$483,MP_T_Mata!$A2,Data_raw!$K$2:$K$483)</f>
        <v>0</v>
      </c>
      <c r="M2" s="124">
        <f>SUMIFS(Data_raw!$K$2:$K$483,Data_raw!$F$2:$F$483,MP_T_Mata!M$1,Data_raw!$A$2:$A$483,MP_T_Mata!$A2) / SUMIF(Data_raw!$A$2:$A$483,MP_T_Mata!$A2,Data_raw!$K$2:$K$483)</f>
        <v>0</v>
      </c>
      <c r="N2" s="124">
        <f>SUMIFS(Data_raw!$K$2:$K$483,Data_raw!$F$2:$F$483,MP_T_Mata!N$1,Data_raw!$A$2:$A$483,MP_T_Mata!$A2) / SUMIF(Data_raw!$A$2:$A$483,MP_T_Mata!$A2,Data_raw!$K$2:$K$483)</f>
        <v>0</v>
      </c>
      <c r="O2" s="124">
        <f>SUMIFS(Data_raw!$K$2:$K$483,Data_raw!$F$2:$F$483,MP_T_Mata!O$1,Data_raw!$A$2:$A$483,MP_T_Mata!$A2) / SUMIF(Data_raw!$A$2:$A$483,MP_T_Mata!$A2,Data_raw!$K$2:$K$483)</f>
        <v>0</v>
      </c>
      <c r="P2" s="124">
        <f>SUMIFS(Data_raw!$K$2:$K$483,Data_raw!$F$2:$F$483,MP_T_Mata!P$1,Data_raw!$A$2:$A$483,MP_T_Mata!$A2) / SUMIF(Data_raw!$A$2:$A$483,MP_T_Mata!$A2,Data_raw!$K$2:$K$483)</f>
        <v>0</v>
      </c>
      <c r="Q2" s="124">
        <f>SUMIFS(Data_raw!$K$2:$K$483,Data_raw!$F$2:$F$483,MP_T_Mata!Q$1,Data_raw!$A$2:$A$483,MP_T_Mata!$A2) / SUMIF(Data_raw!$A$2:$A$483,MP_T_Mata!$A2,Data_raw!$K$2:$K$483)</f>
        <v>0</v>
      </c>
      <c r="R2" s="124">
        <f>SUMIFS(Data_raw!$K$2:$K$483,Data_raw!$F$2:$F$483,MP_T_Mata!R$1,Data_raw!$A$2:$A$483,MP_T_Mata!$A2) / SUMIF(Data_raw!$A$2:$A$483,MP_T_Mata!$A2,Data_raw!$K$2:$K$483)</f>
        <v>0</v>
      </c>
      <c r="S2" s="124">
        <f>SUMIFS(Data_raw!$K$2:$K$483,Data_raw!$F$2:$F$483,MP_T_Mata!S$1,Data_raw!$A$2:$A$483,MP_T_Mata!$A2) / SUMIF(Data_raw!$A$2:$A$483,MP_T_Mata!$A2,Data_raw!$K$2:$K$483)</f>
        <v>0</v>
      </c>
      <c r="T2" s="124">
        <f>SUMIFS(Data_raw!$K$2:$K$483,Data_raw!$F$2:$F$483,MP_T_Mata!T$1,Data_raw!$A$2:$A$483,MP_T_Mata!$A2) / SUMIF(Data_raw!$A$2:$A$483,MP_T_Mata!$A2,Data_raw!$K$2:$K$483)</f>
        <v>0</v>
      </c>
      <c r="U2" s="124">
        <f>SUMIFS(Data_raw!$K$2:$K$483,Data_raw!$F$2:$F$483,MP_T_Mata!U$1,Data_raw!$A$2:$A$483,MP_T_Mata!$A2) / SUMIF(Data_raw!$A$2:$A$483,MP_T_Mata!$A2,Data_raw!$K$2:$K$483)</f>
        <v>0</v>
      </c>
      <c r="V2" s="124">
        <f>SUMIFS(Data_raw!$K$2:$K$483,Data_raw!$F$2:$F$483,MP_T_Mata!V$1,Data_raw!$A$2:$A$483,MP_T_Mata!$A2) / SUMIF(Data_raw!$A$2:$A$483,MP_T_Mata!$A2,Data_raw!$K$2:$K$483)</f>
        <v>0</v>
      </c>
      <c r="W2" s="124">
        <f>SUMIFS(Data_raw!$K$2:$K$483,Data_raw!$F$2:$F$483,MP_T_Mata!W$1,Data_raw!$A$2:$A$483,MP_T_Mata!$A2) / SUMIF(Data_raw!$A$2:$A$483,MP_T_Mata!$A2,Data_raw!$K$2:$K$483)</f>
        <v>0</v>
      </c>
      <c r="X2" s="124">
        <f>SUMIFS(Data_raw!$K$2:$K$483,Data_raw!$F$2:$F$483,MP_T_Mata!X$1,Data_raw!$A$2:$A$483,MP_T_Mata!$A2) / SUMIF(Data_raw!$A$2:$A$483,MP_T_Mata!$A2,Data_raw!$K$2:$K$483)</f>
        <v>0</v>
      </c>
      <c r="Y2" s="124">
        <f>SUMIFS(Data_raw!$K$2:$K$483,Data_raw!$F$2:$F$483,MP_T_Mata!Y$1,Data_raw!$A$2:$A$483,MP_T_Mata!$A2) / SUMIF(Data_raw!$A$2:$A$483,MP_T_Mata!$A2,Data_raw!$K$2:$K$483)</f>
        <v>0</v>
      </c>
      <c r="Z2" s="124">
        <f>SUMIFS(Data_raw!$K$2:$K$483,Data_raw!$F$2:$F$483,MP_T_Mata!Z$1,Data_raw!$A$2:$A$483,MP_T_Mata!$A2) / SUMIF(Data_raw!$A$2:$A$483,MP_T_Mata!$A2,Data_raw!$K$2:$K$483)</f>
        <v>0</v>
      </c>
      <c r="AA2" s="124">
        <f>SUMIFS(Data_raw!$K$2:$K$483,Data_raw!$F$2:$F$483,MP_T_Mata!AA$1,Data_raw!$A$2:$A$483,MP_T_Mata!$A2) / SUMIF(Data_raw!$A$2:$A$483,MP_T_Mata!$A2,Data_raw!$K$2:$K$483)</f>
        <v>0</v>
      </c>
      <c r="AB2" s="124">
        <f>SUMIFS(Data_raw!$K$2:$K$483,Data_raw!$F$2:$F$483,MP_T_Mata!AB$1,Data_raw!$A$2:$A$483,MP_T_Mata!$A2) / SUMIF(Data_raw!$A$2:$A$483,MP_T_Mata!$A2,Data_raw!$K$2:$K$483)</f>
        <v>0</v>
      </c>
    </row>
    <row r="3">
      <c r="A3" s="63" t="str">
        <f>IFERROR(__xludf.DUMMYFUNCTION("""COMPUTED_VALUE"""),"Boana faber")</f>
        <v>Boana faber</v>
      </c>
      <c r="B3" s="124">
        <f>SUMIFS(Data_raw!$K$2:$K$483,Data_raw!$F$2:$F$483,MP_T_Mata!B$1,Data_raw!$A$2:$A$483,MP_T_Mata!$A3) / SUMIF(Data_raw!$A$2:$A$483,MP_T_Mata!$A3,Data_raw!$K$2:$K$483)</f>
        <v>0.00007918283316</v>
      </c>
      <c r="C3" s="124">
        <f>SUMIFS(Data_raw!$K$2:$K$483,Data_raw!$F$2:$F$483,MP_T_Mata!C$1,Data_raw!$A$2:$A$483,MP_T_Mata!$A3) / SUMIF(Data_raw!$A$2:$A$483,MP_T_Mata!$A3,Data_raw!$K$2:$K$483)</f>
        <v>0</v>
      </c>
      <c r="D3" s="124">
        <f>SUMIFS(Data_raw!$K$2:$K$483,Data_raw!$F$2:$F$483,MP_T_Mata!D$1,Data_raw!$A$2:$A$483,MP_T_Mata!$A3) / SUMIF(Data_raw!$A$2:$A$483,MP_T_Mata!$A3,Data_raw!$K$2:$K$483)</f>
        <v>0.310396706</v>
      </c>
      <c r="E3" s="124">
        <f>SUMIFS(Data_raw!$K$2:$K$483,Data_raw!$F$2:$F$483,MP_T_Mata!E$1,Data_raw!$A$2:$A$483,MP_T_Mata!$A3) / SUMIF(Data_raw!$A$2:$A$483,MP_T_Mata!$A3,Data_raw!$K$2:$K$483)</f>
        <v>0</v>
      </c>
      <c r="F3" s="124">
        <f>SUMIFS(Data_raw!$K$2:$K$483,Data_raw!$F$2:$F$483,MP_T_Mata!F$1,Data_raw!$A$2:$A$483,MP_T_Mata!$A3) / SUMIF(Data_raw!$A$2:$A$483,MP_T_Mata!$A3,Data_raw!$K$2:$K$483)</f>
        <v>0.06588011719</v>
      </c>
      <c r="G3" s="124">
        <f>SUMIFS(Data_raw!$K$2:$K$483,Data_raw!$F$2:$F$483,MP_T_Mata!G$1,Data_raw!$A$2:$A$483,MP_T_Mata!$A3) / SUMIF(Data_raw!$A$2:$A$483,MP_T_Mata!$A3,Data_raw!$K$2:$K$483)</f>
        <v>0</v>
      </c>
      <c r="H3" s="124">
        <f>SUMIFS(Data_raw!$K$2:$K$483,Data_raw!$F$2:$F$483,MP_T_Mata!H$1,Data_raw!$A$2:$A$483,MP_T_Mata!$A3) / SUMIF(Data_raw!$A$2:$A$483,MP_T_Mata!$A3,Data_raw!$K$2:$K$483)</f>
        <v>0</v>
      </c>
      <c r="I3" s="124">
        <f>SUMIFS(Data_raw!$K$2:$K$483,Data_raw!$F$2:$F$483,MP_T_Mata!I$1,Data_raw!$A$2:$A$483,MP_T_Mata!$A3) / SUMIF(Data_raw!$A$2:$A$483,MP_T_Mata!$A3,Data_raw!$K$2:$K$483)</f>
        <v>0</v>
      </c>
      <c r="J3" s="124">
        <f>SUMIFS(Data_raw!$K$2:$K$483,Data_raw!$F$2:$F$483,MP_T_Mata!J$1,Data_raw!$A$2:$A$483,MP_T_Mata!$A3) / SUMIF(Data_raw!$A$2:$A$483,MP_T_Mata!$A3,Data_raw!$K$2:$K$483)</f>
        <v>0</v>
      </c>
      <c r="K3" s="124">
        <f>SUMIFS(Data_raw!$K$2:$K$483,Data_raw!$F$2:$F$483,MP_T_Mata!K$1,Data_raw!$A$2:$A$483,MP_T_Mata!$A3) / SUMIF(Data_raw!$A$2:$A$483,MP_T_Mata!$A3,Data_raw!$K$2:$K$483)</f>
        <v>0</v>
      </c>
      <c r="L3" s="124">
        <f>SUMIFS(Data_raw!$K$2:$K$483,Data_raw!$F$2:$F$483,MP_T_Mata!L$1,Data_raw!$A$2:$A$483,MP_T_Mata!$A3) / SUMIF(Data_raw!$A$2:$A$483,MP_T_Mata!$A3,Data_raw!$K$2:$K$483)</f>
        <v>0.05131047589</v>
      </c>
      <c r="M3" s="124">
        <f>SUMIFS(Data_raw!$K$2:$K$483,Data_raw!$F$2:$F$483,MP_T_Mata!M$1,Data_raw!$A$2:$A$483,MP_T_Mata!$A3) / SUMIF(Data_raw!$A$2:$A$483,MP_T_Mata!$A3,Data_raw!$K$2:$K$483)</f>
        <v>0.5701163988</v>
      </c>
      <c r="N3" s="124">
        <f>SUMIFS(Data_raw!$K$2:$K$483,Data_raw!$F$2:$F$483,MP_T_Mata!N$1,Data_raw!$A$2:$A$483,MP_T_Mata!$A3) / SUMIF(Data_raw!$A$2:$A$483,MP_T_Mata!$A3,Data_raw!$K$2:$K$483)</f>
        <v>0</v>
      </c>
      <c r="O3" s="124">
        <f>SUMIFS(Data_raw!$K$2:$K$483,Data_raw!$F$2:$F$483,MP_T_Mata!O$1,Data_raw!$A$2:$A$483,MP_T_Mata!$A3) / SUMIF(Data_raw!$A$2:$A$483,MP_T_Mata!$A3,Data_raw!$K$2:$K$483)</f>
        <v>0</v>
      </c>
      <c r="P3" s="124">
        <f>SUMIFS(Data_raw!$K$2:$K$483,Data_raw!$F$2:$F$483,MP_T_Mata!P$1,Data_raw!$A$2:$A$483,MP_T_Mata!$A3) / SUMIF(Data_raw!$A$2:$A$483,MP_T_Mata!$A3,Data_raw!$K$2:$K$483)</f>
        <v>0.001583656663</v>
      </c>
      <c r="Q3" s="124">
        <f>SUMIFS(Data_raw!$K$2:$K$483,Data_raw!$F$2:$F$483,MP_T_Mata!Q$1,Data_raw!$A$2:$A$483,MP_T_Mata!$A3) / SUMIF(Data_raw!$A$2:$A$483,MP_T_Mata!$A3,Data_raw!$K$2:$K$483)</f>
        <v>0</v>
      </c>
      <c r="R3" s="124">
        <f>SUMIFS(Data_raw!$K$2:$K$483,Data_raw!$F$2:$F$483,MP_T_Mata!R$1,Data_raw!$A$2:$A$483,MP_T_Mata!$A3) / SUMIF(Data_raw!$A$2:$A$483,MP_T_Mata!$A3,Data_raw!$K$2:$K$483)</f>
        <v>0</v>
      </c>
      <c r="S3" s="124">
        <f>SUMIFS(Data_raw!$K$2:$K$483,Data_raw!$F$2:$F$483,MP_T_Mata!S$1,Data_raw!$A$2:$A$483,MP_T_Mata!$A3) / SUMIF(Data_raw!$A$2:$A$483,MP_T_Mata!$A3,Data_raw!$K$2:$K$483)</f>
        <v>0</v>
      </c>
      <c r="T3" s="124">
        <f>SUMIFS(Data_raw!$K$2:$K$483,Data_raw!$F$2:$F$483,MP_T_Mata!T$1,Data_raw!$A$2:$A$483,MP_T_Mata!$A3) / SUMIF(Data_raw!$A$2:$A$483,MP_T_Mata!$A3,Data_raw!$K$2:$K$483)</f>
        <v>0</v>
      </c>
      <c r="U3" s="124">
        <f>SUMIFS(Data_raw!$K$2:$K$483,Data_raw!$F$2:$F$483,MP_T_Mata!U$1,Data_raw!$A$2:$A$483,MP_T_Mata!$A3) / SUMIF(Data_raw!$A$2:$A$483,MP_T_Mata!$A3,Data_raw!$K$2:$K$483)</f>
        <v>0</v>
      </c>
      <c r="V3" s="124">
        <f>SUMIFS(Data_raw!$K$2:$K$483,Data_raw!$F$2:$F$483,MP_T_Mata!V$1,Data_raw!$A$2:$A$483,MP_T_Mata!$A3) / SUMIF(Data_raw!$A$2:$A$483,MP_T_Mata!$A3,Data_raw!$K$2:$K$483)</f>
        <v>0</v>
      </c>
      <c r="W3" s="124">
        <f>SUMIFS(Data_raw!$K$2:$K$483,Data_raw!$F$2:$F$483,MP_T_Mata!W$1,Data_raw!$A$2:$A$483,MP_T_Mata!$A3) / SUMIF(Data_raw!$A$2:$A$483,MP_T_Mata!$A3,Data_raw!$K$2:$K$483)</f>
        <v>0</v>
      </c>
      <c r="X3" s="124">
        <f>SUMIFS(Data_raw!$K$2:$K$483,Data_raw!$F$2:$F$483,MP_T_Mata!X$1,Data_raw!$A$2:$A$483,MP_T_Mata!$A3) / SUMIF(Data_raw!$A$2:$A$483,MP_T_Mata!$A3,Data_raw!$K$2:$K$483)</f>
        <v>0</v>
      </c>
      <c r="Y3" s="124">
        <f>SUMIFS(Data_raw!$K$2:$K$483,Data_raw!$F$2:$F$483,MP_T_Mata!Y$1,Data_raw!$A$2:$A$483,MP_T_Mata!$A3) / SUMIF(Data_raw!$A$2:$A$483,MP_T_Mata!$A3,Data_raw!$K$2:$K$483)</f>
        <v>0</v>
      </c>
      <c r="Z3" s="124">
        <f>SUMIFS(Data_raw!$K$2:$K$483,Data_raw!$F$2:$F$483,MP_T_Mata!Z$1,Data_raw!$A$2:$A$483,MP_T_Mata!$A3) / SUMIF(Data_raw!$A$2:$A$483,MP_T_Mata!$A3,Data_raw!$K$2:$K$483)</f>
        <v>0</v>
      </c>
      <c r="AA3" s="124">
        <f>SUMIFS(Data_raw!$K$2:$K$483,Data_raw!$F$2:$F$483,MP_T_Mata!AA$1,Data_raw!$A$2:$A$483,MP_T_Mata!$A3) / SUMIF(Data_raw!$A$2:$A$483,MP_T_Mata!$A3,Data_raw!$K$2:$K$483)</f>
        <v>0</v>
      </c>
      <c r="AB3" s="124">
        <f>SUMIFS(Data_raw!$K$2:$K$483,Data_raw!$F$2:$F$483,MP_T_Mata!AB$1,Data_raw!$A$2:$A$483,MP_T_Mata!$A3) / SUMIF(Data_raw!$A$2:$A$483,MP_T_Mata!$A3,Data_raw!$K$2:$K$483)</f>
        <v>0.0006334626653</v>
      </c>
    </row>
    <row r="4">
      <c r="A4" s="63" t="str">
        <f>IFERROR(__xludf.DUMMYFUNCTION("""COMPUTED_VALUE"""),"Boana latistriata")</f>
        <v>Boana latistriata</v>
      </c>
      <c r="B4" s="124">
        <f>SUMIFS(Data_raw!$K$2:$K$483,Data_raw!$F$2:$F$483,MP_T_Mata!B$1,Data_raw!$A$2:$A$483,MP_T_Mata!$A4) / SUMIF(Data_raw!$A$2:$A$483,MP_T_Mata!$A4,Data_raw!$K$2:$K$483)</f>
        <v>0</v>
      </c>
      <c r="C4" s="124">
        <f>SUMIFS(Data_raw!$K$2:$K$483,Data_raw!$F$2:$F$483,MP_T_Mata!C$1,Data_raw!$A$2:$A$483,MP_T_Mata!$A4) / SUMIF(Data_raw!$A$2:$A$483,MP_T_Mata!$A4,Data_raw!$K$2:$K$483)</f>
        <v>0</v>
      </c>
      <c r="D4" s="124">
        <f>SUMIFS(Data_raw!$K$2:$K$483,Data_raw!$F$2:$F$483,MP_T_Mata!D$1,Data_raw!$A$2:$A$483,MP_T_Mata!$A4) / SUMIF(Data_raw!$A$2:$A$483,MP_T_Mata!$A4,Data_raw!$K$2:$K$483)</f>
        <v>0.1739130435</v>
      </c>
      <c r="E4" s="124">
        <f>SUMIFS(Data_raw!$K$2:$K$483,Data_raw!$F$2:$F$483,MP_T_Mata!E$1,Data_raw!$A$2:$A$483,MP_T_Mata!$A4) / SUMIF(Data_raw!$A$2:$A$483,MP_T_Mata!$A4,Data_raw!$K$2:$K$483)</f>
        <v>0</v>
      </c>
      <c r="F4" s="124">
        <f>SUMIFS(Data_raw!$K$2:$K$483,Data_raw!$F$2:$F$483,MP_T_Mata!F$1,Data_raw!$A$2:$A$483,MP_T_Mata!$A4) / SUMIF(Data_raw!$A$2:$A$483,MP_T_Mata!$A4,Data_raw!$K$2:$K$483)</f>
        <v>0.7826086957</v>
      </c>
      <c r="G4" s="124">
        <f>SUMIFS(Data_raw!$K$2:$K$483,Data_raw!$F$2:$F$483,MP_T_Mata!G$1,Data_raw!$A$2:$A$483,MP_T_Mata!$A4) / SUMIF(Data_raw!$A$2:$A$483,MP_T_Mata!$A4,Data_raw!$K$2:$K$483)</f>
        <v>0</v>
      </c>
      <c r="H4" s="124">
        <f>SUMIFS(Data_raw!$K$2:$K$483,Data_raw!$F$2:$F$483,MP_T_Mata!H$1,Data_raw!$A$2:$A$483,MP_T_Mata!$A4) / SUMIF(Data_raw!$A$2:$A$483,MP_T_Mata!$A4,Data_raw!$K$2:$K$483)</f>
        <v>0.04347826087</v>
      </c>
      <c r="I4" s="124">
        <f>SUMIFS(Data_raw!$K$2:$K$483,Data_raw!$F$2:$F$483,MP_T_Mata!I$1,Data_raw!$A$2:$A$483,MP_T_Mata!$A4) / SUMIF(Data_raw!$A$2:$A$483,MP_T_Mata!$A4,Data_raw!$K$2:$K$483)</f>
        <v>0</v>
      </c>
      <c r="J4" s="124">
        <f>SUMIFS(Data_raw!$K$2:$K$483,Data_raw!$F$2:$F$483,MP_T_Mata!J$1,Data_raw!$A$2:$A$483,MP_T_Mata!$A4) / SUMIF(Data_raw!$A$2:$A$483,MP_T_Mata!$A4,Data_raw!$K$2:$K$483)</f>
        <v>0</v>
      </c>
      <c r="K4" s="124">
        <f>SUMIFS(Data_raw!$K$2:$K$483,Data_raw!$F$2:$F$483,MP_T_Mata!K$1,Data_raw!$A$2:$A$483,MP_T_Mata!$A4) / SUMIF(Data_raw!$A$2:$A$483,MP_T_Mata!$A4,Data_raw!$K$2:$K$483)</f>
        <v>0</v>
      </c>
      <c r="L4" s="124">
        <f>SUMIFS(Data_raw!$K$2:$K$483,Data_raw!$F$2:$F$483,MP_T_Mata!L$1,Data_raw!$A$2:$A$483,MP_T_Mata!$A4) / SUMIF(Data_raw!$A$2:$A$483,MP_T_Mata!$A4,Data_raw!$K$2:$K$483)</f>
        <v>0</v>
      </c>
      <c r="M4" s="124">
        <f>SUMIFS(Data_raw!$K$2:$K$483,Data_raw!$F$2:$F$483,MP_T_Mata!M$1,Data_raw!$A$2:$A$483,MP_T_Mata!$A4) / SUMIF(Data_raw!$A$2:$A$483,MP_T_Mata!$A4,Data_raw!$K$2:$K$483)</f>
        <v>0</v>
      </c>
      <c r="N4" s="124">
        <f>SUMIFS(Data_raw!$K$2:$K$483,Data_raw!$F$2:$F$483,MP_T_Mata!N$1,Data_raw!$A$2:$A$483,MP_T_Mata!$A4) / SUMIF(Data_raw!$A$2:$A$483,MP_T_Mata!$A4,Data_raw!$K$2:$K$483)</f>
        <v>0</v>
      </c>
      <c r="O4" s="124">
        <f>SUMIFS(Data_raw!$K$2:$K$483,Data_raw!$F$2:$F$483,MP_T_Mata!O$1,Data_raw!$A$2:$A$483,MP_T_Mata!$A4) / SUMIF(Data_raw!$A$2:$A$483,MP_T_Mata!$A4,Data_raw!$K$2:$K$483)</f>
        <v>0</v>
      </c>
      <c r="P4" s="124">
        <f>SUMIFS(Data_raw!$K$2:$K$483,Data_raw!$F$2:$F$483,MP_T_Mata!P$1,Data_raw!$A$2:$A$483,MP_T_Mata!$A4) / SUMIF(Data_raw!$A$2:$A$483,MP_T_Mata!$A4,Data_raw!$K$2:$K$483)</f>
        <v>0</v>
      </c>
      <c r="Q4" s="124">
        <f>SUMIFS(Data_raw!$K$2:$K$483,Data_raw!$F$2:$F$483,MP_T_Mata!Q$1,Data_raw!$A$2:$A$483,MP_T_Mata!$A4) / SUMIF(Data_raw!$A$2:$A$483,MP_T_Mata!$A4,Data_raw!$K$2:$K$483)</f>
        <v>0</v>
      </c>
      <c r="R4" s="124">
        <f>SUMIFS(Data_raw!$K$2:$K$483,Data_raw!$F$2:$F$483,MP_T_Mata!R$1,Data_raw!$A$2:$A$483,MP_T_Mata!$A4) / SUMIF(Data_raw!$A$2:$A$483,MP_T_Mata!$A4,Data_raw!$K$2:$K$483)</f>
        <v>0</v>
      </c>
      <c r="S4" s="124">
        <f>SUMIFS(Data_raw!$K$2:$K$483,Data_raw!$F$2:$F$483,MP_T_Mata!S$1,Data_raw!$A$2:$A$483,MP_T_Mata!$A4) / SUMIF(Data_raw!$A$2:$A$483,MP_T_Mata!$A4,Data_raw!$K$2:$K$483)</f>
        <v>0</v>
      </c>
      <c r="T4" s="124">
        <f>SUMIFS(Data_raw!$K$2:$K$483,Data_raw!$F$2:$F$483,MP_T_Mata!T$1,Data_raw!$A$2:$A$483,MP_T_Mata!$A4) / SUMIF(Data_raw!$A$2:$A$483,MP_T_Mata!$A4,Data_raw!$K$2:$K$483)</f>
        <v>0</v>
      </c>
      <c r="U4" s="124">
        <f>SUMIFS(Data_raw!$K$2:$K$483,Data_raw!$F$2:$F$483,MP_T_Mata!U$1,Data_raw!$A$2:$A$483,MP_T_Mata!$A4) / SUMIF(Data_raw!$A$2:$A$483,MP_T_Mata!$A4,Data_raw!$K$2:$K$483)</f>
        <v>0</v>
      </c>
      <c r="V4" s="124">
        <f>SUMIFS(Data_raw!$K$2:$K$483,Data_raw!$F$2:$F$483,MP_T_Mata!V$1,Data_raw!$A$2:$A$483,MP_T_Mata!$A4) / SUMIF(Data_raw!$A$2:$A$483,MP_T_Mata!$A4,Data_raw!$K$2:$K$483)</f>
        <v>0</v>
      </c>
      <c r="W4" s="124">
        <f>SUMIFS(Data_raw!$K$2:$K$483,Data_raw!$F$2:$F$483,MP_T_Mata!W$1,Data_raw!$A$2:$A$483,MP_T_Mata!$A4) / SUMIF(Data_raw!$A$2:$A$483,MP_T_Mata!$A4,Data_raw!$K$2:$K$483)</f>
        <v>0</v>
      </c>
      <c r="X4" s="124">
        <f>SUMIFS(Data_raw!$K$2:$K$483,Data_raw!$F$2:$F$483,MP_T_Mata!X$1,Data_raw!$A$2:$A$483,MP_T_Mata!$A4) / SUMIF(Data_raw!$A$2:$A$483,MP_T_Mata!$A4,Data_raw!$K$2:$K$483)</f>
        <v>0</v>
      </c>
      <c r="Y4" s="124">
        <f>SUMIFS(Data_raw!$K$2:$K$483,Data_raw!$F$2:$F$483,MP_T_Mata!Y$1,Data_raw!$A$2:$A$483,MP_T_Mata!$A4) / SUMIF(Data_raw!$A$2:$A$483,MP_T_Mata!$A4,Data_raw!$K$2:$K$483)</f>
        <v>0</v>
      </c>
      <c r="Z4" s="124">
        <f>SUMIFS(Data_raw!$K$2:$K$483,Data_raw!$F$2:$F$483,MP_T_Mata!Z$1,Data_raw!$A$2:$A$483,MP_T_Mata!$A4) / SUMIF(Data_raw!$A$2:$A$483,MP_T_Mata!$A4,Data_raw!$K$2:$K$483)</f>
        <v>0</v>
      </c>
      <c r="AA4" s="124">
        <f>SUMIFS(Data_raw!$K$2:$K$483,Data_raw!$F$2:$F$483,MP_T_Mata!AA$1,Data_raw!$A$2:$A$483,MP_T_Mata!$A4) / SUMIF(Data_raw!$A$2:$A$483,MP_T_Mata!$A4,Data_raw!$K$2:$K$483)</f>
        <v>0</v>
      </c>
      <c r="AB4" s="124">
        <f>SUMIFS(Data_raw!$K$2:$K$483,Data_raw!$F$2:$F$483,MP_T_Mata!AB$1,Data_raw!$A$2:$A$483,MP_T_Mata!$A4) / SUMIF(Data_raw!$A$2:$A$483,MP_T_Mata!$A4,Data_raw!$K$2:$K$483)</f>
        <v>0</v>
      </c>
    </row>
    <row r="5">
      <c r="A5" s="63" t="str">
        <f>IFERROR(__xludf.DUMMYFUNCTION("""COMPUTED_VALUE"""),"Bokermannohyla luctuosa")</f>
        <v>Bokermannohyla luctuosa</v>
      </c>
      <c r="B5" s="124">
        <f>SUMIFS(Data_raw!$K$2:$K$483,Data_raw!$F$2:$F$483,MP_T_Mata!B$1,Data_raw!$A$2:$A$483,MP_T_Mata!$A5) / SUMIF(Data_raw!$A$2:$A$483,MP_T_Mata!$A5,Data_raw!$K$2:$K$483)</f>
        <v>0.0004206983593</v>
      </c>
      <c r="C5" s="124">
        <f>SUMIFS(Data_raw!$K$2:$K$483,Data_raw!$F$2:$F$483,MP_T_Mata!C$1,Data_raw!$A$2:$A$483,MP_T_Mata!$A5) / SUMIF(Data_raw!$A$2:$A$483,MP_T_Mata!$A5,Data_raw!$K$2:$K$483)</f>
        <v>0</v>
      </c>
      <c r="D5" s="124">
        <f>SUMIFS(Data_raw!$K$2:$K$483,Data_raw!$F$2:$F$483,MP_T_Mata!D$1,Data_raw!$A$2:$A$483,MP_T_Mata!$A5) / SUMIF(Data_raw!$A$2:$A$483,MP_T_Mata!$A5,Data_raw!$K$2:$K$483)</f>
        <v>0.2385359697</v>
      </c>
      <c r="E5" s="124">
        <f>SUMIFS(Data_raw!$K$2:$K$483,Data_raw!$F$2:$F$483,MP_T_Mata!E$1,Data_raw!$A$2:$A$483,MP_T_Mata!$A5) / SUMIF(Data_raw!$A$2:$A$483,MP_T_Mata!$A5,Data_raw!$K$2:$K$483)</f>
        <v>0</v>
      </c>
      <c r="F5" s="124">
        <f>SUMIFS(Data_raw!$K$2:$K$483,Data_raw!$F$2:$F$483,MP_T_Mata!F$1,Data_raw!$A$2:$A$483,MP_T_Mata!$A5) / SUMIF(Data_raw!$A$2:$A$483,MP_T_Mata!$A5,Data_raw!$K$2:$K$483)</f>
        <v>0.001682793437</v>
      </c>
      <c r="G5" s="124">
        <f>SUMIFS(Data_raw!$K$2:$K$483,Data_raw!$F$2:$F$483,MP_T_Mata!G$1,Data_raw!$A$2:$A$483,MP_T_Mata!$A5) / SUMIF(Data_raw!$A$2:$A$483,MP_T_Mata!$A5,Data_raw!$K$2:$K$483)</f>
        <v>0</v>
      </c>
      <c r="H5" s="124">
        <f>SUMIFS(Data_raw!$K$2:$K$483,Data_raw!$F$2:$F$483,MP_T_Mata!H$1,Data_raw!$A$2:$A$483,MP_T_Mata!$A5) / SUMIF(Data_raw!$A$2:$A$483,MP_T_Mata!$A5,Data_raw!$K$2:$K$483)</f>
        <v>0.07404291123</v>
      </c>
      <c r="I5" s="124">
        <f>SUMIFS(Data_raw!$K$2:$K$483,Data_raw!$F$2:$F$483,MP_T_Mata!I$1,Data_raw!$A$2:$A$483,MP_T_Mata!$A5) / SUMIF(Data_raw!$A$2:$A$483,MP_T_Mata!$A5,Data_raw!$K$2:$K$483)</f>
        <v>0</v>
      </c>
      <c r="J5" s="124">
        <f>SUMIFS(Data_raw!$K$2:$K$483,Data_raw!$F$2:$F$483,MP_T_Mata!J$1,Data_raw!$A$2:$A$483,MP_T_Mata!$A5) / SUMIF(Data_raw!$A$2:$A$483,MP_T_Mata!$A5,Data_raw!$K$2:$K$483)</f>
        <v>0</v>
      </c>
      <c r="K5" s="124">
        <f>SUMIFS(Data_raw!$K$2:$K$483,Data_raw!$F$2:$F$483,MP_T_Mata!K$1,Data_raw!$A$2:$A$483,MP_T_Mata!$A5) / SUMIF(Data_raw!$A$2:$A$483,MP_T_Mata!$A5,Data_raw!$K$2:$K$483)</f>
        <v>0</v>
      </c>
      <c r="L5" s="124">
        <f>SUMIFS(Data_raw!$K$2:$K$483,Data_raw!$F$2:$F$483,MP_T_Mata!L$1,Data_raw!$A$2:$A$483,MP_T_Mata!$A5) / SUMIF(Data_raw!$A$2:$A$483,MP_T_Mata!$A5,Data_raw!$K$2:$K$483)</f>
        <v>0</v>
      </c>
      <c r="M5" s="124">
        <f>SUMIFS(Data_raw!$K$2:$K$483,Data_raw!$F$2:$F$483,MP_T_Mata!M$1,Data_raw!$A$2:$A$483,MP_T_Mata!$A5) / SUMIF(Data_raw!$A$2:$A$483,MP_T_Mata!$A5,Data_raw!$K$2:$K$483)</f>
        <v>0.08077408498</v>
      </c>
      <c r="N5" s="124">
        <f>SUMIFS(Data_raw!$K$2:$K$483,Data_raw!$F$2:$F$483,MP_T_Mata!N$1,Data_raw!$A$2:$A$483,MP_T_Mata!$A5) / SUMIF(Data_raw!$A$2:$A$483,MP_T_Mata!$A5,Data_raw!$K$2:$K$483)</f>
        <v>0</v>
      </c>
      <c r="O5" s="124">
        <f>SUMIFS(Data_raw!$K$2:$K$483,Data_raw!$F$2:$F$483,MP_T_Mata!O$1,Data_raw!$A$2:$A$483,MP_T_Mata!$A5) / SUMIF(Data_raw!$A$2:$A$483,MP_T_Mata!$A5,Data_raw!$K$2:$K$483)</f>
        <v>0</v>
      </c>
      <c r="P5" s="124">
        <f>SUMIFS(Data_raw!$K$2:$K$483,Data_raw!$F$2:$F$483,MP_T_Mata!P$1,Data_raw!$A$2:$A$483,MP_T_Mata!$A5) / SUMIF(Data_raw!$A$2:$A$483,MP_T_Mata!$A5,Data_raw!$K$2:$K$483)</f>
        <v>0.5414387884</v>
      </c>
      <c r="Q5" s="124">
        <f>SUMIFS(Data_raw!$K$2:$K$483,Data_raw!$F$2:$F$483,MP_T_Mata!Q$1,Data_raw!$A$2:$A$483,MP_T_Mata!$A5) / SUMIF(Data_raw!$A$2:$A$483,MP_T_Mata!$A5,Data_raw!$K$2:$K$483)</f>
        <v>0</v>
      </c>
      <c r="R5" s="124">
        <f>SUMIFS(Data_raw!$K$2:$K$483,Data_raw!$F$2:$F$483,MP_T_Mata!R$1,Data_raw!$A$2:$A$483,MP_T_Mata!$A5) / SUMIF(Data_raw!$A$2:$A$483,MP_T_Mata!$A5,Data_raw!$K$2:$K$483)</f>
        <v>0</v>
      </c>
      <c r="S5" s="124">
        <f>SUMIFS(Data_raw!$K$2:$K$483,Data_raw!$F$2:$F$483,MP_T_Mata!S$1,Data_raw!$A$2:$A$483,MP_T_Mata!$A5) / SUMIF(Data_raw!$A$2:$A$483,MP_T_Mata!$A5,Data_raw!$K$2:$K$483)</f>
        <v>0</v>
      </c>
      <c r="T5" s="124">
        <f>SUMIFS(Data_raw!$K$2:$K$483,Data_raw!$F$2:$F$483,MP_T_Mata!T$1,Data_raw!$A$2:$A$483,MP_T_Mata!$A5) / SUMIF(Data_raw!$A$2:$A$483,MP_T_Mata!$A5,Data_raw!$K$2:$K$483)</f>
        <v>0</v>
      </c>
      <c r="U5" s="124">
        <f>SUMIFS(Data_raw!$K$2:$K$483,Data_raw!$F$2:$F$483,MP_T_Mata!U$1,Data_raw!$A$2:$A$483,MP_T_Mata!$A5) / SUMIF(Data_raw!$A$2:$A$483,MP_T_Mata!$A5,Data_raw!$K$2:$K$483)</f>
        <v>0</v>
      </c>
      <c r="V5" s="124">
        <f>SUMIFS(Data_raw!$K$2:$K$483,Data_raw!$F$2:$F$483,MP_T_Mata!V$1,Data_raw!$A$2:$A$483,MP_T_Mata!$A5) / SUMIF(Data_raw!$A$2:$A$483,MP_T_Mata!$A5,Data_raw!$K$2:$K$483)</f>
        <v>0</v>
      </c>
      <c r="W5" s="124">
        <f>SUMIFS(Data_raw!$K$2:$K$483,Data_raw!$F$2:$F$483,MP_T_Mata!W$1,Data_raw!$A$2:$A$483,MP_T_Mata!$A5) / SUMIF(Data_raw!$A$2:$A$483,MP_T_Mata!$A5,Data_raw!$K$2:$K$483)</f>
        <v>0</v>
      </c>
      <c r="X5" s="124">
        <f>SUMIFS(Data_raw!$K$2:$K$483,Data_raw!$F$2:$F$483,MP_T_Mata!X$1,Data_raw!$A$2:$A$483,MP_T_Mata!$A5) / SUMIF(Data_raw!$A$2:$A$483,MP_T_Mata!$A5,Data_raw!$K$2:$K$483)</f>
        <v>0.06310475389</v>
      </c>
      <c r="Y5" s="124">
        <f>SUMIFS(Data_raw!$K$2:$K$483,Data_raw!$F$2:$F$483,MP_T_Mata!Y$1,Data_raw!$A$2:$A$483,MP_T_Mata!$A5) / SUMIF(Data_raw!$A$2:$A$483,MP_T_Mata!$A5,Data_raw!$K$2:$K$483)</f>
        <v>0</v>
      </c>
      <c r="Z5" s="124">
        <f>SUMIFS(Data_raw!$K$2:$K$483,Data_raw!$F$2:$F$483,MP_T_Mata!Z$1,Data_raw!$A$2:$A$483,MP_T_Mata!$A5) / SUMIF(Data_raw!$A$2:$A$483,MP_T_Mata!$A5,Data_raw!$K$2:$K$483)</f>
        <v>0</v>
      </c>
      <c r="AA5" s="124">
        <f>SUMIFS(Data_raw!$K$2:$K$483,Data_raw!$F$2:$F$483,MP_T_Mata!AA$1,Data_raw!$A$2:$A$483,MP_T_Mata!$A5) / SUMIF(Data_raw!$A$2:$A$483,MP_T_Mata!$A5,Data_raw!$K$2:$K$483)</f>
        <v>0</v>
      </c>
      <c r="AB5" s="124">
        <f>SUMIFS(Data_raw!$K$2:$K$483,Data_raw!$F$2:$F$483,MP_T_Mata!AB$1,Data_raw!$A$2:$A$483,MP_T_Mata!$A5) / SUMIF(Data_raw!$A$2:$A$483,MP_T_Mata!$A5,Data_raw!$K$2:$K$483)</f>
        <v>0</v>
      </c>
    </row>
    <row r="6">
      <c r="A6" s="63" t="str">
        <f>IFERROR(__xludf.DUMMYFUNCTION("""COMPUTED_VALUE"""),"Chiasmocleis mantiqueira")</f>
        <v>Chiasmocleis mantiqueira</v>
      </c>
      <c r="B6" s="124">
        <f>SUMIFS(Data_raw!$K$2:$K$483,Data_raw!$F$2:$F$483,MP_T_Mata!B$1,Data_raw!$A$2:$A$483,MP_T_Mata!$A6) / SUMIF(Data_raw!$A$2:$A$483,MP_T_Mata!$A6,Data_raw!$K$2:$K$483)</f>
        <v>0.0006108735492</v>
      </c>
      <c r="C6" s="124">
        <f>SUMIFS(Data_raw!$K$2:$K$483,Data_raw!$F$2:$F$483,MP_T_Mata!C$1,Data_raw!$A$2:$A$483,MP_T_Mata!$A6) / SUMIF(Data_raw!$A$2:$A$483,MP_T_Mata!$A6,Data_raw!$K$2:$K$483)</f>
        <v>0</v>
      </c>
      <c r="D6" s="124">
        <f>SUMIFS(Data_raw!$K$2:$K$483,Data_raw!$F$2:$F$483,MP_T_Mata!D$1,Data_raw!$A$2:$A$483,MP_T_Mata!$A6) / SUMIF(Data_raw!$A$2:$A$483,MP_T_Mata!$A6,Data_raw!$K$2:$K$483)</f>
        <v>0</v>
      </c>
      <c r="E6" s="124">
        <f>SUMIFS(Data_raw!$K$2:$K$483,Data_raw!$F$2:$F$483,MP_T_Mata!E$1,Data_raw!$A$2:$A$483,MP_T_Mata!$A6) / SUMIF(Data_raw!$A$2:$A$483,MP_T_Mata!$A6,Data_raw!$K$2:$K$483)</f>
        <v>0</v>
      </c>
      <c r="F6" s="124">
        <f>SUMIFS(Data_raw!$K$2:$K$483,Data_raw!$F$2:$F$483,MP_T_Mata!F$1,Data_raw!$A$2:$A$483,MP_T_Mata!$A6) / SUMIF(Data_raw!$A$2:$A$483,MP_T_Mata!$A6,Data_raw!$K$2:$K$483)</f>
        <v>0</v>
      </c>
      <c r="G6" s="124">
        <f>SUMIFS(Data_raw!$K$2:$K$483,Data_raw!$F$2:$F$483,MP_T_Mata!G$1,Data_raw!$A$2:$A$483,MP_T_Mata!$A6) / SUMIF(Data_raw!$A$2:$A$483,MP_T_Mata!$A6,Data_raw!$K$2:$K$483)</f>
        <v>0</v>
      </c>
      <c r="H6" s="124">
        <f>SUMIFS(Data_raw!$K$2:$K$483,Data_raw!$F$2:$F$483,MP_T_Mata!H$1,Data_raw!$A$2:$A$483,MP_T_Mata!$A6) / SUMIF(Data_raw!$A$2:$A$483,MP_T_Mata!$A6,Data_raw!$K$2:$K$483)</f>
        <v>0.05864386072</v>
      </c>
      <c r="I6" s="124">
        <f>SUMIFS(Data_raw!$K$2:$K$483,Data_raw!$F$2:$F$483,MP_T_Mata!I$1,Data_raw!$A$2:$A$483,MP_T_Mata!$A6) / SUMIF(Data_raw!$A$2:$A$483,MP_T_Mata!$A6,Data_raw!$K$2:$K$483)</f>
        <v>0</v>
      </c>
      <c r="J6" s="124">
        <f>SUMIFS(Data_raw!$K$2:$K$483,Data_raw!$F$2:$F$483,MP_T_Mata!J$1,Data_raw!$A$2:$A$483,MP_T_Mata!$A6) / SUMIF(Data_raw!$A$2:$A$483,MP_T_Mata!$A6,Data_raw!$K$2:$K$483)</f>
        <v>0</v>
      </c>
      <c r="K6" s="124">
        <f>SUMIFS(Data_raw!$K$2:$K$483,Data_raw!$F$2:$F$483,MP_T_Mata!K$1,Data_raw!$A$2:$A$483,MP_T_Mata!$A6) / SUMIF(Data_raw!$A$2:$A$483,MP_T_Mata!$A6,Data_raw!$K$2:$K$483)</f>
        <v>0</v>
      </c>
      <c r="L6" s="124">
        <f>SUMIFS(Data_raw!$K$2:$K$483,Data_raw!$F$2:$F$483,MP_T_Mata!L$1,Data_raw!$A$2:$A$483,MP_T_Mata!$A6) / SUMIF(Data_raw!$A$2:$A$483,MP_T_Mata!$A6,Data_raw!$K$2:$K$483)</f>
        <v>0</v>
      </c>
      <c r="M6" s="124">
        <f>SUMIFS(Data_raw!$K$2:$K$483,Data_raw!$F$2:$F$483,MP_T_Mata!M$1,Data_raw!$A$2:$A$483,MP_T_Mata!$A6) / SUMIF(Data_raw!$A$2:$A$483,MP_T_Mata!$A6,Data_raw!$K$2:$K$483)</f>
        <v>0</v>
      </c>
      <c r="N6" s="124">
        <f>SUMIFS(Data_raw!$K$2:$K$483,Data_raw!$F$2:$F$483,MP_T_Mata!N$1,Data_raw!$A$2:$A$483,MP_T_Mata!$A6) / SUMIF(Data_raw!$A$2:$A$483,MP_T_Mata!$A6,Data_raw!$K$2:$K$483)</f>
        <v>0.9407452657</v>
      </c>
      <c r="O6" s="124">
        <f>SUMIFS(Data_raw!$K$2:$K$483,Data_raw!$F$2:$F$483,MP_T_Mata!O$1,Data_raw!$A$2:$A$483,MP_T_Mata!$A6) / SUMIF(Data_raw!$A$2:$A$483,MP_T_Mata!$A6,Data_raw!$K$2:$K$483)</f>
        <v>0</v>
      </c>
      <c r="P6" s="124">
        <f>SUMIFS(Data_raw!$K$2:$K$483,Data_raw!$F$2:$F$483,MP_T_Mata!P$1,Data_raw!$A$2:$A$483,MP_T_Mata!$A6) / SUMIF(Data_raw!$A$2:$A$483,MP_T_Mata!$A6,Data_raw!$K$2:$K$483)</f>
        <v>0</v>
      </c>
      <c r="Q6" s="124">
        <f>SUMIFS(Data_raw!$K$2:$K$483,Data_raw!$F$2:$F$483,MP_T_Mata!Q$1,Data_raw!$A$2:$A$483,MP_T_Mata!$A6) / SUMIF(Data_raw!$A$2:$A$483,MP_T_Mata!$A6,Data_raw!$K$2:$K$483)</f>
        <v>0</v>
      </c>
      <c r="R6" s="124">
        <f>SUMIFS(Data_raw!$K$2:$K$483,Data_raw!$F$2:$F$483,MP_T_Mata!R$1,Data_raw!$A$2:$A$483,MP_T_Mata!$A6) / SUMIF(Data_raw!$A$2:$A$483,MP_T_Mata!$A6,Data_raw!$K$2:$K$483)</f>
        <v>0</v>
      </c>
      <c r="S6" s="124">
        <f>SUMIFS(Data_raw!$K$2:$K$483,Data_raw!$F$2:$F$483,MP_T_Mata!S$1,Data_raw!$A$2:$A$483,MP_T_Mata!$A6) / SUMIF(Data_raw!$A$2:$A$483,MP_T_Mata!$A6,Data_raw!$K$2:$K$483)</f>
        <v>0</v>
      </c>
      <c r="T6" s="124">
        <f>SUMIFS(Data_raw!$K$2:$K$483,Data_raw!$F$2:$F$483,MP_T_Mata!T$1,Data_raw!$A$2:$A$483,MP_T_Mata!$A6) / SUMIF(Data_raw!$A$2:$A$483,MP_T_Mata!$A6,Data_raw!$K$2:$K$483)</f>
        <v>0</v>
      </c>
      <c r="U6" s="124">
        <f>SUMIFS(Data_raw!$K$2:$K$483,Data_raw!$F$2:$F$483,MP_T_Mata!U$1,Data_raw!$A$2:$A$483,MP_T_Mata!$A6) / SUMIF(Data_raw!$A$2:$A$483,MP_T_Mata!$A6,Data_raw!$K$2:$K$483)</f>
        <v>0</v>
      </c>
      <c r="V6" s="124">
        <f>SUMIFS(Data_raw!$K$2:$K$483,Data_raw!$F$2:$F$483,MP_T_Mata!V$1,Data_raw!$A$2:$A$483,MP_T_Mata!$A6) / SUMIF(Data_raw!$A$2:$A$483,MP_T_Mata!$A6,Data_raw!$K$2:$K$483)</f>
        <v>0</v>
      </c>
      <c r="W6" s="124">
        <f>SUMIFS(Data_raw!$K$2:$K$483,Data_raw!$F$2:$F$483,MP_T_Mata!W$1,Data_raw!$A$2:$A$483,MP_T_Mata!$A6) / SUMIF(Data_raw!$A$2:$A$483,MP_T_Mata!$A6,Data_raw!$K$2:$K$483)</f>
        <v>0</v>
      </c>
      <c r="X6" s="124">
        <f>SUMIFS(Data_raw!$K$2:$K$483,Data_raw!$F$2:$F$483,MP_T_Mata!X$1,Data_raw!$A$2:$A$483,MP_T_Mata!$A6) / SUMIF(Data_raw!$A$2:$A$483,MP_T_Mata!$A6,Data_raw!$K$2:$K$483)</f>
        <v>0</v>
      </c>
      <c r="Y6" s="124">
        <f>SUMIFS(Data_raw!$K$2:$K$483,Data_raw!$F$2:$F$483,MP_T_Mata!Y$1,Data_raw!$A$2:$A$483,MP_T_Mata!$A6) / SUMIF(Data_raw!$A$2:$A$483,MP_T_Mata!$A6,Data_raw!$K$2:$K$483)</f>
        <v>0</v>
      </c>
      <c r="Z6" s="124">
        <f>SUMIFS(Data_raw!$K$2:$K$483,Data_raw!$F$2:$F$483,MP_T_Mata!Z$1,Data_raw!$A$2:$A$483,MP_T_Mata!$A6) / SUMIF(Data_raw!$A$2:$A$483,MP_T_Mata!$A6,Data_raw!$K$2:$K$483)</f>
        <v>0</v>
      </c>
      <c r="AA6" s="124">
        <f>SUMIFS(Data_raw!$K$2:$K$483,Data_raw!$F$2:$F$483,MP_T_Mata!AA$1,Data_raw!$A$2:$A$483,MP_T_Mata!$A6) / SUMIF(Data_raw!$A$2:$A$483,MP_T_Mata!$A6,Data_raw!$K$2:$K$483)</f>
        <v>0</v>
      </c>
      <c r="AB6" s="124">
        <f>SUMIFS(Data_raw!$K$2:$K$483,Data_raw!$F$2:$F$483,MP_T_Mata!AB$1,Data_raw!$A$2:$A$483,MP_T_Mata!$A6) / SUMIF(Data_raw!$A$2:$A$483,MP_T_Mata!$A6,Data_raw!$K$2:$K$483)</f>
        <v>0</v>
      </c>
    </row>
    <row r="7">
      <c r="A7" s="63" t="str">
        <f>IFERROR(__xludf.DUMMYFUNCTION("""COMPUTED_VALUE"""),"Dendropsophus microps")</f>
        <v>Dendropsophus microps</v>
      </c>
      <c r="B7" s="124">
        <f>SUMIFS(Data_raw!$K$2:$K$483,Data_raw!$F$2:$F$483,MP_T_Mata!B$1,Data_raw!$A$2:$A$483,MP_T_Mata!$A7) / SUMIF(Data_raw!$A$2:$A$483,MP_T_Mata!$A7,Data_raw!$K$2:$K$483)</f>
        <v>0</v>
      </c>
      <c r="C7" s="124">
        <f>SUMIFS(Data_raw!$K$2:$K$483,Data_raw!$F$2:$F$483,MP_T_Mata!C$1,Data_raw!$A$2:$A$483,MP_T_Mata!$A7) / SUMIF(Data_raw!$A$2:$A$483,MP_T_Mata!$A7,Data_raw!$K$2:$K$483)</f>
        <v>0</v>
      </c>
      <c r="D7" s="124">
        <f>SUMIFS(Data_raw!$K$2:$K$483,Data_raw!$F$2:$F$483,MP_T_Mata!D$1,Data_raw!$A$2:$A$483,MP_T_Mata!$A7) / SUMIF(Data_raw!$A$2:$A$483,MP_T_Mata!$A7,Data_raw!$K$2:$K$483)</f>
        <v>0.01630434783</v>
      </c>
      <c r="E7" s="124">
        <f>SUMIFS(Data_raw!$K$2:$K$483,Data_raw!$F$2:$F$483,MP_T_Mata!E$1,Data_raw!$A$2:$A$483,MP_T_Mata!$A7) / SUMIF(Data_raw!$A$2:$A$483,MP_T_Mata!$A7,Data_raw!$K$2:$K$483)</f>
        <v>0</v>
      </c>
      <c r="F7" s="124">
        <f>SUMIFS(Data_raw!$K$2:$K$483,Data_raw!$F$2:$F$483,MP_T_Mata!F$1,Data_raw!$A$2:$A$483,MP_T_Mata!$A7) / SUMIF(Data_raw!$A$2:$A$483,MP_T_Mata!$A7,Data_raw!$K$2:$K$483)</f>
        <v>0</v>
      </c>
      <c r="G7" s="124">
        <f>SUMIFS(Data_raw!$K$2:$K$483,Data_raw!$F$2:$F$483,MP_T_Mata!G$1,Data_raw!$A$2:$A$483,MP_T_Mata!$A7) / SUMIF(Data_raw!$A$2:$A$483,MP_T_Mata!$A7,Data_raw!$K$2:$K$483)</f>
        <v>0</v>
      </c>
      <c r="H7" s="124">
        <f>SUMIFS(Data_raw!$K$2:$K$483,Data_raw!$F$2:$F$483,MP_T_Mata!H$1,Data_raw!$A$2:$A$483,MP_T_Mata!$A7) / SUMIF(Data_raw!$A$2:$A$483,MP_T_Mata!$A7,Data_raw!$K$2:$K$483)</f>
        <v>0.1684782609</v>
      </c>
      <c r="I7" s="124">
        <f>SUMIFS(Data_raw!$K$2:$K$483,Data_raw!$F$2:$F$483,MP_T_Mata!I$1,Data_raw!$A$2:$A$483,MP_T_Mata!$A7) / SUMIF(Data_raw!$A$2:$A$483,MP_T_Mata!$A7,Data_raw!$K$2:$K$483)</f>
        <v>0</v>
      </c>
      <c r="J7" s="124">
        <f>SUMIFS(Data_raw!$K$2:$K$483,Data_raw!$F$2:$F$483,MP_T_Mata!J$1,Data_raw!$A$2:$A$483,MP_T_Mata!$A7) / SUMIF(Data_raw!$A$2:$A$483,MP_T_Mata!$A7,Data_raw!$K$2:$K$483)</f>
        <v>0</v>
      </c>
      <c r="K7" s="124">
        <f>SUMIFS(Data_raw!$K$2:$K$483,Data_raw!$F$2:$F$483,MP_T_Mata!K$1,Data_raw!$A$2:$A$483,MP_T_Mata!$A7) / SUMIF(Data_raw!$A$2:$A$483,MP_T_Mata!$A7,Data_raw!$K$2:$K$483)</f>
        <v>0</v>
      </c>
      <c r="L7" s="124">
        <f>SUMIFS(Data_raw!$K$2:$K$483,Data_raw!$F$2:$F$483,MP_T_Mata!L$1,Data_raw!$A$2:$A$483,MP_T_Mata!$A7) / SUMIF(Data_raw!$A$2:$A$483,MP_T_Mata!$A7,Data_raw!$K$2:$K$483)</f>
        <v>0</v>
      </c>
      <c r="M7" s="124">
        <f>SUMIFS(Data_raw!$K$2:$K$483,Data_raw!$F$2:$F$483,MP_T_Mata!M$1,Data_raw!$A$2:$A$483,MP_T_Mata!$A7) / SUMIF(Data_raw!$A$2:$A$483,MP_T_Mata!$A7,Data_raw!$K$2:$K$483)</f>
        <v>0</v>
      </c>
      <c r="N7" s="124">
        <f>SUMIFS(Data_raw!$K$2:$K$483,Data_raw!$F$2:$F$483,MP_T_Mata!N$1,Data_raw!$A$2:$A$483,MP_T_Mata!$A7) / SUMIF(Data_raw!$A$2:$A$483,MP_T_Mata!$A7,Data_raw!$K$2:$K$483)</f>
        <v>0</v>
      </c>
      <c r="O7" s="124">
        <f>SUMIFS(Data_raw!$K$2:$K$483,Data_raw!$F$2:$F$483,MP_T_Mata!O$1,Data_raw!$A$2:$A$483,MP_T_Mata!$A7) / SUMIF(Data_raw!$A$2:$A$483,MP_T_Mata!$A7,Data_raw!$K$2:$K$483)</f>
        <v>0</v>
      </c>
      <c r="P7" s="124">
        <f>SUMIFS(Data_raw!$K$2:$K$483,Data_raw!$F$2:$F$483,MP_T_Mata!P$1,Data_raw!$A$2:$A$483,MP_T_Mata!$A7) / SUMIF(Data_raw!$A$2:$A$483,MP_T_Mata!$A7,Data_raw!$K$2:$K$483)</f>
        <v>0</v>
      </c>
      <c r="Q7" s="124">
        <f>SUMIFS(Data_raw!$K$2:$K$483,Data_raw!$F$2:$F$483,MP_T_Mata!Q$1,Data_raw!$A$2:$A$483,MP_T_Mata!$A7) / SUMIF(Data_raw!$A$2:$A$483,MP_T_Mata!$A7,Data_raw!$K$2:$K$483)</f>
        <v>0</v>
      </c>
      <c r="R7" s="124">
        <f>SUMIFS(Data_raw!$K$2:$K$483,Data_raw!$F$2:$F$483,MP_T_Mata!R$1,Data_raw!$A$2:$A$483,MP_T_Mata!$A7) / SUMIF(Data_raw!$A$2:$A$483,MP_T_Mata!$A7,Data_raw!$K$2:$K$483)</f>
        <v>0</v>
      </c>
      <c r="S7" s="124">
        <f>SUMIFS(Data_raw!$K$2:$K$483,Data_raw!$F$2:$F$483,MP_T_Mata!S$1,Data_raw!$A$2:$A$483,MP_T_Mata!$A7) / SUMIF(Data_raw!$A$2:$A$483,MP_T_Mata!$A7,Data_raw!$K$2:$K$483)</f>
        <v>0.4239130435</v>
      </c>
      <c r="T7" s="124">
        <f>SUMIFS(Data_raw!$K$2:$K$483,Data_raw!$F$2:$F$483,MP_T_Mata!T$1,Data_raw!$A$2:$A$483,MP_T_Mata!$A7) / SUMIF(Data_raw!$A$2:$A$483,MP_T_Mata!$A7,Data_raw!$K$2:$K$483)</f>
        <v>0</v>
      </c>
      <c r="U7" s="124">
        <f>SUMIFS(Data_raw!$K$2:$K$483,Data_raw!$F$2:$F$483,MP_T_Mata!U$1,Data_raw!$A$2:$A$483,MP_T_Mata!$A7) / SUMIF(Data_raw!$A$2:$A$483,MP_T_Mata!$A7,Data_raw!$K$2:$K$483)</f>
        <v>0</v>
      </c>
      <c r="V7" s="124">
        <f>SUMIFS(Data_raw!$K$2:$K$483,Data_raw!$F$2:$F$483,MP_T_Mata!V$1,Data_raw!$A$2:$A$483,MP_T_Mata!$A7) / SUMIF(Data_raw!$A$2:$A$483,MP_T_Mata!$A7,Data_raw!$K$2:$K$483)</f>
        <v>0</v>
      </c>
      <c r="W7" s="124">
        <f>SUMIFS(Data_raw!$K$2:$K$483,Data_raw!$F$2:$F$483,MP_T_Mata!W$1,Data_raw!$A$2:$A$483,MP_T_Mata!$A7) / SUMIF(Data_raw!$A$2:$A$483,MP_T_Mata!$A7,Data_raw!$K$2:$K$483)</f>
        <v>0.3913043478</v>
      </c>
      <c r="X7" s="124">
        <f>SUMIFS(Data_raw!$K$2:$K$483,Data_raw!$F$2:$F$483,MP_T_Mata!X$1,Data_raw!$A$2:$A$483,MP_T_Mata!$A7) / SUMIF(Data_raw!$A$2:$A$483,MP_T_Mata!$A7,Data_raw!$K$2:$K$483)</f>
        <v>0</v>
      </c>
      <c r="Y7" s="124">
        <f>SUMIFS(Data_raw!$K$2:$K$483,Data_raw!$F$2:$F$483,MP_T_Mata!Y$1,Data_raw!$A$2:$A$483,MP_T_Mata!$A7) / SUMIF(Data_raw!$A$2:$A$483,MP_T_Mata!$A7,Data_raw!$K$2:$K$483)</f>
        <v>0</v>
      </c>
      <c r="Z7" s="124">
        <f>SUMIFS(Data_raw!$K$2:$K$483,Data_raw!$F$2:$F$483,MP_T_Mata!Z$1,Data_raw!$A$2:$A$483,MP_T_Mata!$A7) / SUMIF(Data_raw!$A$2:$A$483,MP_T_Mata!$A7,Data_raw!$K$2:$K$483)</f>
        <v>0</v>
      </c>
      <c r="AA7" s="124">
        <f>SUMIFS(Data_raw!$K$2:$K$483,Data_raw!$F$2:$F$483,MP_T_Mata!AA$1,Data_raw!$A$2:$A$483,MP_T_Mata!$A7) / SUMIF(Data_raw!$A$2:$A$483,MP_T_Mata!$A7,Data_raw!$K$2:$K$483)</f>
        <v>0</v>
      </c>
      <c r="AB7" s="124">
        <f>SUMIFS(Data_raw!$K$2:$K$483,Data_raw!$F$2:$F$483,MP_T_Mata!AB$1,Data_raw!$A$2:$A$483,MP_T_Mata!$A7) / SUMIF(Data_raw!$A$2:$A$483,MP_T_Mata!$A7,Data_raw!$K$2:$K$483)</f>
        <v>0</v>
      </c>
    </row>
    <row r="8">
      <c r="A8" s="63" t="str">
        <f>IFERROR(__xludf.DUMMYFUNCTION("""COMPUTED_VALUE"""),"Hylodes aff. sazimai")</f>
        <v>Hylodes aff. sazimai</v>
      </c>
      <c r="B8" s="124">
        <f>SUMIFS(Data_raw!$K$2:$K$483,Data_raw!$F$2:$F$483,MP_T_Mata!B$1,Data_raw!$A$2:$A$483,MP_T_Mata!$A8) / SUMIF(Data_raw!$A$2:$A$483,MP_T_Mata!$A8,Data_raw!$K$2:$K$483)</f>
        <v>0</v>
      </c>
      <c r="C8" s="124">
        <f>SUMIFS(Data_raw!$K$2:$K$483,Data_raw!$F$2:$F$483,MP_T_Mata!C$1,Data_raw!$A$2:$A$483,MP_T_Mata!$A8) / SUMIF(Data_raw!$A$2:$A$483,MP_T_Mata!$A8,Data_raw!$K$2:$K$483)</f>
        <v>0</v>
      </c>
      <c r="D8" s="124">
        <f>SUMIFS(Data_raw!$K$2:$K$483,Data_raw!$F$2:$F$483,MP_T_Mata!D$1,Data_raw!$A$2:$A$483,MP_T_Mata!$A8) / SUMIF(Data_raw!$A$2:$A$483,MP_T_Mata!$A8,Data_raw!$K$2:$K$483)</f>
        <v>0.03488372093</v>
      </c>
      <c r="E8" s="124">
        <f>SUMIFS(Data_raw!$K$2:$K$483,Data_raw!$F$2:$F$483,MP_T_Mata!E$1,Data_raw!$A$2:$A$483,MP_T_Mata!$A8) / SUMIF(Data_raw!$A$2:$A$483,MP_T_Mata!$A8,Data_raw!$K$2:$K$483)</f>
        <v>0</v>
      </c>
      <c r="F8" s="124">
        <f>SUMIFS(Data_raw!$K$2:$K$483,Data_raw!$F$2:$F$483,MP_T_Mata!F$1,Data_raw!$A$2:$A$483,MP_T_Mata!$A8) / SUMIF(Data_raw!$A$2:$A$483,MP_T_Mata!$A8,Data_raw!$K$2:$K$483)</f>
        <v>0</v>
      </c>
      <c r="G8" s="124">
        <f>SUMIFS(Data_raw!$K$2:$K$483,Data_raw!$F$2:$F$483,MP_T_Mata!G$1,Data_raw!$A$2:$A$483,MP_T_Mata!$A8) / SUMIF(Data_raw!$A$2:$A$483,MP_T_Mata!$A8,Data_raw!$K$2:$K$483)</f>
        <v>0</v>
      </c>
      <c r="H8" s="124">
        <f>SUMIFS(Data_raw!$K$2:$K$483,Data_raw!$F$2:$F$483,MP_T_Mata!H$1,Data_raw!$A$2:$A$483,MP_T_Mata!$A8) / SUMIF(Data_raw!$A$2:$A$483,MP_T_Mata!$A8,Data_raw!$K$2:$K$483)</f>
        <v>0.3139534884</v>
      </c>
      <c r="I8" s="124">
        <f>SUMIFS(Data_raw!$K$2:$K$483,Data_raw!$F$2:$F$483,MP_T_Mata!I$1,Data_raw!$A$2:$A$483,MP_T_Mata!$A8) / SUMIF(Data_raw!$A$2:$A$483,MP_T_Mata!$A8,Data_raw!$K$2:$K$483)</f>
        <v>0</v>
      </c>
      <c r="J8" s="124">
        <f>SUMIFS(Data_raw!$K$2:$K$483,Data_raw!$F$2:$F$483,MP_T_Mata!J$1,Data_raw!$A$2:$A$483,MP_T_Mata!$A8) / SUMIF(Data_raw!$A$2:$A$483,MP_T_Mata!$A8,Data_raw!$K$2:$K$483)</f>
        <v>0.1395348837</v>
      </c>
      <c r="K8" s="124">
        <f>SUMIFS(Data_raw!$K$2:$K$483,Data_raw!$F$2:$F$483,MP_T_Mata!K$1,Data_raw!$A$2:$A$483,MP_T_Mata!$A8) / SUMIF(Data_raw!$A$2:$A$483,MP_T_Mata!$A8,Data_raw!$K$2:$K$483)</f>
        <v>0</v>
      </c>
      <c r="L8" s="124">
        <f>SUMIFS(Data_raw!$K$2:$K$483,Data_raw!$F$2:$F$483,MP_T_Mata!L$1,Data_raw!$A$2:$A$483,MP_T_Mata!$A8) / SUMIF(Data_raw!$A$2:$A$483,MP_T_Mata!$A8,Data_raw!$K$2:$K$483)</f>
        <v>0</v>
      </c>
      <c r="M8" s="124">
        <f>SUMIFS(Data_raw!$K$2:$K$483,Data_raw!$F$2:$F$483,MP_T_Mata!M$1,Data_raw!$A$2:$A$483,MP_T_Mata!$A8) / SUMIF(Data_raw!$A$2:$A$483,MP_T_Mata!$A8,Data_raw!$K$2:$K$483)</f>
        <v>0</v>
      </c>
      <c r="N8" s="124">
        <f>SUMIFS(Data_raw!$K$2:$K$483,Data_raw!$F$2:$F$483,MP_T_Mata!N$1,Data_raw!$A$2:$A$483,MP_T_Mata!$A8) / SUMIF(Data_raw!$A$2:$A$483,MP_T_Mata!$A8,Data_raw!$K$2:$K$483)</f>
        <v>0</v>
      </c>
      <c r="O8" s="124">
        <f>SUMIFS(Data_raw!$K$2:$K$483,Data_raw!$F$2:$F$483,MP_T_Mata!O$1,Data_raw!$A$2:$A$483,MP_T_Mata!$A8) / SUMIF(Data_raw!$A$2:$A$483,MP_T_Mata!$A8,Data_raw!$K$2:$K$483)</f>
        <v>0</v>
      </c>
      <c r="P8" s="124">
        <f>SUMIFS(Data_raw!$K$2:$K$483,Data_raw!$F$2:$F$483,MP_T_Mata!P$1,Data_raw!$A$2:$A$483,MP_T_Mata!$A8) / SUMIF(Data_raw!$A$2:$A$483,MP_T_Mata!$A8,Data_raw!$K$2:$K$483)</f>
        <v>0</v>
      </c>
      <c r="Q8" s="124">
        <f>SUMIFS(Data_raw!$K$2:$K$483,Data_raw!$F$2:$F$483,MP_T_Mata!Q$1,Data_raw!$A$2:$A$483,MP_T_Mata!$A8) / SUMIF(Data_raw!$A$2:$A$483,MP_T_Mata!$A8,Data_raw!$K$2:$K$483)</f>
        <v>0</v>
      </c>
      <c r="R8" s="124">
        <f>SUMIFS(Data_raw!$K$2:$K$483,Data_raw!$F$2:$F$483,MP_T_Mata!R$1,Data_raw!$A$2:$A$483,MP_T_Mata!$A8) / SUMIF(Data_raw!$A$2:$A$483,MP_T_Mata!$A8,Data_raw!$K$2:$K$483)</f>
        <v>0</v>
      </c>
      <c r="S8" s="124">
        <f>SUMIFS(Data_raw!$K$2:$K$483,Data_raw!$F$2:$F$483,MP_T_Mata!S$1,Data_raw!$A$2:$A$483,MP_T_Mata!$A8) / SUMIF(Data_raw!$A$2:$A$483,MP_T_Mata!$A8,Data_raw!$K$2:$K$483)</f>
        <v>0</v>
      </c>
      <c r="T8" s="124">
        <f>SUMIFS(Data_raw!$K$2:$K$483,Data_raw!$F$2:$F$483,MP_T_Mata!T$1,Data_raw!$A$2:$A$483,MP_T_Mata!$A8) / SUMIF(Data_raw!$A$2:$A$483,MP_T_Mata!$A8,Data_raw!$K$2:$K$483)</f>
        <v>0</v>
      </c>
      <c r="U8" s="124">
        <f>SUMIFS(Data_raw!$K$2:$K$483,Data_raw!$F$2:$F$483,MP_T_Mata!U$1,Data_raw!$A$2:$A$483,MP_T_Mata!$A8) / SUMIF(Data_raw!$A$2:$A$483,MP_T_Mata!$A8,Data_raw!$K$2:$K$483)</f>
        <v>0</v>
      </c>
      <c r="V8" s="124">
        <f>SUMIFS(Data_raw!$K$2:$K$483,Data_raw!$F$2:$F$483,MP_T_Mata!V$1,Data_raw!$A$2:$A$483,MP_T_Mata!$A8) / SUMIF(Data_raw!$A$2:$A$483,MP_T_Mata!$A8,Data_raw!$K$2:$K$483)</f>
        <v>0</v>
      </c>
      <c r="W8" s="124">
        <f>SUMIFS(Data_raw!$K$2:$K$483,Data_raw!$F$2:$F$483,MP_T_Mata!W$1,Data_raw!$A$2:$A$483,MP_T_Mata!$A8) / SUMIF(Data_raw!$A$2:$A$483,MP_T_Mata!$A8,Data_raw!$K$2:$K$483)</f>
        <v>0</v>
      </c>
      <c r="X8" s="124">
        <f>SUMIFS(Data_raw!$K$2:$K$483,Data_raw!$F$2:$F$483,MP_T_Mata!X$1,Data_raw!$A$2:$A$483,MP_T_Mata!$A8) / SUMIF(Data_raw!$A$2:$A$483,MP_T_Mata!$A8,Data_raw!$K$2:$K$483)</f>
        <v>0</v>
      </c>
      <c r="Y8" s="124">
        <f>SUMIFS(Data_raw!$K$2:$K$483,Data_raw!$F$2:$F$483,MP_T_Mata!Y$1,Data_raw!$A$2:$A$483,MP_T_Mata!$A8) / SUMIF(Data_raw!$A$2:$A$483,MP_T_Mata!$A8,Data_raw!$K$2:$K$483)</f>
        <v>0</v>
      </c>
      <c r="Z8" s="124">
        <f>SUMIFS(Data_raw!$K$2:$K$483,Data_raw!$F$2:$F$483,MP_T_Mata!Z$1,Data_raw!$A$2:$A$483,MP_T_Mata!$A8) / SUMIF(Data_raw!$A$2:$A$483,MP_T_Mata!$A8,Data_raw!$K$2:$K$483)</f>
        <v>0</v>
      </c>
      <c r="AA8" s="124">
        <f>SUMIFS(Data_raw!$K$2:$K$483,Data_raw!$F$2:$F$483,MP_T_Mata!AA$1,Data_raw!$A$2:$A$483,MP_T_Mata!$A8) / SUMIF(Data_raw!$A$2:$A$483,MP_T_Mata!$A8,Data_raw!$K$2:$K$483)</f>
        <v>0</v>
      </c>
      <c r="AB8" s="124">
        <f>SUMIFS(Data_raw!$K$2:$K$483,Data_raw!$F$2:$F$483,MP_T_Mata!AB$1,Data_raw!$A$2:$A$483,MP_T_Mata!$A8) / SUMIF(Data_raw!$A$2:$A$483,MP_T_Mata!$A8,Data_raw!$K$2:$K$483)</f>
        <v>0.2790697674</v>
      </c>
    </row>
    <row r="9">
      <c r="A9" s="63" t="str">
        <f>IFERROR(__xludf.DUMMYFUNCTION("""COMPUTED_VALUE"""),"Ischnocnema guentheri")</f>
        <v>Ischnocnema guentheri</v>
      </c>
      <c r="B9" s="124">
        <f>SUMIFS(Data_raw!$K$2:$K$483,Data_raw!$F$2:$F$483,MP_T_Mata!B$1,Data_raw!$A$2:$A$483,MP_T_Mata!$A9) / SUMIF(Data_raw!$A$2:$A$483,MP_T_Mata!$A9,Data_raw!$K$2:$K$483)</f>
        <v>0</v>
      </c>
      <c r="C9" s="124">
        <f>SUMIFS(Data_raw!$K$2:$K$483,Data_raw!$F$2:$F$483,MP_T_Mata!C$1,Data_raw!$A$2:$A$483,MP_T_Mata!$A9) / SUMIF(Data_raw!$A$2:$A$483,MP_T_Mata!$A9,Data_raw!$K$2:$K$483)</f>
        <v>0</v>
      </c>
      <c r="D9" s="124">
        <f>SUMIFS(Data_raw!$K$2:$K$483,Data_raw!$F$2:$F$483,MP_T_Mata!D$1,Data_raw!$A$2:$A$483,MP_T_Mata!$A9) / SUMIF(Data_raw!$A$2:$A$483,MP_T_Mata!$A9,Data_raw!$K$2:$K$483)</f>
        <v>0.02781546811</v>
      </c>
      <c r="E9" s="124">
        <f>SUMIFS(Data_raw!$K$2:$K$483,Data_raw!$F$2:$F$483,MP_T_Mata!E$1,Data_raw!$A$2:$A$483,MP_T_Mata!$A9) / SUMIF(Data_raw!$A$2:$A$483,MP_T_Mata!$A9,Data_raw!$K$2:$K$483)</f>
        <v>0</v>
      </c>
      <c r="F9" s="124">
        <f>SUMIFS(Data_raw!$K$2:$K$483,Data_raw!$F$2:$F$483,MP_T_Mata!F$1,Data_raw!$A$2:$A$483,MP_T_Mata!$A9) / SUMIF(Data_raw!$A$2:$A$483,MP_T_Mata!$A9,Data_raw!$K$2:$K$483)</f>
        <v>0.3500678426</v>
      </c>
      <c r="G9" s="124">
        <f>SUMIFS(Data_raw!$K$2:$K$483,Data_raw!$F$2:$F$483,MP_T_Mata!G$1,Data_raw!$A$2:$A$483,MP_T_Mata!$A9) / SUMIF(Data_raw!$A$2:$A$483,MP_T_Mata!$A9,Data_raw!$K$2:$K$483)</f>
        <v>0.08208955224</v>
      </c>
      <c r="H9" s="124">
        <f>SUMIFS(Data_raw!$K$2:$K$483,Data_raw!$F$2:$F$483,MP_T_Mata!H$1,Data_raw!$A$2:$A$483,MP_T_Mata!$A9) / SUMIF(Data_raw!$A$2:$A$483,MP_T_Mata!$A9,Data_raw!$K$2:$K$483)</f>
        <v>0.2917232022</v>
      </c>
      <c r="I9" s="124">
        <f>SUMIFS(Data_raw!$K$2:$K$483,Data_raw!$F$2:$F$483,MP_T_Mata!I$1,Data_raw!$A$2:$A$483,MP_T_Mata!$A9) / SUMIF(Data_raw!$A$2:$A$483,MP_T_Mata!$A9,Data_raw!$K$2:$K$483)</f>
        <v>0</v>
      </c>
      <c r="J9" s="124">
        <f>SUMIFS(Data_raw!$K$2:$K$483,Data_raw!$F$2:$F$483,MP_T_Mata!J$1,Data_raw!$A$2:$A$483,MP_T_Mata!$A9) / SUMIF(Data_raw!$A$2:$A$483,MP_T_Mata!$A9,Data_raw!$K$2:$K$483)</f>
        <v>0</v>
      </c>
      <c r="K9" s="124">
        <f>SUMIFS(Data_raw!$K$2:$K$483,Data_raw!$F$2:$F$483,MP_T_Mata!K$1,Data_raw!$A$2:$A$483,MP_T_Mata!$A9) / SUMIF(Data_raw!$A$2:$A$483,MP_T_Mata!$A9,Data_raw!$K$2:$K$483)</f>
        <v>0.09362279512</v>
      </c>
      <c r="L9" s="124">
        <f>SUMIFS(Data_raw!$K$2:$K$483,Data_raw!$F$2:$F$483,MP_T_Mata!L$1,Data_raw!$A$2:$A$483,MP_T_Mata!$A9) / SUMIF(Data_raw!$A$2:$A$483,MP_T_Mata!$A9,Data_raw!$K$2:$K$483)</f>
        <v>0</v>
      </c>
      <c r="M9" s="124">
        <f>SUMIFS(Data_raw!$K$2:$K$483,Data_raw!$F$2:$F$483,MP_T_Mata!M$1,Data_raw!$A$2:$A$483,MP_T_Mata!$A9) / SUMIF(Data_raw!$A$2:$A$483,MP_T_Mata!$A9,Data_raw!$K$2:$K$483)</f>
        <v>0</v>
      </c>
      <c r="N9" s="124">
        <f>SUMIFS(Data_raw!$K$2:$K$483,Data_raw!$F$2:$F$483,MP_T_Mata!N$1,Data_raw!$A$2:$A$483,MP_T_Mata!$A9) / SUMIF(Data_raw!$A$2:$A$483,MP_T_Mata!$A9,Data_raw!$K$2:$K$483)</f>
        <v>0.01356852103</v>
      </c>
      <c r="O9" s="124">
        <f>SUMIFS(Data_raw!$K$2:$K$483,Data_raw!$F$2:$F$483,MP_T_Mata!O$1,Data_raw!$A$2:$A$483,MP_T_Mata!$A9) / SUMIF(Data_raw!$A$2:$A$483,MP_T_Mata!$A9,Data_raw!$K$2:$K$483)</f>
        <v>0</v>
      </c>
      <c r="P9" s="124">
        <f>SUMIFS(Data_raw!$K$2:$K$483,Data_raw!$F$2:$F$483,MP_T_Mata!P$1,Data_raw!$A$2:$A$483,MP_T_Mata!$A9) / SUMIF(Data_raw!$A$2:$A$483,MP_T_Mata!$A9,Data_raw!$K$2:$K$483)</f>
        <v>0</v>
      </c>
      <c r="Q9" s="124">
        <f>SUMIFS(Data_raw!$K$2:$K$483,Data_raw!$F$2:$F$483,MP_T_Mata!Q$1,Data_raw!$A$2:$A$483,MP_T_Mata!$A9) / SUMIF(Data_raw!$A$2:$A$483,MP_T_Mata!$A9,Data_raw!$K$2:$K$483)</f>
        <v>0</v>
      </c>
      <c r="R9" s="124">
        <f>SUMIFS(Data_raw!$K$2:$K$483,Data_raw!$F$2:$F$483,MP_T_Mata!R$1,Data_raw!$A$2:$A$483,MP_T_Mata!$A9) / SUMIF(Data_raw!$A$2:$A$483,MP_T_Mata!$A9,Data_raw!$K$2:$K$483)</f>
        <v>0</v>
      </c>
      <c r="S9" s="124">
        <f>SUMIFS(Data_raw!$K$2:$K$483,Data_raw!$F$2:$F$483,MP_T_Mata!S$1,Data_raw!$A$2:$A$483,MP_T_Mata!$A9) / SUMIF(Data_raw!$A$2:$A$483,MP_T_Mata!$A9,Data_raw!$K$2:$K$483)</f>
        <v>0</v>
      </c>
      <c r="T9" s="124">
        <f>SUMIFS(Data_raw!$K$2:$K$483,Data_raw!$F$2:$F$483,MP_T_Mata!T$1,Data_raw!$A$2:$A$483,MP_T_Mata!$A9) / SUMIF(Data_raw!$A$2:$A$483,MP_T_Mata!$A9,Data_raw!$K$2:$K$483)</f>
        <v>0</v>
      </c>
      <c r="U9" s="124">
        <f>SUMIFS(Data_raw!$K$2:$K$483,Data_raw!$F$2:$F$483,MP_T_Mata!U$1,Data_raw!$A$2:$A$483,MP_T_Mata!$A9) / SUMIF(Data_raw!$A$2:$A$483,MP_T_Mata!$A9,Data_raw!$K$2:$K$483)</f>
        <v>0</v>
      </c>
      <c r="V9" s="124">
        <f>SUMIFS(Data_raw!$K$2:$K$483,Data_raw!$F$2:$F$483,MP_T_Mata!V$1,Data_raw!$A$2:$A$483,MP_T_Mata!$A9) / SUMIF(Data_raw!$A$2:$A$483,MP_T_Mata!$A9,Data_raw!$K$2:$K$483)</f>
        <v>0</v>
      </c>
      <c r="W9" s="124">
        <f>SUMIFS(Data_raw!$K$2:$K$483,Data_raw!$F$2:$F$483,MP_T_Mata!W$1,Data_raw!$A$2:$A$483,MP_T_Mata!$A9) / SUMIF(Data_raw!$A$2:$A$483,MP_T_Mata!$A9,Data_raw!$K$2:$K$483)</f>
        <v>0</v>
      </c>
      <c r="X9" s="124">
        <f>SUMIFS(Data_raw!$K$2:$K$483,Data_raw!$F$2:$F$483,MP_T_Mata!X$1,Data_raw!$A$2:$A$483,MP_T_Mata!$A9) / SUMIF(Data_raw!$A$2:$A$483,MP_T_Mata!$A9,Data_raw!$K$2:$K$483)</f>
        <v>0.1194029851</v>
      </c>
      <c r="Y9" s="124">
        <f>SUMIFS(Data_raw!$K$2:$K$483,Data_raw!$F$2:$F$483,MP_T_Mata!Y$1,Data_raw!$A$2:$A$483,MP_T_Mata!$A9) / SUMIF(Data_raw!$A$2:$A$483,MP_T_Mata!$A9,Data_raw!$K$2:$K$483)</f>
        <v>0</v>
      </c>
      <c r="Z9" s="124">
        <f>SUMIFS(Data_raw!$K$2:$K$483,Data_raw!$F$2:$F$483,MP_T_Mata!Z$1,Data_raw!$A$2:$A$483,MP_T_Mata!$A9) / SUMIF(Data_raw!$A$2:$A$483,MP_T_Mata!$A9,Data_raw!$K$2:$K$483)</f>
        <v>0</v>
      </c>
      <c r="AA9" s="124">
        <f>SUMIFS(Data_raw!$K$2:$K$483,Data_raw!$F$2:$F$483,MP_T_Mata!AA$1,Data_raw!$A$2:$A$483,MP_T_Mata!$A9) / SUMIF(Data_raw!$A$2:$A$483,MP_T_Mata!$A9,Data_raw!$K$2:$K$483)</f>
        <v>0.02170963365</v>
      </c>
      <c r="AB9" s="124">
        <f>SUMIFS(Data_raw!$K$2:$K$483,Data_raw!$F$2:$F$483,MP_T_Mata!AB$1,Data_raw!$A$2:$A$483,MP_T_Mata!$A9) / SUMIF(Data_raw!$A$2:$A$483,MP_T_Mata!$A9,Data_raw!$K$2:$K$483)</f>
        <v>0</v>
      </c>
    </row>
    <row r="10">
      <c r="A10" s="63" t="str">
        <f>IFERROR(__xludf.DUMMYFUNCTION("""COMPUTED_VALUE"""),"Ischnocnema holti")</f>
        <v>Ischnocnema holti</v>
      </c>
      <c r="B10" s="124">
        <f>SUMIFS(Data_raw!$K$2:$K$483,Data_raw!$F$2:$F$483,MP_T_Mata!B$1,Data_raw!$A$2:$A$483,MP_T_Mata!$A10) / SUMIF(Data_raw!$A$2:$A$483,MP_T_Mata!$A10,Data_raw!$K$2:$K$483)</f>
        <v>0</v>
      </c>
      <c r="C10" s="124">
        <f>SUMIFS(Data_raw!$K$2:$K$483,Data_raw!$F$2:$F$483,MP_T_Mata!C$1,Data_raw!$A$2:$A$483,MP_T_Mata!$A10) / SUMIF(Data_raw!$A$2:$A$483,MP_T_Mata!$A10,Data_raw!$K$2:$K$483)</f>
        <v>0</v>
      </c>
      <c r="D10" s="124">
        <f>SUMIFS(Data_raw!$K$2:$K$483,Data_raw!$F$2:$F$483,MP_T_Mata!D$1,Data_raw!$A$2:$A$483,MP_T_Mata!$A10) / SUMIF(Data_raw!$A$2:$A$483,MP_T_Mata!$A10,Data_raw!$K$2:$K$483)</f>
        <v>0</v>
      </c>
      <c r="E10" s="124">
        <f>SUMIFS(Data_raw!$K$2:$K$483,Data_raw!$F$2:$F$483,MP_T_Mata!E$1,Data_raw!$A$2:$A$483,MP_T_Mata!$A10) / SUMIF(Data_raw!$A$2:$A$483,MP_T_Mata!$A10,Data_raw!$K$2:$K$483)</f>
        <v>0</v>
      </c>
      <c r="F10" s="124">
        <f>SUMIFS(Data_raw!$K$2:$K$483,Data_raw!$F$2:$F$483,MP_T_Mata!F$1,Data_raw!$A$2:$A$483,MP_T_Mata!$A10) / SUMIF(Data_raw!$A$2:$A$483,MP_T_Mata!$A10,Data_raw!$K$2:$K$483)</f>
        <v>0.1658031088</v>
      </c>
      <c r="G10" s="124">
        <f>SUMIFS(Data_raw!$K$2:$K$483,Data_raw!$F$2:$F$483,MP_T_Mata!G$1,Data_raw!$A$2:$A$483,MP_T_Mata!$A10) / SUMIF(Data_raw!$A$2:$A$483,MP_T_Mata!$A10,Data_raw!$K$2:$K$483)</f>
        <v>0</v>
      </c>
      <c r="H10" s="124">
        <f>SUMIFS(Data_raw!$K$2:$K$483,Data_raw!$F$2:$F$483,MP_T_Mata!H$1,Data_raw!$A$2:$A$483,MP_T_Mata!$A10) / SUMIF(Data_raw!$A$2:$A$483,MP_T_Mata!$A10,Data_raw!$K$2:$K$483)</f>
        <v>0.7046632124</v>
      </c>
      <c r="I10" s="124">
        <f>SUMIFS(Data_raw!$K$2:$K$483,Data_raw!$F$2:$F$483,MP_T_Mata!I$1,Data_raw!$A$2:$A$483,MP_T_Mata!$A10) / SUMIF(Data_raw!$A$2:$A$483,MP_T_Mata!$A10,Data_raw!$K$2:$K$483)</f>
        <v>0.02590673575</v>
      </c>
      <c r="J10" s="124">
        <f>SUMIFS(Data_raw!$K$2:$K$483,Data_raw!$F$2:$F$483,MP_T_Mata!J$1,Data_raw!$A$2:$A$483,MP_T_Mata!$A10) / SUMIF(Data_raw!$A$2:$A$483,MP_T_Mata!$A10,Data_raw!$K$2:$K$483)</f>
        <v>0</v>
      </c>
      <c r="K10" s="124">
        <f>SUMIFS(Data_raw!$K$2:$K$483,Data_raw!$F$2:$F$483,MP_T_Mata!K$1,Data_raw!$A$2:$A$483,MP_T_Mata!$A10) / SUMIF(Data_raw!$A$2:$A$483,MP_T_Mata!$A10,Data_raw!$K$2:$K$483)</f>
        <v>0</v>
      </c>
      <c r="L10" s="124">
        <f>SUMIFS(Data_raw!$K$2:$K$483,Data_raw!$F$2:$F$483,MP_T_Mata!L$1,Data_raw!$A$2:$A$483,MP_T_Mata!$A10) / SUMIF(Data_raw!$A$2:$A$483,MP_T_Mata!$A10,Data_raw!$K$2:$K$483)</f>
        <v>0</v>
      </c>
      <c r="M10" s="124">
        <f>SUMIFS(Data_raw!$K$2:$K$483,Data_raw!$F$2:$F$483,MP_T_Mata!M$1,Data_raw!$A$2:$A$483,MP_T_Mata!$A10) / SUMIF(Data_raw!$A$2:$A$483,MP_T_Mata!$A10,Data_raw!$K$2:$K$483)</f>
        <v>0</v>
      </c>
      <c r="N10" s="124">
        <f>SUMIFS(Data_raw!$K$2:$K$483,Data_raw!$F$2:$F$483,MP_T_Mata!N$1,Data_raw!$A$2:$A$483,MP_T_Mata!$A10) / SUMIF(Data_raw!$A$2:$A$483,MP_T_Mata!$A10,Data_raw!$K$2:$K$483)</f>
        <v>0</v>
      </c>
      <c r="O10" s="124">
        <f>SUMIFS(Data_raw!$K$2:$K$483,Data_raw!$F$2:$F$483,MP_T_Mata!O$1,Data_raw!$A$2:$A$483,MP_T_Mata!$A10) / SUMIF(Data_raw!$A$2:$A$483,MP_T_Mata!$A10,Data_raw!$K$2:$K$483)</f>
        <v>0</v>
      </c>
      <c r="P10" s="124">
        <f>SUMIFS(Data_raw!$K$2:$K$483,Data_raw!$F$2:$F$483,MP_T_Mata!P$1,Data_raw!$A$2:$A$483,MP_T_Mata!$A10) / SUMIF(Data_raw!$A$2:$A$483,MP_T_Mata!$A10,Data_raw!$K$2:$K$483)</f>
        <v>0.0414507772</v>
      </c>
      <c r="Q10" s="124">
        <f>SUMIFS(Data_raw!$K$2:$K$483,Data_raw!$F$2:$F$483,MP_T_Mata!Q$1,Data_raw!$A$2:$A$483,MP_T_Mata!$A10) / SUMIF(Data_raw!$A$2:$A$483,MP_T_Mata!$A10,Data_raw!$K$2:$K$483)</f>
        <v>0</v>
      </c>
      <c r="R10" s="124">
        <f>SUMIFS(Data_raw!$K$2:$K$483,Data_raw!$F$2:$F$483,MP_T_Mata!R$1,Data_raw!$A$2:$A$483,MP_T_Mata!$A10) / SUMIF(Data_raw!$A$2:$A$483,MP_T_Mata!$A10,Data_raw!$K$2:$K$483)</f>
        <v>0</v>
      </c>
      <c r="S10" s="124">
        <f>SUMIFS(Data_raw!$K$2:$K$483,Data_raw!$F$2:$F$483,MP_T_Mata!S$1,Data_raw!$A$2:$A$483,MP_T_Mata!$A10) / SUMIF(Data_raw!$A$2:$A$483,MP_T_Mata!$A10,Data_raw!$K$2:$K$483)</f>
        <v>0</v>
      </c>
      <c r="T10" s="124">
        <f>SUMIFS(Data_raw!$K$2:$K$483,Data_raw!$F$2:$F$483,MP_T_Mata!T$1,Data_raw!$A$2:$A$483,MP_T_Mata!$A10) / SUMIF(Data_raw!$A$2:$A$483,MP_T_Mata!$A10,Data_raw!$K$2:$K$483)</f>
        <v>0</v>
      </c>
      <c r="U10" s="124">
        <f>SUMIFS(Data_raw!$K$2:$K$483,Data_raw!$F$2:$F$483,MP_T_Mata!U$1,Data_raw!$A$2:$A$483,MP_T_Mata!$A10) / SUMIF(Data_raw!$A$2:$A$483,MP_T_Mata!$A10,Data_raw!$K$2:$K$483)</f>
        <v>0</v>
      </c>
      <c r="V10" s="124">
        <f>SUMIFS(Data_raw!$K$2:$K$483,Data_raw!$F$2:$F$483,MP_T_Mata!V$1,Data_raw!$A$2:$A$483,MP_T_Mata!$A10) / SUMIF(Data_raw!$A$2:$A$483,MP_T_Mata!$A10,Data_raw!$K$2:$K$483)</f>
        <v>0</v>
      </c>
      <c r="W10" s="124">
        <f>SUMIFS(Data_raw!$K$2:$K$483,Data_raw!$F$2:$F$483,MP_T_Mata!W$1,Data_raw!$A$2:$A$483,MP_T_Mata!$A10) / SUMIF(Data_raw!$A$2:$A$483,MP_T_Mata!$A10,Data_raw!$K$2:$K$483)</f>
        <v>0</v>
      </c>
      <c r="X10" s="124">
        <f>SUMIFS(Data_raw!$K$2:$K$483,Data_raw!$F$2:$F$483,MP_T_Mata!X$1,Data_raw!$A$2:$A$483,MP_T_Mata!$A10) / SUMIF(Data_raw!$A$2:$A$483,MP_T_Mata!$A10,Data_raw!$K$2:$K$483)</f>
        <v>0</v>
      </c>
      <c r="Y10" s="124">
        <f>SUMIFS(Data_raw!$K$2:$K$483,Data_raw!$F$2:$F$483,MP_T_Mata!Y$1,Data_raw!$A$2:$A$483,MP_T_Mata!$A10) / SUMIF(Data_raw!$A$2:$A$483,MP_T_Mata!$A10,Data_raw!$K$2:$K$483)</f>
        <v>0</v>
      </c>
      <c r="Z10" s="124">
        <f>SUMIFS(Data_raw!$K$2:$K$483,Data_raw!$F$2:$F$483,MP_T_Mata!Z$1,Data_raw!$A$2:$A$483,MP_T_Mata!$A10) / SUMIF(Data_raw!$A$2:$A$483,MP_T_Mata!$A10,Data_raw!$K$2:$K$483)</f>
        <v>0</v>
      </c>
      <c r="AA10" s="124">
        <f>SUMIFS(Data_raw!$K$2:$K$483,Data_raw!$F$2:$F$483,MP_T_Mata!AA$1,Data_raw!$A$2:$A$483,MP_T_Mata!$A10) / SUMIF(Data_raw!$A$2:$A$483,MP_T_Mata!$A10,Data_raw!$K$2:$K$483)</f>
        <v>0</v>
      </c>
      <c r="AB10" s="124">
        <f>SUMIFS(Data_raw!$K$2:$K$483,Data_raw!$F$2:$F$483,MP_T_Mata!AB$1,Data_raw!$A$2:$A$483,MP_T_Mata!$A10) / SUMIF(Data_raw!$A$2:$A$483,MP_T_Mata!$A10,Data_raw!$K$2:$K$483)</f>
        <v>0.0621761658</v>
      </c>
    </row>
    <row r="11">
      <c r="A11" s="63" t="str">
        <f>IFERROR(__xludf.DUMMYFUNCTION("""COMPUTED_VALUE"""),"Ischnocnema juipoca")</f>
        <v>Ischnocnema juipoca</v>
      </c>
      <c r="B11" s="124">
        <f>SUMIFS(Data_raw!$K$2:$K$483,Data_raw!$F$2:$F$483,MP_T_Mata!B$1,Data_raw!$A$2:$A$483,MP_T_Mata!$A11) / SUMIF(Data_raw!$A$2:$A$483,MP_T_Mata!$A11,Data_raw!$K$2:$K$483)</f>
        <v>0</v>
      </c>
      <c r="C11" s="124">
        <f>SUMIFS(Data_raw!$K$2:$K$483,Data_raw!$F$2:$F$483,MP_T_Mata!C$1,Data_raw!$A$2:$A$483,MP_T_Mata!$A11) / SUMIF(Data_raw!$A$2:$A$483,MP_T_Mata!$A11,Data_raw!$K$2:$K$483)</f>
        <v>0</v>
      </c>
      <c r="D11" s="124">
        <f>SUMIFS(Data_raw!$K$2:$K$483,Data_raw!$F$2:$F$483,MP_T_Mata!D$1,Data_raw!$A$2:$A$483,MP_T_Mata!$A11) / SUMIF(Data_raw!$A$2:$A$483,MP_T_Mata!$A11,Data_raw!$K$2:$K$483)</f>
        <v>0.433295325</v>
      </c>
      <c r="E11" s="124">
        <f>SUMIFS(Data_raw!$K$2:$K$483,Data_raw!$F$2:$F$483,MP_T_Mata!E$1,Data_raw!$A$2:$A$483,MP_T_Mata!$A11) / SUMIF(Data_raw!$A$2:$A$483,MP_T_Mata!$A11,Data_raw!$K$2:$K$483)</f>
        <v>0</v>
      </c>
      <c r="F11" s="124">
        <f>SUMIFS(Data_raw!$K$2:$K$483,Data_raw!$F$2:$F$483,MP_T_Mata!F$1,Data_raw!$A$2:$A$483,MP_T_Mata!$A11) / SUMIF(Data_raw!$A$2:$A$483,MP_T_Mata!$A11,Data_raw!$K$2:$K$483)</f>
        <v>0</v>
      </c>
      <c r="G11" s="124">
        <f>SUMIFS(Data_raw!$K$2:$K$483,Data_raw!$F$2:$F$483,MP_T_Mata!G$1,Data_raw!$A$2:$A$483,MP_T_Mata!$A11) / SUMIF(Data_raw!$A$2:$A$483,MP_T_Mata!$A11,Data_raw!$K$2:$K$483)</f>
        <v>0.04561003421</v>
      </c>
      <c r="H11" s="124">
        <f>SUMIFS(Data_raw!$K$2:$K$483,Data_raw!$F$2:$F$483,MP_T_Mata!H$1,Data_raw!$A$2:$A$483,MP_T_Mata!$A11) / SUMIF(Data_raw!$A$2:$A$483,MP_T_Mata!$A11,Data_raw!$K$2:$K$483)</f>
        <v>0.2189281642</v>
      </c>
      <c r="I11" s="124">
        <f>SUMIFS(Data_raw!$K$2:$K$483,Data_raw!$F$2:$F$483,MP_T_Mata!I$1,Data_raw!$A$2:$A$483,MP_T_Mata!$A11) / SUMIF(Data_raw!$A$2:$A$483,MP_T_Mata!$A11,Data_raw!$K$2:$K$483)</f>
        <v>0</v>
      </c>
      <c r="J11" s="124">
        <f>SUMIFS(Data_raw!$K$2:$K$483,Data_raw!$F$2:$F$483,MP_T_Mata!J$1,Data_raw!$A$2:$A$483,MP_T_Mata!$A11) / SUMIF(Data_raw!$A$2:$A$483,MP_T_Mata!$A11,Data_raw!$K$2:$K$483)</f>
        <v>0.001140250855</v>
      </c>
      <c r="K11" s="124">
        <f>SUMIFS(Data_raw!$K$2:$K$483,Data_raw!$F$2:$F$483,MP_T_Mata!K$1,Data_raw!$A$2:$A$483,MP_T_Mata!$A11) / SUMIF(Data_raw!$A$2:$A$483,MP_T_Mata!$A11,Data_raw!$K$2:$K$483)</f>
        <v>0</v>
      </c>
      <c r="L11" s="124">
        <f>SUMIFS(Data_raw!$K$2:$K$483,Data_raw!$F$2:$F$483,MP_T_Mata!L$1,Data_raw!$A$2:$A$483,MP_T_Mata!$A11) / SUMIF(Data_raw!$A$2:$A$483,MP_T_Mata!$A11,Data_raw!$K$2:$K$483)</f>
        <v>0</v>
      </c>
      <c r="M11" s="124">
        <f>SUMIFS(Data_raw!$K$2:$K$483,Data_raw!$F$2:$F$483,MP_T_Mata!M$1,Data_raw!$A$2:$A$483,MP_T_Mata!$A11) / SUMIF(Data_raw!$A$2:$A$483,MP_T_Mata!$A11,Data_raw!$K$2:$K$483)</f>
        <v>0</v>
      </c>
      <c r="N11" s="124">
        <f>SUMIFS(Data_raw!$K$2:$K$483,Data_raw!$F$2:$F$483,MP_T_Mata!N$1,Data_raw!$A$2:$A$483,MP_T_Mata!$A11) / SUMIF(Data_raw!$A$2:$A$483,MP_T_Mata!$A11,Data_raw!$K$2:$K$483)</f>
        <v>0.004561003421</v>
      </c>
      <c r="O11" s="124">
        <f>SUMIFS(Data_raw!$K$2:$K$483,Data_raw!$F$2:$F$483,MP_T_Mata!O$1,Data_raw!$A$2:$A$483,MP_T_Mata!$A11) / SUMIF(Data_raw!$A$2:$A$483,MP_T_Mata!$A11,Data_raw!$K$2:$K$483)</f>
        <v>0</v>
      </c>
      <c r="P11" s="124">
        <f>SUMIFS(Data_raw!$K$2:$K$483,Data_raw!$F$2:$F$483,MP_T_Mata!P$1,Data_raw!$A$2:$A$483,MP_T_Mata!$A11) / SUMIF(Data_raw!$A$2:$A$483,MP_T_Mata!$A11,Data_raw!$K$2:$K$483)</f>
        <v>0</v>
      </c>
      <c r="Q11" s="124">
        <f>SUMIFS(Data_raw!$K$2:$K$483,Data_raw!$F$2:$F$483,MP_T_Mata!Q$1,Data_raw!$A$2:$A$483,MP_T_Mata!$A11) / SUMIF(Data_raw!$A$2:$A$483,MP_T_Mata!$A11,Data_raw!$K$2:$K$483)</f>
        <v>0</v>
      </c>
      <c r="R11" s="124">
        <f>SUMIFS(Data_raw!$K$2:$K$483,Data_raw!$F$2:$F$483,MP_T_Mata!R$1,Data_raw!$A$2:$A$483,MP_T_Mata!$A11) / SUMIF(Data_raw!$A$2:$A$483,MP_T_Mata!$A11,Data_raw!$K$2:$K$483)</f>
        <v>0</v>
      </c>
      <c r="S11" s="124">
        <f>SUMIFS(Data_raw!$K$2:$K$483,Data_raw!$F$2:$F$483,MP_T_Mata!S$1,Data_raw!$A$2:$A$483,MP_T_Mata!$A11) / SUMIF(Data_raw!$A$2:$A$483,MP_T_Mata!$A11,Data_raw!$K$2:$K$483)</f>
        <v>0</v>
      </c>
      <c r="T11" s="124">
        <f>SUMIFS(Data_raw!$K$2:$K$483,Data_raw!$F$2:$F$483,MP_T_Mata!T$1,Data_raw!$A$2:$A$483,MP_T_Mata!$A11) / SUMIF(Data_raw!$A$2:$A$483,MP_T_Mata!$A11,Data_raw!$K$2:$K$483)</f>
        <v>0</v>
      </c>
      <c r="U11" s="124">
        <f>SUMIFS(Data_raw!$K$2:$K$483,Data_raw!$F$2:$F$483,MP_T_Mata!U$1,Data_raw!$A$2:$A$483,MP_T_Mata!$A11) / SUMIF(Data_raw!$A$2:$A$483,MP_T_Mata!$A11,Data_raw!$K$2:$K$483)</f>
        <v>0.2645381984</v>
      </c>
      <c r="V11" s="124">
        <f>SUMIFS(Data_raw!$K$2:$K$483,Data_raw!$F$2:$F$483,MP_T_Mata!V$1,Data_raw!$A$2:$A$483,MP_T_Mata!$A11) / SUMIF(Data_raw!$A$2:$A$483,MP_T_Mata!$A11,Data_raw!$K$2:$K$483)</f>
        <v>0</v>
      </c>
      <c r="W11" s="124">
        <f>SUMIFS(Data_raw!$K$2:$K$483,Data_raw!$F$2:$F$483,MP_T_Mata!W$1,Data_raw!$A$2:$A$483,MP_T_Mata!$A11) / SUMIF(Data_raw!$A$2:$A$483,MP_T_Mata!$A11,Data_raw!$K$2:$K$483)</f>
        <v>0</v>
      </c>
      <c r="X11" s="124">
        <f>SUMIFS(Data_raw!$K$2:$K$483,Data_raw!$F$2:$F$483,MP_T_Mata!X$1,Data_raw!$A$2:$A$483,MP_T_Mata!$A11) / SUMIF(Data_raw!$A$2:$A$483,MP_T_Mata!$A11,Data_raw!$K$2:$K$483)</f>
        <v>0</v>
      </c>
      <c r="Y11" s="124">
        <f>SUMIFS(Data_raw!$K$2:$K$483,Data_raw!$F$2:$F$483,MP_T_Mata!Y$1,Data_raw!$A$2:$A$483,MP_T_Mata!$A11) / SUMIF(Data_raw!$A$2:$A$483,MP_T_Mata!$A11,Data_raw!$K$2:$K$483)</f>
        <v>0</v>
      </c>
      <c r="Z11" s="124">
        <f>SUMIFS(Data_raw!$K$2:$K$483,Data_raw!$F$2:$F$483,MP_T_Mata!Z$1,Data_raw!$A$2:$A$483,MP_T_Mata!$A11) / SUMIF(Data_raw!$A$2:$A$483,MP_T_Mata!$A11,Data_raw!$K$2:$K$483)</f>
        <v>0</v>
      </c>
      <c r="AA11" s="124">
        <f>SUMIFS(Data_raw!$K$2:$K$483,Data_raw!$F$2:$F$483,MP_T_Mata!AA$1,Data_raw!$A$2:$A$483,MP_T_Mata!$A11) / SUMIF(Data_raw!$A$2:$A$483,MP_T_Mata!$A11,Data_raw!$K$2:$K$483)</f>
        <v>0.0228050171</v>
      </c>
      <c r="AB11" s="124">
        <f>SUMIFS(Data_raw!$K$2:$K$483,Data_raw!$F$2:$F$483,MP_T_Mata!AB$1,Data_raw!$A$2:$A$483,MP_T_Mata!$A11) / SUMIF(Data_raw!$A$2:$A$483,MP_T_Mata!$A11,Data_raw!$K$2:$K$483)</f>
        <v>0.009122006842</v>
      </c>
    </row>
    <row r="12">
      <c r="A12" s="63" t="str">
        <f>IFERROR(__xludf.DUMMYFUNCTION("""COMPUTED_VALUE"""),"Ischnocnema vizottoi")</f>
        <v>Ischnocnema vizottoi</v>
      </c>
      <c r="B12" s="124">
        <f>SUMIFS(Data_raw!$K$2:$K$483,Data_raw!$F$2:$F$483,MP_T_Mata!B$1,Data_raw!$A$2:$A$483,MP_T_Mata!$A12) / SUMIF(Data_raw!$A$2:$A$483,MP_T_Mata!$A12,Data_raw!$K$2:$K$483)</f>
        <v>0</v>
      </c>
      <c r="C12" s="124">
        <f>SUMIFS(Data_raw!$K$2:$K$483,Data_raw!$F$2:$F$483,MP_T_Mata!C$1,Data_raw!$A$2:$A$483,MP_T_Mata!$A12) / SUMIF(Data_raw!$A$2:$A$483,MP_T_Mata!$A12,Data_raw!$K$2:$K$483)</f>
        <v>0</v>
      </c>
      <c r="D12" s="124">
        <f>SUMIFS(Data_raw!$K$2:$K$483,Data_raw!$F$2:$F$483,MP_T_Mata!D$1,Data_raw!$A$2:$A$483,MP_T_Mata!$A12) / SUMIF(Data_raw!$A$2:$A$483,MP_T_Mata!$A12,Data_raw!$K$2:$K$483)</f>
        <v>0</v>
      </c>
      <c r="E12" s="124">
        <f>SUMIFS(Data_raw!$K$2:$K$483,Data_raw!$F$2:$F$483,MP_T_Mata!E$1,Data_raw!$A$2:$A$483,MP_T_Mata!$A12) / SUMIF(Data_raw!$A$2:$A$483,MP_T_Mata!$A12,Data_raw!$K$2:$K$483)</f>
        <v>0</v>
      </c>
      <c r="F12" s="124">
        <f>SUMIFS(Data_raw!$K$2:$K$483,Data_raw!$F$2:$F$483,MP_T_Mata!F$1,Data_raw!$A$2:$A$483,MP_T_Mata!$A12) / SUMIF(Data_raw!$A$2:$A$483,MP_T_Mata!$A12,Data_raw!$K$2:$K$483)</f>
        <v>0</v>
      </c>
      <c r="G12" s="124">
        <f>SUMIFS(Data_raw!$K$2:$K$483,Data_raw!$F$2:$F$483,MP_T_Mata!G$1,Data_raw!$A$2:$A$483,MP_T_Mata!$A12) / SUMIF(Data_raw!$A$2:$A$483,MP_T_Mata!$A12,Data_raw!$K$2:$K$483)</f>
        <v>0</v>
      </c>
      <c r="H12" s="124">
        <f>SUMIFS(Data_raw!$K$2:$K$483,Data_raw!$F$2:$F$483,MP_T_Mata!H$1,Data_raw!$A$2:$A$483,MP_T_Mata!$A12) / SUMIF(Data_raw!$A$2:$A$483,MP_T_Mata!$A12,Data_raw!$K$2:$K$483)</f>
        <v>0</v>
      </c>
      <c r="I12" s="124">
        <f>SUMIFS(Data_raw!$K$2:$K$483,Data_raw!$F$2:$F$483,MP_T_Mata!I$1,Data_raw!$A$2:$A$483,MP_T_Mata!$A12) / SUMIF(Data_raw!$A$2:$A$483,MP_T_Mata!$A12,Data_raw!$K$2:$K$483)</f>
        <v>0</v>
      </c>
      <c r="J12" s="124">
        <f>SUMIFS(Data_raw!$K$2:$K$483,Data_raw!$F$2:$F$483,MP_T_Mata!J$1,Data_raw!$A$2:$A$483,MP_T_Mata!$A12) / SUMIF(Data_raw!$A$2:$A$483,MP_T_Mata!$A12,Data_raw!$K$2:$K$483)</f>
        <v>0</v>
      </c>
      <c r="K12" s="124">
        <f>SUMIFS(Data_raw!$K$2:$K$483,Data_raw!$F$2:$F$483,MP_T_Mata!K$1,Data_raw!$A$2:$A$483,MP_T_Mata!$A12) / SUMIF(Data_raw!$A$2:$A$483,MP_T_Mata!$A12,Data_raw!$K$2:$K$483)</f>
        <v>0</v>
      </c>
      <c r="L12" s="124">
        <f>SUMIFS(Data_raw!$K$2:$K$483,Data_raw!$F$2:$F$483,MP_T_Mata!L$1,Data_raw!$A$2:$A$483,MP_T_Mata!$A12) / SUMIF(Data_raw!$A$2:$A$483,MP_T_Mata!$A12,Data_raw!$K$2:$K$483)</f>
        <v>0</v>
      </c>
      <c r="M12" s="124">
        <f>SUMIFS(Data_raw!$K$2:$K$483,Data_raw!$F$2:$F$483,MP_T_Mata!M$1,Data_raw!$A$2:$A$483,MP_T_Mata!$A12) / SUMIF(Data_raw!$A$2:$A$483,MP_T_Mata!$A12,Data_raw!$K$2:$K$483)</f>
        <v>0</v>
      </c>
      <c r="N12" s="124">
        <f>SUMIFS(Data_raw!$K$2:$K$483,Data_raw!$F$2:$F$483,MP_T_Mata!N$1,Data_raw!$A$2:$A$483,MP_T_Mata!$A12) / SUMIF(Data_raw!$A$2:$A$483,MP_T_Mata!$A12,Data_raw!$K$2:$K$483)</f>
        <v>0.2</v>
      </c>
      <c r="O12" s="124">
        <f>SUMIFS(Data_raw!$K$2:$K$483,Data_raw!$F$2:$F$483,MP_T_Mata!O$1,Data_raw!$A$2:$A$483,MP_T_Mata!$A12) / SUMIF(Data_raw!$A$2:$A$483,MP_T_Mata!$A12,Data_raw!$K$2:$K$483)</f>
        <v>0</v>
      </c>
      <c r="P12" s="124">
        <f>SUMIFS(Data_raw!$K$2:$K$483,Data_raw!$F$2:$F$483,MP_T_Mata!P$1,Data_raw!$A$2:$A$483,MP_T_Mata!$A12) / SUMIF(Data_raw!$A$2:$A$483,MP_T_Mata!$A12,Data_raw!$K$2:$K$483)</f>
        <v>0.8</v>
      </c>
      <c r="Q12" s="124">
        <f>SUMIFS(Data_raw!$K$2:$K$483,Data_raw!$F$2:$F$483,MP_T_Mata!Q$1,Data_raw!$A$2:$A$483,MP_T_Mata!$A12) / SUMIF(Data_raw!$A$2:$A$483,MP_T_Mata!$A12,Data_raw!$K$2:$K$483)</f>
        <v>0</v>
      </c>
      <c r="R12" s="124">
        <f>SUMIFS(Data_raw!$K$2:$K$483,Data_raw!$F$2:$F$483,MP_T_Mata!R$1,Data_raw!$A$2:$A$483,MP_T_Mata!$A12) / SUMIF(Data_raw!$A$2:$A$483,MP_T_Mata!$A12,Data_raw!$K$2:$K$483)</f>
        <v>0</v>
      </c>
      <c r="S12" s="124">
        <f>SUMIFS(Data_raw!$K$2:$K$483,Data_raw!$F$2:$F$483,MP_T_Mata!S$1,Data_raw!$A$2:$A$483,MP_T_Mata!$A12) / SUMIF(Data_raw!$A$2:$A$483,MP_T_Mata!$A12,Data_raw!$K$2:$K$483)</f>
        <v>0</v>
      </c>
      <c r="T12" s="124">
        <f>SUMIFS(Data_raw!$K$2:$K$483,Data_raw!$F$2:$F$483,MP_T_Mata!T$1,Data_raw!$A$2:$A$483,MP_T_Mata!$A12) / SUMIF(Data_raw!$A$2:$A$483,MP_T_Mata!$A12,Data_raw!$K$2:$K$483)</f>
        <v>0</v>
      </c>
      <c r="U12" s="124">
        <f>SUMIFS(Data_raw!$K$2:$K$483,Data_raw!$F$2:$F$483,MP_T_Mata!U$1,Data_raw!$A$2:$A$483,MP_T_Mata!$A12) / SUMIF(Data_raw!$A$2:$A$483,MP_T_Mata!$A12,Data_raw!$K$2:$K$483)</f>
        <v>0</v>
      </c>
      <c r="V12" s="124">
        <f>SUMIFS(Data_raw!$K$2:$K$483,Data_raw!$F$2:$F$483,MP_T_Mata!V$1,Data_raw!$A$2:$A$483,MP_T_Mata!$A12) / SUMIF(Data_raw!$A$2:$A$483,MP_T_Mata!$A12,Data_raw!$K$2:$K$483)</f>
        <v>0</v>
      </c>
      <c r="W12" s="124">
        <f>SUMIFS(Data_raw!$K$2:$K$483,Data_raw!$F$2:$F$483,MP_T_Mata!W$1,Data_raw!$A$2:$A$483,MP_T_Mata!$A12) / SUMIF(Data_raw!$A$2:$A$483,MP_T_Mata!$A12,Data_raw!$K$2:$K$483)</f>
        <v>0</v>
      </c>
      <c r="X12" s="124">
        <f>SUMIFS(Data_raw!$K$2:$K$483,Data_raw!$F$2:$F$483,MP_T_Mata!X$1,Data_raw!$A$2:$A$483,MP_T_Mata!$A12) / SUMIF(Data_raw!$A$2:$A$483,MP_T_Mata!$A12,Data_raw!$K$2:$K$483)</f>
        <v>0</v>
      </c>
      <c r="Y12" s="124">
        <f>SUMIFS(Data_raw!$K$2:$K$483,Data_raw!$F$2:$F$483,MP_T_Mata!Y$1,Data_raw!$A$2:$A$483,MP_T_Mata!$A12) / SUMIF(Data_raw!$A$2:$A$483,MP_T_Mata!$A12,Data_raw!$K$2:$K$483)</f>
        <v>0</v>
      </c>
      <c r="Z12" s="124">
        <f>SUMIFS(Data_raw!$K$2:$K$483,Data_raw!$F$2:$F$483,MP_T_Mata!Z$1,Data_raw!$A$2:$A$483,MP_T_Mata!$A12) / SUMIF(Data_raw!$A$2:$A$483,MP_T_Mata!$A12,Data_raw!$K$2:$K$483)</f>
        <v>0</v>
      </c>
      <c r="AA12" s="124">
        <f>SUMIFS(Data_raw!$K$2:$K$483,Data_raw!$F$2:$F$483,MP_T_Mata!AA$1,Data_raw!$A$2:$A$483,MP_T_Mata!$A12) / SUMIF(Data_raw!$A$2:$A$483,MP_T_Mata!$A12,Data_raw!$K$2:$K$483)</f>
        <v>0</v>
      </c>
      <c r="AB12" s="124">
        <f>SUMIFS(Data_raw!$K$2:$K$483,Data_raw!$F$2:$F$483,MP_T_Mata!AB$1,Data_raw!$A$2:$A$483,MP_T_Mata!$A12) / SUMIF(Data_raw!$A$2:$A$483,MP_T_Mata!$A12,Data_raw!$K$2:$K$483)</f>
        <v>0</v>
      </c>
    </row>
    <row r="13">
      <c r="A13" s="63" t="str">
        <f>IFERROR(__xludf.DUMMYFUNCTION("""COMPUTED_VALUE"""),"Ololygon obtriangulata")</f>
        <v>Ololygon obtriangulata</v>
      </c>
      <c r="B13" s="124">
        <f>SUMIFS(Data_raw!$K$2:$K$483,Data_raw!$F$2:$F$483,MP_T_Mata!B$1,Data_raw!$A$2:$A$483,MP_T_Mata!$A13) / SUMIF(Data_raw!$A$2:$A$483,MP_T_Mata!$A13,Data_raw!$K$2:$K$483)</f>
        <v>0</v>
      </c>
      <c r="C13" s="124">
        <f>SUMIFS(Data_raw!$K$2:$K$483,Data_raw!$F$2:$F$483,MP_T_Mata!C$1,Data_raw!$A$2:$A$483,MP_T_Mata!$A13) / SUMIF(Data_raw!$A$2:$A$483,MP_T_Mata!$A13,Data_raw!$K$2:$K$483)</f>
        <v>0</v>
      </c>
      <c r="D13" s="124">
        <f>SUMIFS(Data_raw!$K$2:$K$483,Data_raw!$F$2:$F$483,MP_T_Mata!D$1,Data_raw!$A$2:$A$483,MP_T_Mata!$A13) / SUMIF(Data_raw!$A$2:$A$483,MP_T_Mata!$A13,Data_raw!$K$2:$K$483)</f>
        <v>0.888</v>
      </c>
      <c r="E13" s="124">
        <f>SUMIFS(Data_raw!$K$2:$K$483,Data_raw!$F$2:$F$483,MP_T_Mata!E$1,Data_raw!$A$2:$A$483,MP_T_Mata!$A13) / SUMIF(Data_raw!$A$2:$A$483,MP_T_Mata!$A13,Data_raw!$K$2:$K$483)</f>
        <v>0</v>
      </c>
      <c r="F13" s="124">
        <f>SUMIFS(Data_raw!$K$2:$K$483,Data_raw!$F$2:$F$483,MP_T_Mata!F$1,Data_raw!$A$2:$A$483,MP_T_Mata!$A13) / SUMIF(Data_raw!$A$2:$A$483,MP_T_Mata!$A13,Data_raw!$K$2:$K$483)</f>
        <v>0</v>
      </c>
      <c r="G13" s="124">
        <f>SUMIFS(Data_raw!$K$2:$K$483,Data_raw!$F$2:$F$483,MP_T_Mata!G$1,Data_raw!$A$2:$A$483,MP_T_Mata!$A13) / SUMIF(Data_raw!$A$2:$A$483,MP_T_Mata!$A13,Data_raw!$K$2:$K$483)</f>
        <v>0</v>
      </c>
      <c r="H13" s="124">
        <f>SUMIFS(Data_raw!$K$2:$K$483,Data_raw!$F$2:$F$483,MP_T_Mata!H$1,Data_raw!$A$2:$A$483,MP_T_Mata!$A13) / SUMIF(Data_raw!$A$2:$A$483,MP_T_Mata!$A13,Data_raw!$K$2:$K$483)</f>
        <v>0.016</v>
      </c>
      <c r="I13" s="124">
        <f>SUMIFS(Data_raw!$K$2:$K$483,Data_raw!$F$2:$F$483,MP_T_Mata!I$1,Data_raw!$A$2:$A$483,MP_T_Mata!$A13) / SUMIF(Data_raw!$A$2:$A$483,MP_T_Mata!$A13,Data_raw!$K$2:$K$483)</f>
        <v>0</v>
      </c>
      <c r="J13" s="124">
        <f>SUMIFS(Data_raw!$K$2:$K$483,Data_raw!$F$2:$F$483,MP_T_Mata!J$1,Data_raw!$A$2:$A$483,MP_T_Mata!$A13) / SUMIF(Data_raw!$A$2:$A$483,MP_T_Mata!$A13,Data_raw!$K$2:$K$483)</f>
        <v>0</v>
      </c>
      <c r="K13" s="124">
        <f>SUMIFS(Data_raw!$K$2:$K$483,Data_raw!$F$2:$F$483,MP_T_Mata!K$1,Data_raw!$A$2:$A$483,MP_T_Mata!$A13) / SUMIF(Data_raw!$A$2:$A$483,MP_T_Mata!$A13,Data_raw!$K$2:$K$483)</f>
        <v>0</v>
      </c>
      <c r="L13" s="124">
        <f>SUMIFS(Data_raw!$K$2:$K$483,Data_raw!$F$2:$F$483,MP_T_Mata!L$1,Data_raw!$A$2:$A$483,MP_T_Mata!$A13) / SUMIF(Data_raw!$A$2:$A$483,MP_T_Mata!$A13,Data_raw!$K$2:$K$483)</f>
        <v>0</v>
      </c>
      <c r="M13" s="124">
        <f>SUMIFS(Data_raw!$K$2:$K$483,Data_raw!$F$2:$F$483,MP_T_Mata!M$1,Data_raw!$A$2:$A$483,MP_T_Mata!$A13) / SUMIF(Data_raw!$A$2:$A$483,MP_T_Mata!$A13,Data_raw!$K$2:$K$483)</f>
        <v>0</v>
      </c>
      <c r="N13" s="124">
        <f>SUMIFS(Data_raw!$K$2:$K$483,Data_raw!$F$2:$F$483,MP_T_Mata!N$1,Data_raw!$A$2:$A$483,MP_T_Mata!$A13) / SUMIF(Data_raw!$A$2:$A$483,MP_T_Mata!$A13,Data_raw!$K$2:$K$483)</f>
        <v>0</v>
      </c>
      <c r="O13" s="124">
        <f>SUMIFS(Data_raw!$K$2:$K$483,Data_raw!$F$2:$F$483,MP_T_Mata!O$1,Data_raw!$A$2:$A$483,MP_T_Mata!$A13) / SUMIF(Data_raw!$A$2:$A$483,MP_T_Mata!$A13,Data_raw!$K$2:$K$483)</f>
        <v>0</v>
      </c>
      <c r="P13" s="124">
        <f>SUMIFS(Data_raw!$K$2:$K$483,Data_raw!$F$2:$F$483,MP_T_Mata!P$1,Data_raw!$A$2:$A$483,MP_T_Mata!$A13) / SUMIF(Data_raw!$A$2:$A$483,MP_T_Mata!$A13,Data_raw!$K$2:$K$483)</f>
        <v>0</v>
      </c>
      <c r="Q13" s="124">
        <f>SUMIFS(Data_raw!$K$2:$K$483,Data_raw!$F$2:$F$483,MP_T_Mata!Q$1,Data_raw!$A$2:$A$483,MP_T_Mata!$A13) / SUMIF(Data_raw!$A$2:$A$483,MP_T_Mata!$A13,Data_raw!$K$2:$K$483)</f>
        <v>0</v>
      </c>
      <c r="R13" s="124">
        <f>SUMIFS(Data_raw!$K$2:$K$483,Data_raw!$F$2:$F$483,MP_T_Mata!R$1,Data_raw!$A$2:$A$483,MP_T_Mata!$A13) / SUMIF(Data_raw!$A$2:$A$483,MP_T_Mata!$A13,Data_raw!$K$2:$K$483)</f>
        <v>0</v>
      </c>
      <c r="S13" s="124">
        <f>SUMIFS(Data_raw!$K$2:$K$483,Data_raw!$F$2:$F$483,MP_T_Mata!S$1,Data_raw!$A$2:$A$483,MP_T_Mata!$A13) / SUMIF(Data_raw!$A$2:$A$483,MP_T_Mata!$A13,Data_raw!$K$2:$K$483)</f>
        <v>0</v>
      </c>
      <c r="T13" s="124">
        <f>SUMIFS(Data_raw!$K$2:$K$483,Data_raw!$F$2:$F$483,MP_T_Mata!T$1,Data_raw!$A$2:$A$483,MP_T_Mata!$A13) / SUMIF(Data_raw!$A$2:$A$483,MP_T_Mata!$A13,Data_raw!$K$2:$K$483)</f>
        <v>0</v>
      </c>
      <c r="U13" s="124">
        <f>SUMIFS(Data_raw!$K$2:$K$483,Data_raw!$F$2:$F$483,MP_T_Mata!U$1,Data_raw!$A$2:$A$483,MP_T_Mata!$A13) / SUMIF(Data_raw!$A$2:$A$483,MP_T_Mata!$A13,Data_raw!$K$2:$K$483)</f>
        <v>0</v>
      </c>
      <c r="V13" s="124">
        <f>SUMIFS(Data_raw!$K$2:$K$483,Data_raw!$F$2:$F$483,MP_T_Mata!V$1,Data_raw!$A$2:$A$483,MP_T_Mata!$A13) / SUMIF(Data_raw!$A$2:$A$483,MP_T_Mata!$A13,Data_raw!$K$2:$K$483)</f>
        <v>0</v>
      </c>
      <c r="W13" s="124">
        <f>SUMIFS(Data_raw!$K$2:$K$483,Data_raw!$F$2:$F$483,MP_T_Mata!W$1,Data_raw!$A$2:$A$483,MP_T_Mata!$A13) / SUMIF(Data_raw!$A$2:$A$483,MP_T_Mata!$A13,Data_raw!$K$2:$K$483)</f>
        <v>0</v>
      </c>
      <c r="X13" s="124">
        <f>SUMIFS(Data_raw!$K$2:$K$483,Data_raw!$F$2:$F$483,MP_T_Mata!X$1,Data_raw!$A$2:$A$483,MP_T_Mata!$A13) / SUMIF(Data_raw!$A$2:$A$483,MP_T_Mata!$A13,Data_raw!$K$2:$K$483)</f>
        <v>0</v>
      </c>
      <c r="Y13" s="124">
        <f>SUMIFS(Data_raw!$K$2:$K$483,Data_raw!$F$2:$F$483,MP_T_Mata!Y$1,Data_raw!$A$2:$A$483,MP_T_Mata!$A13) / SUMIF(Data_raw!$A$2:$A$483,MP_T_Mata!$A13,Data_raw!$K$2:$K$483)</f>
        <v>0</v>
      </c>
      <c r="Z13" s="124">
        <f>SUMIFS(Data_raw!$K$2:$K$483,Data_raw!$F$2:$F$483,MP_T_Mata!Z$1,Data_raw!$A$2:$A$483,MP_T_Mata!$A13) / SUMIF(Data_raw!$A$2:$A$483,MP_T_Mata!$A13,Data_raw!$K$2:$K$483)</f>
        <v>0.096</v>
      </c>
      <c r="AA13" s="124">
        <f>SUMIFS(Data_raw!$K$2:$K$483,Data_raw!$F$2:$F$483,MP_T_Mata!AA$1,Data_raw!$A$2:$A$483,MP_T_Mata!$A13) / SUMIF(Data_raw!$A$2:$A$483,MP_T_Mata!$A13,Data_raw!$K$2:$K$483)</f>
        <v>0</v>
      </c>
      <c r="AB13" s="124">
        <f>SUMIFS(Data_raw!$K$2:$K$483,Data_raw!$F$2:$F$483,MP_T_Mata!AB$1,Data_raw!$A$2:$A$483,MP_T_Mata!$A13) / SUMIF(Data_raw!$A$2:$A$483,MP_T_Mata!$A13,Data_raw!$K$2:$K$483)</f>
        <v>0</v>
      </c>
    </row>
    <row r="14">
      <c r="A14" s="63" t="str">
        <f>IFERROR(__xludf.DUMMYFUNCTION("""COMPUTED_VALUE"""),"Paratelmatobius mantiqueira")</f>
        <v>Paratelmatobius mantiqueira</v>
      </c>
      <c r="B14" s="124">
        <f>SUMIFS(Data_raw!$K$2:$K$483,Data_raw!$F$2:$F$483,MP_T_Mata!B$1,Data_raw!$A$2:$A$483,MP_T_Mata!$A14) / SUMIF(Data_raw!$A$2:$A$483,MP_T_Mata!$A14,Data_raw!$K$2:$K$483)</f>
        <v>0</v>
      </c>
      <c r="C14" s="124">
        <f>SUMIFS(Data_raw!$K$2:$K$483,Data_raw!$F$2:$F$483,MP_T_Mata!C$1,Data_raw!$A$2:$A$483,MP_T_Mata!$A14) / SUMIF(Data_raw!$A$2:$A$483,MP_T_Mata!$A14,Data_raw!$K$2:$K$483)</f>
        <v>0</v>
      </c>
      <c r="D14" s="124">
        <f>SUMIFS(Data_raw!$K$2:$K$483,Data_raw!$F$2:$F$483,MP_T_Mata!D$1,Data_raw!$A$2:$A$483,MP_T_Mata!$A14) / SUMIF(Data_raw!$A$2:$A$483,MP_T_Mata!$A14,Data_raw!$K$2:$K$483)</f>
        <v>0.01123595506</v>
      </c>
      <c r="E14" s="124">
        <f>SUMIFS(Data_raw!$K$2:$K$483,Data_raw!$F$2:$F$483,MP_T_Mata!E$1,Data_raw!$A$2:$A$483,MP_T_Mata!$A14) / SUMIF(Data_raw!$A$2:$A$483,MP_T_Mata!$A14,Data_raw!$K$2:$K$483)</f>
        <v>0</v>
      </c>
      <c r="F14" s="124">
        <f>SUMIFS(Data_raw!$K$2:$K$483,Data_raw!$F$2:$F$483,MP_T_Mata!F$1,Data_raw!$A$2:$A$483,MP_T_Mata!$A14) / SUMIF(Data_raw!$A$2:$A$483,MP_T_Mata!$A14,Data_raw!$K$2:$K$483)</f>
        <v>0</v>
      </c>
      <c r="G14" s="124">
        <f>SUMIFS(Data_raw!$K$2:$K$483,Data_raw!$F$2:$F$483,MP_T_Mata!G$1,Data_raw!$A$2:$A$483,MP_T_Mata!$A14) / SUMIF(Data_raw!$A$2:$A$483,MP_T_Mata!$A14,Data_raw!$K$2:$K$483)</f>
        <v>0</v>
      </c>
      <c r="H14" s="124">
        <f>SUMIFS(Data_raw!$K$2:$K$483,Data_raw!$F$2:$F$483,MP_T_Mata!H$1,Data_raw!$A$2:$A$483,MP_T_Mata!$A14) / SUMIF(Data_raw!$A$2:$A$483,MP_T_Mata!$A14,Data_raw!$K$2:$K$483)</f>
        <v>0</v>
      </c>
      <c r="I14" s="124">
        <f>SUMIFS(Data_raw!$K$2:$K$483,Data_raw!$F$2:$F$483,MP_T_Mata!I$1,Data_raw!$A$2:$A$483,MP_T_Mata!$A14) / SUMIF(Data_raw!$A$2:$A$483,MP_T_Mata!$A14,Data_raw!$K$2:$K$483)</f>
        <v>0</v>
      </c>
      <c r="J14" s="124">
        <f>SUMIFS(Data_raw!$K$2:$K$483,Data_raw!$F$2:$F$483,MP_T_Mata!J$1,Data_raw!$A$2:$A$483,MP_T_Mata!$A14) / SUMIF(Data_raw!$A$2:$A$483,MP_T_Mata!$A14,Data_raw!$K$2:$K$483)</f>
        <v>0</v>
      </c>
      <c r="K14" s="124">
        <f>SUMIFS(Data_raw!$K$2:$K$483,Data_raw!$F$2:$F$483,MP_T_Mata!K$1,Data_raw!$A$2:$A$483,MP_T_Mata!$A14) / SUMIF(Data_raw!$A$2:$A$483,MP_T_Mata!$A14,Data_raw!$K$2:$K$483)</f>
        <v>0</v>
      </c>
      <c r="L14" s="124">
        <f>SUMIFS(Data_raw!$K$2:$K$483,Data_raw!$F$2:$F$483,MP_T_Mata!L$1,Data_raw!$A$2:$A$483,MP_T_Mata!$A14) / SUMIF(Data_raw!$A$2:$A$483,MP_T_Mata!$A14,Data_raw!$K$2:$K$483)</f>
        <v>0</v>
      </c>
      <c r="M14" s="124">
        <f>SUMIFS(Data_raw!$K$2:$K$483,Data_raw!$F$2:$F$483,MP_T_Mata!M$1,Data_raw!$A$2:$A$483,MP_T_Mata!$A14) / SUMIF(Data_raw!$A$2:$A$483,MP_T_Mata!$A14,Data_raw!$K$2:$K$483)</f>
        <v>0</v>
      </c>
      <c r="N14" s="124">
        <f>SUMIFS(Data_raw!$K$2:$K$483,Data_raw!$F$2:$F$483,MP_T_Mata!N$1,Data_raw!$A$2:$A$483,MP_T_Mata!$A14) / SUMIF(Data_raw!$A$2:$A$483,MP_T_Mata!$A14,Data_raw!$K$2:$K$483)</f>
        <v>0</v>
      </c>
      <c r="O14" s="124">
        <f>SUMIFS(Data_raw!$K$2:$K$483,Data_raw!$F$2:$F$483,MP_T_Mata!O$1,Data_raw!$A$2:$A$483,MP_T_Mata!$A14) / SUMIF(Data_raw!$A$2:$A$483,MP_T_Mata!$A14,Data_raw!$K$2:$K$483)</f>
        <v>0</v>
      </c>
      <c r="P14" s="124">
        <f>SUMIFS(Data_raw!$K$2:$K$483,Data_raw!$F$2:$F$483,MP_T_Mata!P$1,Data_raw!$A$2:$A$483,MP_T_Mata!$A14) / SUMIF(Data_raw!$A$2:$A$483,MP_T_Mata!$A14,Data_raw!$K$2:$K$483)</f>
        <v>0</v>
      </c>
      <c r="Q14" s="124">
        <f>SUMIFS(Data_raw!$K$2:$K$483,Data_raw!$F$2:$F$483,MP_T_Mata!Q$1,Data_raw!$A$2:$A$483,MP_T_Mata!$A14) / SUMIF(Data_raw!$A$2:$A$483,MP_T_Mata!$A14,Data_raw!$K$2:$K$483)</f>
        <v>0</v>
      </c>
      <c r="R14" s="124">
        <f>SUMIFS(Data_raw!$K$2:$K$483,Data_raw!$F$2:$F$483,MP_T_Mata!R$1,Data_raw!$A$2:$A$483,MP_T_Mata!$A14) / SUMIF(Data_raw!$A$2:$A$483,MP_T_Mata!$A14,Data_raw!$K$2:$K$483)</f>
        <v>0.9887640449</v>
      </c>
      <c r="S14" s="124">
        <f>SUMIFS(Data_raw!$K$2:$K$483,Data_raw!$F$2:$F$483,MP_T_Mata!S$1,Data_raw!$A$2:$A$483,MP_T_Mata!$A14) / SUMIF(Data_raw!$A$2:$A$483,MP_T_Mata!$A14,Data_raw!$K$2:$K$483)</f>
        <v>0</v>
      </c>
      <c r="T14" s="124">
        <f>SUMIFS(Data_raw!$K$2:$K$483,Data_raw!$F$2:$F$483,MP_T_Mata!T$1,Data_raw!$A$2:$A$483,MP_T_Mata!$A14) / SUMIF(Data_raw!$A$2:$A$483,MP_T_Mata!$A14,Data_raw!$K$2:$K$483)</f>
        <v>0</v>
      </c>
      <c r="U14" s="124">
        <f>SUMIFS(Data_raw!$K$2:$K$483,Data_raw!$F$2:$F$483,MP_T_Mata!U$1,Data_raw!$A$2:$A$483,MP_T_Mata!$A14) / SUMIF(Data_raw!$A$2:$A$483,MP_T_Mata!$A14,Data_raw!$K$2:$K$483)</f>
        <v>0</v>
      </c>
      <c r="V14" s="124">
        <f>SUMIFS(Data_raw!$K$2:$K$483,Data_raw!$F$2:$F$483,MP_T_Mata!V$1,Data_raw!$A$2:$A$483,MP_T_Mata!$A14) / SUMIF(Data_raw!$A$2:$A$483,MP_T_Mata!$A14,Data_raw!$K$2:$K$483)</f>
        <v>0</v>
      </c>
      <c r="W14" s="124">
        <f>SUMIFS(Data_raw!$K$2:$K$483,Data_raw!$F$2:$F$483,MP_T_Mata!W$1,Data_raw!$A$2:$A$483,MP_T_Mata!$A14) / SUMIF(Data_raw!$A$2:$A$483,MP_T_Mata!$A14,Data_raw!$K$2:$K$483)</f>
        <v>0</v>
      </c>
      <c r="X14" s="124">
        <f>SUMIFS(Data_raw!$K$2:$K$483,Data_raw!$F$2:$F$483,MP_T_Mata!X$1,Data_raw!$A$2:$A$483,MP_T_Mata!$A14) / SUMIF(Data_raw!$A$2:$A$483,MP_T_Mata!$A14,Data_raw!$K$2:$K$483)</f>
        <v>0</v>
      </c>
      <c r="Y14" s="124">
        <f>SUMIFS(Data_raw!$K$2:$K$483,Data_raw!$F$2:$F$483,MP_T_Mata!Y$1,Data_raw!$A$2:$A$483,MP_T_Mata!$A14) / SUMIF(Data_raw!$A$2:$A$483,MP_T_Mata!$A14,Data_raw!$K$2:$K$483)</f>
        <v>0</v>
      </c>
      <c r="Z14" s="124">
        <f>SUMIFS(Data_raw!$K$2:$K$483,Data_raw!$F$2:$F$483,MP_T_Mata!Z$1,Data_raw!$A$2:$A$483,MP_T_Mata!$A14) / SUMIF(Data_raw!$A$2:$A$483,MP_T_Mata!$A14,Data_raw!$K$2:$K$483)</f>
        <v>0</v>
      </c>
      <c r="AA14" s="124">
        <f>SUMIFS(Data_raw!$K$2:$K$483,Data_raw!$F$2:$F$483,MP_T_Mata!AA$1,Data_raw!$A$2:$A$483,MP_T_Mata!$A14) / SUMIF(Data_raw!$A$2:$A$483,MP_T_Mata!$A14,Data_raw!$K$2:$K$483)</f>
        <v>0</v>
      </c>
      <c r="AB14" s="124">
        <f>SUMIFS(Data_raw!$K$2:$K$483,Data_raw!$F$2:$F$483,MP_T_Mata!AB$1,Data_raw!$A$2:$A$483,MP_T_Mata!$A14) / SUMIF(Data_raw!$A$2:$A$483,MP_T_Mata!$A14,Data_raw!$K$2:$K$483)</f>
        <v>0</v>
      </c>
    </row>
    <row r="15">
      <c r="A15" s="63" t="str">
        <f>IFERROR(__xludf.DUMMYFUNCTION("""COMPUTED_VALUE"""),"Physalaemus olfersii")</f>
        <v>Physalaemus olfersii</v>
      </c>
      <c r="B15" s="124">
        <f>SUMIFS(Data_raw!$K$2:$K$483,Data_raw!$F$2:$F$483,MP_T_Mata!B$1,Data_raw!$A$2:$A$483,MP_T_Mata!$A15) / SUMIF(Data_raw!$A$2:$A$483,MP_T_Mata!$A15,Data_raw!$K$2:$K$483)</f>
        <v>0</v>
      </c>
      <c r="C15" s="124">
        <f>SUMIFS(Data_raw!$K$2:$K$483,Data_raw!$F$2:$F$483,MP_T_Mata!C$1,Data_raw!$A$2:$A$483,MP_T_Mata!$A15) / SUMIF(Data_raw!$A$2:$A$483,MP_T_Mata!$A15,Data_raw!$K$2:$K$483)</f>
        <v>0</v>
      </c>
      <c r="D15" s="124">
        <f>SUMIFS(Data_raw!$K$2:$K$483,Data_raw!$F$2:$F$483,MP_T_Mata!D$1,Data_raw!$A$2:$A$483,MP_T_Mata!$A15) / SUMIF(Data_raw!$A$2:$A$483,MP_T_Mata!$A15,Data_raw!$K$2:$K$483)</f>
        <v>0.01760176018</v>
      </c>
      <c r="E15" s="124">
        <f>SUMIFS(Data_raw!$K$2:$K$483,Data_raw!$F$2:$F$483,MP_T_Mata!E$1,Data_raw!$A$2:$A$483,MP_T_Mata!$A15) / SUMIF(Data_raw!$A$2:$A$483,MP_T_Mata!$A15,Data_raw!$K$2:$K$483)</f>
        <v>0</v>
      </c>
      <c r="F15" s="124">
        <f>SUMIFS(Data_raw!$K$2:$K$483,Data_raw!$F$2:$F$483,MP_T_Mata!F$1,Data_raw!$A$2:$A$483,MP_T_Mata!$A15) / SUMIF(Data_raw!$A$2:$A$483,MP_T_Mata!$A15,Data_raw!$K$2:$K$483)</f>
        <v>0</v>
      </c>
      <c r="G15" s="124">
        <f>SUMIFS(Data_raw!$K$2:$K$483,Data_raw!$F$2:$F$483,MP_T_Mata!G$1,Data_raw!$A$2:$A$483,MP_T_Mata!$A15) / SUMIF(Data_raw!$A$2:$A$483,MP_T_Mata!$A15,Data_raw!$K$2:$K$483)</f>
        <v>0</v>
      </c>
      <c r="H15" s="124">
        <f>SUMIFS(Data_raw!$K$2:$K$483,Data_raw!$F$2:$F$483,MP_T_Mata!H$1,Data_raw!$A$2:$A$483,MP_T_Mata!$A15) / SUMIF(Data_raw!$A$2:$A$483,MP_T_Mata!$A15,Data_raw!$K$2:$K$483)</f>
        <v>0.3058305831</v>
      </c>
      <c r="I15" s="124">
        <f>SUMIFS(Data_raw!$K$2:$K$483,Data_raw!$F$2:$F$483,MP_T_Mata!I$1,Data_raw!$A$2:$A$483,MP_T_Mata!$A15) / SUMIF(Data_raw!$A$2:$A$483,MP_T_Mata!$A15,Data_raw!$K$2:$K$483)</f>
        <v>0</v>
      </c>
      <c r="J15" s="124">
        <f>SUMIFS(Data_raw!$K$2:$K$483,Data_raw!$F$2:$F$483,MP_T_Mata!J$1,Data_raw!$A$2:$A$483,MP_T_Mata!$A15) / SUMIF(Data_raw!$A$2:$A$483,MP_T_Mata!$A15,Data_raw!$K$2:$K$483)</f>
        <v>0</v>
      </c>
      <c r="K15" s="124">
        <f>SUMIFS(Data_raw!$K$2:$K$483,Data_raw!$F$2:$F$483,MP_T_Mata!K$1,Data_raw!$A$2:$A$483,MP_T_Mata!$A15) / SUMIF(Data_raw!$A$2:$A$483,MP_T_Mata!$A15,Data_raw!$K$2:$K$483)</f>
        <v>0</v>
      </c>
      <c r="L15" s="124">
        <f>SUMIFS(Data_raw!$K$2:$K$483,Data_raw!$F$2:$F$483,MP_T_Mata!L$1,Data_raw!$A$2:$A$483,MP_T_Mata!$A15) / SUMIF(Data_raw!$A$2:$A$483,MP_T_Mata!$A15,Data_raw!$K$2:$K$483)</f>
        <v>0</v>
      </c>
      <c r="M15" s="124">
        <f>SUMIFS(Data_raw!$K$2:$K$483,Data_raw!$F$2:$F$483,MP_T_Mata!M$1,Data_raw!$A$2:$A$483,MP_T_Mata!$A15) / SUMIF(Data_raw!$A$2:$A$483,MP_T_Mata!$A15,Data_raw!$K$2:$K$483)</f>
        <v>0</v>
      </c>
      <c r="N15" s="124">
        <f>SUMIFS(Data_raw!$K$2:$K$483,Data_raw!$F$2:$F$483,MP_T_Mata!N$1,Data_raw!$A$2:$A$483,MP_T_Mata!$A15) / SUMIF(Data_raw!$A$2:$A$483,MP_T_Mata!$A15,Data_raw!$K$2:$K$483)</f>
        <v>0.4653465347</v>
      </c>
      <c r="O15" s="124">
        <f>SUMIFS(Data_raw!$K$2:$K$483,Data_raw!$F$2:$F$483,MP_T_Mata!O$1,Data_raw!$A$2:$A$483,MP_T_Mata!$A15) / SUMIF(Data_raw!$A$2:$A$483,MP_T_Mata!$A15,Data_raw!$K$2:$K$483)</f>
        <v>0</v>
      </c>
      <c r="P15" s="124">
        <f>SUMIFS(Data_raw!$K$2:$K$483,Data_raw!$F$2:$F$483,MP_T_Mata!P$1,Data_raw!$A$2:$A$483,MP_T_Mata!$A15) / SUMIF(Data_raw!$A$2:$A$483,MP_T_Mata!$A15,Data_raw!$K$2:$K$483)</f>
        <v>0</v>
      </c>
      <c r="Q15" s="124">
        <f>SUMIFS(Data_raw!$K$2:$K$483,Data_raw!$F$2:$F$483,MP_T_Mata!Q$1,Data_raw!$A$2:$A$483,MP_T_Mata!$A15) / SUMIF(Data_raw!$A$2:$A$483,MP_T_Mata!$A15,Data_raw!$K$2:$K$483)</f>
        <v>0</v>
      </c>
      <c r="R15" s="124">
        <f>SUMIFS(Data_raw!$K$2:$K$483,Data_raw!$F$2:$F$483,MP_T_Mata!R$1,Data_raw!$A$2:$A$483,MP_T_Mata!$A15) / SUMIF(Data_raw!$A$2:$A$483,MP_T_Mata!$A15,Data_raw!$K$2:$K$483)</f>
        <v>0</v>
      </c>
      <c r="S15" s="124">
        <f>SUMIFS(Data_raw!$K$2:$K$483,Data_raw!$F$2:$F$483,MP_T_Mata!S$1,Data_raw!$A$2:$A$483,MP_T_Mata!$A15) / SUMIF(Data_raw!$A$2:$A$483,MP_T_Mata!$A15,Data_raw!$K$2:$K$483)</f>
        <v>0</v>
      </c>
      <c r="T15" s="124">
        <f>SUMIFS(Data_raw!$K$2:$K$483,Data_raw!$F$2:$F$483,MP_T_Mata!T$1,Data_raw!$A$2:$A$483,MP_T_Mata!$A15) / SUMIF(Data_raw!$A$2:$A$483,MP_T_Mata!$A15,Data_raw!$K$2:$K$483)</f>
        <v>0</v>
      </c>
      <c r="U15" s="124">
        <f>SUMIFS(Data_raw!$K$2:$K$483,Data_raw!$F$2:$F$483,MP_T_Mata!U$1,Data_raw!$A$2:$A$483,MP_T_Mata!$A15) / SUMIF(Data_raw!$A$2:$A$483,MP_T_Mata!$A15,Data_raw!$K$2:$K$483)</f>
        <v>0</v>
      </c>
      <c r="V15" s="124">
        <f>SUMIFS(Data_raw!$K$2:$K$483,Data_raw!$F$2:$F$483,MP_T_Mata!V$1,Data_raw!$A$2:$A$483,MP_T_Mata!$A15) / SUMIF(Data_raw!$A$2:$A$483,MP_T_Mata!$A15,Data_raw!$K$2:$K$483)</f>
        <v>0</v>
      </c>
      <c r="W15" s="124">
        <f>SUMIFS(Data_raw!$K$2:$K$483,Data_raw!$F$2:$F$483,MP_T_Mata!W$1,Data_raw!$A$2:$A$483,MP_T_Mata!$A15) / SUMIF(Data_raw!$A$2:$A$483,MP_T_Mata!$A15,Data_raw!$K$2:$K$483)</f>
        <v>0</v>
      </c>
      <c r="X15" s="124">
        <f>SUMIFS(Data_raw!$K$2:$K$483,Data_raw!$F$2:$F$483,MP_T_Mata!X$1,Data_raw!$A$2:$A$483,MP_T_Mata!$A15) / SUMIF(Data_raw!$A$2:$A$483,MP_T_Mata!$A15,Data_raw!$K$2:$K$483)</f>
        <v>0</v>
      </c>
      <c r="Y15" s="124">
        <f>SUMIFS(Data_raw!$K$2:$K$483,Data_raw!$F$2:$F$483,MP_T_Mata!Y$1,Data_raw!$A$2:$A$483,MP_T_Mata!$A15) / SUMIF(Data_raw!$A$2:$A$483,MP_T_Mata!$A15,Data_raw!$K$2:$K$483)</f>
        <v>0</v>
      </c>
      <c r="Z15" s="124">
        <f>SUMIFS(Data_raw!$K$2:$K$483,Data_raw!$F$2:$F$483,MP_T_Mata!Z$1,Data_raw!$A$2:$A$483,MP_T_Mata!$A15) / SUMIF(Data_raw!$A$2:$A$483,MP_T_Mata!$A15,Data_raw!$K$2:$K$483)</f>
        <v>0</v>
      </c>
      <c r="AA15" s="124">
        <f>SUMIFS(Data_raw!$K$2:$K$483,Data_raw!$F$2:$F$483,MP_T_Mata!AA$1,Data_raw!$A$2:$A$483,MP_T_Mata!$A15) / SUMIF(Data_raw!$A$2:$A$483,MP_T_Mata!$A15,Data_raw!$K$2:$K$483)</f>
        <v>0.2112211221</v>
      </c>
      <c r="AB15" s="124">
        <f>SUMIFS(Data_raw!$K$2:$K$483,Data_raw!$F$2:$F$483,MP_T_Mata!AB$1,Data_raw!$A$2:$A$483,MP_T_Mata!$A15) / SUMIF(Data_raw!$A$2:$A$483,MP_T_Mata!$A15,Data_raw!$K$2:$K$483)</f>
        <v>0</v>
      </c>
    </row>
    <row r="16">
      <c r="A16" s="63" t="str">
        <f>IFERROR(__xludf.DUMMYFUNCTION("""COMPUTED_VALUE"""),"Proceratophrys boiei")</f>
        <v>Proceratophrys boiei</v>
      </c>
      <c r="B16" s="124">
        <f>SUMIFS(Data_raw!$K$2:$K$483,Data_raw!$F$2:$F$483,MP_T_Mata!B$1,Data_raw!$A$2:$A$483,MP_T_Mata!$A16) / SUMIF(Data_raw!$A$2:$A$483,MP_T_Mata!$A16,Data_raw!$K$2:$K$483)</f>
        <v>0.0002259887006</v>
      </c>
      <c r="C16" s="124">
        <f>SUMIFS(Data_raw!$K$2:$K$483,Data_raw!$F$2:$F$483,MP_T_Mata!C$1,Data_raw!$A$2:$A$483,MP_T_Mata!$A16) / SUMIF(Data_raw!$A$2:$A$483,MP_T_Mata!$A16,Data_raw!$K$2:$K$483)</f>
        <v>0</v>
      </c>
      <c r="D16" s="124">
        <f>SUMIFS(Data_raw!$K$2:$K$483,Data_raw!$F$2:$F$483,MP_T_Mata!D$1,Data_raw!$A$2:$A$483,MP_T_Mata!$A16) / SUMIF(Data_raw!$A$2:$A$483,MP_T_Mata!$A16,Data_raw!$K$2:$K$483)</f>
        <v>0</v>
      </c>
      <c r="E16" s="124">
        <f>SUMIFS(Data_raw!$K$2:$K$483,Data_raw!$F$2:$F$483,MP_T_Mata!E$1,Data_raw!$A$2:$A$483,MP_T_Mata!$A16) / SUMIF(Data_raw!$A$2:$A$483,MP_T_Mata!$A16,Data_raw!$K$2:$K$483)</f>
        <v>0</v>
      </c>
      <c r="F16" s="124">
        <f>SUMIFS(Data_raw!$K$2:$K$483,Data_raw!$F$2:$F$483,MP_T_Mata!F$1,Data_raw!$A$2:$A$483,MP_T_Mata!$A16) / SUMIF(Data_raw!$A$2:$A$483,MP_T_Mata!$A16,Data_raw!$K$2:$K$483)</f>
        <v>0</v>
      </c>
      <c r="G16" s="124">
        <f>SUMIFS(Data_raw!$K$2:$K$483,Data_raw!$F$2:$F$483,MP_T_Mata!G$1,Data_raw!$A$2:$A$483,MP_T_Mata!$A16) / SUMIF(Data_raw!$A$2:$A$483,MP_T_Mata!$A16,Data_raw!$K$2:$K$483)</f>
        <v>0.0009039548023</v>
      </c>
      <c r="H16" s="124">
        <f>SUMIFS(Data_raw!$K$2:$K$483,Data_raw!$F$2:$F$483,MP_T_Mata!H$1,Data_raw!$A$2:$A$483,MP_T_Mata!$A16) / SUMIF(Data_raw!$A$2:$A$483,MP_T_Mata!$A16,Data_raw!$K$2:$K$483)</f>
        <v>0.8666666667</v>
      </c>
      <c r="I16" s="124">
        <f>SUMIFS(Data_raw!$K$2:$K$483,Data_raw!$F$2:$F$483,MP_T_Mata!I$1,Data_raw!$A$2:$A$483,MP_T_Mata!$A16) / SUMIF(Data_raw!$A$2:$A$483,MP_T_Mata!$A16,Data_raw!$K$2:$K$483)</f>
        <v>0</v>
      </c>
      <c r="J16" s="124">
        <f>SUMIFS(Data_raw!$K$2:$K$483,Data_raw!$F$2:$F$483,MP_T_Mata!J$1,Data_raw!$A$2:$A$483,MP_T_Mata!$A16) / SUMIF(Data_raw!$A$2:$A$483,MP_T_Mata!$A16,Data_raw!$K$2:$K$483)</f>
        <v>0</v>
      </c>
      <c r="K16" s="124">
        <f>SUMIFS(Data_raw!$K$2:$K$483,Data_raw!$F$2:$F$483,MP_T_Mata!K$1,Data_raw!$A$2:$A$483,MP_T_Mata!$A16) / SUMIF(Data_raw!$A$2:$A$483,MP_T_Mata!$A16,Data_raw!$K$2:$K$483)</f>
        <v>0</v>
      </c>
      <c r="L16" s="124">
        <f>SUMIFS(Data_raw!$K$2:$K$483,Data_raw!$F$2:$F$483,MP_T_Mata!L$1,Data_raw!$A$2:$A$483,MP_T_Mata!$A16) / SUMIF(Data_raw!$A$2:$A$483,MP_T_Mata!$A16,Data_raw!$K$2:$K$483)</f>
        <v>0.001129943503</v>
      </c>
      <c r="M16" s="124">
        <f>SUMIFS(Data_raw!$K$2:$K$483,Data_raw!$F$2:$F$483,MP_T_Mata!M$1,Data_raw!$A$2:$A$483,MP_T_Mata!$A16) / SUMIF(Data_raw!$A$2:$A$483,MP_T_Mata!$A16,Data_raw!$K$2:$K$483)</f>
        <v>0.1107344633</v>
      </c>
      <c r="N16" s="124">
        <f>SUMIFS(Data_raw!$K$2:$K$483,Data_raw!$F$2:$F$483,MP_T_Mata!N$1,Data_raw!$A$2:$A$483,MP_T_Mata!$A16) / SUMIF(Data_raw!$A$2:$A$483,MP_T_Mata!$A16,Data_raw!$K$2:$K$483)</f>
        <v>0</v>
      </c>
      <c r="O16" s="124">
        <f>SUMIFS(Data_raw!$K$2:$K$483,Data_raw!$F$2:$F$483,MP_T_Mata!O$1,Data_raw!$A$2:$A$483,MP_T_Mata!$A16) / SUMIF(Data_raw!$A$2:$A$483,MP_T_Mata!$A16,Data_raw!$K$2:$K$483)</f>
        <v>0</v>
      </c>
      <c r="P16" s="124">
        <f>SUMIFS(Data_raw!$K$2:$K$483,Data_raw!$F$2:$F$483,MP_T_Mata!P$1,Data_raw!$A$2:$A$483,MP_T_Mata!$A16) / SUMIF(Data_raw!$A$2:$A$483,MP_T_Mata!$A16,Data_raw!$K$2:$K$483)</f>
        <v>0</v>
      </c>
      <c r="Q16" s="124">
        <f>SUMIFS(Data_raw!$K$2:$K$483,Data_raw!$F$2:$F$483,MP_T_Mata!Q$1,Data_raw!$A$2:$A$483,MP_T_Mata!$A16) / SUMIF(Data_raw!$A$2:$A$483,MP_T_Mata!$A16,Data_raw!$K$2:$K$483)</f>
        <v>0</v>
      </c>
      <c r="R16" s="124">
        <f>SUMIFS(Data_raw!$K$2:$K$483,Data_raw!$F$2:$F$483,MP_T_Mata!R$1,Data_raw!$A$2:$A$483,MP_T_Mata!$A16) / SUMIF(Data_raw!$A$2:$A$483,MP_T_Mata!$A16,Data_raw!$K$2:$K$483)</f>
        <v>0.00406779661</v>
      </c>
      <c r="S16" s="124">
        <f>SUMIFS(Data_raw!$K$2:$K$483,Data_raw!$F$2:$F$483,MP_T_Mata!S$1,Data_raw!$A$2:$A$483,MP_T_Mata!$A16) / SUMIF(Data_raw!$A$2:$A$483,MP_T_Mata!$A16,Data_raw!$K$2:$K$483)</f>
        <v>0</v>
      </c>
      <c r="T16" s="124">
        <f>SUMIFS(Data_raw!$K$2:$K$483,Data_raw!$F$2:$F$483,MP_T_Mata!T$1,Data_raw!$A$2:$A$483,MP_T_Mata!$A16) / SUMIF(Data_raw!$A$2:$A$483,MP_T_Mata!$A16,Data_raw!$K$2:$K$483)</f>
        <v>0</v>
      </c>
      <c r="U16" s="124">
        <f>SUMIFS(Data_raw!$K$2:$K$483,Data_raw!$F$2:$F$483,MP_T_Mata!U$1,Data_raw!$A$2:$A$483,MP_T_Mata!$A16) / SUMIF(Data_raw!$A$2:$A$483,MP_T_Mata!$A16,Data_raw!$K$2:$K$483)</f>
        <v>0</v>
      </c>
      <c r="V16" s="124">
        <f>SUMIFS(Data_raw!$K$2:$K$483,Data_raw!$F$2:$F$483,MP_T_Mata!V$1,Data_raw!$A$2:$A$483,MP_T_Mata!$A16) / SUMIF(Data_raw!$A$2:$A$483,MP_T_Mata!$A16,Data_raw!$K$2:$K$483)</f>
        <v>0</v>
      </c>
      <c r="W16" s="124">
        <f>SUMIFS(Data_raw!$K$2:$K$483,Data_raw!$F$2:$F$483,MP_T_Mata!W$1,Data_raw!$A$2:$A$483,MP_T_Mata!$A16) / SUMIF(Data_raw!$A$2:$A$483,MP_T_Mata!$A16,Data_raw!$K$2:$K$483)</f>
        <v>0</v>
      </c>
      <c r="X16" s="124">
        <f>SUMIFS(Data_raw!$K$2:$K$483,Data_raw!$F$2:$F$483,MP_T_Mata!X$1,Data_raw!$A$2:$A$483,MP_T_Mata!$A16) / SUMIF(Data_raw!$A$2:$A$483,MP_T_Mata!$A16,Data_raw!$K$2:$K$483)</f>
        <v>0</v>
      </c>
      <c r="Y16" s="124">
        <f>SUMIFS(Data_raw!$K$2:$K$483,Data_raw!$F$2:$F$483,MP_T_Mata!Y$1,Data_raw!$A$2:$A$483,MP_T_Mata!$A16) / SUMIF(Data_raw!$A$2:$A$483,MP_T_Mata!$A16,Data_raw!$K$2:$K$483)</f>
        <v>0</v>
      </c>
      <c r="Z16" s="124">
        <f>SUMIFS(Data_raw!$K$2:$K$483,Data_raw!$F$2:$F$483,MP_T_Mata!Z$1,Data_raw!$A$2:$A$483,MP_T_Mata!$A16) / SUMIF(Data_raw!$A$2:$A$483,MP_T_Mata!$A16,Data_raw!$K$2:$K$483)</f>
        <v>0</v>
      </c>
      <c r="AA16" s="124">
        <f>SUMIFS(Data_raw!$K$2:$K$483,Data_raw!$F$2:$F$483,MP_T_Mata!AA$1,Data_raw!$A$2:$A$483,MP_T_Mata!$A16) / SUMIF(Data_raw!$A$2:$A$483,MP_T_Mata!$A16,Data_raw!$K$2:$K$483)</f>
        <v>0.01627118644</v>
      </c>
      <c r="AB16" s="124">
        <f>SUMIFS(Data_raw!$K$2:$K$483,Data_raw!$F$2:$F$483,MP_T_Mata!AB$1,Data_raw!$A$2:$A$483,MP_T_Mata!$A16) / SUMIF(Data_raw!$A$2:$A$483,MP_T_Mata!$A16,Data_raw!$K$2:$K$483)</f>
        <v>0</v>
      </c>
    </row>
    <row r="17">
      <c r="A17" s="63" t="str">
        <f>IFERROR(__xludf.DUMMYFUNCTION("""COMPUTED_VALUE"""),"Proceratophrys itamari")</f>
        <v>Proceratophrys itamari</v>
      </c>
      <c r="B17" s="124">
        <f>SUMIFS(Data_raw!$K$2:$K$483,Data_raw!$F$2:$F$483,MP_T_Mata!B$1,Data_raw!$A$2:$A$483,MP_T_Mata!$A17) / SUMIF(Data_raw!$A$2:$A$483,MP_T_Mata!$A17,Data_raw!$K$2:$K$483)</f>
        <v>0</v>
      </c>
      <c r="C17" s="124">
        <f>SUMIFS(Data_raw!$K$2:$K$483,Data_raw!$F$2:$F$483,MP_T_Mata!C$1,Data_raw!$A$2:$A$483,MP_T_Mata!$A17) / SUMIF(Data_raw!$A$2:$A$483,MP_T_Mata!$A17,Data_raw!$K$2:$K$483)</f>
        <v>0</v>
      </c>
      <c r="D17" s="124">
        <f>SUMIFS(Data_raw!$K$2:$K$483,Data_raw!$F$2:$F$483,MP_T_Mata!D$1,Data_raw!$A$2:$A$483,MP_T_Mata!$A17) / SUMIF(Data_raw!$A$2:$A$483,MP_T_Mata!$A17,Data_raw!$K$2:$K$483)</f>
        <v>0.170212766</v>
      </c>
      <c r="E17" s="124">
        <f>SUMIFS(Data_raw!$K$2:$K$483,Data_raw!$F$2:$F$483,MP_T_Mata!E$1,Data_raw!$A$2:$A$483,MP_T_Mata!$A17) / SUMIF(Data_raw!$A$2:$A$483,MP_T_Mata!$A17,Data_raw!$K$2:$K$483)</f>
        <v>0</v>
      </c>
      <c r="F17" s="124">
        <f>SUMIFS(Data_raw!$K$2:$K$483,Data_raw!$F$2:$F$483,MP_T_Mata!F$1,Data_raw!$A$2:$A$483,MP_T_Mata!$A17) / SUMIF(Data_raw!$A$2:$A$483,MP_T_Mata!$A17,Data_raw!$K$2:$K$483)</f>
        <v>0</v>
      </c>
      <c r="G17" s="124">
        <f>SUMIFS(Data_raw!$K$2:$K$483,Data_raw!$F$2:$F$483,MP_T_Mata!G$1,Data_raw!$A$2:$A$483,MP_T_Mata!$A17) / SUMIF(Data_raw!$A$2:$A$483,MP_T_Mata!$A17,Data_raw!$K$2:$K$483)</f>
        <v>0</v>
      </c>
      <c r="H17" s="124">
        <f>SUMIFS(Data_raw!$K$2:$K$483,Data_raw!$F$2:$F$483,MP_T_Mata!H$1,Data_raw!$A$2:$A$483,MP_T_Mata!$A17) / SUMIF(Data_raw!$A$2:$A$483,MP_T_Mata!$A17,Data_raw!$K$2:$K$483)</f>
        <v>0.1985815603</v>
      </c>
      <c r="I17" s="124">
        <f>SUMIFS(Data_raw!$K$2:$K$483,Data_raw!$F$2:$F$483,MP_T_Mata!I$1,Data_raw!$A$2:$A$483,MP_T_Mata!$A17) / SUMIF(Data_raw!$A$2:$A$483,MP_T_Mata!$A17,Data_raw!$K$2:$K$483)</f>
        <v>0</v>
      </c>
      <c r="J17" s="124">
        <f>SUMIFS(Data_raw!$K$2:$K$483,Data_raw!$F$2:$F$483,MP_T_Mata!J$1,Data_raw!$A$2:$A$483,MP_T_Mata!$A17) / SUMIF(Data_raw!$A$2:$A$483,MP_T_Mata!$A17,Data_raw!$K$2:$K$483)</f>
        <v>0</v>
      </c>
      <c r="K17" s="124">
        <f>SUMIFS(Data_raw!$K$2:$K$483,Data_raw!$F$2:$F$483,MP_T_Mata!K$1,Data_raw!$A$2:$A$483,MP_T_Mata!$A17) / SUMIF(Data_raw!$A$2:$A$483,MP_T_Mata!$A17,Data_raw!$K$2:$K$483)</f>
        <v>0</v>
      </c>
      <c r="L17" s="124">
        <f>SUMIFS(Data_raw!$K$2:$K$483,Data_raw!$F$2:$F$483,MP_T_Mata!L$1,Data_raw!$A$2:$A$483,MP_T_Mata!$A17) / SUMIF(Data_raw!$A$2:$A$483,MP_T_Mata!$A17,Data_raw!$K$2:$K$483)</f>
        <v>0</v>
      </c>
      <c r="M17" s="124">
        <f>SUMIFS(Data_raw!$K$2:$K$483,Data_raw!$F$2:$F$483,MP_T_Mata!M$1,Data_raw!$A$2:$A$483,MP_T_Mata!$A17) / SUMIF(Data_raw!$A$2:$A$483,MP_T_Mata!$A17,Data_raw!$K$2:$K$483)</f>
        <v>0</v>
      </c>
      <c r="N17" s="124">
        <f>SUMIFS(Data_raw!$K$2:$K$483,Data_raw!$F$2:$F$483,MP_T_Mata!N$1,Data_raw!$A$2:$A$483,MP_T_Mata!$A17) / SUMIF(Data_raw!$A$2:$A$483,MP_T_Mata!$A17,Data_raw!$K$2:$K$483)</f>
        <v>0</v>
      </c>
      <c r="O17" s="124">
        <f>SUMIFS(Data_raw!$K$2:$K$483,Data_raw!$F$2:$F$483,MP_T_Mata!O$1,Data_raw!$A$2:$A$483,MP_T_Mata!$A17) / SUMIF(Data_raw!$A$2:$A$483,MP_T_Mata!$A17,Data_raw!$K$2:$K$483)</f>
        <v>0</v>
      </c>
      <c r="P17" s="124">
        <f>SUMIFS(Data_raw!$K$2:$K$483,Data_raw!$F$2:$F$483,MP_T_Mata!P$1,Data_raw!$A$2:$A$483,MP_T_Mata!$A17) / SUMIF(Data_raw!$A$2:$A$483,MP_T_Mata!$A17,Data_raw!$K$2:$K$483)</f>
        <v>0.1418439716</v>
      </c>
      <c r="Q17" s="124">
        <f>SUMIFS(Data_raw!$K$2:$K$483,Data_raw!$F$2:$F$483,MP_T_Mata!Q$1,Data_raw!$A$2:$A$483,MP_T_Mata!$A17) / SUMIF(Data_raw!$A$2:$A$483,MP_T_Mata!$A17,Data_raw!$K$2:$K$483)</f>
        <v>0</v>
      </c>
      <c r="R17" s="124">
        <f>SUMIFS(Data_raw!$K$2:$K$483,Data_raw!$F$2:$F$483,MP_T_Mata!R$1,Data_raw!$A$2:$A$483,MP_T_Mata!$A17) / SUMIF(Data_raw!$A$2:$A$483,MP_T_Mata!$A17,Data_raw!$K$2:$K$483)</f>
        <v>0.4893617021</v>
      </c>
      <c r="S17" s="124">
        <f>SUMIFS(Data_raw!$K$2:$K$483,Data_raw!$F$2:$F$483,MP_T_Mata!S$1,Data_raw!$A$2:$A$483,MP_T_Mata!$A17) / SUMIF(Data_raw!$A$2:$A$483,MP_T_Mata!$A17,Data_raw!$K$2:$K$483)</f>
        <v>0</v>
      </c>
      <c r="T17" s="124">
        <f>SUMIFS(Data_raw!$K$2:$K$483,Data_raw!$F$2:$F$483,MP_T_Mata!T$1,Data_raw!$A$2:$A$483,MP_T_Mata!$A17) / SUMIF(Data_raw!$A$2:$A$483,MP_T_Mata!$A17,Data_raw!$K$2:$K$483)</f>
        <v>0</v>
      </c>
      <c r="U17" s="124">
        <f>SUMIFS(Data_raw!$K$2:$K$483,Data_raw!$F$2:$F$483,MP_T_Mata!U$1,Data_raw!$A$2:$A$483,MP_T_Mata!$A17) / SUMIF(Data_raw!$A$2:$A$483,MP_T_Mata!$A17,Data_raw!$K$2:$K$483)</f>
        <v>0</v>
      </c>
      <c r="V17" s="124">
        <f>SUMIFS(Data_raw!$K$2:$K$483,Data_raw!$F$2:$F$483,MP_T_Mata!V$1,Data_raw!$A$2:$A$483,MP_T_Mata!$A17) / SUMIF(Data_raw!$A$2:$A$483,MP_T_Mata!$A17,Data_raw!$K$2:$K$483)</f>
        <v>0</v>
      </c>
      <c r="W17" s="124">
        <f>SUMIFS(Data_raw!$K$2:$K$483,Data_raw!$F$2:$F$483,MP_T_Mata!W$1,Data_raw!$A$2:$A$483,MP_T_Mata!$A17) / SUMIF(Data_raw!$A$2:$A$483,MP_T_Mata!$A17,Data_raw!$K$2:$K$483)</f>
        <v>0</v>
      </c>
      <c r="X17" s="124">
        <f>SUMIFS(Data_raw!$K$2:$K$483,Data_raw!$F$2:$F$483,MP_T_Mata!X$1,Data_raw!$A$2:$A$483,MP_T_Mata!$A17) / SUMIF(Data_raw!$A$2:$A$483,MP_T_Mata!$A17,Data_raw!$K$2:$K$483)</f>
        <v>0</v>
      </c>
      <c r="Y17" s="124">
        <f>SUMIFS(Data_raw!$K$2:$K$483,Data_raw!$F$2:$F$483,MP_T_Mata!Y$1,Data_raw!$A$2:$A$483,MP_T_Mata!$A17) / SUMIF(Data_raw!$A$2:$A$483,MP_T_Mata!$A17,Data_raw!$K$2:$K$483)</f>
        <v>0</v>
      </c>
      <c r="Z17" s="124">
        <f>SUMIFS(Data_raw!$K$2:$K$483,Data_raw!$F$2:$F$483,MP_T_Mata!Z$1,Data_raw!$A$2:$A$483,MP_T_Mata!$A17) / SUMIF(Data_raw!$A$2:$A$483,MP_T_Mata!$A17,Data_raw!$K$2:$K$483)</f>
        <v>0</v>
      </c>
      <c r="AA17" s="124">
        <f>SUMIFS(Data_raw!$K$2:$K$483,Data_raw!$F$2:$F$483,MP_T_Mata!AA$1,Data_raw!$A$2:$A$483,MP_T_Mata!$A17) / SUMIF(Data_raw!$A$2:$A$483,MP_T_Mata!$A17,Data_raw!$K$2:$K$483)</f>
        <v>0</v>
      </c>
      <c r="AB17" s="124">
        <f>SUMIFS(Data_raw!$K$2:$K$483,Data_raw!$F$2:$F$483,MP_T_Mata!AB$1,Data_raw!$A$2:$A$483,MP_T_Mata!$A17) / SUMIF(Data_raw!$A$2:$A$483,MP_T_Mata!$A17,Data_raw!$K$2:$K$483)</f>
        <v>0</v>
      </c>
    </row>
    <row r="18">
      <c r="A18" s="63" t="str">
        <f>IFERROR(__xludf.DUMMYFUNCTION("""COMPUTED_VALUE"""),"Rhinella icterica")</f>
        <v>Rhinella icterica</v>
      </c>
      <c r="B18" s="124">
        <f>SUMIFS(Data_raw!$K$2:$K$483,Data_raw!$F$2:$F$483,MP_T_Mata!B$1,Data_raw!$A$2:$A$483,MP_T_Mata!$A18) / SUMIF(Data_raw!$A$2:$A$483,MP_T_Mata!$A18,Data_raw!$K$2:$K$483)</f>
        <v>0</v>
      </c>
      <c r="C18" s="124">
        <f>SUMIFS(Data_raw!$K$2:$K$483,Data_raw!$F$2:$F$483,MP_T_Mata!C$1,Data_raw!$A$2:$A$483,MP_T_Mata!$A18) / SUMIF(Data_raw!$A$2:$A$483,MP_T_Mata!$A18,Data_raw!$K$2:$K$483)</f>
        <v>0</v>
      </c>
      <c r="D18" s="124">
        <f>SUMIFS(Data_raw!$K$2:$K$483,Data_raw!$F$2:$F$483,MP_T_Mata!D$1,Data_raw!$A$2:$A$483,MP_T_Mata!$A18) / SUMIF(Data_raw!$A$2:$A$483,MP_T_Mata!$A18,Data_raw!$K$2:$K$483)</f>
        <v>0</v>
      </c>
      <c r="E18" s="124">
        <f>SUMIFS(Data_raw!$K$2:$K$483,Data_raw!$F$2:$F$483,MP_T_Mata!E$1,Data_raw!$A$2:$A$483,MP_T_Mata!$A18) / SUMIF(Data_raw!$A$2:$A$483,MP_T_Mata!$A18,Data_raw!$K$2:$K$483)</f>
        <v>0</v>
      </c>
      <c r="F18" s="124">
        <f>SUMIFS(Data_raw!$K$2:$K$483,Data_raw!$F$2:$F$483,MP_T_Mata!F$1,Data_raw!$A$2:$A$483,MP_T_Mata!$A18) / SUMIF(Data_raw!$A$2:$A$483,MP_T_Mata!$A18,Data_raw!$K$2:$K$483)</f>
        <v>0</v>
      </c>
      <c r="G18" s="124">
        <f>SUMIFS(Data_raw!$K$2:$K$483,Data_raw!$F$2:$F$483,MP_T_Mata!G$1,Data_raw!$A$2:$A$483,MP_T_Mata!$A18) / SUMIF(Data_raw!$A$2:$A$483,MP_T_Mata!$A18,Data_raw!$K$2:$K$483)</f>
        <v>0</v>
      </c>
      <c r="H18" s="124">
        <f>SUMIFS(Data_raw!$K$2:$K$483,Data_raw!$F$2:$F$483,MP_T_Mata!H$1,Data_raw!$A$2:$A$483,MP_T_Mata!$A18) / SUMIF(Data_raw!$A$2:$A$483,MP_T_Mata!$A18,Data_raw!$K$2:$K$483)</f>
        <v>0.9169876537</v>
      </c>
      <c r="I18" s="124">
        <f>SUMIFS(Data_raw!$K$2:$K$483,Data_raw!$F$2:$F$483,MP_T_Mata!I$1,Data_raw!$A$2:$A$483,MP_T_Mata!$A18) / SUMIF(Data_raw!$A$2:$A$483,MP_T_Mata!$A18,Data_raw!$K$2:$K$483)</f>
        <v>0.002238406204</v>
      </c>
      <c r="J18" s="124">
        <f>SUMIFS(Data_raw!$K$2:$K$483,Data_raw!$F$2:$F$483,MP_T_Mata!J$1,Data_raw!$A$2:$A$483,MP_T_Mata!$A18) / SUMIF(Data_raw!$A$2:$A$483,MP_T_Mata!$A18,Data_raw!$K$2:$K$483)</f>
        <v>0</v>
      </c>
      <c r="K18" s="124">
        <f>SUMIFS(Data_raw!$K$2:$K$483,Data_raw!$F$2:$F$483,MP_T_Mata!K$1,Data_raw!$A$2:$A$483,MP_T_Mata!$A18) / SUMIF(Data_raw!$A$2:$A$483,MP_T_Mata!$A18,Data_raw!$K$2:$K$483)</f>
        <v>0.003010050508</v>
      </c>
      <c r="L18" s="124">
        <f>SUMIFS(Data_raw!$K$2:$K$483,Data_raw!$F$2:$F$483,MP_T_Mata!L$1,Data_raw!$A$2:$A$483,MP_T_Mata!$A18) / SUMIF(Data_raw!$A$2:$A$483,MP_T_Mata!$A18,Data_raw!$K$2:$K$483)</f>
        <v>0.03904137544</v>
      </c>
      <c r="M18" s="124">
        <f>SUMIFS(Data_raw!$K$2:$K$483,Data_raw!$F$2:$F$483,MP_T_Mata!M$1,Data_raw!$A$2:$A$483,MP_T_Mata!$A18) / SUMIF(Data_raw!$A$2:$A$483,MP_T_Mata!$A18,Data_raw!$K$2:$K$483)</f>
        <v>0</v>
      </c>
      <c r="N18" s="124">
        <f>SUMIFS(Data_raw!$K$2:$K$483,Data_raw!$F$2:$F$483,MP_T_Mata!N$1,Data_raw!$A$2:$A$483,MP_T_Mata!$A18) / SUMIF(Data_raw!$A$2:$A$483,MP_T_Mata!$A18,Data_raw!$K$2:$K$483)</f>
        <v>0.006268812816</v>
      </c>
      <c r="O18" s="124">
        <f>SUMIFS(Data_raw!$K$2:$K$483,Data_raw!$F$2:$F$483,MP_T_Mata!O$1,Data_raw!$A$2:$A$483,MP_T_Mata!$A18) / SUMIF(Data_raw!$A$2:$A$483,MP_T_Mata!$A18,Data_raw!$K$2:$K$483)</f>
        <v>0</v>
      </c>
      <c r="P18" s="124">
        <f>SUMIFS(Data_raw!$K$2:$K$483,Data_raw!$F$2:$F$483,MP_T_Mata!P$1,Data_raw!$A$2:$A$483,MP_T_Mata!$A18) / SUMIF(Data_raw!$A$2:$A$483,MP_T_Mata!$A18,Data_raw!$K$2:$K$483)</f>
        <v>0.004132442222</v>
      </c>
      <c r="Q18" s="124">
        <f>SUMIFS(Data_raw!$K$2:$K$483,Data_raw!$F$2:$F$483,MP_T_Mata!Q$1,Data_raw!$A$2:$A$483,MP_T_Mata!$A18) / SUMIF(Data_raw!$A$2:$A$483,MP_T_Mata!$A18,Data_raw!$K$2:$K$483)</f>
        <v>0</v>
      </c>
      <c r="R18" s="124">
        <f>SUMIFS(Data_raw!$K$2:$K$483,Data_raw!$F$2:$F$483,MP_T_Mata!R$1,Data_raw!$A$2:$A$483,MP_T_Mata!$A18) / SUMIF(Data_raw!$A$2:$A$483,MP_T_Mata!$A18,Data_raw!$K$2:$K$483)</f>
        <v>0.0001721850926</v>
      </c>
      <c r="S18" s="124">
        <f>SUMIFS(Data_raw!$K$2:$K$483,Data_raw!$F$2:$F$483,MP_T_Mata!S$1,Data_raw!$A$2:$A$483,MP_T_Mata!$A18) / SUMIF(Data_raw!$A$2:$A$483,MP_T_Mata!$A18,Data_raw!$K$2:$K$483)</f>
        <v>0</v>
      </c>
      <c r="T18" s="124">
        <f>SUMIFS(Data_raw!$K$2:$K$483,Data_raw!$F$2:$F$483,MP_T_Mata!T$1,Data_raw!$A$2:$A$483,MP_T_Mata!$A18) / SUMIF(Data_raw!$A$2:$A$483,MP_T_Mata!$A18,Data_raw!$K$2:$K$483)</f>
        <v>0.0002550890261</v>
      </c>
      <c r="U18" s="124">
        <f>SUMIFS(Data_raw!$K$2:$K$483,Data_raw!$F$2:$F$483,MP_T_Mata!U$1,Data_raw!$A$2:$A$483,MP_T_Mata!$A18) / SUMIF(Data_raw!$A$2:$A$483,MP_T_Mata!$A18,Data_raw!$K$2:$K$483)</f>
        <v>0.003061068313</v>
      </c>
      <c r="V18" s="124">
        <f>SUMIFS(Data_raw!$K$2:$K$483,Data_raw!$F$2:$F$483,MP_T_Mata!V$1,Data_raw!$A$2:$A$483,MP_T_Mata!$A18) / SUMIF(Data_raw!$A$2:$A$483,MP_T_Mata!$A18,Data_raw!$K$2:$K$483)</f>
        <v>0</v>
      </c>
      <c r="W18" s="124">
        <f>SUMIFS(Data_raw!$K$2:$K$483,Data_raw!$F$2:$F$483,MP_T_Mata!W$1,Data_raw!$A$2:$A$483,MP_T_Mata!$A18) / SUMIF(Data_raw!$A$2:$A$483,MP_T_Mata!$A18,Data_raw!$K$2:$K$483)</f>
        <v>0</v>
      </c>
      <c r="X18" s="124">
        <f>SUMIFS(Data_raw!$K$2:$K$483,Data_raw!$F$2:$F$483,MP_T_Mata!X$1,Data_raw!$A$2:$A$483,MP_T_Mata!$A18) / SUMIF(Data_raw!$A$2:$A$483,MP_T_Mata!$A18,Data_raw!$K$2:$K$483)</f>
        <v>0.02314932912</v>
      </c>
      <c r="Y18" s="124">
        <f>SUMIFS(Data_raw!$K$2:$K$483,Data_raw!$F$2:$F$483,MP_T_Mata!Y$1,Data_raw!$A$2:$A$483,MP_T_Mata!$A18) / SUMIF(Data_raw!$A$2:$A$483,MP_T_Mata!$A18,Data_raw!$K$2:$K$483)</f>
        <v>0</v>
      </c>
      <c r="Z18" s="124">
        <f>SUMIFS(Data_raw!$K$2:$K$483,Data_raw!$F$2:$F$483,MP_T_Mata!Z$1,Data_raw!$A$2:$A$483,MP_T_Mata!$A18) / SUMIF(Data_raw!$A$2:$A$483,MP_T_Mata!$A18,Data_raw!$K$2:$K$483)</f>
        <v>0</v>
      </c>
      <c r="AA18" s="124">
        <f>SUMIFS(Data_raw!$K$2:$K$483,Data_raw!$F$2:$F$483,MP_T_Mata!AA$1,Data_raw!$A$2:$A$483,MP_T_Mata!$A18) / SUMIF(Data_raw!$A$2:$A$483,MP_T_Mata!$A18,Data_raw!$K$2:$K$483)</f>
        <v>0.001396612418</v>
      </c>
      <c r="AB18" s="124">
        <f>SUMIFS(Data_raw!$K$2:$K$483,Data_raw!$F$2:$F$483,MP_T_Mata!AB$1,Data_raw!$A$2:$A$483,MP_T_Mata!$A18) / SUMIF(Data_raw!$A$2:$A$483,MP_T_Mata!$A18,Data_raw!$K$2:$K$483)</f>
        <v>0</v>
      </c>
    </row>
    <row r="19">
      <c r="A19" s="63" t="str">
        <f>IFERROR(__xludf.DUMMYFUNCTION("""COMPUTED_VALUE"""),"Rhinella ornata")</f>
        <v>Rhinella ornata</v>
      </c>
      <c r="B19" s="124">
        <f>SUMIFS(Data_raw!$K$2:$K$483,Data_raw!$F$2:$F$483,MP_T_Mata!B$1,Data_raw!$A$2:$A$483,MP_T_Mata!$A19) / SUMIF(Data_raw!$A$2:$A$483,MP_T_Mata!$A19,Data_raw!$K$2:$K$483)</f>
        <v>0</v>
      </c>
      <c r="C19" s="124">
        <f>SUMIFS(Data_raw!$K$2:$K$483,Data_raw!$F$2:$F$483,MP_T_Mata!C$1,Data_raw!$A$2:$A$483,MP_T_Mata!$A19) / SUMIF(Data_raw!$A$2:$A$483,MP_T_Mata!$A19,Data_raw!$K$2:$K$483)</f>
        <v>0</v>
      </c>
      <c r="D19" s="124">
        <f>SUMIFS(Data_raw!$K$2:$K$483,Data_raw!$F$2:$F$483,MP_T_Mata!D$1,Data_raw!$A$2:$A$483,MP_T_Mata!$A19) / SUMIF(Data_raw!$A$2:$A$483,MP_T_Mata!$A19,Data_raw!$K$2:$K$483)</f>
        <v>0</v>
      </c>
      <c r="E19" s="124">
        <f>SUMIFS(Data_raw!$K$2:$K$483,Data_raw!$F$2:$F$483,MP_T_Mata!E$1,Data_raw!$A$2:$A$483,MP_T_Mata!$A19) / SUMIF(Data_raw!$A$2:$A$483,MP_T_Mata!$A19,Data_raw!$K$2:$K$483)</f>
        <v>0</v>
      </c>
      <c r="F19" s="124">
        <f>SUMIFS(Data_raw!$K$2:$K$483,Data_raw!$F$2:$F$483,MP_T_Mata!F$1,Data_raw!$A$2:$A$483,MP_T_Mata!$A19) / SUMIF(Data_raw!$A$2:$A$483,MP_T_Mata!$A19,Data_raw!$K$2:$K$483)</f>
        <v>0</v>
      </c>
      <c r="G19" s="124">
        <f>SUMIFS(Data_raw!$K$2:$K$483,Data_raw!$F$2:$F$483,MP_T_Mata!G$1,Data_raw!$A$2:$A$483,MP_T_Mata!$A19) / SUMIF(Data_raw!$A$2:$A$483,MP_T_Mata!$A19,Data_raw!$K$2:$K$483)</f>
        <v>0</v>
      </c>
      <c r="H19" s="124">
        <f>SUMIFS(Data_raw!$K$2:$K$483,Data_raw!$F$2:$F$483,MP_T_Mata!H$1,Data_raw!$A$2:$A$483,MP_T_Mata!$A19) / SUMIF(Data_raw!$A$2:$A$483,MP_T_Mata!$A19,Data_raw!$K$2:$K$483)</f>
        <v>0.420754717</v>
      </c>
      <c r="I19" s="124">
        <f>SUMIFS(Data_raw!$K$2:$K$483,Data_raw!$F$2:$F$483,MP_T_Mata!I$1,Data_raw!$A$2:$A$483,MP_T_Mata!$A19) / SUMIF(Data_raw!$A$2:$A$483,MP_T_Mata!$A19,Data_raw!$K$2:$K$483)</f>
        <v>0</v>
      </c>
      <c r="J19" s="124">
        <f>SUMIFS(Data_raw!$K$2:$K$483,Data_raw!$F$2:$F$483,MP_T_Mata!J$1,Data_raw!$A$2:$A$483,MP_T_Mata!$A19) / SUMIF(Data_raw!$A$2:$A$483,MP_T_Mata!$A19,Data_raw!$K$2:$K$483)</f>
        <v>0</v>
      </c>
      <c r="K19" s="124">
        <f>SUMIFS(Data_raw!$K$2:$K$483,Data_raw!$F$2:$F$483,MP_T_Mata!K$1,Data_raw!$A$2:$A$483,MP_T_Mata!$A19) / SUMIF(Data_raw!$A$2:$A$483,MP_T_Mata!$A19,Data_raw!$K$2:$K$483)</f>
        <v>0</v>
      </c>
      <c r="L19" s="124">
        <f>SUMIFS(Data_raw!$K$2:$K$483,Data_raw!$F$2:$F$483,MP_T_Mata!L$1,Data_raw!$A$2:$A$483,MP_T_Mata!$A19) / SUMIF(Data_raw!$A$2:$A$483,MP_T_Mata!$A19,Data_raw!$K$2:$K$483)</f>
        <v>0.1485849057</v>
      </c>
      <c r="M19" s="124">
        <f>SUMIFS(Data_raw!$K$2:$K$483,Data_raw!$F$2:$F$483,MP_T_Mata!M$1,Data_raw!$A$2:$A$483,MP_T_Mata!$A19) / SUMIF(Data_raw!$A$2:$A$483,MP_T_Mata!$A19,Data_raw!$K$2:$K$483)</f>
        <v>0</v>
      </c>
      <c r="N19" s="124">
        <f>SUMIFS(Data_raw!$K$2:$K$483,Data_raw!$F$2:$F$483,MP_T_Mata!N$1,Data_raw!$A$2:$A$483,MP_T_Mata!$A19) / SUMIF(Data_raw!$A$2:$A$483,MP_T_Mata!$A19,Data_raw!$K$2:$K$483)</f>
        <v>0.2721698113</v>
      </c>
      <c r="O19" s="124">
        <f>SUMIFS(Data_raw!$K$2:$K$483,Data_raw!$F$2:$F$483,MP_T_Mata!O$1,Data_raw!$A$2:$A$483,MP_T_Mata!$A19) / SUMIF(Data_raw!$A$2:$A$483,MP_T_Mata!$A19,Data_raw!$K$2:$K$483)</f>
        <v>0.141509434</v>
      </c>
      <c r="P19" s="124">
        <f>SUMIFS(Data_raw!$K$2:$K$483,Data_raw!$F$2:$F$483,MP_T_Mata!P$1,Data_raw!$A$2:$A$483,MP_T_Mata!$A19) / SUMIF(Data_raw!$A$2:$A$483,MP_T_Mata!$A19,Data_raw!$K$2:$K$483)</f>
        <v>0</v>
      </c>
      <c r="Q19" s="124">
        <f>SUMIFS(Data_raw!$K$2:$K$483,Data_raw!$F$2:$F$483,MP_T_Mata!Q$1,Data_raw!$A$2:$A$483,MP_T_Mata!$A19) / SUMIF(Data_raw!$A$2:$A$483,MP_T_Mata!$A19,Data_raw!$K$2:$K$483)</f>
        <v>0</v>
      </c>
      <c r="R19" s="124">
        <f>SUMIFS(Data_raw!$K$2:$K$483,Data_raw!$F$2:$F$483,MP_T_Mata!R$1,Data_raw!$A$2:$A$483,MP_T_Mata!$A19) / SUMIF(Data_raw!$A$2:$A$483,MP_T_Mata!$A19,Data_raw!$K$2:$K$483)</f>
        <v>0</v>
      </c>
      <c r="S19" s="124">
        <f>SUMIFS(Data_raw!$K$2:$K$483,Data_raw!$F$2:$F$483,MP_T_Mata!S$1,Data_raw!$A$2:$A$483,MP_T_Mata!$A19) / SUMIF(Data_raw!$A$2:$A$483,MP_T_Mata!$A19,Data_raw!$K$2:$K$483)</f>
        <v>0</v>
      </c>
      <c r="T19" s="124">
        <f>SUMIFS(Data_raw!$K$2:$K$483,Data_raw!$F$2:$F$483,MP_T_Mata!T$1,Data_raw!$A$2:$A$483,MP_T_Mata!$A19) / SUMIF(Data_raw!$A$2:$A$483,MP_T_Mata!$A19,Data_raw!$K$2:$K$483)</f>
        <v>0</v>
      </c>
      <c r="U19" s="124">
        <f>SUMIFS(Data_raw!$K$2:$K$483,Data_raw!$F$2:$F$483,MP_T_Mata!U$1,Data_raw!$A$2:$A$483,MP_T_Mata!$A19) / SUMIF(Data_raw!$A$2:$A$483,MP_T_Mata!$A19,Data_raw!$K$2:$K$483)</f>
        <v>0</v>
      </c>
      <c r="V19" s="124">
        <f>SUMIFS(Data_raw!$K$2:$K$483,Data_raw!$F$2:$F$483,MP_T_Mata!V$1,Data_raw!$A$2:$A$483,MP_T_Mata!$A19) / SUMIF(Data_raw!$A$2:$A$483,MP_T_Mata!$A19,Data_raw!$K$2:$K$483)</f>
        <v>0</v>
      </c>
      <c r="W19" s="124">
        <f>SUMIFS(Data_raw!$K$2:$K$483,Data_raw!$F$2:$F$483,MP_T_Mata!W$1,Data_raw!$A$2:$A$483,MP_T_Mata!$A19) / SUMIF(Data_raw!$A$2:$A$483,MP_T_Mata!$A19,Data_raw!$K$2:$K$483)</f>
        <v>0</v>
      </c>
      <c r="X19" s="124">
        <f>SUMIFS(Data_raw!$K$2:$K$483,Data_raw!$F$2:$F$483,MP_T_Mata!X$1,Data_raw!$A$2:$A$483,MP_T_Mata!$A19) / SUMIF(Data_raw!$A$2:$A$483,MP_T_Mata!$A19,Data_raw!$K$2:$K$483)</f>
        <v>0.01698113208</v>
      </c>
      <c r="Y19" s="124">
        <f>SUMIFS(Data_raw!$K$2:$K$483,Data_raw!$F$2:$F$483,MP_T_Mata!Y$1,Data_raw!$A$2:$A$483,MP_T_Mata!$A19) / SUMIF(Data_raw!$A$2:$A$483,MP_T_Mata!$A19,Data_raw!$K$2:$K$483)</f>
        <v>0</v>
      </c>
      <c r="Z19" s="124">
        <f>SUMIFS(Data_raw!$K$2:$K$483,Data_raw!$F$2:$F$483,MP_T_Mata!Z$1,Data_raw!$A$2:$A$483,MP_T_Mata!$A19) / SUMIF(Data_raw!$A$2:$A$483,MP_T_Mata!$A19,Data_raw!$K$2:$K$483)</f>
        <v>0</v>
      </c>
      <c r="AA19" s="124">
        <f>SUMIFS(Data_raw!$K$2:$K$483,Data_raw!$F$2:$F$483,MP_T_Mata!AA$1,Data_raw!$A$2:$A$483,MP_T_Mata!$A19) / SUMIF(Data_raw!$A$2:$A$483,MP_T_Mata!$A19,Data_raw!$K$2:$K$483)</f>
        <v>0</v>
      </c>
      <c r="AB19" s="124">
        <f>SUMIFS(Data_raw!$K$2:$K$483,Data_raw!$F$2:$F$483,MP_T_Mata!AB$1,Data_raw!$A$2:$A$483,MP_T_Mata!$A19) / SUMIF(Data_raw!$A$2:$A$483,MP_T_Mata!$A19,Data_raw!$K$2:$K$483)</f>
        <v>0</v>
      </c>
    </row>
    <row r="20">
      <c r="A20" s="63" t="str">
        <f>IFERROR(__xludf.DUMMYFUNCTION("""COMPUTED_VALUE"""),"Scinax aff. dolloi")</f>
        <v>Scinax aff. dolloi</v>
      </c>
      <c r="B20" s="124">
        <f>SUMIFS(Data_raw!$K$2:$K$483,Data_raw!$F$2:$F$483,MP_T_Mata!B$1,Data_raw!$A$2:$A$483,MP_T_Mata!$A20) / SUMIF(Data_raw!$A$2:$A$483,MP_T_Mata!$A20,Data_raw!$K$2:$K$483)</f>
        <v>0</v>
      </c>
      <c r="C20" s="124">
        <f>SUMIFS(Data_raw!$K$2:$K$483,Data_raw!$F$2:$F$483,MP_T_Mata!C$1,Data_raw!$A$2:$A$483,MP_T_Mata!$A20) / SUMIF(Data_raw!$A$2:$A$483,MP_T_Mata!$A20,Data_raw!$K$2:$K$483)</f>
        <v>0</v>
      </c>
      <c r="D20" s="124">
        <f>SUMIFS(Data_raw!$K$2:$K$483,Data_raw!$F$2:$F$483,MP_T_Mata!D$1,Data_raw!$A$2:$A$483,MP_T_Mata!$A20) / SUMIF(Data_raw!$A$2:$A$483,MP_T_Mata!$A20,Data_raw!$K$2:$K$483)</f>
        <v>0.5264483627</v>
      </c>
      <c r="E20" s="124">
        <f>SUMIFS(Data_raw!$K$2:$K$483,Data_raw!$F$2:$F$483,MP_T_Mata!E$1,Data_raw!$A$2:$A$483,MP_T_Mata!$A20) / SUMIF(Data_raw!$A$2:$A$483,MP_T_Mata!$A20,Data_raw!$K$2:$K$483)</f>
        <v>0</v>
      </c>
      <c r="F20" s="124">
        <f>SUMIFS(Data_raw!$K$2:$K$483,Data_raw!$F$2:$F$483,MP_T_Mata!F$1,Data_raw!$A$2:$A$483,MP_T_Mata!$A20) / SUMIF(Data_raw!$A$2:$A$483,MP_T_Mata!$A20,Data_raw!$K$2:$K$483)</f>
        <v>0</v>
      </c>
      <c r="G20" s="124">
        <f>SUMIFS(Data_raw!$K$2:$K$483,Data_raw!$F$2:$F$483,MP_T_Mata!G$1,Data_raw!$A$2:$A$483,MP_T_Mata!$A20) / SUMIF(Data_raw!$A$2:$A$483,MP_T_Mata!$A20,Data_raw!$K$2:$K$483)</f>
        <v>0</v>
      </c>
      <c r="H20" s="124">
        <f>SUMIFS(Data_raw!$K$2:$K$483,Data_raw!$F$2:$F$483,MP_T_Mata!H$1,Data_raw!$A$2:$A$483,MP_T_Mata!$A20) / SUMIF(Data_raw!$A$2:$A$483,MP_T_Mata!$A20,Data_raw!$K$2:$K$483)</f>
        <v>0.4735516373</v>
      </c>
      <c r="I20" s="124">
        <f>SUMIFS(Data_raw!$K$2:$K$483,Data_raw!$F$2:$F$483,MP_T_Mata!I$1,Data_raw!$A$2:$A$483,MP_T_Mata!$A20) / SUMIF(Data_raw!$A$2:$A$483,MP_T_Mata!$A20,Data_raw!$K$2:$K$483)</f>
        <v>0</v>
      </c>
      <c r="J20" s="124">
        <f>SUMIFS(Data_raw!$K$2:$K$483,Data_raw!$F$2:$F$483,MP_T_Mata!J$1,Data_raw!$A$2:$A$483,MP_T_Mata!$A20) / SUMIF(Data_raw!$A$2:$A$483,MP_T_Mata!$A20,Data_raw!$K$2:$K$483)</f>
        <v>0</v>
      </c>
      <c r="K20" s="124">
        <f>SUMIFS(Data_raw!$K$2:$K$483,Data_raw!$F$2:$F$483,MP_T_Mata!K$1,Data_raw!$A$2:$A$483,MP_T_Mata!$A20) / SUMIF(Data_raw!$A$2:$A$483,MP_T_Mata!$A20,Data_raw!$K$2:$K$483)</f>
        <v>0</v>
      </c>
      <c r="L20" s="124">
        <f>SUMIFS(Data_raw!$K$2:$K$483,Data_raw!$F$2:$F$483,MP_T_Mata!L$1,Data_raw!$A$2:$A$483,MP_T_Mata!$A20) / SUMIF(Data_raw!$A$2:$A$483,MP_T_Mata!$A20,Data_raw!$K$2:$K$483)</f>
        <v>0</v>
      </c>
      <c r="M20" s="124">
        <f>SUMIFS(Data_raw!$K$2:$K$483,Data_raw!$F$2:$F$483,MP_T_Mata!M$1,Data_raw!$A$2:$A$483,MP_T_Mata!$A20) / SUMIF(Data_raw!$A$2:$A$483,MP_T_Mata!$A20,Data_raw!$K$2:$K$483)</f>
        <v>0</v>
      </c>
      <c r="N20" s="124">
        <f>SUMIFS(Data_raw!$K$2:$K$483,Data_raw!$F$2:$F$483,MP_T_Mata!N$1,Data_raw!$A$2:$A$483,MP_T_Mata!$A20) / SUMIF(Data_raw!$A$2:$A$483,MP_T_Mata!$A20,Data_raw!$K$2:$K$483)</f>
        <v>0</v>
      </c>
      <c r="O20" s="124">
        <f>SUMIFS(Data_raw!$K$2:$K$483,Data_raw!$F$2:$F$483,MP_T_Mata!O$1,Data_raw!$A$2:$A$483,MP_T_Mata!$A20) / SUMIF(Data_raw!$A$2:$A$483,MP_T_Mata!$A20,Data_raw!$K$2:$K$483)</f>
        <v>0</v>
      </c>
      <c r="P20" s="124">
        <f>SUMIFS(Data_raw!$K$2:$K$483,Data_raw!$F$2:$F$483,MP_T_Mata!P$1,Data_raw!$A$2:$A$483,MP_T_Mata!$A20) / SUMIF(Data_raw!$A$2:$A$483,MP_T_Mata!$A20,Data_raw!$K$2:$K$483)</f>
        <v>0</v>
      </c>
      <c r="Q20" s="124">
        <f>SUMIFS(Data_raw!$K$2:$K$483,Data_raw!$F$2:$F$483,MP_T_Mata!Q$1,Data_raw!$A$2:$A$483,MP_T_Mata!$A20) / SUMIF(Data_raw!$A$2:$A$483,MP_T_Mata!$A20,Data_raw!$K$2:$K$483)</f>
        <v>0</v>
      </c>
      <c r="R20" s="124">
        <f>SUMIFS(Data_raw!$K$2:$K$483,Data_raw!$F$2:$F$483,MP_T_Mata!R$1,Data_raw!$A$2:$A$483,MP_T_Mata!$A20) / SUMIF(Data_raw!$A$2:$A$483,MP_T_Mata!$A20,Data_raw!$K$2:$K$483)</f>
        <v>0</v>
      </c>
      <c r="S20" s="124">
        <f>SUMIFS(Data_raw!$K$2:$K$483,Data_raw!$F$2:$F$483,MP_T_Mata!S$1,Data_raw!$A$2:$A$483,MP_T_Mata!$A20) / SUMIF(Data_raw!$A$2:$A$483,MP_T_Mata!$A20,Data_raw!$K$2:$K$483)</f>
        <v>0</v>
      </c>
      <c r="T20" s="124">
        <f>SUMIFS(Data_raw!$K$2:$K$483,Data_raw!$F$2:$F$483,MP_T_Mata!T$1,Data_raw!$A$2:$A$483,MP_T_Mata!$A20) / SUMIF(Data_raw!$A$2:$A$483,MP_T_Mata!$A20,Data_raw!$K$2:$K$483)</f>
        <v>0</v>
      </c>
      <c r="U20" s="124">
        <f>SUMIFS(Data_raw!$K$2:$K$483,Data_raw!$F$2:$F$483,MP_T_Mata!U$1,Data_raw!$A$2:$A$483,MP_T_Mata!$A20) / SUMIF(Data_raw!$A$2:$A$483,MP_T_Mata!$A20,Data_raw!$K$2:$K$483)</f>
        <v>0</v>
      </c>
      <c r="V20" s="124">
        <f>SUMIFS(Data_raw!$K$2:$K$483,Data_raw!$F$2:$F$483,MP_T_Mata!V$1,Data_raw!$A$2:$A$483,MP_T_Mata!$A20) / SUMIF(Data_raw!$A$2:$A$483,MP_T_Mata!$A20,Data_raw!$K$2:$K$483)</f>
        <v>0</v>
      </c>
      <c r="W20" s="124">
        <f>SUMIFS(Data_raw!$K$2:$K$483,Data_raw!$F$2:$F$483,MP_T_Mata!W$1,Data_raw!$A$2:$A$483,MP_T_Mata!$A20) / SUMIF(Data_raw!$A$2:$A$483,MP_T_Mata!$A20,Data_raw!$K$2:$K$483)</f>
        <v>0</v>
      </c>
      <c r="X20" s="124">
        <f>SUMIFS(Data_raw!$K$2:$K$483,Data_raw!$F$2:$F$483,MP_T_Mata!X$1,Data_raw!$A$2:$A$483,MP_T_Mata!$A20) / SUMIF(Data_raw!$A$2:$A$483,MP_T_Mata!$A20,Data_raw!$K$2:$K$483)</f>
        <v>0</v>
      </c>
      <c r="Y20" s="124">
        <f>SUMIFS(Data_raw!$K$2:$K$483,Data_raw!$F$2:$F$483,MP_T_Mata!Y$1,Data_raw!$A$2:$A$483,MP_T_Mata!$A20) / SUMIF(Data_raw!$A$2:$A$483,MP_T_Mata!$A20,Data_raw!$K$2:$K$483)</f>
        <v>0</v>
      </c>
      <c r="Z20" s="124">
        <f>SUMIFS(Data_raw!$K$2:$K$483,Data_raw!$F$2:$F$483,MP_T_Mata!Z$1,Data_raw!$A$2:$A$483,MP_T_Mata!$A20) / SUMIF(Data_raw!$A$2:$A$483,MP_T_Mata!$A20,Data_raw!$K$2:$K$483)</f>
        <v>0</v>
      </c>
      <c r="AA20" s="124">
        <f>SUMIFS(Data_raw!$K$2:$K$483,Data_raw!$F$2:$F$483,MP_T_Mata!AA$1,Data_raw!$A$2:$A$483,MP_T_Mata!$A20) / SUMIF(Data_raw!$A$2:$A$483,MP_T_Mata!$A20,Data_raw!$K$2:$K$483)</f>
        <v>0</v>
      </c>
      <c r="AB20" s="124">
        <f>SUMIFS(Data_raw!$K$2:$K$483,Data_raw!$F$2:$F$483,MP_T_Mata!AB$1,Data_raw!$A$2:$A$483,MP_T_Mata!$A20) / SUMIF(Data_raw!$A$2:$A$483,MP_T_Mata!$A20,Data_raw!$K$2:$K$483)</f>
        <v>0</v>
      </c>
    </row>
    <row r="21">
      <c r="A21" s="63" t="str">
        <f>IFERROR(__xludf.DUMMYFUNCTION("""COMPUTED_VALUE"""),"Trachycephalus imitatrix")</f>
        <v>Trachycephalus imitatrix</v>
      </c>
      <c r="B21" s="124">
        <f>SUMIFS(Data_raw!$K$2:$K$483,Data_raw!$F$2:$F$483,MP_T_Mata!B$1,Data_raw!$A$2:$A$483,MP_T_Mata!$A21) / SUMIF(Data_raw!$A$2:$A$483,MP_T_Mata!$A21,Data_raw!$K$2:$K$483)</f>
        <v>0</v>
      </c>
      <c r="C21" s="124">
        <f>SUMIFS(Data_raw!$K$2:$K$483,Data_raw!$F$2:$F$483,MP_T_Mata!C$1,Data_raw!$A$2:$A$483,MP_T_Mata!$A21) / SUMIF(Data_raw!$A$2:$A$483,MP_T_Mata!$A21,Data_raw!$K$2:$K$483)</f>
        <v>0</v>
      </c>
      <c r="D21" s="124">
        <f>SUMIFS(Data_raw!$K$2:$K$483,Data_raw!$F$2:$F$483,MP_T_Mata!D$1,Data_raw!$A$2:$A$483,MP_T_Mata!$A21) / SUMIF(Data_raw!$A$2:$A$483,MP_T_Mata!$A21,Data_raw!$K$2:$K$483)</f>
        <v>0</v>
      </c>
      <c r="E21" s="124">
        <f>SUMIFS(Data_raw!$K$2:$K$483,Data_raw!$F$2:$F$483,MP_T_Mata!E$1,Data_raw!$A$2:$A$483,MP_T_Mata!$A21) / SUMIF(Data_raw!$A$2:$A$483,MP_T_Mata!$A21,Data_raw!$K$2:$K$483)</f>
        <v>0</v>
      </c>
      <c r="F21" s="124">
        <f>SUMIFS(Data_raw!$K$2:$K$483,Data_raw!$F$2:$F$483,MP_T_Mata!F$1,Data_raw!$A$2:$A$483,MP_T_Mata!$A21) / SUMIF(Data_raw!$A$2:$A$483,MP_T_Mata!$A21,Data_raw!$K$2:$K$483)</f>
        <v>0</v>
      </c>
      <c r="G21" s="124">
        <f>SUMIFS(Data_raw!$K$2:$K$483,Data_raw!$F$2:$F$483,MP_T_Mata!G$1,Data_raw!$A$2:$A$483,MP_T_Mata!$A21) / SUMIF(Data_raw!$A$2:$A$483,MP_T_Mata!$A21,Data_raw!$K$2:$K$483)</f>
        <v>0</v>
      </c>
      <c r="H21" s="124">
        <f>SUMIFS(Data_raw!$K$2:$K$483,Data_raw!$F$2:$F$483,MP_T_Mata!H$1,Data_raw!$A$2:$A$483,MP_T_Mata!$A21) / SUMIF(Data_raw!$A$2:$A$483,MP_T_Mata!$A21,Data_raw!$K$2:$K$483)</f>
        <v>1</v>
      </c>
      <c r="I21" s="124">
        <f>SUMIFS(Data_raw!$K$2:$K$483,Data_raw!$F$2:$F$483,MP_T_Mata!I$1,Data_raw!$A$2:$A$483,MP_T_Mata!$A21) / SUMIF(Data_raw!$A$2:$A$483,MP_T_Mata!$A21,Data_raw!$K$2:$K$483)</f>
        <v>0</v>
      </c>
      <c r="J21" s="124">
        <f>SUMIFS(Data_raw!$K$2:$K$483,Data_raw!$F$2:$F$483,MP_T_Mata!J$1,Data_raw!$A$2:$A$483,MP_T_Mata!$A21) / SUMIF(Data_raw!$A$2:$A$483,MP_T_Mata!$A21,Data_raw!$K$2:$K$483)</f>
        <v>0</v>
      </c>
      <c r="K21" s="124">
        <f>SUMIFS(Data_raw!$K$2:$K$483,Data_raw!$F$2:$F$483,MP_T_Mata!K$1,Data_raw!$A$2:$A$483,MP_T_Mata!$A21) / SUMIF(Data_raw!$A$2:$A$483,MP_T_Mata!$A21,Data_raw!$K$2:$K$483)</f>
        <v>0</v>
      </c>
      <c r="L21" s="124">
        <f>SUMIFS(Data_raw!$K$2:$K$483,Data_raw!$F$2:$F$483,MP_T_Mata!L$1,Data_raw!$A$2:$A$483,MP_T_Mata!$A21) / SUMIF(Data_raw!$A$2:$A$483,MP_T_Mata!$A21,Data_raw!$K$2:$K$483)</f>
        <v>0</v>
      </c>
      <c r="M21" s="124">
        <f>SUMIFS(Data_raw!$K$2:$K$483,Data_raw!$F$2:$F$483,MP_T_Mata!M$1,Data_raw!$A$2:$A$483,MP_T_Mata!$A21) / SUMIF(Data_raw!$A$2:$A$483,MP_T_Mata!$A21,Data_raw!$K$2:$K$483)</f>
        <v>0</v>
      </c>
      <c r="N21" s="124">
        <f>SUMIFS(Data_raw!$K$2:$K$483,Data_raw!$F$2:$F$483,MP_T_Mata!N$1,Data_raw!$A$2:$A$483,MP_T_Mata!$A21) / SUMIF(Data_raw!$A$2:$A$483,MP_T_Mata!$A21,Data_raw!$K$2:$K$483)</f>
        <v>0</v>
      </c>
      <c r="O21" s="124">
        <f>SUMIFS(Data_raw!$K$2:$K$483,Data_raw!$F$2:$F$483,MP_T_Mata!O$1,Data_raw!$A$2:$A$483,MP_T_Mata!$A21) / SUMIF(Data_raw!$A$2:$A$483,MP_T_Mata!$A21,Data_raw!$K$2:$K$483)</f>
        <v>0</v>
      </c>
      <c r="P21" s="124">
        <f>SUMIFS(Data_raw!$K$2:$K$483,Data_raw!$F$2:$F$483,MP_T_Mata!P$1,Data_raw!$A$2:$A$483,MP_T_Mata!$A21) / SUMIF(Data_raw!$A$2:$A$483,MP_T_Mata!$A21,Data_raw!$K$2:$K$483)</f>
        <v>0</v>
      </c>
      <c r="Q21" s="124">
        <f>SUMIFS(Data_raw!$K$2:$K$483,Data_raw!$F$2:$F$483,MP_T_Mata!Q$1,Data_raw!$A$2:$A$483,MP_T_Mata!$A21) / SUMIF(Data_raw!$A$2:$A$483,MP_T_Mata!$A21,Data_raw!$K$2:$K$483)</f>
        <v>0</v>
      </c>
      <c r="R21" s="124">
        <f>SUMIFS(Data_raw!$K$2:$K$483,Data_raw!$F$2:$F$483,MP_T_Mata!R$1,Data_raw!$A$2:$A$483,MP_T_Mata!$A21) / SUMIF(Data_raw!$A$2:$A$483,MP_T_Mata!$A21,Data_raw!$K$2:$K$483)</f>
        <v>0</v>
      </c>
      <c r="S21" s="124">
        <f>SUMIFS(Data_raw!$K$2:$K$483,Data_raw!$F$2:$F$483,MP_T_Mata!S$1,Data_raw!$A$2:$A$483,MP_T_Mata!$A21) / SUMIF(Data_raw!$A$2:$A$483,MP_T_Mata!$A21,Data_raw!$K$2:$K$483)</f>
        <v>0</v>
      </c>
      <c r="T21" s="124">
        <f>SUMIFS(Data_raw!$K$2:$K$483,Data_raw!$F$2:$F$483,MP_T_Mata!T$1,Data_raw!$A$2:$A$483,MP_T_Mata!$A21) / SUMIF(Data_raw!$A$2:$A$483,MP_T_Mata!$A21,Data_raw!$K$2:$K$483)</f>
        <v>0</v>
      </c>
      <c r="U21" s="124">
        <f>SUMIFS(Data_raw!$K$2:$K$483,Data_raw!$F$2:$F$483,MP_T_Mata!U$1,Data_raw!$A$2:$A$483,MP_T_Mata!$A21) / SUMIF(Data_raw!$A$2:$A$483,MP_T_Mata!$A21,Data_raw!$K$2:$K$483)</f>
        <v>0</v>
      </c>
      <c r="V21" s="124">
        <f>SUMIFS(Data_raw!$K$2:$K$483,Data_raw!$F$2:$F$483,MP_T_Mata!V$1,Data_raw!$A$2:$A$483,MP_T_Mata!$A21) / SUMIF(Data_raw!$A$2:$A$483,MP_T_Mata!$A21,Data_raw!$K$2:$K$483)</f>
        <v>0</v>
      </c>
      <c r="W21" s="124">
        <f>SUMIFS(Data_raw!$K$2:$K$483,Data_raw!$F$2:$F$483,MP_T_Mata!W$1,Data_raw!$A$2:$A$483,MP_T_Mata!$A21) / SUMIF(Data_raw!$A$2:$A$483,MP_T_Mata!$A21,Data_raw!$K$2:$K$483)</f>
        <v>0</v>
      </c>
      <c r="X21" s="124">
        <f>SUMIFS(Data_raw!$K$2:$K$483,Data_raw!$F$2:$F$483,MP_T_Mata!X$1,Data_raw!$A$2:$A$483,MP_T_Mata!$A21) / SUMIF(Data_raw!$A$2:$A$483,MP_T_Mata!$A21,Data_raw!$K$2:$K$483)</f>
        <v>0</v>
      </c>
      <c r="Y21" s="124">
        <f>SUMIFS(Data_raw!$K$2:$K$483,Data_raw!$F$2:$F$483,MP_T_Mata!Y$1,Data_raw!$A$2:$A$483,MP_T_Mata!$A21) / SUMIF(Data_raw!$A$2:$A$483,MP_T_Mata!$A21,Data_raw!$K$2:$K$483)</f>
        <v>0</v>
      </c>
      <c r="Z21" s="124">
        <f>SUMIFS(Data_raw!$K$2:$K$483,Data_raw!$F$2:$F$483,MP_T_Mata!Z$1,Data_raw!$A$2:$A$483,MP_T_Mata!$A21) / SUMIF(Data_raw!$A$2:$A$483,MP_T_Mata!$A21,Data_raw!$K$2:$K$483)</f>
        <v>0</v>
      </c>
      <c r="AA21" s="124">
        <f>SUMIFS(Data_raw!$K$2:$K$483,Data_raw!$F$2:$F$483,MP_T_Mata!AA$1,Data_raw!$A$2:$A$483,MP_T_Mata!$A21) / SUMIF(Data_raw!$A$2:$A$483,MP_T_Mata!$A21,Data_raw!$K$2:$K$483)</f>
        <v>0</v>
      </c>
      <c r="AB21" s="124">
        <f>SUMIFS(Data_raw!$K$2:$K$483,Data_raw!$F$2:$F$483,MP_T_Mata!AB$1,Data_raw!$A$2:$A$483,MP_T_Mata!$A21) / SUMIF(Data_raw!$A$2:$A$483,MP_T_Mata!$A21,Data_raw!$K$2:$K$483)</f>
        <v>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8"/>
      <c r="B1" s="3" t="str">
        <f>IFERROR(__xludf.DUMMYFUNCTION("TRANSPOSE(SORT(UNIQUE(FILTER(Data_raw!F2:F483,Data_raw!D2:D483 = ""eucalipto"",Data_raw!E$2:E$483&lt;&gt;""Não identificado"",Data_raw!E$2:E$483&lt;&gt;""Semente"",Data_raw!E$2:E$483&lt;&gt;""Semente de capim"",Data_raw!E$2:E$483&lt;&gt;""Apenas substrato"",Data_raw!E$2:E$483&lt;&gt;"&amp;"""Vazio""))))"),"Acari")</f>
        <v>Acari</v>
      </c>
      <c r="C1" s="63" t="str">
        <f>IFERROR(__xludf.DUMMYFUNCTION("""COMPUTED_VALUE"""),"Arachnida")</f>
        <v>Arachnida</v>
      </c>
      <c r="D1" s="63" t="str">
        <f>IFERROR(__xludf.DUMMYFUNCTION("""COMPUTED_VALUE"""),"Araneae")</f>
        <v>Araneae</v>
      </c>
      <c r="E1" s="63" t="str">
        <f>IFERROR(__xludf.DUMMYFUNCTION("""COMPUTED_VALUE"""),"Arthropoda")</f>
        <v>Arthropoda</v>
      </c>
      <c r="F1" s="63" t="str">
        <f>IFERROR(__xludf.DUMMYFUNCTION("""COMPUTED_VALUE"""),"Blattodea")</f>
        <v>Blattodea</v>
      </c>
      <c r="G1" s="63" t="str">
        <f>IFERROR(__xludf.DUMMYFUNCTION("""COMPUTED_VALUE"""),"Chilopoda")</f>
        <v>Chilopoda</v>
      </c>
      <c r="H1" s="63" t="str">
        <f>IFERROR(__xludf.DUMMYFUNCTION("""COMPUTED_VALUE"""),"Coleoptera")</f>
        <v>Coleoptera</v>
      </c>
      <c r="I1" s="63" t="str">
        <f>IFERROR(__xludf.DUMMYFUNCTION("""COMPUTED_VALUE"""),"Collembola")</f>
        <v>Collembola</v>
      </c>
      <c r="J1" s="63" t="str">
        <f>IFERROR(__xludf.DUMMYFUNCTION("""COMPUTED_VALUE"""),"Dermaptera")</f>
        <v>Dermaptera</v>
      </c>
      <c r="K1" s="63" t="str">
        <f>IFERROR(__xludf.DUMMYFUNCTION("""COMPUTED_VALUE"""),"Formicidae")</f>
        <v>Formicidae</v>
      </c>
      <c r="L1" s="63" t="str">
        <f>IFERROR(__xludf.DUMMYFUNCTION("""COMPUTED_VALUE"""),"Heteroptera")</f>
        <v>Heteroptera</v>
      </c>
      <c r="M1" s="63" t="str">
        <f>IFERROR(__xludf.DUMMYFUNCTION("""COMPUTED_VALUE"""),"Insecta")</f>
        <v>Insecta</v>
      </c>
      <c r="N1" s="63" t="str">
        <f>IFERROR(__xludf.DUMMYFUNCTION("""COMPUTED_VALUE"""),"Lepidoptera Larva")</f>
        <v>Lepidoptera Larva</v>
      </c>
      <c r="O1" s="63" t="str">
        <f>IFERROR(__xludf.DUMMYFUNCTION("""COMPUTED_VALUE"""),"Opiliones")</f>
        <v>Opiliones</v>
      </c>
      <c r="P1" s="63" t="str">
        <f>IFERROR(__xludf.DUMMYFUNCTION("""COMPUTED_VALUE"""),"Orthoptera")</f>
        <v>Orthoptera</v>
      </c>
      <c r="Q1" s="63" t="str">
        <f>IFERROR(__xludf.DUMMYFUNCTION("""COMPUTED_VALUE"""),"Pscoptera")</f>
        <v>Pscoptera</v>
      </c>
      <c r="R1" s="63" t="str">
        <f>IFERROR(__xludf.DUMMYFUNCTION("""COMPUTED_VALUE"""),"Staphylinidae")</f>
        <v>Staphylinidae</v>
      </c>
      <c r="S1" s="63" t="str">
        <f>IFERROR(__xludf.DUMMYFUNCTION("""COMPUTED_VALUE"""),"Vespa")</f>
        <v>Vespa</v>
      </c>
    </row>
    <row r="2">
      <c r="A2" s="125" t="str">
        <f>IFERROR(__xludf.DUMMYFUNCTION("SORT(UNIQUE(FILTER(Data_raw!A2:A478,Data_raw!D2:D478 = ""eucalipto"",Data_raw!E$2:E$478&lt;&gt;""Não identificado"",Data_raw!E$2:E$478&lt;&gt;""Semente"",Data_raw!E$2:E$478&lt;&gt;""Semente de capim"",Data_raw!E$2:E$478&lt;&gt;""Apenas substrato"",Data_raw!E$2:E$478&lt;&gt;""Vazio""))"&amp;")"),"Aplastodiscus albosignatus")</f>
        <v>Aplastodiscus albosignatus</v>
      </c>
      <c r="B2" s="124">
        <f>SUMIFS(Data_raw!$K$2:$K$483,Data_raw!$F$2:$F$483,MP_T_Eucalipto!B$1,Data_raw!$A$2:$A$483,MP_T_Eucalipto!$A2) / SUMIF(Data_raw!$A$2:$A$483,MP_T_Eucalipto!$A2,Data_raw!$K$2:$K$483)</f>
        <v>0</v>
      </c>
      <c r="C2" s="124">
        <f>SUMIFS(Data_raw!$K$2:$K$483,Data_raw!$F$2:$F$483,MP_T_Eucalipto!C$1,Data_raw!$A$2:$A$483,MP_T_Eucalipto!$A2) / SUMIF(Data_raw!$A$2:$A$483,MP_T_Eucalipto!$A2,Data_raw!$K$2:$K$483)</f>
        <v>0</v>
      </c>
      <c r="D2" s="124">
        <f>SUMIFS(Data_raw!$K$2:$K$483,Data_raw!$F$2:$F$483,MP_T_Eucalipto!D$1,Data_raw!$A$2:$A$483,MP_T_Eucalipto!$A2) / SUMIF(Data_raw!$A$2:$A$483,MP_T_Eucalipto!$A2,Data_raw!$K$2:$K$483)</f>
        <v>0</v>
      </c>
      <c r="E2" s="124">
        <f>SUMIFS(Data_raw!$K$2:$K$483,Data_raw!$F$2:$F$483,MP_T_Eucalipto!E$1,Data_raw!$A$2:$A$483,MP_T_Eucalipto!$A2) / SUMIF(Data_raw!$A$2:$A$483,MP_T_Eucalipto!$A2,Data_raw!$K$2:$K$483)</f>
        <v>0</v>
      </c>
      <c r="F2" s="124">
        <f>SUMIFS(Data_raw!$K$2:$K$483,Data_raw!$F$2:$F$483,MP_T_Eucalipto!F$1,Data_raw!$A$2:$A$483,MP_T_Eucalipto!$A2) / SUMIF(Data_raw!$A$2:$A$483,MP_T_Eucalipto!$A2,Data_raw!$K$2:$K$483)</f>
        <v>0</v>
      </c>
      <c r="G2" s="124">
        <f>SUMIFS(Data_raw!$K$2:$K$483,Data_raw!$F$2:$F$483,MP_T_Eucalipto!G$1,Data_raw!$A$2:$A$483,MP_T_Eucalipto!$A2) / SUMIF(Data_raw!$A$2:$A$483,MP_T_Eucalipto!$A2,Data_raw!$K$2:$K$483)</f>
        <v>0</v>
      </c>
      <c r="H2" s="124">
        <f>SUMIFS(Data_raw!$K$2:$K$483,Data_raw!$F$2:$F$483,MP_T_Eucalipto!H$1,Data_raw!$A$2:$A$483,MP_T_Eucalipto!$A2) / SUMIF(Data_raw!$A$2:$A$483,MP_T_Eucalipto!$A2,Data_raw!$K$2:$K$483)</f>
        <v>1</v>
      </c>
      <c r="I2" s="124">
        <f>SUMIFS(Data_raw!$K$2:$K$483,Data_raw!$F$2:$F$483,MP_T_Eucalipto!I$1,Data_raw!$A$2:$A$483,MP_T_Eucalipto!$A2) / SUMIF(Data_raw!$A$2:$A$483,MP_T_Eucalipto!$A2,Data_raw!$K$2:$K$483)</f>
        <v>0</v>
      </c>
      <c r="J2" s="124">
        <f>SUMIFS(Data_raw!$K$2:$K$483,Data_raw!$F$2:$F$483,MP_T_Eucalipto!J$1,Data_raw!$A$2:$A$483,MP_T_Eucalipto!$A2) / SUMIF(Data_raw!$A$2:$A$483,MP_T_Eucalipto!$A2,Data_raw!$K$2:$K$483)</f>
        <v>0</v>
      </c>
      <c r="K2" s="124">
        <f>SUMIFS(Data_raw!$K$2:$K$483,Data_raw!$F$2:$F$483,MP_T_Eucalipto!K$1,Data_raw!$A$2:$A$483,MP_T_Eucalipto!$A2) / SUMIF(Data_raw!$A$2:$A$483,MP_T_Eucalipto!$A2,Data_raw!$K$2:$K$483)</f>
        <v>0</v>
      </c>
      <c r="L2" s="124">
        <f>SUMIFS(Data_raw!$K$2:$K$483,Data_raw!$F$2:$F$483,MP_T_Eucalipto!L$1,Data_raw!$A$2:$A$483,MP_T_Eucalipto!$A2) / SUMIF(Data_raw!$A$2:$A$483,MP_T_Eucalipto!$A2,Data_raw!$K$2:$K$483)</f>
        <v>0</v>
      </c>
      <c r="M2" s="124">
        <f>SUMIFS(Data_raw!$K$2:$K$483,Data_raw!$F$2:$F$483,MP_T_Eucalipto!M$1,Data_raw!$A$2:$A$483,MP_T_Eucalipto!$A2) / SUMIF(Data_raw!$A$2:$A$483,MP_T_Eucalipto!$A2,Data_raw!$K$2:$K$483)</f>
        <v>0</v>
      </c>
      <c r="N2" s="124">
        <f>SUMIFS(Data_raw!$K$2:$K$483,Data_raw!$F$2:$F$483,MP_T_Eucalipto!N$1,Data_raw!$A$2:$A$483,MP_T_Eucalipto!$A2) / SUMIF(Data_raw!$A$2:$A$483,MP_T_Eucalipto!$A2,Data_raw!$K$2:$K$483)</f>
        <v>0</v>
      </c>
      <c r="O2" s="124">
        <f>SUMIFS(Data_raw!$K$2:$K$483,Data_raw!$F$2:$F$483,MP_T_Eucalipto!O$1,Data_raw!$A$2:$A$483,MP_T_Eucalipto!$A2) / SUMIF(Data_raw!$A$2:$A$483,MP_T_Eucalipto!$A2,Data_raw!$K$2:$K$483)</f>
        <v>0</v>
      </c>
      <c r="P2" s="124">
        <f>SUMIFS(Data_raw!$K$2:$K$483,Data_raw!$F$2:$F$483,MP_T_Eucalipto!P$1,Data_raw!$A$2:$A$483,MP_T_Eucalipto!$A2) / SUMIF(Data_raw!$A$2:$A$483,MP_T_Eucalipto!$A2,Data_raw!$K$2:$K$483)</f>
        <v>0</v>
      </c>
      <c r="Q2" s="124">
        <f>SUMIFS(Data_raw!$K$2:$K$483,Data_raw!$F$2:$F$483,MP_T_Eucalipto!Q$1,Data_raw!$A$2:$A$483,MP_T_Eucalipto!$A2) / SUMIF(Data_raw!$A$2:$A$483,MP_T_Eucalipto!$A2,Data_raw!$K$2:$K$483)</f>
        <v>0</v>
      </c>
      <c r="R2" s="124">
        <f>SUMIFS(Data_raw!$K$2:$K$483,Data_raw!$F$2:$F$483,MP_T_Eucalipto!R$1,Data_raw!$A$2:$A$483,MP_T_Eucalipto!$A2) / SUMIF(Data_raw!$A$2:$A$483,MP_T_Eucalipto!$A2,Data_raw!$K$2:$K$483)</f>
        <v>0</v>
      </c>
      <c r="S2" s="124">
        <f>SUMIFS(Data_raw!$K$2:$K$483,Data_raw!$F$2:$F$483,MP_T_Eucalipto!S$1,Data_raw!$A$2:$A$483,MP_T_Eucalipto!$A2) / SUMIF(Data_raw!$A$2:$A$483,MP_T_Eucalipto!$A2,Data_raw!$K$2:$K$483)</f>
        <v>0</v>
      </c>
    </row>
    <row r="3">
      <c r="A3" s="63" t="str">
        <f>IFERROR(__xludf.DUMMYFUNCTION("""COMPUTED_VALUE"""),"Boana faber")</f>
        <v>Boana faber</v>
      </c>
      <c r="B3" s="124">
        <f>SUMIFS(Data_raw!$K$2:$K$483,Data_raw!$F$2:$F$483,MP_T_Eucalipto!B$1,Data_raw!$A$2:$A$483,MP_T_Eucalipto!$A3) / SUMIF(Data_raw!$A$2:$A$483,MP_T_Eucalipto!$A3,Data_raw!$K$2:$K$483)</f>
        <v>0.00007918283316</v>
      </c>
      <c r="C3" s="124">
        <f>SUMIFS(Data_raw!$K$2:$K$483,Data_raw!$F$2:$F$483,MP_T_Eucalipto!C$1,Data_raw!$A$2:$A$483,MP_T_Eucalipto!$A3) / SUMIF(Data_raw!$A$2:$A$483,MP_T_Eucalipto!$A3,Data_raw!$K$2:$K$483)</f>
        <v>0</v>
      </c>
      <c r="D3" s="124">
        <f>SUMIFS(Data_raw!$K$2:$K$483,Data_raw!$F$2:$F$483,MP_T_Eucalipto!D$1,Data_raw!$A$2:$A$483,MP_T_Eucalipto!$A3) / SUMIF(Data_raw!$A$2:$A$483,MP_T_Eucalipto!$A3,Data_raw!$K$2:$K$483)</f>
        <v>0.310396706</v>
      </c>
      <c r="E3" s="124">
        <f>SUMIFS(Data_raw!$K$2:$K$483,Data_raw!$F$2:$F$483,MP_T_Eucalipto!E$1,Data_raw!$A$2:$A$483,MP_T_Eucalipto!$A3) / SUMIF(Data_raw!$A$2:$A$483,MP_T_Eucalipto!$A3,Data_raw!$K$2:$K$483)</f>
        <v>0</v>
      </c>
      <c r="F3" s="124">
        <f>SUMIFS(Data_raw!$K$2:$K$483,Data_raw!$F$2:$F$483,MP_T_Eucalipto!F$1,Data_raw!$A$2:$A$483,MP_T_Eucalipto!$A3) / SUMIF(Data_raw!$A$2:$A$483,MP_T_Eucalipto!$A3,Data_raw!$K$2:$K$483)</f>
        <v>0.06588011719</v>
      </c>
      <c r="G3" s="124">
        <f>SUMIFS(Data_raw!$K$2:$K$483,Data_raw!$F$2:$F$483,MP_T_Eucalipto!G$1,Data_raw!$A$2:$A$483,MP_T_Eucalipto!$A3) / SUMIF(Data_raw!$A$2:$A$483,MP_T_Eucalipto!$A3,Data_raw!$K$2:$K$483)</f>
        <v>0</v>
      </c>
      <c r="H3" s="124">
        <f>SUMIFS(Data_raw!$K$2:$K$483,Data_raw!$F$2:$F$483,MP_T_Eucalipto!H$1,Data_raw!$A$2:$A$483,MP_T_Eucalipto!$A3) / SUMIF(Data_raw!$A$2:$A$483,MP_T_Eucalipto!$A3,Data_raw!$K$2:$K$483)</f>
        <v>0</v>
      </c>
      <c r="I3" s="124">
        <f>SUMIFS(Data_raw!$K$2:$K$483,Data_raw!$F$2:$F$483,MP_T_Eucalipto!I$1,Data_raw!$A$2:$A$483,MP_T_Eucalipto!$A3) / SUMIF(Data_raw!$A$2:$A$483,MP_T_Eucalipto!$A3,Data_raw!$K$2:$K$483)</f>
        <v>0</v>
      </c>
      <c r="J3" s="124">
        <f>SUMIFS(Data_raw!$K$2:$K$483,Data_raw!$F$2:$F$483,MP_T_Eucalipto!J$1,Data_raw!$A$2:$A$483,MP_T_Eucalipto!$A3) / SUMIF(Data_raw!$A$2:$A$483,MP_T_Eucalipto!$A3,Data_raw!$K$2:$K$483)</f>
        <v>0</v>
      </c>
      <c r="K3" s="124">
        <f>SUMIFS(Data_raw!$K$2:$K$483,Data_raw!$F$2:$F$483,MP_T_Eucalipto!K$1,Data_raw!$A$2:$A$483,MP_T_Eucalipto!$A3) / SUMIF(Data_raw!$A$2:$A$483,MP_T_Eucalipto!$A3,Data_raw!$K$2:$K$483)</f>
        <v>0</v>
      </c>
      <c r="L3" s="124">
        <f>SUMIFS(Data_raw!$K$2:$K$483,Data_raw!$F$2:$F$483,MP_T_Eucalipto!L$1,Data_raw!$A$2:$A$483,MP_T_Eucalipto!$A3) / SUMIF(Data_raw!$A$2:$A$483,MP_T_Eucalipto!$A3,Data_raw!$K$2:$K$483)</f>
        <v>0.001583656663</v>
      </c>
      <c r="M3" s="124">
        <f>SUMIFS(Data_raw!$K$2:$K$483,Data_raw!$F$2:$F$483,MP_T_Eucalipto!M$1,Data_raw!$A$2:$A$483,MP_T_Eucalipto!$A3) / SUMIF(Data_raw!$A$2:$A$483,MP_T_Eucalipto!$A3,Data_raw!$K$2:$K$483)</f>
        <v>0</v>
      </c>
      <c r="N3" s="124">
        <f>SUMIFS(Data_raw!$K$2:$K$483,Data_raw!$F$2:$F$483,MP_T_Eucalipto!N$1,Data_raw!$A$2:$A$483,MP_T_Eucalipto!$A3) / SUMIF(Data_raw!$A$2:$A$483,MP_T_Eucalipto!$A3,Data_raw!$K$2:$K$483)</f>
        <v>0</v>
      </c>
      <c r="O3" s="124">
        <f>SUMIFS(Data_raw!$K$2:$K$483,Data_raw!$F$2:$F$483,MP_T_Eucalipto!O$1,Data_raw!$A$2:$A$483,MP_T_Eucalipto!$A3) / SUMIF(Data_raw!$A$2:$A$483,MP_T_Eucalipto!$A3,Data_raw!$K$2:$K$483)</f>
        <v>0</v>
      </c>
      <c r="P3" s="124">
        <f>SUMIFS(Data_raw!$K$2:$K$483,Data_raw!$F$2:$F$483,MP_T_Eucalipto!P$1,Data_raw!$A$2:$A$483,MP_T_Eucalipto!$A3) / SUMIF(Data_raw!$A$2:$A$483,MP_T_Eucalipto!$A3,Data_raw!$K$2:$K$483)</f>
        <v>0</v>
      </c>
      <c r="Q3" s="124">
        <f>SUMIFS(Data_raw!$K$2:$K$483,Data_raw!$F$2:$F$483,MP_T_Eucalipto!Q$1,Data_raw!$A$2:$A$483,MP_T_Eucalipto!$A3) / SUMIF(Data_raw!$A$2:$A$483,MP_T_Eucalipto!$A3,Data_raw!$K$2:$K$483)</f>
        <v>0</v>
      </c>
      <c r="R3" s="124">
        <f>SUMIFS(Data_raw!$K$2:$K$483,Data_raw!$F$2:$F$483,MP_T_Eucalipto!R$1,Data_raw!$A$2:$A$483,MP_T_Eucalipto!$A3) / SUMIF(Data_raw!$A$2:$A$483,MP_T_Eucalipto!$A3,Data_raw!$K$2:$K$483)</f>
        <v>0</v>
      </c>
      <c r="S3" s="124">
        <f>SUMIFS(Data_raw!$K$2:$K$483,Data_raw!$F$2:$F$483,MP_T_Eucalipto!S$1,Data_raw!$A$2:$A$483,MP_T_Eucalipto!$A3) / SUMIF(Data_raw!$A$2:$A$483,MP_T_Eucalipto!$A3,Data_raw!$K$2:$K$483)</f>
        <v>0.0006334626653</v>
      </c>
    </row>
    <row r="4">
      <c r="A4" s="63" t="str">
        <f>IFERROR(__xludf.DUMMYFUNCTION("""COMPUTED_VALUE"""),"Chiasmocleis mantiqueira")</f>
        <v>Chiasmocleis mantiqueira</v>
      </c>
      <c r="B4" s="124">
        <f>SUMIFS(Data_raw!$K$2:$K$483,Data_raw!$F$2:$F$483,MP_T_Eucalipto!B$1,Data_raw!$A$2:$A$483,MP_T_Eucalipto!$A4) / SUMIF(Data_raw!$A$2:$A$483,MP_T_Eucalipto!$A4,Data_raw!$K$2:$K$483)</f>
        <v>0.0006108735492</v>
      </c>
      <c r="C4" s="124">
        <f>SUMIFS(Data_raw!$K$2:$K$483,Data_raw!$F$2:$F$483,MP_T_Eucalipto!C$1,Data_raw!$A$2:$A$483,MP_T_Eucalipto!$A4) / SUMIF(Data_raw!$A$2:$A$483,MP_T_Eucalipto!$A4,Data_raw!$K$2:$K$483)</f>
        <v>0</v>
      </c>
      <c r="D4" s="124">
        <f>SUMIFS(Data_raw!$K$2:$K$483,Data_raw!$F$2:$F$483,MP_T_Eucalipto!D$1,Data_raw!$A$2:$A$483,MP_T_Eucalipto!$A4) / SUMIF(Data_raw!$A$2:$A$483,MP_T_Eucalipto!$A4,Data_raw!$K$2:$K$483)</f>
        <v>0</v>
      </c>
      <c r="E4" s="124">
        <f>SUMIFS(Data_raw!$K$2:$K$483,Data_raw!$F$2:$F$483,MP_T_Eucalipto!E$1,Data_raw!$A$2:$A$483,MP_T_Eucalipto!$A4) / SUMIF(Data_raw!$A$2:$A$483,MP_T_Eucalipto!$A4,Data_raw!$K$2:$K$483)</f>
        <v>0</v>
      </c>
      <c r="F4" s="124">
        <f>SUMIFS(Data_raw!$K$2:$K$483,Data_raw!$F$2:$F$483,MP_T_Eucalipto!F$1,Data_raw!$A$2:$A$483,MP_T_Eucalipto!$A4) / SUMIF(Data_raw!$A$2:$A$483,MP_T_Eucalipto!$A4,Data_raw!$K$2:$K$483)</f>
        <v>0</v>
      </c>
      <c r="G4" s="124">
        <f>SUMIFS(Data_raw!$K$2:$K$483,Data_raw!$F$2:$F$483,MP_T_Eucalipto!G$1,Data_raw!$A$2:$A$483,MP_T_Eucalipto!$A4) / SUMIF(Data_raw!$A$2:$A$483,MP_T_Eucalipto!$A4,Data_raw!$K$2:$K$483)</f>
        <v>0</v>
      </c>
      <c r="H4" s="124">
        <f>SUMIFS(Data_raw!$K$2:$K$483,Data_raw!$F$2:$F$483,MP_T_Eucalipto!H$1,Data_raw!$A$2:$A$483,MP_T_Eucalipto!$A4) / SUMIF(Data_raw!$A$2:$A$483,MP_T_Eucalipto!$A4,Data_raw!$K$2:$K$483)</f>
        <v>0.05864386072</v>
      </c>
      <c r="I4" s="124">
        <f>SUMIFS(Data_raw!$K$2:$K$483,Data_raw!$F$2:$F$483,MP_T_Eucalipto!I$1,Data_raw!$A$2:$A$483,MP_T_Eucalipto!$A4) / SUMIF(Data_raw!$A$2:$A$483,MP_T_Eucalipto!$A4,Data_raw!$K$2:$K$483)</f>
        <v>0</v>
      </c>
      <c r="J4" s="124">
        <f>SUMIFS(Data_raw!$K$2:$K$483,Data_raw!$F$2:$F$483,MP_T_Eucalipto!J$1,Data_raw!$A$2:$A$483,MP_T_Eucalipto!$A4) / SUMIF(Data_raw!$A$2:$A$483,MP_T_Eucalipto!$A4,Data_raw!$K$2:$K$483)</f>
        <v>0</v>
      </c>
      <c r="K4" s="124">
        <f>SUMIFS(Data_raw!$K$2:$K$483,Data_raw!$F$2:$F$483,MP_T_Eucalipto!K$1,Data_raw!$A$2:$A$483,MP_T_Eucalipto!$A4) / SUMIF(Data_raw!$A$2:$A$483,MP_T_Eucalipto!$A4,Data_raw!$K$2:$K$483)</f>
        <v>0.9407452657</v>
      </c>
      <c r="L4" s="124">
        <f>SUMIFS(Data_raw!$K$2:$K$483,Data_raw!$F$2:$F$483,MP_T_Eucalipto!L$1,Data_raw!$A$2:$A$483,MP_T_Eucalipto!$A4) / SUMIF(Data_raw!$A$2:$A$483,MP_T_Eucalipto!$A4,Data_raw!$K$2:$K$483)</f>
        <v>0</v>
      </c>
      <c r="M4" s="124">
        <f>SUMIFS(Data_raw!$K$2:$K$483,Data_raw!$F$2:$F$483,MP_T_Eucalipto!M$1,Data_raw!$A$2:$A$483,MP_T_Eucalipto!$A4) / SUMIF(Data_raw!$A$2:$A$483,MP_T_Eucalipto!$A4,Data_raw!$K$2:$K$483)</f>
        <v>0</v>
      </c>
      <c r="N4" s="124">
        <f>SUMIFS(Data_raw!$K$2:$K$483,Data_raw!$F$2:$F$483,MP_T_Eucalipto!N$1,Data_raw!$A$2:$A$483,MP_T_Eucalipto!$A4) / SUMIF(Data_raw!$A$2:$A$483,MP_T_Eucalipto!$A4,Data_raw!$K$2:$K$483)</f>
        <v>0</v>
      </c>
      <c r="O4" s="124">
        <f>SUMIFS(Data_raw!$K$2:$K$483,Data_raw!$F$2:$F$483,MP_T_Eucalipto!O$1,Data_raw!$A$2:$A$483,MP_T_Eucalipto!$A4) / SUMIF(Data_raw!$A$2:$A$483,MP_T_Eucalipto!$A4,Data_raw!$K$2:$K$483)</f>
        <v>0</v>
      </c>
      <c r="P4" s="124">
        <f>SUMIFS(Data_raw!$K$2:$K$483,Data_raw!$F$2:$F$483,MP_T_Eucalipto!P$1,Data_raw!$A$2:$A$483,MP_T_Eucalipto!$A4) / SUMIF(Data_raw!$A$2:$A$483,MP_T_Eucalipto!$A4,Data_raw!$K$2:$K$483)</f>
        <v>0</v>
      </c>
      <c r="Q4" s="124">
        <f>SUMIFS(Data_raw!$K$2:$K$483,Data_raw!$F$2:$F$483,MP_T_Eucalipto!Q$1,Data_raw!$A$2:$A$483,MP_T_Eucalipto!$A4) / SUMIF(Data_raw!$A$2:$A$483,MP_T_Eucalipto!$A4,Data_raw!$K$2:$K$483)</f>
        <v>0</v>
      </c>
      <c r="R4" s="124">
        <f>SUMIFS(Data_raw!$K$2:$K$483,Data_raw!$F$2:$F$483,MP_T_Eucalipto!R$1,Data_raw!$A$2:$A$483,MP_T_Eucalipto!$A4) / SUMIF(Data_raw!$A$2:$A$483,MP_T_Eucalipto!$A4,Data_raw!$K$2:$K$483)</f>
        <v>0</v>
      </c>
      <c r="S4" s="124">
        <f>SUMIFS(Data_raw!$K$2:$K$483,Data_raw!$F$2:$F$483,MP_T_Eucalipto!S$1,Data_raw!$A$2:$A$483,MP_T_Eucalipto!$A4) / SUMIF(Data_raw!$A$2:$A$483,MP_T_Eucalipto!$A4,Data_raw!$K$2:$K$483)</f>
        <v>0</v>
      </c>
    </row>
    <row r="5">
      <c r="A5" s="63" t="str">
        <f>IFERROR(__xludf.DUMMYFUNCTION("""COMPUTED_VALUE"""),"Hylodes aff. sazimai")</f>
        <v>Hylodes aff. sazimai</v>
      </c>
      <c r="B5" s="124">
        <f>SUMIFS(Data_raw!$K$2:$K$483,Data_raw!$F$2:$F$483,MP_T_Eucalipto!B$1,Data_raw!$A$2:$A$483,MP_T_Eucalipto!$A5) / SUMIF(Data_raw!$A$2:$A$483,MP_T_Eucalipto!$A5,Data_raw!$K$2:$K$483)</f>
        <v>0</v>
      </c>
      <c r="C5" s="124">
        <f>SUMIFS(Data_raw!$K$2:$K$483,Data_raw!$F$2:$F$483,MP_T_Eucalipto!C$1,Data_raw!$A$2:$A$483,MP_T_Eucalipto!$A5) / SUMIF(Data_raw!$A$2:$A$483,MP_T_Eucalipto!$A5,Data_raw!$K$2:$K$483)</f>
        <v>0</v>
      </c>
      <c r="D5" s="124">
        <f>SUMIFS(Data_raw!$K$2:$K$483,Data_raw!$F$2:$F$483,MP_T_Eucalipto!D$1,Data_raw!$A$2:$A$483,MP_T_Eucalipto!$A5) / SUMIF(Data_raw!$A$2:$A$483,MP_T_Eucalipto!$A5,Data_raw!$K$2:$K$483)</f>
        <v>0.03488372093</v>
      </c>
      <c r="E5" s="124">
        <f>SUMIFS(Data_raw!$K$2:$K$483,Data_raw!$F$2:$F$483,MP_T_Eucalipto!E$1,Data_raw!$A$2:$A$483,MP_T_Eucalipto!$A5) / SUMIF(Data_raw!$A$2:$A$483,MP_T_Eucalipto!$A5,Data_raw!$K$2:$K$483)</f>
        <v>0</v>
      </c>
      <c r="F5" s="124">
        <f>SUMIFS(Data_raw!$K$2:$K$483,Data_raw!$F$2:$F$483,MP_T_Eucalipto!F$1,Data_raw!$A$2:$A$483,MP_T_Eucalipto!$A5) / SUMIF(Data_raw!$A$2:$A$483,MP_T_Eucalipto!$A5,Data_raw!$K$2:$K$483)</f>
        <v>0</v>
      </c>
      <c r="G5" s="124">
        <f>SUMIFS(Data_raw!$K$2:$K$483,Data_raw!$F$2:$F$483,MP_T_Eucalipto!G$1,Data_raw!$A$2:$A$483,MP_T_Eucalipto!$A5) / SUMIF(Data_raw!$A$2:$A$483,MP_T_Eucalipto!$A5,Data_raw!$K$2:$K$483)</f>
        <v>0</v>
      </c>
      <c r="H5" s="124">
        <f>SUMIFS(Data_raw!$K$2:$K$483,Data_raw!$F$2:$F$483,MP_T_Eucalipto!H$1,Data_raw!$A$2:$A$483,MP_T_Eucalipto!$A5) / SUMIF(Data_raw!$A$2:$A$483,MP_T_Eucalipto!$A5,Data_raw!$K$2:$K$483)</f>
        <v>0.3139534884</v>
      </c>
      <c r="I5" s="124">
        <f>SUMIFS(Data_raw!$K$2:$K$483,Data_raw!$F$2:$F$483,MP_T_Eucalipto!I$1,Data_raw!$A$2:$A$483,MP_T_Eucalipto!$A5) / SUMIF(Data_raw!$A$2:$A$483,MP_T_Eucalipto!$A5,Data_raw!$K$2:$K$483)</f>
        <v>0.1395348837</v>
      </c>
      <c r="J5" s="124">
        <f>SUMIFS(Data_raw!$K$2:$K$483,Data_raw!$F$2:$F$483,MP_T_Eucalipto!J$1,Data_raw!$A$2:$A$483,MP_T_Eucalipto!$A5) / SUMIF(Data_raw!$A$2:$A$483,MP_T_Eucalipto!$A5,Data_raw!$K$2:$K$483)</f>
        <v>0</v>
      </c>
      <c r="K5" s="124">
        <f>SUMIFS(Data_raw!$K$2:$K$483,Data_raw!$F$2:$F$483,MP_T_Eucalipto!K$1,Data_raw!$A$2:$A$483,MP_T_Eucalipto!$A5) / SUMIF(Data_raw!$A$2:$A$483,MP_T_Eucalipto!$A5,Data_raw!$K$2:$K$483)</f>
        <v>0</v>
      </c>
      <c r="L5" s="124">
        <f>SUMIFS(Data_raw!$K$2:$K$483,Data_raw!$F$2:$F$483,MP_T_Eucalipto!L$1,Data_raw!$A$2:$A$483,MP_T_Eucalipto!$A5) / SUMIF(Data_raw!$A$2:$A$483,MP_T_Eucalipto!$A5,Data_raw!$K$2:$K$483)</f>
        <v>0</v>
      </c>
      <c r="M5" s="124">
        <f>SUMIFS(Data_raw!$K$2:$K$483,Data_raw!$F$2:$F$483,MP_T_Eucalipto!M$1,Data_raw!$A$2:$A$483,MP_T_Eucalipto!$A5) / SUMIF(Data_raw!$A$2:$A$483,MP_T_Eucalipto!$A5,Data_raw!$K$2:$K$483)</f>
        <v>0</v>
      </c>
      <c r="N5" s="124">
        <f>SUMIFS(Data_raw!$K$2:$K$483,Data_raw!$F$2:$F$483,MP_T_Eucalipto!N$1,Data_raw!$A$2:$A$483,MP_T_Eucalipto!$A5) / SUMIF(Data_raw!$A$2:$A$483,MP_T_Eucalipto!$A5,Data_raw!$K$2:$K$483)</f>
        <v>0</v>
      </c>
      <c r="O5" s="124">
        <f>SUMIFS(Data_raw!$K$2:$K$483,Data_raw!$F$2:$F$483,MP_T_Eucalipto!O$1,Data_raw!$A$2:$A$483,MP_T_Eucalipto!$A5) / SUMIF(Data_raw!$A$2:$A$483,MP_T_Eucalipto!$A5,Data_raw!$K$2:$K$483)</f>
        <v>0</v>
      </c>
      <c r="P5" s="124">
        <f>SUMIFS(Data_raw!$K$2:$K$483,Data_raw!$F$2:$F$483,MP_T_Eucalipto!P$1,Data_raw!$A$2:$A$483,MP_T_Eucalipto!$A5) / SUMIF(Data_raw!$A$2:$A$483,MP_T_Eucalipto!$A5,Data_raw!$K$2:$K$483)</f>
        <v>0</v>
      </c>
      <c r="Q5" s="124">
        <f>SUMIFS(Data_raw!$K$2:$K$483,Data_raw!$F$2:$F$483,MP_T_Eucalipto!Q$1,Data_raw!$A$2:$A$483,MP_T_Eucalipto!$A5) / SUMIF(Data_raw!$A$2:$A$483,MP_T_Eucalipto!$A5,Data_raw!$K$2:$K$483)</f>
        <v>0</v>
      </c>
      <c r="R5" s="124">
        <f>SUMIFS(Data_raw!$K$2:$K$483,Data_raw!$F$2:$F$483,MP_T_Eucalipto!R$1,Data_raw!$A$2:$A$483,MP_T_Eucalipto!$A5) / SUMIF(Data_raw!$A$2:$A$483,MP_T_Eucalipto!$A5,Data_raw!$K$2:$K$483)</f>
        <v>0</v>
      </c>
      <c r="S5" s="124">
        <f>SUMIFS(Data_raw!$K$2:$K$483,Data_raw!$F$2:$F$483,MP_T_Eucalipto!S$1,Data_raw!$A$2:$A$483,MP_T_Eucalipto!$A5) / SUMIF(Data_raw!$A$2:$A$483,MP_T_Eucalipto!$A5,Data_raw!$K$2:$K$483)</f>
        <v>0.2790697674</v>
      </c>
    </row>
    <row r="6">
      <c r="A6" s="63" t="str">
        <f>IFERROR(__xludf.DUMMYFUNCTION("""COMPUTED_VALUE"""),"Ischnocnema guentheri")</f>
        <v>Ischnocnema guentheri</v>
      </c>
      <c r="B6" s="124">
        <f>SUMIFS(Data_raw!$K$2:$K$483,Data_raw!$F$2:$F$483,MP_T_Eucalipto!B$1,Data_raw!$A$2:$A$483,MP_T_Eucalipto!$A6) / SUMIF(Data_raw!$A$2:$A$483,MP_T_Eucalipto!$A6,Data_raw!$K$2:$K$483)</f>
        <v>0</v>
      </c>
      <c r="C6" s="124">
        <f>SUMIFS(Data_raw!$K$2:$K$483,Data_raw!$F$2:$F$483,MP_T_Eucalipto!C$1,Data_raw!$A$2:$A$483,MP_T_Eucalipto!$A6) / SUMIF(Data_raw!$A$2:$A$483,MP_T_Eucalipto!$A6,Data_raw!$K$2:$K$483)</f>
        <v>0</v>
      </c>
      <c r="D6" s="124">
        <f>SUMIFS(Data_raw!$K$2:$K$483,Data_raw!$F$2:$F$483,MP_T_Eucalipto!D$1,Data_raw!$A$2:$A$483,MP_T_Eucalipto!$A6) / SUMIF(Data_raw!$A$2:$A$483,MP_T_Eucalipto!$A6,Data_raw!$K$2:$K$483)</f>
        <v>0.02781546811</v>
      </c>
      <c r="E6" s="124">
        <f>SUMIFS(Data_raw!$K$2:$K$483,Data_raw!$F$2:$F$483,MP_T_Eucalipto!E$1,Data_raw!$A$2:$A$483,MP_T_Eucalipto!$A6) / SUMIF(Data_raw!$A$2:$A$483,MP_T_Eucalipto!$A6,Data_raw!$K$2:$K$483)</f>
        <v>0</v>
      </c>
      <c r="F6" s="124">
        <f>SUMIFS(Data_raw!$K$2:$K$483,Data_raw!$F$2:$F$483,MP_T_Eucalipto!F$1,Data_raw!$A$2:$A$483,MP_T_Eucalipto!$A6) / SUMIF(Data_raw!$A$2:$A$483,MP_T_Eucalipto!$A6,Data_raw!$K$2:$K$483)</f>
        <v>0.3500678426</v>
      </c>
      <c r="G6" s="124">
        <f>SUMIFS(Data_raw!$K$2:$K$483,Data_raw!$F$2:$F$483,MP_T_Eucalipto!G$1,Data_raw!$A$2:$A$483,MP_T_Eucalipto!$A6) / SUMIF(Data_raw!$A$2:$A$483,MP_T_Eucalipto!$A6,Data_raw!$K$2:$K$483)</f>
        <v>0.08208955224</v>
      </c>
      <c r="H6" s="124">
        <f>SUMIFS(Data_raw!$K$2:$K$483,Data_raw!$F$2:$F$483,MP_T_Eucalipto!H$1,Data_raw!$A$2:$A$483,MP_T_Eucalipto!$A6) / SUMIF(Data_raw!$A$2:$A$483,MP_T_Eucalipto!$A6,Data_raw!$K$2:$K$483)</f>
        <v>0.2917232022</v>
      </c>
      <c r="I6" s="124">
        <f>SUMIFS(Data_raw!$K$2:$K$483,Data_raw!$F$2:$F$483,MP_T_Eucalipto!I$1,Data_raw!$A$2:$A$483,MP_T_Eucalipto!$A6) / SUMIF(Data_raw!$A$2:$A$483,MP_T_Eucalipto!$A6,Data_raw!$K$2:$K$483)</f>
        <v>0</v>
      </c>
      <c r="J6" s="124">
        <f>SUMIFS(Data_raw!$K$2:$K$483,Data_raw!$F$2:$F$483,MP_T_Eucalipto!J$1,Data_raw!$A$2:$A$483,MP_T_Eucalipto!$A6) / SUMIF(Data_raw!$A$2:$A$483,MP_T_Eucalipto!$A6,Data_raw!$K$2:$K$483)</f>
        <v>0.09362279512</v>
      </c>
      <c r="K6" s="124">
        <f>SUMIFS(Data_raw!$K$2:$K$483,Data_raw!$F$2:$F$483,MP_T_Eucalipto!K$1,Data_raw!$A$2:$A$483,MP_T_Eucalipto!$A6) / SUMIF(Data_raw!$A$2:$A$483,MP_T_Eucalipto!$A6,Data_raw!$K$2:$K$483)</f>
        <v>0.01356852103</v>
      </c>
      <c r="L6" s="124">
        <f>SUMIFS(Data_raw!$K$2:$K$483,Data_raw!$F$2:$F$483,MP_T_Eucalipto!L$1,Data_raw!$A$2:$A$483,MP_T_Eucalipto!$A6) / SUMIF(Data_raw!$A$2:$A$483,MP_T_Eucalipto!$A6,Data_raw!$K$2:$K$483)</f>
        <v>0</v>
      </c>
      <c r="M6" s="124">
        <f>SUMIFS(Data_raw!$K$2:$K$483,Data_raw!$F$2:$F$483,MP_T_Eucalipto!M$1,Data_raw!$A$2:$A$483,MP_T_Eucalipto!$A6) / SUMIF(Data_raw!$A$2:$A$483,MP_T_Eucalipto!$A6,Data_raw!$K$2:$K$483)</f>
        <v>0</v>
      </c>
      <c r="N6" s="124">
        <f>SUMIFS(Data_raw!$K$2:$K$483,Data_raw!$F$2:$F$483,MP_T_Eucalipto!N$1,Data_raw!$A$2:$A$483,MP_T_Eucalipto!$A6) / SUMIF(Data_raw!$A$2:$A$483,MP_T_Eucalipto!$A6,Data_raw!$K$2:$K$483)</f>
        <v>0</v>
      </c>
      <c r="O6" s="124">
        <f>SUMIFS(Data_raw!$K$2:$K$483,Data_raw!$F$2:$F$483,MP_T_Eucalipto!O$1,Data_raw!$A$2:$A$483,MP_T_Eucalipto!$A6) / SUMIF(Data_raw!$A$2:$A$483,MP_T_Eucalipto!$A6,Data_raw!$K$2:$K$483)</f>
        <v>0.1194029851</v>
      </c>
      <c r="P6" s="124">
        <f>SUMIFS(Data_raw!$K$2:$K$483,Data_raw!$F$2:$F$483,MP_T_Eucalipto!P$1,Data_raw!$A$2:$A$483,MP_T_Eucalipto!$A6) / SUMIF(Data_raw!$A$2:$A$483,MP_T_Eucalipto!$A6,Data_raw!$K$2:$K$483)</f>
        <v>0</v>
      </c>
      <c r="Q6" s="124">
        <f>SUMIFS(Data_raw!$K$2:$K$483,Data_raw!$F$2:$F$483,MP_T_Eucalipto!Q$1,Data_raw!$A$2:$A$483,MP_T_Eucalipto!$A6) / SUMIF(Data_raw!$A$2:$A$483,MP_T_Eucalipto!$A6,Data_raw!$K$2:$K$483)</f>
        <v>0</v>
      </c>
      <c r="R6" s="124">
        <f>SUMIFS(Data_raw!$K$2:$K$483,Data_raw!$F$2:$F$483,MP_T_Eucalipto!R$1,Data_raw!$A$2:$A$483,MP_T_Eucalipto!$A6) / SUMIF(Data_raw!$A$2:$A$483,MP_T_Eucalipto!$A6,Data_raw!$K$2:$K$483)</f>
        <v>0.02170963365</v>
      </c>
      <c r="S6" s="124">
        <f>SUMIFS(Data_raw!$K$2:$K$483,Data_raw!$F$2:$F$483,MP_T_Eucalipto!S$1,Data_raw!$A$2:$A$483,MP_T_Eucalipto!$A6) / SUMIF(Data_raw!$A$2:$A$483,MP_T_Eucalipto!$A6,Data_raw!$K$2:$K$483)</f>
        <v>0</v>
      </c>
    </row>
    <row r="7">
      <c r="A7" s="63" t="str">
        <f>IFERROR(__xludf.DUMMYFUNCTION("""COMPUTED_VALUE"""),"Ischnocnema juipoca")</f>
        <v>Ischnocnema juipoca</v>
      </c>
      <c r="B7" s="124">
        <f>SUMIFS(Data_raw!$K$2:$K$483,Data_raw!$F$2:$F$483,MP_T_Eucalipto!B$1,Data_raw!$A$2:$A$483,MP_T_Eucalipto!$A7) / SUMIF(Data_raw!$A$2:$A$483,MP_T_Eucalipto!$A7,Data_raw!$K$2:$K$483)</f>
        <v>0</v>
      </c>
      <c r="C7" s="124">
        <f>SUMIFS(Data_raw!$K$2:$K$483,Data_raw!$F$2:$F$483,MP_T_Eucalipto!C$1,Data_raw!$A$2:$A$483,MP_T_Eucalipto!$A7) / SUMIF(Data_raw!$A$2:$A$483,MP_T_Eucalipto!$A7,Data_raw!$K$2:$K$483)</f>
        <v>0</v>
      </c>
      <c r="D7" s="124">
        <f>SUMIFS(Data_raw!$K$2:$K$483,Data_raw!$F$2:$F$483,MP_T_Eucalipto!D$1,Data_raw!$A$2:$A$483,MP_T_Eucalipto!$A7) / SUMIF(Data_raw!$A$2:$A$483,MP_T_Eucalipto!$A7,Data_raw!$K$2:$K$483)</f>
        <v>0.433295325</v>
      </c>
      <c r="E7" s="124">
        <f>SUMIFS(Data_raw!$K$2:$K$483,Data_raw!$F$2:$F$483,MP_T_Eucalipto!E$1,Data_raw!$A$2:$A$483,MP_T_Eucalipto!$A7) / SUMIF(Data_raw!$A$2:$A$483,MP_T_Eucalipto!$A7,Data_raw!$K$2:$K$483)</f>
        <v>0</v>
      </c>
      <c r="F7" s="124">
        <f>SUMIFS(Data_raw!$K$2:$K$483,Data_raw!$F$2:$F$483,MP_T_Eucalipto!F$1,Data_raw!$A$2:$A$483,MP_T_Eucalipto!$A7) / SUMIF(Data_raw!$A$2:$A$483,MP_T_Eucalipto!$A7,Data_raw!$K$2:$K$483)</f>
        <v>0</v>
      </c>
      <c r="G7" s="124">
        <f>SUMIFS(Data_raw!$K$2:$K$483,Data_raw!$F$2:$F$483,MP_T_Eucalipto!G$1,Data_raw!$A$2:$A$483,MP_T_Eucalipto!$A7) / SUMIF(Data_raw!$A$2:$A$483,MP_T_Eucalipto!$A7,Data_raw!$K$2:$K$483)</f>
        <v>0.04561003421</v>
      </c>
      <c r="H7" s="124">
        <f>SUMIFS(Data_raw!$K$2:$K$483,Data_raw!$F$2:$F$483,MP_T_Eucalipto!H$1,Data_raw!$A$2:$A$483,MP_T_Eucalipto!$A7) / SUMIF(Data_raw!$A$2:$A$483,MP_T_Eucalipto!$A7,Data_raw!$K$2:$K$483)</f>
        <v>0.2189281642</v>
      </c>
      <c r="I7" s="124">
        <f>SUMIFS(Data_raw!$K$2:$K$483,Data_raw!$F$2:$F$483,MP_T_Eucalipto!I$1,Data_raw!$A$2:$A$483,MP_T_Eucalipto!$A7) / SUMIF(Data_raw!$A$2:$A$483,MP_T_Eucalipto!$A7,Data_raw!$K$2:$K$483)</f>
        <v>0.001140250855</v>
      </c>
      <c r="J7" s="124">
        <f>SUMIFS(Data_raw!$K$2:$K$483,Data_raw!$F$2:$F$483,MP_T_Eucalipto!J$1,Data_raw!$A$2:$A$483,MP_T_Eucalipto!$A7) / SUMIF(Data_raw!$A$2:$A$483,MP_T_Eucalipto!$A7,Data_raw!$K$2:$K$483)</f>
        <v>0</v>
      </c>
      <c r="K7" s="124">
        <f>SUMIFS(Data_raw!$K$2:$K$483,Data_raw!$F$2:$F$483,MP_T_Eucalipto!K$1,Data_raw!$A$2:$A$483,MP_T_Eucalipto!$A7) / SUMIF(Data_raw!$A$2:$A$483,MP_T_Eucalipto!$A7,Data_raw!$K$2:$K$483)</f>
        <v>0.004561003421</v>
      </c>
      <c r="L7" s="124">
        <f>SUMIFS(Data_raw!$K$2:$K$483,Data_raw!$F$2:$F$483,MP_T_Eucalipto!L$1,Data_raw!$A$2:$A$483,MP_T_Eucalipto!$A7) / SUMIF(Data_raw!$A$2:$A$483,MP_T_Eucalipto!$A7,Data_raw!$K$2:$K$483)</f>
        <v>0</v>
      </c>
      <c r="M7" s="124">
        <f>SUMIFS(Data_raw!$K$2:$K$483,Data_raw!$F$2:$F$483,MP_T_Eucalipto!M$1,Data_raw!$A$2:$A$483,MP_T_Eucalipto!$A7) / SUMIF(Data_raw!$A$2:$A$483,MP_T_Eucalipto!$A7,Data_raw!$K$2:$K$483)</f>
        <v>0</v>
      </c>
      <c r="N7" s="124">
        <f>SUMIFS(Data_raw!$K$2:$K$483,Data_raw!$F$2:$F$483,MP_T_Eucalipto!N$1,Data_raw!$A$2:$A$483,MP_T_Eucalipto!$A7) / SUMIF(Data_raw!$A$2:$A$483,MP_T_Eucalipto!$A7,Data_raw!$K$2:$K$483)</f>
        <v>0.2645381984</v>
      </c>
      <c r="O7" s="124">
        <f>SUMIFS(Data_raw!$K$2:$K$483,Data_raw!$F$2:$F$483,MP_T_Eucalipto!O$1,Data_raw!$A$2:$A$483,MP_T_Eucalipto!$A7) / SUMIF(Data_raw!$A$2:$A$483,MP_T_Eucalipto!$A7,Data_raw!$K$2:$K$483)</f>
        <v>0</v>
      </c>
      <c r="P7" s="124">
        <f>SUMIFS(Data_raw!$K$2:$K$483,Data_raw!$F$2:$F$483,MP_T_Eucalipto!P$1,Data_raw!$A$2:$A$483,MP_T_Eucalipto!$A7) / SUMIF(Data_raw!$A$2:$A$483,MP_T_Eucalipto!$A7,Data_raw!$K$2:$K$483)</f>
        <v>0</v>
      </c>
      <c r="Q7" s="124">
        <f>SUMIFS(Data_raw!$K$2:$K$483,Data_raw!$F$2:$F$483,MP_T_Eucalipto!Q$1,Data_raw!$A$2:$A$483,MP_T_Eucalipto!$A7) / SUMIF(Data_raw!$A$2:$A$483,MP_T_Eucalipto!$A7,Data_raw!$K$2:$K$483)</f>
        <v>0</v>
      </c>
      <c r="R7" s="124">
        <f>SUMIFS(Data_raw!$K$2:$K$483,Data_raw!$F$2:$F$483,MP_T_Eucalipto!R$1,Data_raw!$A$2:$A$483,MP_T_Eucalipto!$A7) / SUMIF(Data_raw!$A$2:$A$483,MP_T_Eucalipto!$A7,Data_raw!$K$2:$K$483)</f>
        <v>0.0228050171</v>
      </c>
      <c r="S7" s="124">
        <f>SUMIFS(Data_raw!$K$2:$K$483,Data_raw!$F$2:$F$483,MP_T_Eucalipto!S$1,Data_raw!$A$2:$A$483,MP_T_Eucalipto!$A7) / SUMIF(Data_raw!$A$2:$A$483,MP_T_Eucalipto!$A7,Data_raw!$K$2:$K$483)</f>
        <v>0.009122006842</v>
      </c>
    </row>
    <row r="8">
      <c r="A8" s="63" t="str">
        <f>IFERROR(__xludf.DUMMYFUNCTION("""COMPUTED_VALUE"""),"Ololygon obtriangulata")</f>
        <v>Ololygon obtriangulata</v>
      </c>
      <c r="B8" s="124">
        <f>SUMIFS(Data_raw!$K$2:$K$483,Data_raw!$F$2:$F$483,MP_T_Eucalipto!B$1,Data_raw!$A$2:$A$483,MP_T_Eucalipto!$A8) / SUMIF(Data_raw!$A$2:$A$483,MP_T_Eucalipto!$A8,Data_raw!$K$2:$K$483)</f>
        <v>0</v>
      </c>
      <c r="C8" s="124">
        <f>SUMIFS(Data_raw!$K$2:$K$483,Data_raw!$F$2:$F$483,MP_T_Eucalipto!C$1,Data_raw!$A$2:$A$483,MP_T_Eucalipto!$A8) / SUMIF(Data_raw!$A$2:$A$483,MP_T_Eucalipto!$A8,Data_raw!$K$2:$K$483)</f>
        <v>0</v>
      </c>
      <c r="D8" s="124">
        <f>SUMIFS(Data_raw!$K$2:$K$483,Data_raw!$F$2:$F$483,MP_T_Eucalipto!D$1,Data_raw!$A$2:$A$483,MP_T_Eucalipto!$A8) / SUMIF(Data_raw!$A$2:$A$483,MP_T_Eucalipto!$A8,Data_raw!$K$2:$K$483)</f>
        <v>0.888</v>
      </c>
      <c r="E8" s="124">
        <f>SUMIFS(Data_raw!$K$2:$K$483,Data_raw!$F$2:$F$483,MP_T_Eucalipto!E$1,Data_raw!$A$2:$A$483,MP_T_Eucalipto!$A8) / SUMIF(Data_raw!$A$2:$A$483,MP_T_Eucalipto!$A8,Data_raw!$K$2:$K$483)</f>
        <v>0</v>
      </c>
      <c r="F8" s="124">
        <f>SUMIFS(Data_raw!$K$2:$K$483,Data_raw!$F$2:$F$483,MP_T_Eucalipto!F$1,Data_raw!$A$2:$A$483,MP_T_Eucalipto!$A8) / SUMIF(Data_raw!$A$2:$A$483,MP_T_Eucalipto!$A8,Data_raw!$K$2:$K$483)</f>
        <v>0</v>
      </c>
      <c r="G8" s="124">
        <f>SUMIFS(Data_raw!$K$2:$K$483,Data_raw!$F$2:$F$483,MP_T_Eucalipto!G$1,Data_raw!$A$2:$A$483,MP_T_Eucalipto!$A8) / SUMIF(Data_raw!$A$2:$A$483,MP_T_Eucalipto!$A8,Data_raw!$K$2:$K$483)</f>
        <v>0</v>
      </c>
      <c r="H8" s="124">
        <f>SUMIFS(Data_raw!$K$2:$K$483,Data_raw!$F$2:$F$483,MP_T_Eucalipto!H$1,Data_raw!$A$2:$A$483,MP_T_Eucalipto!$A8) / SUMIF(Data_raw!$A$2:$A$483,MP_T_Eucalipto!$A8,Data_raw!$K$2:$K$483)</f>
        <v>0.016</v>
      </c>
      <c r="I8" s="124">
        <f>SUMIFS(Data_raw!$K$2:$K$483,Data_raw!$F$2:$F$483,MP_T_Eucalipto!I$1,Data_raw!$A$2:$A$483,MP_T_Eucalipto!$A8) / SUMIF(Data_raw!$A$2:$A$483,MP_T_Eucalipto!$A8,Data_raw!$K$2:$K$483)</f>
        <v>0</v>
      </c>
      <c r="J8" s="124">
        <f>SUMIFS(Data_raw!$K$2:$K$483,Data_raw!$F$2:$F$483,MP_T_Eucalipto!J$1,Data_raw!$A$2:$A$483,MP_T_Eucalipto!$A8) / SUMIF(Data_raw!$A$2:$A$483,MP_T_Eucalipto!$A8,Data_raw!$K$2:$K$483)</f>
        <v>0</v>
      </c>
      <c r="K8" s="124">
        <f>SUMIFS(Data_raw!$K$2:$K$483,Data_raw!$F$2:$F$483,MP_T_Eucalipto!K$1,Data_raw!$A$2:$A$483,MP_T_Eucalipto!$A8) / SUMIF(Data_raw!$A$2:$A$483,MP_T_Eucalipto!$A8,Data_raw!$K$2:$K$483)</f>
        <v>0</v>
      </c>
      <c r="L8" s="124">
        <f>SUMIFS(Data_raw!$K$2:$K$483,Data_raw!$F$2:$F$483,MP_T_Eucalipto!L$1,Data_raw!$A$2:$A$483,MP_T_Eucalipto!$A8) / SUMIF(Data_raw!$A$2:$A$483,MP_T_Eucalipto!$A8,Data_raw!$K$2:$K$483)</f>
        <v>0</v>
      </c>
      <c r="M8" s="124">
        <f>SUMIFS(Data_raw!$K$2:$K$483,Data_raw!$F$2:$F$483,MP_T_Eucalipto!M$1,Data_raw!$A$2:$A$483,MP_T_Eucalipto!$A8) / SUMIF(Data_raw!$A$2:$A$483,MP_T_Eucalipto!$A8,Data_raw!$K$2:$K$483)</f>
        <v>0</v>
      </c>
      <c r="N8" s="124">
        <f>SUMIFS(Data_raw!$K$2:$K$483,Data_raw!$F$2:$F$483,MP_T_Eucalipto!N$1,Data_raw!$A$2:$A$483,MP_T_Eucalipto!$A8) / SUMIF(Data_raw!$A$2:$A$483,MP_T_Eucalipto!$A8,Data_raw!$K$2:$K$483)</f>
        <v>0</v>
      </c>
      <c r="O8" s="124">
        <f>SUMIFS(Data_raw!$K$2:$K$483,Data_raw!$F$2:$F$483,MP_T_Eucalipto!O$1,Data_raw!$A$2:$A$483,MP_T_Eucalipto!$A8) / SUMIF(Data_raw!$A$2:$A$483,MP_T_Eucalipto!$A8,Data_raw!$K$2:$K$483)</f>
        <v>0</v>
      </c>
      <c r="P8" s="124">
        <f>SUMIFS(Data_raw!$K$2:$K$483,Data_raw!$F$2:$F$483,MP_T_Eucalipto!P$1,Data_raw!$A$2:$A$483,MP_T_Eucalipto!$A8) / SUMIF(Data_raw!$A$2:$A$483,MP_T_Eucalipto!$A8,Data_raw!$K$2:$K$483)</f>
        <v>0</v>
      </c>
      <c r="Q8" s="124">
        <f>SUMIFS(Data_raw!$K$2:$K$483,Data_raw!$F$2:$F$483,MP_T_Eucalipto!Q$1,Data_raw!$A$2:$A$483,MP_T_Eucalipto!$A8) / SUMIF(Data_raw!$A$2:$A$483,MP_T_Eucalipto!$A8,Data_raw!$K$2:$K$483)</f>
        <v>0</v>
      </c>
      <c r="R8" s="124">
        <f>SUMIFS(Data_raw!$K$2:$K$483,Data_raw!$F$2:$F$483,MP_T_Eucalipto!R$1,Data_raw!$A$2:$A$483,MP_T_Eucalipto!$A8) / SUMIF(Data_raw!$A$2:$A$483,MP_T_Eucalipto!$A8,Data_raw!$K$2:$K$483)</f>
        <v>0</v>
      </c>
      <c r="S8" s="124">
        <f>SUMIFS(Data_raw!$K$2:$K$483,Data_raw!$F$2:$F$483,MP_T_Eucalipto!S$1,Data_raw!$A$2:$A$483,MP_T_Eucalipto!$A8) / SUMIF(Data_raw!$A$2:$A$483,MP_T_Eucalipto!$A8,Data_raw!$K$2:$K$483)</f>
        <v>0</v>
      </c>
    </row>
    <row r="9">
      <c r="A9" s="63" t="str">
        <f>IFERROR(__xludf.DUMMYFUNCTION("""COMPUTED_VALUE"""),"Physalaemus olfersii")</f>
        <v>Physalaemus olfersii</v>
      </c>
      <c r="B9" s="124">
        <f>SUMIFS(Data_raw!$K$2:$K$483,Data_raw!$F$2:$F$483,MP_T_Eucalipto!B$1,Data_raw!$A$2:$A$483,MP_T_Eucalipto!$A9) / SUMIF(Data_raw!$A$2:$A$483,MP_T_Eucalipto!$A9,Data_raw!$K$2:$K$483)</f>
        <v>0</v>
      </c>
      <c r="C9" s="124">
        <f>SUMIFS(Data_raw!$K$2:$K$483,Data_raw!$F$2:$F$483,MP_T_Eucalipto!C$1,Data_raw!$A$2:$A$483,MP_T_Eucalipto!$A9) / SUMIF(Data_raw!$A$2:$A$483,MP_T_Eucalipto!$A9,Data_raw!$K$2:$K$483)</f>
        <v>0</v>
      </c>
      <c r="D9" s="124">
        <f>SUMIFS(Data_raw!$K$2:$K$483,Data_raw!$F$2:$F$483,MP_T_Eucalipto!D$1,Data_raw!$A$2:$A$483,MP_T_Eucalipto!$A9) / SUMIF(Data_raw!$A$2:$A$483,MP_T_Eucalipto!$A9,Data_raw!$K$2:$K$483)</f>
        <v>0.01760176018</v>
      </c>
      <c r="E9" s="124">
        <f>SUMIFS(Data_raw!$K$2:$K$483,Data_raw!$F$2:$F$483,MP_T_Eucalipto!E$1,Data_raw!$A$2:$A$483,MP_T_Eucalipto!$A9) / SUMIF(Data_raw!$A$2:$A$483,MP_T_Eucalipto!$A9,Data_raw!$K$2:$K$483)</f>
        <v>0</v>
      </c>
      <c r="F9" s="124">
        <f>SUMIFS(Data_raw!$K$2:$K$483,Data_raw!$F$2:$F$483,MP_T_Eucalipto!F$1,Data_raw!$A$2:$A$483,MP_T_Eucalipto!$A9) / SUMIF(Data_raw!$A$2:$A$483,MP_T_Eucalipto!$A9,Data_raw!$K$2:$K$483)</f>
        <v>0</v>
      </c>
      <c r="G9" s="124">
        <f>SUMIFS(Data_raw!$K$2:$K$483,Data_raw!$F$2:$F$483,MP_T_Eucalipto!G$1,Data_raw!$A$2:$A$483,MP_T_Eucalipto!$A9) / SUMIF(Data_raw!$A$2:$A$483,MP_T_Eucalipto!$A9,Data_raw!$K$2:$K$483)</f>
        <v>0</v>
      </c>
      <c r="H9" s="124">
        <f>SUMIFS(Data_raw!$K$2:$K$483,Data_raw!$F$2:$F$483,MP_T_Eucalipto!H$1,Data_raw!$A$2:$A$483,MP_T_Eucalipto!$A9) / SUMIF(Data_raw!$A$2:$A$483,MP_T_Eucalipto!$A9,Data_raw!$K$2:$K$483)</f>
        <v>0.3058305831</v>
      </c>
      <c r="I9" s="124">
        <f>SUMIFS(Data_raw!$K$2:$K$483,Data_raw!$F$2:$F$483,MP_T_Eucalipto!I$1,Data_raw!$A$2:$A$483,MP_T_Eucalipto!$A9) / SUMIF(Data_raw!$A$2:$A$483,MP_T_Eucalipto!$A9,Data_raw!$K$2:$K$483)</f>
        <v>0</v>
      </c>
      <c r="J9" s="124">
        <f>SUMIFS(Data_raw!$K$2:$K$483,Data_raw!$F$2:$F$483,MP_T_Eucalipto!J$1,Data_raw!$A$2:$A$483,MP_T_Eucalipto!$A9) / SUMIF(Data_raw!$A$2:$A$483,MP_T_Eucalipto!$A9,Data_raw!$K$2:$K$483)</f>
        <v>0</v>
      </c>
      <c r="K9" s="124">
        <f>SUMIFS(Data_raw!$K$2:$K$483,Data_raw!$F$2:$F$483,MP_T_Eucalipto!K$1,Data_raw!$A$2:$A$483,MP_T_Eucalipto!$A9) / SUMIF(Data_raw!$A$2:$A$483,MP_T_Eucalipto!$A9,Data_raw!$K$2:$K$483)</f>
        <v>0.4653465347</v>
      </c>
      <c r="L9" s="124">
        <f>SUMIFS(Data_raw!$K$2:$K$483,Data_raw!$F$2:$F$483,MP_T_Eucalipto!L$1,Data_raw!$A$2:$A$483,MP_T_Eucalipto!$A9) / SUMIF(Data_raw!$A$2:$A$483,MP_T_Eucalipto!$A9,Data_raw!$K$2:$K$483)</f>
        <v>0</v>
      </c>
      <c r="M9" s="124">
        <f>SUMIFS(Data_raw!$K$2:$K$483,Data_raw!$F$2:$F$483,MP_T_Eucalipto!M$1,Data_raw!$A$2:$A$483,MP_T_Eucalipto!$A9) / SUMIF(Data_raw!$A$2:$A$483,MP_T_Eucalipto!$A9,Data_raw!$K$2:$K$483)</f>
        <v>0</v>
      </c>
      <c r="N9" s="124">
        <f>SUMIFS(Data_raw!$K$2:$K$483,Data_raw!$F$2:$F$483,MP_T_Eucalipto!N$1,Data_raw!$A$2:$A$483,MP_T_Eucalipto!$A9) / SUMIF(Data_raw!$A$2:$A$483,MP_T_Eucalipto!$A9,Data_raw!$K$2:$K$483)</f>
        <v>0</v>
      </c>
      <c r="O9" s="124">
        <f>SUMIFS(Data_raw!$K$2:$K$483,Data_raw!$F$2:$F$483,MP_T_Eucalipto!O$1,Data_raw!$A$2:$A$483,MP_T_Eucalipto!$A9) / SUMIF(Data_raw!$A$2:$A$483,MP_T_Eucalipto!$A9,Data_raw!$K$2:$K$483)</f>
        <v>0</v>
      </c>
      <c r="P9" s="124">
        <f>SUMIFS(Data_raw!$K$2:$K$483,Data_raw!$F$2:$F$483,MP_T_Eucalipto!P$1,Data_raw!$A$2:$A$483,MP_T_Eucalipto!$A9) / SUMIF(Data_raw!$A$2:$A$483,MP_T_Eucalipto!$A9,Data_raw!$K$2:$K$483)</f>
        <v>0</v>
      </c>
      <c r="Q9" s="124">
        <f>SUMIFS(Data_raw!$K$2:$K$483,Data_raw!$F$2:$F$483,MP_T_Eucalipto!Q$1,Data_raw!$A$2:$A$483,MP_T_Eucalipto!$A9) / SUMIF(Data_raw!$A$2:$A$483,MP_T_Eucalipto!$A9,Data_raw!$K$2:$K$483)</f>
        <v>0</v>
      </c>
      <c r="R9" s="124">
        <f>SUMIFS(Data_raw!$K$2:$K$483,Data_raw!$F$2:$F$483,MP_T_Eucalipto!R$1,Data_raw!$A$2:$A$483,MP_T_Eucalipto!$A9) / SUMIF(Data_raw!$A$2:$A$483,MP_T_Eucalipto!$A9,Data_raw!$K$2:$K$483)</f>
        <v>0.2112211221</v>
      </c>
      <c r="S9" s="124">
        <f>SUMIFS(Data_raw!$K$2:$K$483,Data_raw!$F$2:$F$483,MP_T_Eucalipto!S$1,Data_raw!$A$2:$A$483,MP_T_Eucalipto!$A9) / SUMIF(Data_raw!$A$2:$A$483,MP_T_Eucalipto!$A9,Data_raw!$K$2:$K$483)</f>
        <v>0</v>
      </c>
    </row>
    <row r="10">
      <c r="A10" s="63" t="str">
        <f>IFERROR(__xludf.DUMMYFUNCTION("""COMPUTED_VALUE"""),"Proceratophrys boiei")</f>
        <v>Proceratophrys boiei</v>
      </c>
      <c r="B10" s="124">
        <f>SUMIFS(Data_raw!$K$2:$K$483,Data_raw!$F$2:$F$483,MP_T_Eucalipto!B$1,Data_raw!$A$2:$A$483,MP_T_Eucalipto!$A10) / SUMIF(Data_raw!$A$2:$A$483,MP_T_Eucalipto!$A10,Data_raw!$K$2:$K$483)</f>
        <v>0.0002259887006</v>
      </c>
      <c r="C10" s="124">
        <f>SUMIFS(Data_raw!$K$2:$K$483,Data_raw!$F$2:$F$483,MP_T_Eucalipto!C$1,Data_raw!$A$2:$A$483,MP_T_Eucalipto!$A10) / SUMIF(Data_raw!$A$2:$A$483,MP_T_Eucalipto!$A10,Data_raw!$K$2:$K$483)</f>
        <v>0</v>
      </c>
      <c r="D10" s="124">
        <f>SUMIFS(Data_raw!$K$2:$K$483,Data_raw!$F$2:$F$483,MP_T_Eucalipto!D$1,Data_raw!$A$2:$A$483,MP_T_Eucalipto!$A10) / SUMIF(Data_raw!$A$2:$A$483,MP_T_Eucalipto!$A10,Data_raw!$K$2:$K$483)</f>
        <v>0</v>
      </c>
      <c r="E10" s="124">
        <f>SUMIFS(Data_raw!$K$2:$K$483,Data_raw!$F$2:$F$483,MP_T_Eucalipto!E$1,Data_raw!$A$2:$A$483,MP_T_Eucalipto!$A10) / SUMIF(Data_raw!$A$2:$A$483,MP_T_Eucalipto!$A10,Data_raw!$K$2:$K$483)</f>
        <v>0</v>
      </c>
      <c r="F10" s="124">
        <f>SUMIFS(Data_raw!$K$2:$K$483,Data_raw!$F$2:$F$483,MP_T_Eucalipto!F$1,Data_raw!$A$2:$A$483,MP_T_Eucalipto!$A10) / SUMIF(Data_raw!$A$2:$A$483,MP_T_Eucalipto!$A10,Data_raw!$K$2:$K$483)</f>
        <v>0</v>
      </c>
      <c r="G10" s="124">
        <f>SUMIFS(Data_raw!$K$2:$K$483,Data_raw!$F$2:$F$483,MP_T_Eucalipto!G$1,Data_raw!$A$2:$A$483,MP_T_Eucalipto!$A10) / SUMIF(Data_raw!$A$2:$A$483,MP_T_Eucalipto!$A10,Data_raw!$K$2:$K$483)</f>
        <v>0.0009039548023</v>
      </c>
      <c r="H10" s="124">
        <f>SUMIFS(Data_raw!$K$2:$K$483,Data_raw!$F$2:$F$483,MP_T_Eucalipto!H$1,Data_raw!$A$2:$A$483,MP_T_Eucalipto!$A10) / SUMIF(Data_raw!$A$2:$A$483,MP_T_Eucalipto!$A10,Data_raw!$K$2:$K$483)</f>
        <v>0.8666666667</v>
      </c>
      <c r="I10" s="124">
        <f>SUMIFS(Data_raw!$K$2:$K$483,Data_raw!$F$2:$F$483,MP_T_Eucalipto!I$1,Data_raw!$A$2:$A$483,MP_T_Eucalipto!$A10) / SUMIF(Data_raw!$A$2:$A$483,MP_T_Eucalipto!$A10,Data_raw!$K$2:$K$483)</f>
        <v>0</v>
      </c>
      <c r="J10" s="124">
        <f>SUMIFS(Data_raw!$K$2:$K$483,Data_raw!$F$2:$F$483,MP_T_Eucalipto!J$1,Data_raw!$A$2:$A$483,MP_T_Eucalipto!$A10) / SUMIF(Data_raw!$A$2:$A$483,MP_T_Eucalipto!$A10,Data_raw!$K$2:$K$483)</f>
        <v>0</v>
      </c>
      <c r="K10" s="124">
        <f>SUMIFS(Data_raw!$K$2:$K$483,Data_raw!$F$2:$F$483,MP_T_Eucalipto!K$1,Data_raw!$A$2:$A$483,MP_T_Eucalipto!$A10) / SUMIF(Data_raw!$A$2:$A$483,MP_T_Eucalipto!$A10,Data_raw!$K$2:$K$483)</f>
        <v>0</v>
      </c>
      <c r="L10" s="124">
        <f>SUMIFS(Data_raw!$K$2:$K$483,Data_raw!$F$2:$F$483,MP_T_Eucalipto!L$1,Data_raw!$A$2:$A$483,MP_T_Eucalipto!$A10) / SUMIF(Data_raw!$A$2:$A$483,MP_T_Eucalipto!$A10,Data_raw!$K$2:$K$483)</f>
        <v>0</v>
      </c>
      <c r="M10" s="124">
        <f>SUMIFS(Data_raw!$K$2:$K$483,Data_raw!$F$2:$F$483,MP_T_Eucalipto!M$1,Data_raw!$A$2:$A$483,MP_T_Eucalipto!$A10) / SUMIF(Data_raw!$A$2:$A$483,MP_T_Eucalipto!$A10,Data_raw!$K$2:$K$483)</f>
        <v>0</v>
      </c>
      <c r="N10" s="124">
        <f>SUMIFS(Data_raw!$K$2:$K$483,Data_raw!$F$2:$F$483,MP_T_Eucalipto!N$1,Data_raw!$A$2:$A$483,MP_T_Eucalipto!$A10) / SUMIF(Data_raw!$A$2:$A$483,MP_T_Eucalipto!$A10,Data_raw!$K$2:$K$483)</f>
        <v>0</v>
      </c>
      <c r="O10" s="124">
        <f>SUMIFS(Data_raw!$K$2:$K$483,Data_raw!$F$2:$F$483,MP_T_Eucalipto!O$1,Data_raw!$A$2:$A$483,MP_T_Eucalipto!$A10) / SUMIF(Data_raw!$A$2:$A$483,MP_T_Eucalipto!$A10,Data_raw!$K$2:$K$483)</f>
        <v>0</v>
      </c>
      <c r="P10" s="124">
        <f>SUMIFS(Data_raw!$K$2:$K$483,Data_raw!$F$2:$F$483,MP_T_Eucalipto!P$1,Data_raw!$A$2:$A$483,MP_T_Eucalipto!$A10) / SUMIF(Data_raw!$A$2:$A$483,MP_T_Eucalipto!$A10,Data_raw!$K$2:$K$483)</f>
        <v>0</v>
      </c>
      <c r="Q10" s="124">
        <f>SUMIFS(Data_raw!$K$2:$K$483,Data_raw!$F$2:$F$483,MP_T_Eucalipto!Q$1,Data_raw!$A$2:$A$483,MP_T_Eucalipto!$A10) / SUMIF(Data_raw!$A$2:$A$483,MP_T_Eucalipto!$A10,Data_raw!$K$2:$K$483)</f>
        <v>0</v>
      </c>
      <c r="R10" s="124">
        <f>SUMIFS(Data_raw!$K$2:$K$483,Data_raw!$F$2:$F$483,MP_T_Eucalipto!R$1,Data_raw!$A$2:$A$483,MP_T_Eucalipto!$A10) / SUMIF(Data_raw!$A$2:$A$483,MP_T_Eucalipto!$A10,Data_raw!$K$2:$K$483)</f>
        <v>0.01627118644</v>
      </c>
      <c r="S10" s="124">
        <f>SUMIFS(Data_raw!$K$2:$K$483,Data_raw!$F$2:$F$483,MP_T_Eucalipto!S$1,Data_raw!$A$2:$A$483,MP_T_Eucalipto!$A10) / SUMIF(Data_raw!$A$2:$A$483,MP_T_Eucalipto!$A10,Data_raw!$K$2:$K$483)</f>
        <v>0</v>
      </c>
    </row>
    <row r="11">
      <c r="A11" s="63" t="str">
        <f>IFERROR(__xludf.DUMMYFUNCTION("""COMPUTED_VALUE"""),"Rhinella icterica")</f>
        <v>Rhinella icterica</v>
      </c>
      <c r="B11" s="124">
        <f>SUMIFS(Data_raw!$K$2:$K$483,Data_raw!$F$2:$F$483,MP_T_Eucalipto!B$1,Data_raw!$A$2:$A$483,MP_T_Eucalipto!$A11) / SUMIF(Data_raw!$A$2:$A$483,MP_T_Eucalipto!$A11,Data_raw!$K$2:$K$483)</f>
        <v>0</v>
      </c>
      <c r="C11" s="124">
        <f>SUMIFS(Data_raw!$K$2:$K$483,Data_raw!$F$2:$F$483,MP_T_Eucalipto!C$1,Data_raw!$A$2:$A$483,MP_T_Eucalipto!$A11) / SUMIF(Data_raw!$A$2:$A$483,MP_T_Eucalipto!$A11,Data_raw!$K$2:$K$483)</f>
        <v>0</v>
      </c>
      <c r="D11" s="124">
        <f>SUMIFS(Data_raw!$K$2:$K$483,Data_raw!$F$2:$F$483,MP_T_Eucalipto!D$1,Data_raw!$A$2:$A$483,MP_T_Eucalipto!$A11) / SUMIF(Data_raw!$A$2:$A$483,MP_T_Eucalipto!$A11,Data_raw!$K$2:$K$483)</f>
        <v>0</v>
      </c>
      <c r="E11" s="124">
        <f>SUMIFS(Data_raw!$K$2:$K$483,Data_raw!$F$2:$F$483,MP_T_Eucalipto!E$1,Data_raw!$A$2:$A$483,MP_T_Eucalipto!$A11) / SUMIF(Data_raw!$A$2:$A$483,MP_T_Eucalipto!$A11,Data_raw!$K$2:$K$483)</f>
        <v>0</v>
      </c>
      <c r="F11" s="124">
        <f>SUMIFS(Data_raw!$K$2:$K$483,Data_raw!$F$2:$F$483,MP_T_Eucalipto!F$1,Data_raw!$A$2:$A$483,MP_T_Eucalipto!$A11) / SUMIF(Data_raw!$A$2:$A$483,MP_T_Eucalipto!$A11,Data_raw!$K$2:$K$483)</f>
        <v>0</v>
      </c>
      <c r="G11" s="124">
        <f>SUMIFS(Data_raw!$K$2:$K$483,Data_raw!$F$2:$F$483,MP_T_Eucalipto!G$1,Data_raw!$A$2:$A$483,MP_T_Eucalipto!$A11) / SUMIF(Data_raw!$A$2:$A$483,MP_T_Eucalipto!$A11,Data_raw!$K$2:$K$483)</f>
        <v>0</v>
      </c>
      <c r="H11" s="124">
        <f>SUMIFS(Data_raw!$K$2:$K$483,Data_raw!$F$2:$F$483,MP_T_Eucalipto!H$1,Data_raw!$A$2:$A$483,MP_T_Eucalipto!$A11) / SUMIF(Data_raw!$A$2:$A$483,MP_T_Eucalipto!$A11,Data_raw!$K$2:$K$483)</f>
        <v>0.9169876537</v>
      </c>
      <c r="I11" s="124">
        <f>SUMIFS(Data_raw!$K$2:$K$483,Data_raw!$F$2:$F$483,MP_T_Eucalipto!I$1,Data_raw!$A$2:$A$483,MP_T_Eucalipto!$A11) / SUMIF(Data_raw!$A$2:$A$483,MP_T_Eucalipto!$A11,Data_raw!$K$2:$K$483)</f>
        <v>0</v>
      </c>
      <c r="J11" s="124">
        <f>SUMIFS(Data_raw!$K$2:$K$483,Data_raw!$F$2:$F$483,MP_T_Eucalipto!J$1,Data_raw!$A$2:$A$483,MP_T_Eucalipto!$A11) / SUMIF(Data_raw!$A$2:$A$483,MP_T_Eucalipto!$A11,Data_raw!$K$2:$K$483)</f>
        <v>0.003010050508</v>
      </c>
      <c r="K11" s="124">
        <f>SUMIFS(Data_raw!$K$2:$K$483,Data_raw!$F$2:$F$483,MP_T_Eucalipto!K$1,Data_raw!$A$2:$A$483,MP_T_Eucalipto!$A11) / SUMIF(Data_raw!$A$2:$A$483,MP_T_Eucalipto!$A11,Data_raw!$K$2:$K$483)</f>
        <v>0.006268812816</v>
      </c>
      <c r="L11" s="124">
        <f>SUMIFS(Data_raw!$K$2:$K$483,Data_raw!$F$2:$F$483,MP_T_Eucalipto!L$1,Data_raw!$A$2:$A$483,MP_T_Eucalipto!$A11) / SUMIF(Data_raw!$A$2:$A$483,MP_T_Eucalipto!$A11,Data_raw!$K$2:$K$483)</f>
        <v>0.004132442222</v>
      </c>
      <c r="M11" s="124">
        <f>SUMIFS(Data_raw!$K$2:$K$483,Data_raw!$F$2:$F$483,MP_T_Eucalipto!M$1,Data_raw!$A$2:$A$483,MP_T_Eucalipto!$A11) / SUMIF(Data_raw!$A$2:$A$483,MP_T_Eucalipto!$A11,Data_raw!$K$2:$K$483)</f>
        <v>0</v>
      </c>
      <c r="N11" s="124">
        <f>SUMIFS(Data_raw!$K$2:$K$483,Data_raw!$F$2:$F$483,MP_T_Eucalipto!N$1,Data_raw!$A$2:$A$483,MP_T_Eucalipto!$A11) / SUMIF(Data_raw!$A$2:$A$483,MP_T_Eucalipto!$A11,Data_raw!$K$2:$K$483)</f>
        <v>0.003061068313</v>
      </c>
      <c r="O11" s="124">
        <f>SUMIFS(Data_raw!$K$2:$K$483,Data_raw!$F$2:$F$483,MP_T_Eucalipto!O$1,Data_raw!$A$2:$A$483,MP_T_Eucalipto!$A11) / SUMIF(Data_raw!$A$2:$A$483,MP_T_Eucalipto!$A11,Data_raw!$K$2:$K$483)</f>
        <v>0.02314932912</v>
      </c>
      <c r="P11" s="124">
        <f>SUMIFS(Data_raw!$K$2:$K$483,Data_raw!$F$2:$F$483,MP_T_Eucalipto!P$1,Data_raw!$A$2:$A$483,MP_T_Eucalipto!$A11) / SUMIF(Data_raw!$A$2:$A$483,MP_T_Eucalipto!$A11,Data_raw!$K$2:$K$483)</f>
        <v>0</v>
      </c>
      <c r="Q11" s="124">
        <f>SUMIFS(Data_raw!$K$2:$K$483,Data_raw!$F$2:$F$483,MP_T_Eucalipto!Q$1,Data_raw!$A$2:$A$483,MP_T_Eucalipto!$A11) / SUMIF(Data_raw!$A$2:$A$483,MP_T_Eucalipto!$A11,Data_raw!$K$2:$K$483)</f>
        <v>0</v>
      </c>
      <c r="R11" s="124">
        <f>SUMIFS(Data_raw!$K$2:$K$483,Data_raw!$F$2:$F$483,MP_T_Eucalipto!R$1,Data_raw!$A$2:$A$483,MP_T_Eucalipto!$A11) / SUMIF(Data_raw!$A$2:$A$483,MP_T_Eucalipto!$A11,Data_raw!$K$2:$K$483)</f>
        <v>0.001396612418</v>
      </c>
      <c r="S11" s="124">
        <f>SUMIFS(Data_raw!$K$2:$K$483,Data_raw!$F$2:$F$483,MP_T_Eucalipto!S$1,Data_raw!$A$2:$A$483,MP_T_Eucalipto!$A11) / SUMIF(Data_raw!$A$2:$A$483,MP_T_Eucalipto!$A11,Data_raw!$K$2:$K$483)</f>
        <v>0</v>
      </c>
    </row>
    <row r="12">
      <c r="A12" s="63" t="str">
        <f>IFERROR(__xludf.DUMMYFUNCTION("""COMPUTED_VALUE"""),"Scinax aff. dolloi")</f>
        <v>Scinax aff. dolloi</v>
      </c>
      <c r="B12" s="124">
        <f>SUMIFS(Data_raw!$K$2:$K$483,Data_raw!$F$2:$F$483,MP_T_Eucalipto!B$1,Data_raw!$A$2:$A$483,MP_T_Eucalipto!$A12) / SUMIF(Data_raw!$A$2:$A$483,MP_T_Eucalipto!$A12,Data_raw!$K$2:$K$483)</f>
        <v>0</v>
      </c>
      <c r="C12" s="124">
        <f>SUMIFS(Data_raw!$K$2:$K$483,Data_raw!$F$2:$F$483,MP_T_Eucalipto!C$1,Data_raw!$A$2:$A$483,MP_T_Eucalipto!$A12) / SUMIF(Data_raw!$A$2:$A$483,MP_T_Eucalipto!$A12,Data_raw!$K$2:$K$483)</f>
        <v>0</v>
      </c>
      <c r="D12" s="124">
        <f>SUMIFS(Data_raw!$K$2:$K$483,Data_raw!$F$2:$F$483,MP_T_Eucalipto!D$1,Data_raw!$A$2:$A$483,MP_T_Eucalipto!$A12) / SUMIF(Data_raw!$A$2:$A$483,MP_T_Eucalipto!$A12,Data_raw!$K$2:$K$483)</f>
        <v>0.5264483627</v>
      </c>
      <c r="E12" s="124">
        <f>SUMIFS(Data_raw!$K$2:$K$483,Data_raw!$F$2:$F$483,MP_T_Eucalipto!E$1,Data_raw!$A$2:$A$483,MP_T_Eucalipto!$A12) / SUMIF(Data_raw!$A$2:$A$483,MP_T_Eucalipto!$A12,Data_raw!$K$2:$K$483)</f>
        <v>0</v>
      </c>
      <c r="F12" s="124">
        <f>SUMIFS(Data_raw!$K$2:$K$483,Data_raw!$F$2:$F$483,MP_T_Eucalipto!F$1,Data_raw!$A$2:$A$483,MP_T_Eucalipto!$A12) / SUMIF(Data_raw!$A$2:$A$483,MP_T_Eucalipto!$A12,Data_raw!$K$2:$K$483)</f>
        <v>0</v>
      </c>
      <c r="G12" s="124">
        <f>SUMIFS(Data_raw!$K$2:$K$483,Data_raw!$F$2:$F$483,MP_T_Eucalipto!G$1,Data_raw!$A$2:$A$483,MP_T_Eucalipto!$A12) / SUMIF(Data_raw!$A$2:$A$483,MP_T_Eucalipto!$A12,Data_raw!$K$2:$K$483)</f>
        <v>0</v>
      </c>
      <c r="H12" s="124">
        <f>SUMIFS(Data_raw!$K$2:$K$483,Data_raw!$F$2:$F$483,MP_T_Eucalipto!H$1,Data_raw!$A$2:$A$483,MP_T_Eucalipto!$A12) / SUMIF(Data_raw!$A$2:$A$483,MP_T_Eucalipto!$A12,Data_raw!$K$2:$K$483)</f>
        <v>0.4735516373</v>
      </c>
      <c r="I12" s="124">
        <f>SUMIFS(Data_raw!$K$2:$K$483,Data_raw!$F$2:$F$483,MP_T_Eucalipto!I$1,Data_raw!$A$2:$A$483,MP_T_Eucalipto!$A12) / SUMIF(Data_raw!$A$2:$A$483,MP_T_Eucalipto!$A12,Data_raw!$K$2:$K$483)</f>
        <v>0</v>
      </c>
      <c r="J12" s="124">
        <f>SUMIFS(Data_raw!$K$2:$K$483,Data_raw!$F$2:$F$483,MP_T_Eucalipto!J$1,Data_raw!$A$2:$A$483,MP_T_Eucalipto!$A12) / SUMIF(Data_raw!$A$2:$A$483,MP_T_Eucalipto!$A12,Data_raw!$K$2:$K$483)</f>
        <v>0</v>
      </c>
      <c r="K12" s="124">
        <f>SUMIFS(Data_raw!$K$2:$K$483,Data_raw!$F$2:$F$483,MP_T_Eucalipto!K$1,Data_raw!$A$2:$A$483,MP_T_Eucalipto!$A12) / SUMIF(Data_raw!$A$2:$A$483,MP_T_Eucalipto!$A12,Data_raw!$K$2:$K$483)</f>
        <v>0</v>
      </c>
      <c r="L12" s="124">
        <f>SUMIFS(Data_raw!$K$2:$K$483,Data_raw!$F$2:$F$483,MP_T_Eucalipto!L$1,Data_raw!$A$2:$A$483,MP_T_Eucalipto!$A12) / SUMIF(Data_raw!$A$2:$A$483,MP_T_Eucalipto!$A12,Data_raw!$K$2:$K$483)</f>
        <v>0</v>
      </c>
      <c r="M12" s="124">
        <f>SUMIFS(Data_raw!$K$2:$K$483,Data_raw!$F$2:$F$483,MP_T_Eucalipto!M$1,Data_raw!$A$2:$A$483,MP_T_Eucalipto!$A12) / SUMIF(Data_raw!$A$2:$A$483,MP_T_Eucalipto!$A12,Data_raw!$K$2:$K$483)</f>
        <v>0</v>
      </c>
      <c r="N12" s="124">
        <f>SUMIFS(Data_raw!$K$2:$K$483,Data_raw!$F$2:$F$483,MP_T_Eucalipto!N$1,Data_raw!$A$2:$A$483,MP_T_Eucalipto!$A12) / SUMIF(Data_raw!$A$2:$A$483,MP_T_Eucalipto!$A12,Data_raw!$K$2:$K$483)</f>
        <v>0</v>
      </c>
      <c r="O12" s="124">
        <f>SUMIFS(Data_raw!$K$2:$K$483,Data_raw!$F$2:$F$483,MP_T_Eucalipto!O$1,Data_raw!$A$2:$A$483,MP_T_Eucalipto!$A12) / SUMIF(Data_raw!$A$2:$A$483,MP_T_Eucalipto!$A12,Data_raw!$K$2:$K$483)</f>
        <v>0</v>
      </c>
      <c r="P12" s="124">
        <f>SUMIFS(Data_raw!$K$2:$K$483,Data_raw!$F$2:$F$483,MP_T_Eucalipto!P$1,Data_raw!$A$2:$A$483,MP_T_Eucalipto!$A12) / SUMIF(Data_raw!$A$2:$A$483,MP_T_Eucalipto!$A12,Data_raw!$K$2:$K$483)</f>
        <v>0</v>
      </c>
      <c r="Q12" s="124">
        <f>SUMIFS(Data_raw!$K$2:$K$483,Data_raw!$F$2:$F$483,MP_T_Eucalipto!Q$1,Data_raw!$A$2:$A$483,MP_T_Eucalipto!$A12) / SUMIF(Data_raw!$A$2:$A$483,MP_T_Eucalipto!$A12,Data_raw!$K$2:$K$483)</f>
        <v>0</v>
      </c>
      <c r="R12" s="124">
        <f>SUMIFS(Data_raw!$K$2:$K$483,Data_raw!$F$2:$F$483,MP_T_Eucalipto!R$1,Data_raw!$A$2:$A$483,MP_T_Eucalipto!$A12) / SUMIF(Data_raw!$A$2:$A$483,MP_T_Eucalipto!$A12,Data_raw!$K$2:$K$483)</f>
        <v>0</v>
      </c>
      <c r="S12" s="124">
        <f>SUMIFS(Data_raw!$K$2:$K$483,Data_raw!$F$2:$F$483,MP_T_Eucalipto!S$1,Data_raw!$A$2:$A$483,MP_T_Eucalipto!$A12) / SUMIF(Data_raw!$A$2:$A$483,MP_T_Eucalipto!$A12,Data_raw!$K$2:$K$483)</f>
        <v>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8" t="s">
        <v>55</v>
      </c>
      <c r="C1" s="8" t="s">
        <v>784</v>
      </c>
      <c r="D1" s="8" t="s">
        <v>794</v>
      </c>
      <c r="E1" s="8" t="s">
        <v>57</v>
      </c>
      <c r="F1" s="8" t="s">
        <v>59</v>
      </c>
      <c r="G1" s="8" t="s">
        <v>63</v>
      </c>
      <c r="H1" s="8" t="s">
        <v>67</v>
      </c>
      <c r="I1" s="8" t="s">
        <v>69</v>
      </c>
      <c r="J1" s="8" t="s">
        <v>71</v>
      </c>
      <c r="K1" s="8" t="s">
        <v>75</v>
      </c>
      <c r="L1" s="8" t="s">
        <v>77</v>
      </c>
      <c r="M1" s="8" t="s">
        <v>79</v>
      </c>
      <c r="N1" s="8" t="s">
        <v>81</v>
      </c>
      <c r="O1" s="8" t="s">
        <v>83</v>
      </c>
      <c r="P1" s="8" t="s">
        <v>953</v>
      </c>
      <c r="Q1" s="8" t="s">
        <v>85</v>
      </c>
      <c r="R1" s="8" t="s">
        <v>832</v>
      </c>
      <c r="S1" s="8" t="s">
        <v>89</v>
      </c>
      <c r="T1" s="8" t="s">
        <v>756</v>
      </c>
      <c r="U1" s="8" t="s">
        <v>91</v>
      </c>
      <c r="V1" s="8" t="s">
        <v>93</v>
      </c>
      <c r="W1" s="8" t="s">
        <v>783</v>
      </c>
      <c r="X1" s="8" t="s">
        <v>776</v>
      </c>
      <c r="Y1" s="8" t="s">
        <v>97</v>
      </c>
      <c r="Z1" s="8" t="s">
        <v>757</v>
      </c>
      <c r="AA1" s="8" t="s">
        <v>101</v>
      </c>
    </row>
    <row r="2">
      <c r="A2" s="8" t="s">
        <v>137</v>
      </c>
      <c r="B2" s="8">
        <f>SUMIFS(Data_raw!$G$2:$G$478,Data_raw!$A$2:$A$478,$A2,Data_raw!$F$2:$F$478,B$1,Data_raw!$D$2:$D$478,"mata")</f>
        <v>0</v>
      </c>
      <c r="C2" s="8">
        <f>SUMIFS(Data_raw!$G$2:$G$478,Data_raw!$A$2:$A$478,$A2,Data_raw!$F$2:$F$478,C$1,Data_raw!$D$2:$D$478,"mata")</f>
        <v>0</v>
      </c>
      <c r="D2" s="8">
        <f>SUMIFS(Data_raw!$G$2:$G$478,Data_raw!$A$2:$A$478,$A2,Data_raw!$F$2:$F$478,D$1,Data_raw!$D$2:$D$478,"mata")</f>
        <v>0</v>
      </c>
      <c r="E2" s="8">
        <f>SUMIFS(Data_raw!$G$2:$G$478,Data_raw!$A$2:$A$478,$A2,Data_raw!$F$2:$F$478,E$1,Data_raw!$D$2:$D$478,"mata")</f>
        <v>0</v>
      </c>
      <c r="F2" s="8">
        <f>SUMIFS(Data_raw!$G$2:$G$478,Data_raw!$A$2:$A$478,$A2,Data_raw!$F$2:$F$478,F$1,Data_raw!$D$2:$D$478,"mata")</f>
        <v>0</v>
      </c>
      <c r="G2" s="8">
        <f>SUMIFS(Data_raw!$G$2:$G$478,Data_raw!$A$2:$A$478,$A2,Data_raw!$F$2:$F$478,G$1,Data_raw!$D$2:$D$478,"mata")</f>
        <v>1</v>
      </c>
      <c r="H2" s="8">
        <f>SUMIFS(Data_raw!$G$2:$G$478,Data_raw!$A$2:$A$478,$A2,Data_raw!$F$2:$F$478,H$1,Data_raw!$D$2:$D$478,"mata")</f>
        <v>0</v>
      </c>
      <c r="I2" s="8">
        <f>SUMIFS(Data_raw!$G$2:$G$478,Data_raw!$A$2:$A$478,$A2,Data_raw!$F$2:$F$478,I$1,Data_raw!$D$2:$D$478,"mata")</f>
        <v>0</v>
      </c>
      <c r="J2" s="8">
        <f>SUMIFS(Data_raw!$G$2:$G$478,Data_raw!$A$2:$A$478,$A2,Data_raw!$F$2:$F$478,J$1,Data_raw!$D$2:$D$478,"mata")</f>
        <v>0</v>
      </c>
      <c r="K2" s="8">
        <f>SUMIFS(Data_raw!$G$2:$G$478,Data_raw!$A$2:$A$478,$A2,Data_raw!$F$2:$F$478,K$1,Data_raw!$D$2:$D$478,"mata")</f>
        <v>3</v>
      </c>
      <c r="L2" s="8">
        <f>SUMIFS(Data_raw!$G$2:$G$478,Data_raw!$A$2:$A$478,$A2,Data_raw!$F$2:$F$478,L$1,Data_raw!$D$2:$D$478,"mata")</f>
        <v>0</v>
      </c>
      <c r="M2" s="8">
        <f>SUMIFS(Data_raw!$G$2:$G$478,Data_raw!$A$2:$A$478,$A2,Data_raw!$F$2:$F$478,M$1,Data_raw!$D$2:$D$478,"mata")</f>
        <v>0</v>
      </c>
      <c r="N2" s="8">
        <f>SUMIFS(Data_raw!$G$2:$G$478,Data_raw!$A$2:$A$478,$A2,Data_raw!$F$2:$F$478,N$1,Data_raw!$D$2:$D$478,"mata")</f>
        <v>0</v>
      </c>
      <c r="O2" s="8">
        <f>SUMIFS(Data_raw!$G$2:$G$478,Data_raw!$A$2:$A$478,$A2,Data_raw!$F$2:$F$478,O$1,Data_raw!$D$2:$D$478,"mata")</f>
        <v>0</v>
      </c>
      <c r="P2" s="8">
        <f>SUMIFS(Data_raw!$G$2:$G$478,Data_raw!$A$2:$A$478,$A2,Data_raw!$F$2:$F$478,P$1,Data_raw!$D$2:$D$478,"mata")</f>
        <v>0</v>
      </c>
      <c r="Q2" s="8">
        <f>SUMIFS(Data_raw!$G$2:$G$478,Data_raw!$A$2:$A$478,$A2,Data_raw!$F$2:$F$478,Q$1,Data_raw!$D$2:$D$478,"mata")</f>
        <v>0</v>
      </c>
      <c r="R2" s="8">
        <f>SUMIFS(Data_raw!$G$2:$G$478,Data_raw!$A$2:$A$478,$A2,Data_raw!$F$2:$F$478,R$1,Data_raw!$D$2:$D$478,"mata")</f>
        <v>0</v>
      </c>
      <c r="S2" s="8">
        <f>SUMIFS(Data_raw!$G$2:$G$478,Data_raw!$A$2:$A$478,$A2,Data_raw!$F$2:$F$478,S$1,Data_raw!$D$2:$D$478,"mata")</f>
        <v>0</v>
      </c>
      <c r="T2" s="8">
        <f>SUMIFS(Data_raw!$G$2:$G$478,Data_raw!$A$2:$A$478,$A2,Data_raw!$F$2:$F$478,T$1,Data_raw!$D$2:$D$478,"mata")</f>
        <v>0</v>
      </c>
      <c r="U2" s="8">
        <f>SUMIFS(Data_raw!$G$2:$G$478,Data_raw!$A$2:$A$478,$A2,Data_raw!$F$2:$F$478,U$1,Data_raw!$D$2:$D$478,"mata")</f>
        <v>0</v>
      </c>
      <c r="V2" s="8">
        <f>SUMIFS(Data_raw!$G$2:$G$478,Data_raw!$A$2:$A$478,$A2,Data_raw!$F$2:$F$478,V$1,Data_raw!$D$2:$D$478,"mata")</f>
        <v>0</v>
      </c>
      <c r="W2" s="8">
        <f>SUMIFS(Data_raw!$G$2:$G$478,Data_raw!$A$2:$A$478,$A2,Data_raw!$F$2:$F$478,W$1,Data_raw!$D$2:$D$478,"mata")</f>
        <v>0</v>
      </c>
      <c r="X2" s="8">
        <f>SUMIFS(Data_raw!$G$2:$G$478,Data_raw!$A$2:$A$478,$A2,Data_raw!$F$2:$F$478,X$1,Data_raw!$D$2:$D$478,"mata")</f>
        <v>0</v>
      </c>
      <c r="Y2" s="8">
        <f>SUMIFS(Data_raw!$G$2:$G$478,Data_raw!$A$2:$A$478,$A2,Data_raw!$F$2:$F$478,Y$1,Data_raw!$D$2:$D$478,"mata")</f>
        <v>0</v>
      </c>
      <c r="Z2" s="8">
        <f>SUMIFS(Data_raw!$G$2:$G$478,Data_raw!$A$2:$A$478,$A2,Data_raw!$F$2:$F$478,Z$1,Data_raw!$D$2:$D$478,"mata")</f>
        <v>0</v>
      </c>
      <c r="AA2" s="8">
        <f>SUMIFS(Data_raw!$G$2:$G$478,Data_raw!$A$2:$A$478,$A2,Data_raw!$F$2:$F$478,AA$1,Data_raw!$D$2:$D$478,"mata")</f>
        <v>0</v>
      </c>
    </row>
    <row r="3">
      <c r="A3" s="8" t="s">
        <v>170</v>
      </c>
      <c r="B3" s="8">
        <f>SUMIFS(Data_raw!$G$2:$G$478,Data_raw!$A$2:$A$478,$A3,Data_raw!$F$2:$F$478,B$1,Data_raw!$D$2:$D$478,"mata")</f>
        <v>0</v>
      </c>
      <c r="C3" s="8">
        <f>SUMIFS(Data_raw!$G$2:$G$478,Data_raw!$A$2:$A$478,$A3,Data_raw!$F$2:$F$478,C$1,Data_raw!$D$2:$D$478,"mata")</f>
        <v>0</v>
      </c>
      <c r="D3" s="8">
        <f>SUMIFS(Data_raw!$G$2:$G$478,Data_raw!$A$2:$A$478,$A3,Data_raw!$F$2:$F$478,D$1,Data_raw!$D$2:$D$478,"mata")</f>
        <v>0</v>
      </c>
      <c r="E3" s="8">
        <f>SUMIFS(Data_raw!$G$2:$G$478,Data_raw!$A$2:$A$478,$A3,Data_raw!$F$2:$F$478,E$1,Data_raw!$D$2:$D$478,"mata")</f>
        <v>1</v>
      </c>
      <c r="F3" s="8">
        <f>SUMIFS(Data_raw!$G$2:$G$478,Data_raw!$A$2:$A$478,$A3,Data_raw!$F$2:$F$478,F$1,Data_raw!$D$2:$D$478,"mata")</f>
        <v>0</v>
      </c>
      <c r="G3" s="8">
        <f>SUMIFS(Data_raw!$G$2:$G$478,Data_raw!$A$2:$A$478,$A3,Data_raw!$F$2:$F$478,G$1,Data_raw!$D$2:$D$478,"mata")</f>
        <v>6</v>
      </c>
      <c r="H3" s="8">
        <f>SUMIFS(Data_raw!$G$2:$G$478,Data_raw!$A$2:$A$478,$A3,Data_raw!$F$2:$F$478,H$1,Data_raw!$D$2:$D$478,"mata")</f>
        <v>0</v>
      </c>
      <c r="I3" s="8">
        <f>SUMIFS(Data_raw!$G$2:$G$478,Data_raw!$A$2:$A$478,$A3,Data_raw!$F$2:$F$478,I$1,Data_raw!$D$2:$D$478,"mata")</f>
        <v>0</v>
      </c>
      <c r="J3" s="8">
        <f>SUMIFS(Data_raw!$G$2:$G$478,Data_raw!$A$2:$A$478,$A3,Data_raw!$F$2:$F$478,J$1,Data_raw!$D$2:$D$478,"mata")</f>
        <v>0</v>
      </c>
      <c r="K3" s="8">
        <f>SUMIFS(Data_raw!$G$2:$G$478,Data_raw!$A$2:$A$478,$A3,Data_raw!$F$2:$F$478,K$1,Data_raw!$D$2:$D$478,"mata")</f>
        <v>0</v>
      </c>
      <c r="L3" s="8">
        <f>SUMIFS(Data_raw!$G$2:$G$478,Data_raw!$A$2:$A$478,$A3,Data_raw!$F$2:$F$478,L$1,Data_raw!$D$2:$D$478,"mata")</f>
        <v>0</v>
      </c>
      <c r="M3" s="8">
        <f>SUMIFS(Data_raw!$G$2:$G$478,Data_raw!$A$2:$A$478,$A3,Data_raw!$F$2:$F$478,M$1,Data_raw!$D$2:$D$478,"mata")</f>
        <v>0</v>
      </c>
      <c r="N3" s="8">
        <f>SUMIFS(Data_raw!$G$2:$G$478,Data_raw!$A$2:$A$478,$A3,Data_raw!$F$2:$F$478,N$1,Data_raw!$D$2:$D$478,"mata")</f>
        <v>0</v>
      </c>
      <c r="O3" s="8">
        <f>SUMIFS(Data_raw!$G$2:$G$478,Data_raw!$A$2:$A$478,$A3,Data_raw!$F$2:$F$478,O$1,Data_raw!$D$2:$D$478,"mata")</f>
        <v>13</v>
      </c>
      <c r="P3" s="8">
        <f>SUMIFS(Data_raw!$G$2:$G$478,Data_raw!$A$2:$A$478,$A3,Data_raw!$F$2:$F$478,P$1,Data_raw!$D$2:$D$478,"mata")</f>
        <v>0</v>
      </c>
      <c r="Q3" s="8">
        <f>SUMIFS(Data_raw!$G$2:$G$478,Data_raw!$A$2:$A$478,$A3,Data_raw!$F$2:$F$478,Q$1,Data_raw!$D$2:$D$478,"mata")</f>
        <v>0</v>
      </c>
      <c r="R3" s="8">
        <f>SUMIFS(Data_raw!$G$2:$G$478,Data_raw!$A$2:$A$478,$A3,Data_raw!$F$2:$F$478,R$1,Data_raw!$D$2:$D$478,"mata")</f>
        <v>0</v>
      </c>
      <c r="S3" s="8">
        <f>SUMIFS(Data_raw!$G$2:$G$478,Data_raw!$A$2:$A$478,$A3,Data_raw!$F$2:$F$478,S$1,Data_raw!$D$2:$D$478,"mata")</f>
        <v>1</v>
      </c>
      <c r="T3" s="8">
        <f>SUMIFS(Data_raw!$G$2:$G$478,Data_raw!$A$2:$A$478,$A3,Data_raw!$F$2:$F$478,T$1,Data_raw!$D$2:$D$478,"mata")</f>
        <v>2</v>
      </c>
      <c r="U3" s="8">
        <f>SUMIFS(Data_raw!$G$2:$G$478,Data_raw!$A$2:$A$478,$A3,Data_raw!$F$2:$F$478,U$1,Data_raw!$D$2:$D$478,"mata")</f>
        <v>0</v>
      </c>
      <c r="V3" s="8">
        <f>SUMIFS(Data_raw!$G$2:$G$478,Data_raw!$A$2:$A$478,$A3,Data_raw!$F$2:$F$478,V$1,Data_raw!$D$2:$D$478,"mata")</f>
        <v>0</v>
      </c>
      <c r="W3" s="8">
        <f>SUMIFS(Data_raw!$G$2:$G$478,Data_raw!$A$2:$A$478,$A3,Data_raw!$F$2:$F$478,W$1,Data_raw!$D$2:$D$478,"mata")</f>
        <v>0</v>
      </c>
      <c r="X3" s="8">
        <f>SUMIFS(Data_raw!$G$2:$G$478,Data_raw!$A$2:$A$478,$A3,Data_raw!$F$2:$F$478,X$1,Data_raw!$D$2:$D$478,"mata")</f>
        <v>0</v>
      </c>
      <c r="Y3" s="8">
        <f>SUMIFS(Data_raw!$G$2:$G$478,Data_raw!$A$2:$A$478,$A3,Data_raw!$F$2:$F$478,Y$1,Data_raw!$D$2:$D$478,"mata")</f>
        <v>0</v>
      </c>
      <c r="Z3" s="8">
        <f>SUMIFS(Data_raw!$G$2:$G$478,Data_raw!$A$2:$A$478,$A3,Data_raw!$F$2:$F$478,Z$1,Data_raw!$D$2:$D$478,"mata")</f>
        <v>0</v>
      </c>
      <c r="AA3" s="8">
        <f>SUMIFS(Data_raw!$G$2:$G$478,Data_raw!$A$2:$A$478,$A3,Data_raw!$F$2:$F$478,AA$1,Data_raw!$D$2:$D$478,"mata")</f>
        <v>0</v>
      </c>
    </row>
    <row r="4">
      <c r="A4" s="8" t="s">
        <v>145</v>
      </c>
      <c r="B4" s="8">
        <f>SUMIFS(Data_raw!$G$2:$G$478,Data_raw!$A$2:$A$478,$A4,Data_raw!$F$2:$F$478,B$1,Data_raw!$D$2:$D$478,"mata")</f>
        <v>0</v>
      </c>
      <c r="C4" s="8">
        <f>SUMIFS(Data_raw!$G$2:$G$478,Data_raw!$A$2:$A$478,$A4,Data_raw!$F$2:$F$478,C$1,Data_raw!$D$2:$D$478,"mata")</f>
        <v>0</v>
      </c>
      <c r="D4" s="8">
        <f>SUMIFS(Data_raw!$G$2:$G$478,Data_raw!$A$2:$A$478,$A4,Data_raw!$F$2:$F$478,D$1,Data_raw!$D$2:$D$478,"mata")</f>
        <v>0</v>
      </c>
      <c r="E4" s="8">
        <f>SUMIFS(Data_raw!$G$2:$G$478,Data_raw!$A$2:$A$478,$A4,Data_raw!$F$2:$F$478,E$1,Data_raw!$D$2:$D$478,"mata")</f>
        <v>5</v>
      </c>
      <c r="F4" s="8">
        <f>SUMIFS(Data_raw!$G$2:$G$478,Data_raw!$A$2:$A$478,$A4,Data_raw!$F$2:$F$478,F$1,Data_raw!$D$2:$D$478,"mata")</f>
        <v>0</v>
      </c>
      <c r="G4" s="8">
        <f>SUMIFS(Data_raw!$G$2:$G$478,Data_raw!$A$2:$A$478,$A4,Data_raw!$F$2:$F$478,G$1,Data_raw!$D$2:$D$478,"mata")</f>
        <v>2</v>
      </c>
      <c r="H4" s="8">
        <f>SUMIFS(Data_raw!$G$2:$G$478,Data_raw!$A$2:$A$478,$A4,Data_raw!$F$2:$F$478,H$1,Data_raw!$D$2:$D$478,"mata")</f>
        <v>0</v>
      </c>
      <c r="I4" s="8">
        <f>SUMIFS(Data_raw!$G$2:$G$478,Data_raw!$A$2:$A$478,$A4,Data_raw!$F$2:$F$478,I$1,Data_raw!$D$2:$D$478,"mata")</f>
        <v>1</v>
      </c>
      <c r="J4" s="8">
        <f>SUMIFS(Data_raw!$G$2:$G$478,Data_raw!$A$2:$A$478,$A4,Data_raw!$F$2:$F$478,J$1,Data_raw!$D$2:$D$478,"mata")</f>
        <v>0</v>
      </c>
      <c r="K4" s="8">
        <f>SUMIFS(Data_raw!$G$2:$G$478,Data_raw!$A$2:$A$478,$A4,Data_raw!$F$2:$F$478,K$1,Data_raw!$D$2:$D$478,"mata")</f>
        <v>1</v>
      </c>
      <c r="L4" s="8">
        <f>SUMIFS(Data_raw!$G$2:$G$478,Data_raw!$A$2:$A$478,$A4,Data_raw!$F$2:$F$478,L$1,Data_raw!$D$2:$D$478,"mata")</f>
        <v>0</v>
      </c>
      <c r="M4" s="8">
        <f>SUMIFS(Data_raw!$G$2:$G$478,Data_raw!$A$2:$A$478,$A4,Data_raw!$F$2:$F$478,M$1,Data_raw!$D$2:$D$478,"mata")</f>
        <v>0</v>
      </c>
      <c r="N4" s="8">
        <f>SUMIFS(Data_raw!$G$2:$G$478,Data_raw!$A$2:$A$478,$A4,Data_raw!$F$2:$F$478,N$1,Data_raw!$D$2:$D$478,"mata")</f>
        <v>0</v>
      </c>
      <c r="O4" s="8">
        <f>SUMIFS(Data_raw!$G$2:$G$478,Data_raw!$A$2:$A$478,$A4,Data_raw!$F$2:$F$478,O$1,Data_raw!$D$2:$D$478,"mata")</f>
        <v>0</v>
      </c>
      <c r="P4" s="8">
        <f>SUMIFS(Data_raw!$G$2:$G$478,Data_raw!$A$2:$A$478,$A4,Data_raw!$F$2:$F$478,P$1,Data_raw!$D$2:$D$478,"mata")</f>
        <v>0</v>
      </c>
      <c r="Q4" s="8">
        <f>SUMIFS(Data_raw!$G$2:$G$478,Data_raw!$A$2:$A$478,$A4,Data_raw!$F$2:$F$478,Q$1,Data_raw!$D$2:$D$478,"mata")</f>
        <v>0</v>
      </c>
      <c r="R4" s="8">
        <f>SUMIFS(Data_raw!$G$2:$G$478,Data_raw!$A$2:$A$478,$A4,Data_raw!$F$2:$F$478,R$1,Data_raw!$D$2:$D$478,"mata")</f>
        <v>0</v>
      </c>
      <c r="S4" s="8">
        <f>SUMIFS(Data_raw!$G$2:$G$478,Data_raw!$A$2:$A$478,$A4,Data_raw!$F$2:$F$478,S$1,Data_raw!$D$2:$D$478,"mata")</f>
        <v>0</v>
      </c>
      <c r="T4" s="8">
        <f>SUMIFS(Data_raw!$G$2:$G$478,Data_raw!$A$2:$A$478,$A4,Data_raw!$F$2:$F$478,T$1,Data_raw!$D$2:$D$478,"mata")</f>
        <v>0</v>
      </c>
      <c r="U4" s="8">
        <f>SUMIFS(Data_raw!$G$2:$G$478,Data_raw!$A$2:$A$478,$A4,Data_raw!$F$2:$F$478,U$1,Data_raw!$D$2:$D$478,"mata")</f>
        <v>1</v>
      </c>
      <c r="V4" s="8">
        <f>SUMIFS(Data_raw!$G$2:$G$478,Data_raw!$A$2:$A$478,$A4,Data_raw!$F$2:$F$478,V$1,Data_raw!$D$2:$D$478,"mata")</f>
        <v>0</v>
      </c>
      <c r="W4" s="8">
        <f>SUMIFS(Data_raw!$G$2:$G$478,Data_raw!$A$2:$A$478,$A4,Data_raw!$F$2:$F$478,W$1,Data_raw!$D$2:$D$478,"mata")</f>
        <v>0</v>
      </c>
      <c r="X4" s="8">
        <f>SUMIFS(Data_raw!$G$2:$G$478,Data_raw!$A$2:$A$478,$A4,Data_raw!$F$2:$F$478,X$1,Data_raw!$D$2:$D$478,"mata")</f>
        <v>0</v>
      </c>
      <c r="Y4" s="8">
        <f>SUMIFS(Data_raw!$G$2:$G$478,Data_raw!$A$2:$A$478,$A4,Data_raw!$F$2:$F$478,Y$1,Data_raw!$D$2:$D$478,"mata")</f>
        <v>0</v>
      </c>
      <c r="Z4" s="8">
        <f>SUMIFS(Data_raw!$G$2:$G$478,Data_raw!$A$2:$A$478,$A4,Data_raw!$F$2:$F$478,Z$1,Data_raw!$D$2:$D$478,"mata")</f>
        <v>0</v>
      </c>
      <c r="AA4" s="8">
        <f>SUMIFS(Data_raw!$G$2:$G$478,Data_raw!$A$2:$A$478,$A4,Data_raw!$F$2:$F$478,AA$1,Data_raw!$D$2:$D$478,"mata")</f>
        <v>0</v>
      </c>
    </row>
    <row r="5">
      <c r="A5" s="8" t="s">
        <v>119</v>
      </c>
      <c r="B5" s="8">
        <f>SUMIFS(Data_raw!$G$2:$G$478,Data_raw!$A$2:$A$478,$A5,Data_raw!$F$2:$F$478,B$1,Data_raw!$D$2:$D$478,"mata")</f>
        <v>0</v>
      </c>
      <c r="C5" s="8">
        <f>SUMIFS(Data_raw!$G$2:$G$478,Data_raw!$A$2:$A$478,$A5,Data_raw!$F$2:$F$478,C$1,Data_raw!$D$2:$D$478,"mata")</f>
        <v>0</v>
      </c>
      <c r="D5" s="8">
        <f>SUMIFS(Data_raw!$G$2:$G$478,Data_raw!$A$2:$A$478,$A5,Data_raw!$F$2:$F$478,D$1,Data_raw!$D$2:$D$478,"mata")</f>
        <v>0</v>
      </c>
      <c r="E5" s="8">
        <f>SUMIFS(Data_raw!$G$2:$G$478,Data_raw!$A$2:$A$478,$A5,Data_raw!$F$2:$F$478,E$1,Data_raw!$D$2:$D$478,"mata")</f>
        <v>0</v>
      </c>
      <c r="F5" s="8">
        <f>SUMIFS(Data_raw!$G$2:$G$478,Data_raw!$A$2:$A$478,$A5,Data_raw!$F$2:$F$478,F$1,Data_raw!$D$2:$D$478,"mata")</f>
        <v>0</v>
      </c>
      <c r="G5" s="8">
        <f>SUMIFS(Data_raw!$G$2:$G$478,Data_raw!$A$2:$A$478,$A5,Data_raw!$F$2:$F$478,G$1,Data_raw!$D$2:$D$478,"mata")</f>
        <v>1</v>
      </c>
      <c r="H5" s="8">
        <f>SUMIFS(Data_raw!$G$2:$G$478,Data_raw!$A$2:$A$478,$A5,Data_raw!$F$2:$F$478,H$1,Data_raw!$D$2:$D$478,"mata")</f>
        <v>0</v>
      </c>
      <c r="I5" s="8">
        <f>SUMIFS(Data_raw!$G$2:$G$478,Data_raw!$A$2:$A$478,$A5,Data_raw!$F$2:$F$478,I$1,Data_raw!$D$2:$D$478,"mata")</f>
        <v>0</v>
      </c>
      <c r="J5" s="8">
        <f>SUMIFS(Data_raw!$G$2:$G$478,Data_raw!$A$2:$A$478,$A5,Data_raw!$F$2:$F$478,J$1,Data_raw!$D$2:$D$478,"mata")</f>
        <v>0</v>
      </c>
      <c r="K5" s="8">
        <f>SUMIFS(Data_raw!$G$2:$G$478,Data_raw!$A$2:$A$478,$A5,Data_raw!$F$2:$F$478,K$1,Data_raw!$D$2:$D$478,"mata")</f>
        <v>0</v>
      </c>
      <c r="L5" s="8">
        <f>SUMIFS(Data_raw!$G$2:$G$478,Data_raw!$A$2:$A$478,$A5,Data_raw!$F$2:$F$478,L$1,Data_raw!$D$2:$D$478,"mata")</f>
        <v>0</v>
      </c>
      <c r="M5" s="8">
        <f>SUMIFS(Data_raw!$G$2:$G$478,Data_raw!$A$2:$A$478,$A5,Data_raw!$F$2:$F$478,M$1,Data_raw!$D$2:$D$478,"mata")</f>
        <v>0</v>
      </c>
      <c r="N5" s="8">
        <f>SUMIFS(Data_raw!$G$2:$G$478,Data_raw!$A$2:$A$478,$A5,Data_raw!$F$2:$F$478,N$1,Data_raw!$D$2:$D$478,"mata")</f>
        <v>0</v>
      </c>
      <c r="O5" s="8">
        <f>SUMIFS(Data_raw!$G$2:$G$478,Data_raw!$A$2:$A$478,$A5,Data_raw!$F$2:$F$478,O$1,Data_raw!$D$2:$D$478,"mata")</f>
        <v>0</v>
      </c>
      <c r="P5" s="8">
        <f>SUMIFS(Data_raw!$G$2:$G$478,Data_raw!$A$2:$A$478,$A5,Data_raw!$F$2:$F$478,P$1,Data_raw!$D$2:$D$478,"mata")</f>
        <v>0</v>
      </c>
      <c r="Q5" s="8">
        <f>SUMIFS(Data_raw!$G$2:$G$478,Data_raw!$A$2:$A$478,$A5,Data_raw!$F$2:$F$478,Q$1,Data_raw!$D$2:$D$478,"mata")</f>
        <v>0</v>
      </c>
      <c r="R5" s="8">
        <f>SUMIFS(Data_raw!$G$2:$G$478,Data_raw!$A$2:$A$478,$A5,Data_raw!$F$2:$F$478,R$1,Data_raw!$D$2:$D$478,"mata")</f>
        <v>0</v>
      </c>
      <c r="S5" s="8">
        <f>SUMIFS(Data_raw!$G$2:$G$478,Data_raw!$A$2:$A$478,$A5,Data_raw!$F$2:$F$478,S$1,Data_raw!$D$2:$D$478,"mata")</f>
        <v>0</v>
      </c>
      <c r="T5" s="8">
        <f>SUMIFS(Data_raw!$G$2:$G$478,Data_raw!$A$2:$A$478,$A5,Data_raw!$F$2:$F$478,T$1,Data_raw!$D$2:$D$478,"mata")</f>
        <v>0</v>
      </c>
      <c r="U5" s="8">
        <f>SUMIFS(Data_raw!$G$2:$G$478,Data_raw!$A$2:$A$478,$A5,Data_raw!$F$2:$F$478,U$1,Data_raw!$D$2:$D$478,"mata")</f>
        <v>0</v>
      </c>
      <c r="V5" s="8">
        <f>SUMIFS(Data_raw!$G$2:$G$478,Data_raw!$A$2:$A$478,$A5,Data_raw!$F$2:$F$478,V$1,Data_raw!$D$2:$D$478,"mata")</f>
        <v>0</v>
      </c>
      <c r="W5" s="8">
        <f>SUMIFS(Data_raw!$G$2:$G$478,Data_raw!$A$2:$A$478,$A5,Data_raw!$F$2:$F$478,W$1,Data_raw!$D$2:$D$478,"mata")</f>
        <v>0</v>
      </c>
      <c r="X5" s="8">
        <f>SUMIFS(Data_raw!$G$2:$G$478,Data_raw!$A$2:$A$478,$A5,Data_raw!$F$2:$F$478,X$1,Data_raw!$D$2:$D$478,"mata")</f>
        <v>0</v>
      </c>
      <c r="Y5" s="8">
        <f>SUMIFS(Data_raw!$G$2:$G$478,Data_raw!$A$2:$A$478,$A5,Data_raw!$F$2:$F$478,Y$1,Data_raw!$D$2:$D$478,"mata")</f>
        <v>0</v>
      </c>
      <c r="Z5" s="8">
        <f>SUMIFS(Data_raw!$G$2:$G$478,Data_raw!$A$2:$A$478,$A5,Data_raw!$F$2:$F$478,Z$1,Data_raw!$D$2:$D$478,"mata")</f>
        <v>0</v>
      </c>
      <c r="AA5" s="8">
        <f>SUMIFS(Data_raw!$G$2:$G$478,Data_raw!$A$2:$A$478,$A5,Data_raw!$F$2:$F$478,AA$1,Data_raw!$D$2:$D$478,"mata")</f>
        <v>0</v>
      </c>
    </row>
    <row r="6">
      <c r="A6" s="8" t="s">
        <v>134</v>
      </c>
      <c r="B6" s="8">
        <f>SUMIFS(Data_raw!$G$2:$G$478,Data_raw!$A$2:$A$478,$A6,Data_raw!$F$2:$F$478,B$1,Data_raw!$D$2:$D$478,"mata")</f>
        <v>0</v>
      </c>
      <c r="C6" s="8">
        <f>SUMIFS(Data_raw!$G$2:$G$478,Data_raw!$A$2:$A$478,$A6,Data_raw!$F$2:$F$478,C$1,Data_raw!$D$2:$D$478,"mata")</f>
        <v>0</v>
      </c>
      <c r="D6" s="8">
        <f>SUMIFS(Data_raw!$G$2:$G$478,Data_raw!$A$2:$A$478,$A6,Data_raw!$F$2:$F$478,D$1,Data_raw!$D$2:$D$478,"mata")</f>
        <v>0</v>
      </c>
      <c r="E6" s="8">
        <f>SUMIFS(Data_raw!$G$2:$G$478,Data_raw!$A$2:$A$478,$A6,Data_raw!$F$2:$F$478,E$1,Data_raw!$D$2:$D$478,"mata")</f>
        <v>2</v>
      </c>
      <c r="F6" s="8">
        <f>SUMIFS(Data_raw!$G$2:$G$478,Data_raw!$A$2:$A$478,$A6,Data_raw!$F$2:$F$478,F$1,Data_raw!$D$2:$D$478,"mata")</f>
        <v>0</v>
      </c>
      <c r="G6" s="8">
        <f>SUMIFS(Data_raw!$G$2:$G$478,Data_raw!$A$2:$A$478,$A6,Data_raw!$F$2:$F$478,G$1,Data_raw!$D$2:$D$478,"mata")</f>
        <v>4</v>
      </c>
      <c r="H6" s="8">
        <f>SUMIFS(Data_raw!$G$2:$G$478,Data_raw!$A$2:$A$478,$A6,Data_raw!$F$2:$F$478,H$1,Data_raw!$D$2:$D$478,"mata")</f>
        <v>0</v>
      </c>
      <c r="I6" s="8">
        <f>SUMIFS(Data_raw!$G$2:$G$478,Data_raw!$A$2:$A$478,$A6,Data_raw!$F$2:$F$478,I$1,Data_raw!$D$2:$D$478,"mata")</f>
        <v>0</v>
      </c>
      <c r="J6" s="8">
        <f>SUMIFS(Data_raw!$G$2:$G$478,Data_raw!$A$2:$A$478,$A6,Data_raw!$F$2:$F$478,J$1,Data_raw!$D$2:$D$478,"mata")</f>
        <v>0</v>
      </c>
      <c r="K6" s="8">
        <f>SUMIFS(Data_raw!$G$2:$G$478,Data_raw!$A$2:$A$478,$A6,Data_raw!$F$2:$F$478,K$1,Data_raw!$D$2:$D$478,"mata")</f>
        <v>20</v>
      </c>
      <c r="L6" s="8">
        <f>SUMIFS(Data_raw!$G$2:$G$478,Data_raw!$A$2:$A$478,$A6,Data_raw!$F$2:$F$478,L$1,Data_raw!$D$2:$D$478,"mata")</f>
        <v>0</v>
      </c>
      <c r="M6" s="8">
        <f>SUMIFS(Data_raw!$G$2:$G$478,Data_raw!$A$2:$A$478,$A6,Data_raw!$F$2:$F$478,M$1,Data_raw!$D$2:$D$478,"mata")</f>
        <v>0</v>
      </c>
      <c r="N6" s="8">
        <f>SUMIFS(Data_raw!$G$2:$G$478,Data_raw!$A$2:$A$478,$A6,Data_raw!$F$2:$F$478,N$1,Data_raw!$D$2:$D$478,"mata")</f>
        <v>0</v>
      </c>
      <c r="O6" s="8">
        <f>SUMIFS(Data_raw!$G$2:$G$478,Data_raw!$A$2:$A$478,$A6,Data_raw!$F$2:$F$478,O$1,Data_raw!$D$2:$D$478,"mata")</f>
        <v>0</v>
      </c>
      <c r="P6" s="8">
        <f>SUMIFS(Data_raw!$G$2:$G$478,Data_raw!$A$2:$A$478,$A6,Data_raw!$F$2:$F$478,P$1,Data_raw!$D$2:$D$478,"mata")</f>
        <v>0</v>
      </c>
      <c r="Q6" s="8">
        <f>SUMIFS(Data_raw!$G$2:$G$478,Data_raw!$A$2:$A$478,$A6,Data_raw!$F$2:$F$478,Q$1,Data_raw!$D$2:$D$478,"mata")</f>
        <v>0</v>
      </c>
      <c r="R6" s="8">
        <f>SUMIFS(Data_raw!$G$2:$G$478,Data_raw!$A$2:$A$478,$A6,Data_raw!$F$2:$F$478,R$1,Data_raw!$D$2:$D$478,"mata")</f>
        <v>0</v>
      </c>
      <c r="S6" s="8">
        <f>SUMIFS(Data_raw!$G$2:$G$478,Data_raw!$A$2:$A$478,$A6,Data_raw!$F$2:$F$478,S$1,Data_raw!$D$2:$D$478,"mata")</f>
        <v>0</v>
      </c>
      <c r="T6" s="8">
        <f>SUMIFS(Data_raw!$G$2:$G$478,Data_raw!$A$2:$A$478,$A6,Data_raw!$F$2:$F$478,T$1,Data_raw!$D$2:$D$478,"mata")</f>
        <v>0</v>
      </c>
      <c r="U6" s="8">
        <f>SUMIFS(Data_raw!$G$2:$G$478,Data_raw!$A$2:$A$478,$A6,Data_raw!$F$2:$F$478,U$1,Data_raw!$D$2:$D$478,"mata")</f>
        <v>0</v>
      </c>
      <c r="V6" s="8">
        <f>SUMIFS(Data_raw!$G$2:$G$478,Data_raw!$A$2:$A$478,$A6,Data_raw!$F$2:$F$478,V$1,Data_raw!$D$2:$D$478,"mata")</f>
        <v>0</v>
      </c>
      <c r="W6" s="8">
        <f>SUMIFS(Data_raw!$G$2:$G$478,Data_raw!$A$2:$A$478,$A6,Data_raw!$F$2:$F$478,W$1,Data_raw!$D$2:$D$478,"mata")</f>
        <v>0</v>
      </c>
      <c r="X6" s="8">
        <f>SUMIFS(Data_raw!$G$2:$G$478,Data_raw!$A$2:$A$478,$A6,Data_raw!$F$2:$F$478,X$1,Data_raw!$D$2:$D$478,"mata")</f>
        <v>0</v>
      </c>
      <c r="Y6" s="8">
        <f>SUMIFS(Data_raw!$G$2:$G$478,Data_raw!$A$2:$A$478,$A6,Data_raw!$F$2:$F$478,Y$1,Data_raw!$D$2:$D$478,"mata")</f>
        <v>2</v>
      </c>
      <c r="Z6" s="8">
        <f>SUMIFS(Data_raw!$G$2:$G$478,Data_raw!$A$2:$A$478,$A6,Data_raw!$F$2:$F$478,Z$1,Data_raw!$D$2:$D$478,"mata")</f>
        <v>0</v>
      </c>
      <c r="AA6" s="8">
        <f>SUMIFS(Data_raw!$G$2:$G$478,Data_raw!$A$2:$A$478,$A6,Data_raw!$F$2:$F$478,AA$1,Data_raw!$D$2:$D$478,"mata")</f>
        <v>0</v>
      </c>
    </row>
    <row r="7">
      <c r="A7" s="8" t="s">
        <v>210</v>
      </c>
      <c r="B7" s="8">
        <f>SUMIFS(Data_raw!$G$2:$G$478,Data_raw!$A$2:$A$478,$A7,Data_raw!$F$2:$F$478,B$1,Data_raw!$D$2:$D$478,"mata")</f>
        <v>0</v>
      </c>
      <c r="C7" s="8">
        <f>SUMIFS(Data_raw!$G$2:$G$478,Data_raw!$A$2:$A$478,$A7,Data_raw!$F$2:$F$478,C$1,Data_raw!$D$2:$D$478,"mata")</f>
        <v>0</v>
      </c>
      <c r="D7" s="8">
        <f>SUMIFS(Data_raw!$G$2:$G$478,Data_raw!$A$2:$A$478,$A7,Data_raw!$F$2:$F$478,D$1,Data_raw!$D$2:$D$478,"mata")</f>
        <v>0</v>
      </c>
      <c r="E7" s="8">
        <f>SUMIFS(Data_raw!$G$2:$G$478,Data_raw!$A$2:$A$478,$A7,Data_raw!$F$2:$F$478,E$1,Data_raw!$D$2:$D$478,"mata")</f>
        <v>0</v>
      </c>
      <c r="F7" s="8">
        <f>SUMIFS(Data_raw!$G$2:$G$478,Data_raw!$A$2:$A$478,$A7,Data_raw!$F$2:$F$478,F$1,Data_raw!$D$2:$D$478,"mata")</f>
        <v>0</v>
      </c>
      <c r="G7" s="8">
        <f>SUMIFS(Data_raw!$G$2:$G$478,Data_raw!$A$2:$A$478,$A7,Data_raw!$F$2:$F$478,G$1,Data_raw!$D$2:$D$478,"mata")</f>
        <v>128</v>
      </c>
      <c r="H7" s="8">
        <f>SUMIFS(Data_raw!$G$2:$G$478,Data_raw!$A$2:$A$478,$A7,Data_raw!$F$2:$F$478,H$1,Data_raw!$D$2:$D$478,"mata")</f>
        <v>0</v>
      </c>
      <c r="I7" s="8">
        <f>SUMIFS(Data_raw!$G$2:$G$478,Data_raw!$A$2:$A$478,$A7,Data_raw!$F$2:$F$478,I$1,Data_raw!$D$2:$D$478,"mata")</f>
        <v>5</v>
      </c>
      <c r="J7" s="8">
        <f>SUMIFS(Data_raw!$G$2:$G$478,Data_raw!$A$2:$A$478,$A7,Data_raw!$F$2:$F$478,J$1,Data_raw!$D$2:$D$478,"mata")</f>
        <v>8</v>
      </c>
      <c r="K7" s="8">
        <f>SUMIFS(Data_raw!$G$2:$G$478,Data_raw!$A$2:$A$478,$A7,Data_raw!$F$2:$F$478,K$1,Data_raw!$D$2:$D$478,"mata")</f>
        <v>48</v>
      </c>
      <c r="L7" s="8">
        <f>SUMIFS(Data_raw!$G$2:$G$478,Data_raw!$A$2:$A$478,$A7,Data_raw!$F$2:$F$478,L$1,Data_raw!$D$2:$D$478,"mata")</f>
        <v>0</v>
      </c>
      <c r="M7" s="8">
        <f>SUMIFS(Data_raw!$G$2:$G$478,Data_raw!$A$2:$A$478,$A7,Data_raw!$F$2:$F$478,M$1,Data_raw!$D$2:$D$478,"mata")</f>
        <v>2</v>
      </c>
      <c r="N7" s="8">
        <f>SUMIFS(Data_raw!$G$2:$G$478,Data_raw!$A$2:$A$478,$A7,Data_raw!$F$2:$F$478,N$1,Data_raw!$D$2:$D$478,"mata")</f>
        <v>2</v>
      </c>
      <c r="O7" s="8">
        <f>SUMIFS(Data_raw!$G$2:$G$478,Data_raw!$A$2:$A$478,$A7,Data_raw!$F$2:$F$478,O$1,Data_raw!$D$2:$D$478,"mata")</f>
        <v>0</v>
      </c>
      <c r="P7" s="8">
        <f>SUMIFS(Data_raw!$G$2:$G$478,Data_raw!$A$2:$A$478,$A7,Data_raw!$F$2:$F$478,P$1,Data_raw!$D$2:$D$478,"mata")</f>
        <v>0</v>
      </c>
      <c r="Q7" s="8">
        <f>SUMIFS(Data_raw!$G$2:$G$478,Data_raw!$A$2:$A$478,$A7,Data_raw!$F$2:$F$478,Q$1,Data_raw!$D$2:$D$478,"mata")</f>
        <v>1</v>
      </c>
      <c r="R7" s="8">
        <f>SUMIFS(Data_raw!$G$2:$G$478,Data_raw!$A$2:$A$478,$A7,Data_raw!$F$2:$F$478,R$1,Data_raw!$D$2:$D$478,"mata")</f>
        <v>1</v>
      </c>
      <c r="S7" s="8">
        <f>SUMIFS(Data_raw!$G$2:$G$478,Data_raw!$A$2:$A$478,$A7,Data_raw!$F$2:$F$478,S$1,Data_raw!$D$2:$D$478,"mata")</f>
        <v>0</v>
      </c>
      <c r="T7" s="8">
        <f>SUMIFS(Data_raw!$G$2:$G$478,Data_raw!$A$2:$A$478,$A7,Data_raw!$F$2:$F$478,T$1,Data_raw!$D$2:$D$478,"mata")</f>
        <v>0</v>
      </c>
      <c r="U7" s="8">
        <f>SUMIFS(Data_raw!$G$2:$G$478,Data_raw!$A$2:$A$478,$A7,Data_raw!$F$2:$F$478,U$1,Data_raw!$D$2:$D$478,"mata")</f>
        <v>7</v>
      </c>
      <c r="V7" s="8">
        <f>SUMIFS(Data_raw!$G$2:$G$478,Data_raw!$A$2:$A$478,$A7,Data_raw!$F$2:$F$478,V$1,Data_raw!$D$2:$D$478,"mata")</f>
        <v>2</v>
      </c>
      <c r="W7" s="8">
        <f>SUMIFS(Data_raw!$G$2:$G$478,Data_raw!$A$2:$A$478,$A7,Data_raw!$F$2:$F$478,W$1,Data_raw!$D$2:$D$478,"mata")</f>
        <v>0</v>
      </c>
      <c r="X7" s="8">
        <f>SUMIFS(Data_raw!$G$2:$G$478,Data_raw!$A$2:$A$478,$A7,Data_raw!$F$2:$F$478,X$1,Data_raw!$D$2:$D$478,"mata")</f>
        <v>1</v>
      </c>
      <c r="Y7" s="8">
        <f>SUMIFS(Data_raw!$G$2:$G$478,Data_raw!$A$2:$A$478,$A7,Data_raw!$F$2:$F$478,Y$1,Data_raw!$D$2:$D$478,"mata")</f>
        <v>4</v>
      </c>
      <c r="Z7" s="8">
        <f>SUMIFS(Data_raw!$G$2:$G$478,Data_raw!$A$2:$A$478,$A7,Data_raw!$F$2:$F$478,Z$1,Data_raw!$D$2:$D$478,"mata")</f>
        <v>0</v>
      </c>
      <c r="AA7" s="8">
        <f>SUMIFS(Data_raw!$G$2:$G$478,Data_raw!$A$2:$A$478,$A7,Data_raw!$F$2:$F$478,AA$1,Data_raw!$D$2:$D$478,"mata")</f>
        <v>0</v>
      </c>
    </row>
    <row r="8">
      <c r="A8" s="8" t="s">
        <v>441</v>
      </c>
      <c r="B8" s="8">
        <f>SUMIFS(Data_raw!$G$2:$G$478,Data_raw!$A$2:$A$478,$A8,Data_raw!$F$2:$F$478,B$1,Data_raw!$D$2:$D$478,"mata")</f>
        <v>0</v>
      </c>
      <c r="C8" s="8">
        <f>SUMIFS(Data_raw!$G$2:$G$478,Data_raw!$A$2:$A$478,$A8,Data_raw!$F$2:$F$478,C$1,Data_raw!$D$2:$D$478,"mata")</f>
        <v>0</v>
      </c>
      <c r="D8" s="8">
        <f>SUMIFS(Data_raw!$G$2:$G$478,Data_raw!$A$2:$A$478,$A8,Data_raw!$F$2:$F$478,D$1,Data_raw!$D$2:$D$478,"mata")</f>
        <v>0</v>
      </c>
      <c r="E8" s="8">
        <f>SUMIFS(Data_raw!$G$2:$G$478,Data_raw!$A$2:$A$478,$A8,Data_raw!$F$2:$F$478,E$1,Data_raw!$D$2:$D$478,"mata")</f>
        <v>0</v>
      </c>
      <c r="F8" s="8">
        <f>SUMIFS(Data_raw!$G$2:$G$478,Data_raw!$A$2:$A$478,$A8,Data_raw!$F$2:$F$478,F$1,Data_raw!$D$2:$D$478,"mata")</f>
        <v>0</v>
      </c>
      <c r="G8" s="8">
        <f>SUMIFS(Data_raw!$G$2:$G$478,Data_raw!$A$2:$A$478,$A8,Data_raw!$F$2:$F$478,G$1,Data_raw!$D$2:$D$478,"mata")</f>
        <v>7</v>
      </c>
      <c r="H8" s="8">
        <f>SUMIFS(Data_raw!$G$2:$G$478,Data_raw!$A$2:$A$478,$A8,Data_raw!$F$2:$F$478,H$1,Data_raw!$D$2:$D$478,"mata")</f>
        <v>0</v>
      </c>
      <c r="I8" s="8">
        <f>SUMIFS(Data_raw!$G$2:$G$478,Data_raw!$A$2:$A$478,$A8,Data_raw!$F$2:$F$478,I$1,Data_raw!$D$2:$D$478,"mata")</f>
        <v>0</v>
      </c>
      <c r="J8" s="8">
        <f>SUMIFS(Data_raw!$G$2:$G$478,Data_raw!$A$2:$A$478,$A8,Data_raw!$F$2:$F$478,J$1,Data_raw!$D$2:$D$478,"mata")</f>
        <v>1</v>
      </c>
      <c r="K8" s="8">
        <f>SUMIFS(Data_raw!$G$2:$G$478,Data_raw!$A$2:$A$478,$A8,Data_raw!$F$2:$F$478,K$1,Data_raw!$D$2:$D$478,"mata")</f>
        <v>59</v>
      </c>
      <c r="L8" s="8">
        <f>SUMIFS(Data_raw!$G$2:$G$478,Data_raw!$A$2:$A$478,$A8,Data_raw!$F$2:$F$478,L$1,Data_raw!$D$2:$D$478,"mata")</f>
        <v>1</v>
      </c>
      <c r="M8" s="8">
        <f>SUMIFS(Data_raw!$G$2:$G$478,Data_raw!$A$2:$A$478,$A8,Data_raw!$F$2:$F$478,M$1,Data_raw!$D$2:$D$478,"mata")</f>
        <v>0</v>
      </c>
      <c r="N8" s="8">
        <f>SUMIFS(Data_raw!$G$2:$G$478,Data_raw!$A$2:$A$478,$A8,Data_raw!$F$2:$F$478,N$1,Data_raw!$D$2:$D$478,"mata")</f>
        <v>0</v>
      </c>
      <c r="O8" s="8">
        <f>SUMIFS(Data_raw!$G$2:$G$478,Data_raw!$A$2:$A$478,$A8,Data_raw!$F$2:$F$478,O$1,Data_raw!$D$2:$D$478,"mata")</f>
        <v>0</v>
      </c>
      <c r="P8" s="8">
        <f>SUMIFS(Data_raw!$G$2:$G$478,Data_raw!$A$2:$A$478,$A8,Data_raw!$F$2:$F$478,P$1,Data_raw!$D$2:$D$478,"mata")</f>
        <v>0</v>
      </c>
      <c r="Q8" s="8">
        <f>SUMIFS(Data_raw!$G$2:$G$478,Data_raw!$A$2:$A$478,$A8,Data_raw!$F$2:$F$478,Q$1,Data_raw!$D$2:$D$478,"mata")</f>
        <v>0</v>
      </c>
      <c r="R8" s="8">
        <f>SUMIFS(Data_raw!$G$2:$G$478,Data_raw!$A$2:$A$478,$A8,Data_raw!$F$2:$F$478,R$1,Data_raw!$D$2:$D$478,"mata")</f>
        <v>0</v>
      </c>
      <c r="S8" s="8">
        <f>SUMIFS(Data_raw!$G$2:$G$478,Data_raw!$A$2:$A$478,$A8,Data_raw!$F$2:$F$478,S$1,Data_raw!$D$2:$D$478,"mata")</f>
        <v>0</v>
      </c>
      <c r="T8" s="8">
        <f>SUMIFS(Data_raw!$G$2:$G$478,Data_raw!$A$2:$A$478,$A8,Data_raw!$F$2:$F$478,T$1,Data_raw!$D$2:$D$478,"mata")</f>
        <v>0</v>
      </c>
      <c r="U8" s="8">
        <f>SUMIFS(Data_raw!$G$2:$G$478,Data_raw!$A$2:$A$478,$A8,Data_raw!$F$2:$F$478,U$1,Data_raw!$D$2:$D$478,"mata")</f>
        <v>1</v>
      </c>
      <c r="V8" s="8">
        <f>SUMIFS(Data_raw!$G$2:$G$478,Data_raw!$A$2:$A$478,$A8,Data_raw!$F$2:$F$478,V$1,Data_raw!$D$2:$D$478,"mata")</f>
        <v>0</v>
      </c>
      <c r="W8" s="8">
        <f>SUMIFS(Data_raw!$G$2:$G$478,Data_raw!$A$2:$A$478,$A8,Data_raw!$F$2:$F$478,W$1,Data_raw!$D$2:$D$478,"mata")</f>
        <v>0</v>
      </c>
      <c r="X8" s="8">
        <f>SUMIFS(Data_raw!$G$2:$G$478,Data_raw!$A$2:$A$478,$A8,Data_raw!$F$2:$F$478,X$1,Data_raw!$D$2:$D$478,"mata")</f>
        <v>0</v>
      </c>
      <c r="Y8" s="8">
        <f>SUMIFS(Data_raw!$G$2:$G$478,Data_raw!$A$2:$A$478,$A8,Data_raw!$F$2:$F$478,Y$1,Data_raw!$D$2:$D$478,"mata")</f>
        <v>0</v>
      </c>
      <c r="Z8" s="8">
        <f>SUMIFS(Data_raw!$G$2:$G$478,Data_raw!$A$2:$A$478,$A8,Data_raw!$F$2:$F$478,Z$1,Data_raw!$D$2:$D$478,"mata")</f>
        <v>0</v>
      </c>
      <c r="AA8" s="8">
        <f>SUMIFS(Data_raw!$G$2:$G$478,Data_raw!$A$2:$A$478,$A8,Data_raw!$F$2:$F$478,AA$1,Data_raw!$D$2:$D$478,"mata")</f>
        <v>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8" t="s">
        <v>55</v>
      </c>
      <c r="C1" s="8" t="s">
        <v>784</v>
      </c>
      <c r="D1" s="8" t="s">
        <v>794</v>
      </c>
      <c r="E1" s="8" t="s">
        <v>57</v>
      </c>
      <c r="F1" s="8" t="s">
        <v>59</v>
      </c>
      <c r="G1" s="8" t="s">
        <v>63</v>
      </c>
      <c r="H1" s="8" t="s">
        <v>67</v>
      </c>
      <c r="I1" s="8" t="s">
        <v>69</v>
      </c>
      <c r="J1" s="8" t="s">
        <v>71</v>
      </c>
      <c r="K1" s="8" t="s">
        <v>75</v>
      </c>
      <c r="L1" s="8" t="s">
        <v>77</v>
      </c>
      <c r="M1" s="8" t="s">
        <v>79</v>
      </c>
      <c r="N1" s="8" t="s">
        <v>81</v>
      </c>
      <c r="O1" s="8" t="s">
        <v>83</v>
      </c>
      <c r="P1" s="8" t="s">
        <v>953</v>
      </c>
      <c r="Q1" s="8" t="s">
        <v>85</v>
      </c>
      <c r="R1" s="8" t="s">
        <v>832</v>
      </c>
      <c r="S1" s="8" t="s">
        <v>89</v>
      </c>
      <c r="T1" s="8" t="s">
        <v>756</v>
      </c>
      <c r="U1" s="8" t="s">
        <v>91</v>
      </c>
      <c r="V1" s="8" t="s">
        <v>93</v>
      </c>
      <c r="W1" s="8" t="s">
        <v>783</v>
      </c>
      <c r="X1" s="8" t="s">
        <v>776</v>
      </c>
      <c r="Y1" s="8" t="s">
        <v>97</v>
      </c>
      <c r="Z1" s="8" t="s">
        <v>757</v>
      </c>
      <c r="AA1" s="8" t="s">
        <v>101</v>
      </c>
    </row>
    <row r="2">
      <c r="A2" s="8" t="s">
        <v>137</v>
      </c>
      <c r="B2" s="8">
        <f>SUMIFS(Data_raw!$G$2:$G$478,Data_raw!$A$2:$A$478,$A2,Data_raw!$F$2:$F$478,B$1,Data_raw!$D$2:$D$478,"eucalipto")</f>
        <v>1</v>
      </c>
      <c r="C2" s="8">
        <f>SUMIFS(Data_raw!$G$2:$G$478,Data_raw!$A$2:$A$478,$A2,Data_raw!$F$2:$F$478,C$1,Data_raw!$D$2:$D$478,"eucalipto")</f>
        <v>0</v>
      </c>
      <c r="D2" s="8">
        <f>SUMIFS(Data_raw!$G$2:$G$478,Data_raw!$A$2:$A$478,$A2,Data_raw!$F$2:$F$478,D$1,Data_raw!$D$2:$D$478,"eucalipto")</f>
        <v>0</v>
      </c>
      <c r="E2" s="8">
        <f>SUMIFS(Data_raw!$G$2:$G$478,Data_raw!$A$2:$A$478,$A2,Data_raw!$F$2:$F$478,E$1,Data_raw!$D$2:$D$478,"eucalipto")</f>
        <v>0</v>
      </c>
      <c r="F2" s="8">
        <f>SUMIFS(Data_raw!$G$2:$G$478,Data_raw!$A$2:$A$478,$A2,Data_raw!$F$2:$F$478,F$1,Data_raw!$D$2:$D$478,"eucalipto")</f>
        <v>0</v>
      </c>
      <c r="G2" s="8">
        <f>SUMIFS(Data_raw!$G$2:$G$478,Data_raw!$A$2:$A$478,$A2,Data_raw!$F$2:$F$478,G$1,Data_raw!$D$2:$D$478,"eucalipto")</f>
        <v>4</v>
      </c>
      <c r="H2" s="8">
        <f>SUMIFS(Data_raw!$G$2:$G$478,Data_raw!$A$2:$A$478,$A2,Data_raw!$F$2:$F$478,H$1,Data_raw!$D$2:$D$478,"eucalipto")</f>
        <v>0</v>
      </c>
      <c r="I2" s="8">
        <f>SUMIFS(Data_raw!$G$2:$G$478,Data_raw!$A$2:$A$478,$A2,Data_raw!$F$2:$F$478,I$1,Data_raw!$D$2:$D$478,"eucalipto")</f>
        <v>0</v>
      </c>
      <c r="J2" s="8">
        <f>SUMIFS(Data_raw!$G$2:$G$478,Data_raw!$A$2:$A$478,$A2,Data_raw!$F$2:$F$478,J$1,Data_raw!$D$2:$D$478,"eucalipto")</f>
        <v>0</v>
      </c>
      <c r="K2" s="8">
        <f>SUMIFS(Data_raw!$G$2:$G$478,Data_raw!$A$2:$A$478,$A2,Data_raw!$F$2:$F$478,K$1,Data_raw!$D$2:$D$478,"eucalipto")</f>
        <v>79</v>
      </c>
      <c r="L2" s="8">
        <f>SUMIFS(Data_raw!$G$2:$G$478,Data_raw!$A$2:$A$478,$A2,Data_raw!$F$2:$F$478,L$1,Data_raw!$D$2:$D$478,"eucalipto")</f>
        <v>0</v>
      </c>
      <c r="M2" s="8">
        <f>SUMIFS(Data_raw!$G$2:$G$478,Data_raw!$A$2:$A$478,$A2,Data_raw!$F$2:$F$478,M$1,Data_raw!$D$2:$D$478,"eucalipto")</f>
        <v>0</v>
      </c>
      <c r="N2" s="8">
        <f>SUMIFS(Data_raw!$G$2:$G$478,Data_raw!$A$2:$A$478,$A2,Data_raw!$F$2:$F$478,N$1,Data_raw!$D$2:$D$478,"eucalipto")</f>
        <v>0</v>
      </c>
      <c r="O2" s="8">
        <f>SUMIFS(Data_raw!$G$2:$G$478,Data_raw!$A$2:$A$478,$A2,Data_raw!$F$2:$F$478,O$1,Data_raw!$D$2:$D$478,"eucalipto")</f>
        <v>0</v>
      </c>
      <c r="P2" s="8">
        <f>SUMIFS(Data_raw!$G$2:$G$478,Data_raw!$A$2:$A$478,$A2,Data_raw!$F$2:$F$478,P$1,Data_raw!$D$2:$D$478,"eucalipto")</f>
        <v>0</v>
      </c>
      <c r="Q2" s="8">
        <f>SUMIFS(Data_raw!$G$2:$G$478,Data_raw!$A$2:$A$478,$A2,Data_raw!$F$2:$F$478,Q$1,Data_raw!$D$2:$D$478,"eucalipto")</f>
        <v>0</v>
      </c>
      <c r="R2" s="8">
        <f>SUMIFS(Data_raw!$G$2:$G$478,Data_raw!$A$2:$A$478,$A2,Data_raw!$F$2:$F$478,R$1,Data_raw!$D$2:$D$478,"eucalipto")</f>
        <v>0</v>
      </c>
      <c r="S2" s="8">
        <f>SUMIFS(Data_raw!$G$2:$G$478,Data_raw!$A$2:$A$478,$A2,Data_raw!$F$2:$F$478,S$1,Data_raw!$D$2:$D$478,"eucalipto")</f>
        <v>0</v>
      </c>
      <c r="T2" s="8">
        <f>SUMIFS(Data_raw!$G$2:$G$478,Data_raw!$A$2:$A$478,$A2,Data_raw!$F$2:$F$478,T$1,Data_raw!$D$2:$D$478,"eucalipto")</f>
        <v>0</v>
      </c>
      <c r="U2" s="8">
        <f>SUMIFS(Data_raw!$G$2:$G$478,Data_raw!$A$2:$A$478,$A2,Data_raw!$F$2:$F$478,U$1,Data_raw!$D$2:$D$478,"eucalipto")</f>
        <v>1</v>
      </c>
      <c r="V2" s="8">
        <f>SUMIFS(Data_raw!$G$2:$G$478,Data_raw!$A$2:$A$478,$A2,Data_raw!$F$2:$F$478,V$1,Data_raw!$D$2:$D$478,"eucalipto")</f>
        <v>0</v>
      </c>
      <c r="W2" s="8">
        <f>SUMIFS(Data_raw!$G$2:$G$478,Data_raw!$A$2:$A$478,$A2,Data_raw!$F$2:$F$478,W$1,Data_raw!$D$2:$D$478,"eucalipto")</f>
        <v>0</v>
      </c>
      <c r="X2" s="8">
        <f>SUMIFS(Data_raw!$G$2:$G$478,Data_raw!$A$2:$A$478,$A2,Data_raw!$F$2:$F$478,X$1,Data_raw!$D$2:$D$478,"eucalipto")</f>
        <v>0</v>
      </c>
      <c r="Y2" s="8">
        <f>SUMIFS(Data_raw!$G$2:$G$478,Data_raw!$A$2:$A$478,$A2,Data_raw!$F$2:$F$478,Y$1,Data_raw!$D$2:$D$478,"eucalipto")</f>
        <v>0</v>
      </c>
      <c r="Z2" s="8">
        <f>SUMIFS(Data_raw!$G$2:$G$478,Data_raw!$A$2:$A$478,$A2,Data_raw!$F$2:$F$478,Z$1,Data_raw!$D$2:$D$478,"eucalipto")</f>
        <v>0</v>
      </c>
      <c r="AA2" s="8">
        <f>SUMIFS(Data_raw!$G$2:$G$478,Data_raw!$A$2:$A$478,$A2,Data_raw!$F$2:$F$478,AA$1,Data_raw!$D$2:$D$478,"eucalipto")</f>
        <v>0</v>
      </c>
    </row>
    <row r="3">
      <c r="A3" s="8" t="s">
        <v>170</v>
      </c>
      <c r="B3" s="8">
        <f>SUMIFS(Data_raw!$G$2:$G$478,Data_raw!$A$2:$A$478,$A3,Data_raw!$F$2:$F$478,B$1,Data_raw!$D$2:$D$478,"eucalipto")</f>
        <v>0</v>
      </c>
      <c r="C3" s="8">
        <f>SUMIFS(Data_raw!$G$2:$G$478,Data_raw!$A$2:$A$478,$A3,Data_raw!$F$2:$F$478,C$1,Data_raw!$D$2:$D$478,"eucalipto")</f>
        <v>0</v>
      </c>
      <c r="D3" s="8">
        <f>SUMIFS(Data_raw!$G$2:$G$478,Data_raw!$A$2:$A$478,$A3,Data_raw!$F$2:$F$478,D$1,Data_raw!$D$2:$D$478,"eucalipto")</f>
        <v>0</v>
      </c>
      <c r="E3" s="8">
        <f>SUMIFS(Data_raw!$G$2:$G$478,Data_raw!$A$2:$A$478,$A3,Data_raw!$F$2:$F$478,E$1,Data_raw!$D$2:$D$478,"eucalipto")</f>
        <v>0</v>
      </c>
      <c r="F3" s="8">
        <f>SUMIFS(Data_raw!$G$2:$G$478,Data_raw!$A$2:$A$478,$A3,Data_raw!$F$2:$F$478,F$1,Data_raw!$D$2:$D$478,"eucalipto")</f>
        <v>0</v>
      </c>
      <c r="G3" s="8">
        <f>SUMIFS(Data_raw!$G$2:$G$478,Data_raw!$A$2:$A$478,$A3,Data_raw!$F$2:$F$478,G$1,Data_raw!$D$2:$D$478,"eucalipto")</f>
        <v>0</v>
      </c>
      <c r="H3" s="8">
        <f>SUMIFS(Data_raw!$G$2:$G$478,Data_raw!$A$2:$A$478,$A3,Data_raw!$F$2:$F$478,H$1,Data_raw!$D$2:$D$478,"eucalipto")</f>
        <v>0</v>
      </c>
      <c r="I3" s="8">
        <f>SUMIFS(Data_raw!$G$2:$G$478,Data_raw!$A$2:$A$478,$A3,Data_raw!$F$2:$F$478,I$1,Data_raw!$D$2:$D$478,"eucalipto")</f>
        <v>0</v>
      </c>
      <c r="J3" s="8">
        <f>SUMIFS(Data_raw!$G$2:$G$478,Data_raw!$A$2:$A$478,$A3,Data_raw!$F$2:$F$478,J$1,Data_raw!$D$2:$D$478,"eucalipto")</f>
        <v>0</v>
      </c>
      <c r="K3" s="8">
        <f>SUMIFS(Data_raw!$G$2:$G$478,Data_raw!$A$2:$A$478,$A3,Data_raw!$F$2:$F$478,K$1,Data_raw!$D$2:$D$478,"eucalipto")</f>
        <v>0</v>
      </c>
      <c r="L3" s="8">
        <f>SUMIFS(Data_raw!$G$2:$G$478,Data_raw!$A$2:$A$478,$A3,Data_raw!$F$2:$F$478,L$1,Data_raw!$D$2:$D$478,"eucalipto")</f>
        <v>0</v>
      </c>
      <c r="M3" s="8">
        <f>SUMIFS(Data_raw!$G$2:$G$478,Data_raw!$A$2:$A$478,$A3,Data_raw!$F$2:$F$478,M$1,Data_raw!$D$2:$D$478,"eucalipto")</f>
        <v>0</v>
      </c>
      <c r="N3" s="8">
        <f>SUMIFS(Data_raw!$G$2:$G$478,Data_raw!$A$2:$A$478,$A3,Data_raw!$F$2:$F$478,N$1,Data_raw!$D$2:$D$478,"eucalipto")</f>
        <v>0</v>
      </c>
      <c r="O3" s="8">
        <f>SUMIFS(Data_raw!$G$2:$G$478,Data_raw!$A$2:$A$478,$A3,Data_raw!$F$2:$F$478,O$1,Data_raw!$D$2:$D$478,"eucalipto")</f>
        <v>0</v>
      </c>
      <c r="P3" s="8">
        <f>SUMIFS(Data_raw!$G$2:$G$478,Data_raw!$A$2:$A$478,$A3,Data_raw!$F$2:$F$478,P$1,Data_raw!$D$2:$D$478,"eucalipto")</f>
        <v>0</v>
      </c>
      <c r="Q3" s="8">
        <f>SUMIFS(Data_raw!$G$2:$G$478,Data_raw!$A$2:$A$478,$A3,Data_raw!$F$2:$F$478,Q$1,Data_raw!$D$2:$D$478,"eucalipto")</f>
        <v>0</v>
      </c>
      <c r="R3" s="8">
        <f>SUMIFS(Data_raw!$G$2:$G$478,Data_raw!$A$2:$A$478,$A3,Data_raw!$F$2:$F$478,R$1,Data_raw!$D$2:$D$478,"eucalipto")</f>
        <v>0</v>
      </c>
      <c r="S3" s="8">
        <f>SUMIFS(Data_raw!$G$2:$G$478,Data_raw!$A$2:$A$478,$A3,Data_raw!$F$2:$F$478,S$1,Data_raw!$D$2:$D$478,"eucalipto")</f>
        <v>0</v>
      </c>
      <c r="T3" s="8">
        <f>SUMIFS(Data_raw!$G$2:$G$478,Data_raw!$A$2:$A$478,$A3,Data_raw!$F$2:$F$478,T$1,Data_raw!$D$2:$D$478,"eucalipto")</f>
        <v>0</v>
      </c>
      <c r="U3" s="8">
        <f>SUMIFS(Data_raw!$G$2:$G$478,Data_raw!$A$2:$A$478,$A3,Data_raw!$F$2:$F$478,U$1,Data_raw!$D$2:$D$478,"eucalipto")</f>
        <v>0</v>
      </c>
      <c r="V3" s="8">
        <f>SUMIFS(Data_raw!$G$2:$G$478,Data_raw!$A$2:$A$478,$A3,Data_raw!$F$2:$F$478,V$1,Data_raw!$D$2:$D$478,"eucalipto")</f>
        <v>0</v>
      </c>
      <c r="W3" s="8">
        <f>SUMIFS(Data_raw!$G$2:$G$478,Data_raw!$A$2:$A$478,$A3,Data_raw!$F$2:$F$478,W$1,Data_raw!$D$2:$D$478,"eucalipto")</f>
        <v>0</v>
      </c>
      <c r="X3" s="8">
        <f>SUMIFS(Data_raw!$G$2:$G$478,Data_raw!$A$2:$A$478,$A3,Data_raw!$F$2:$F$478,X$1,Data_raw!$D$2:$D$478,"eucalipto")</f>
        <v>0</v>
      </c>
      <c r="Y3" s="8">
        <f>SUMIFS(Data_raw!$G$2:$G$478,Data_raw!$A$2:$A$478,$A3,Data_raw!$F$2:$F$478,Y$1,Data_raw!$D$2:$D$478,"eucalipto")</f>
        <v>0</v>
      </c>
      <c r="Z3" s="8">
        <f>SUMIFS(Data_raw!$G$2:$G$478,Data_raw!$A$2:$A$478,$A3,Data_raw!$F$2:$F$478,Z$1,Data_raw!$D$2:$D$478,"eucalipto")</f>
        <v>0</v>
      </c>
      <c r="AA3" s="8">
        <f>SUMIFS(Data_raw!$G$2:$G$478,Data_raw!$A$2:$A$478,$A3,Data_raw!$F$2:$F$478,AA$1,Data_raw!$D$2:$D$478,"eucalipto")</f>
        <v>0</v>
      </c>
    </row>
    <row r="4">
      <c r="A4" s="8" t="s">
        <v>145</v>
      </c>
      <c r="B4" s="8">
        <f>SUMIFS(Data_raw!$G$2:$G$478,Data_raw!$A$2:$A$478,$A4,Data_raw!$F$2:$F$478,B$1,Data_raw!$D$2:$D$478,"eucalipto")</f>
        <v>0</v>
      </c>
      <c r="C4" s="8">
        <f>SUMIFS(Data_raw!$G$2:$G$478,Data_raw!$A$2:$A$478,$A4,Data_raw!$F$2:$F$478,C$1,Data_raw!$D$2:$D$478,"eucalipto")</f>
        <v>0</v>
      </c>
      <c r="D4" s="8">
        <f>SUMIFS(Data_raw!$G$2:$G$478,Data_raw!$A$2:$A$478,$A4,Data_raw!$F$2:$F$478,D$1,Data_raw!$D$2:$D$478,"eucalipto")</f>
        <v>0</v>
      </c>
      <c r="E4" s="8">
        <f>SUMIFS(Data_raw!$G$2:$G$478,Data_raw!$A$2:$A$478,$A4,Data_raw!$F$2:$F$478,E$1,Data_raw!$D$2:$D$478,"eucalipto")</f>
        <v>0</v>
      </c>
      <c r="F4" s="8">
        <f>SUMIFS(Data_raw!$G$2:$G$478,Data_raw!$A$2:$A$478,$A4,Data_raw!$F$2:$F$478,F$1,Data_raw!$D$2:$D$478,"eucalipto")</f>
        <v>3</v>
      </c>
      <c r="G4" s="8">
        <f>SUMIFS(Data_raw!$G$2:$G$478,Data_raw!$A$2:$A$478,$A4,Data_raw!$F$2:$F$478,G$1,Data_raw!$D$2:$D$478,"eucalipto")</f>
        <v>5</v>
      </c>
      <c r="H4" s="8">
        <f>SUMIFS(Data_raw!$G$2:$G$478,Data_raw!$A$2:$A$478,$A4,Data_raw!$F$2:$F$478,H$1,Data_raw!$D$2:$D$478,"eucalipto")</f>
        <v>0</v>
      </c>
      <c r="I4" s="8">
        <f>SUMIFS(Data_raw!$G$2:$G$478,Data_raw!$A$2:$A$478,$A4,Data_raw!$F$2:$F$478,I$1,Data_raw!$D$2:$D$478,"eucalipto")</f>
        <v>1</v>
      </c>
      <c r="J4" s="8">
        <f>SUMIFS(Data_raw!$G$2:$G$478,Data_raw!$A$2:$A$478,$A4,Data_raw!$F$2:$F$478,J$1,Data_raw!$D$2:$D$478,"eucalipto")</f>
        <v>0</v>
      </c>
      <c r="K4" s="8">
        <f>SUMIFS(Data_raw!$G$2:$G$478,Data_raw!$A$2:$A$478,$A4,Data_raw!$F$2:$F$478,K$1,Data_raw!$D$2:$D$478,"eucalipto")</f>
        <v>0</v>
      </c>
      <c r="L4" s="8">
        <f>SUMIFS(Data_raw!$G$2:$G$478,Data_raw!$A$2:$A$478,$A4,Data_raw!$F$2:$F$478,L$1,Data_raw!$D$2:$D$478,"eucalipto")</f>
        <v>0</v>
      </c>
      <c r="M4" s="8">
        <f>SUMIFS(Data_raw!$G$2:$G$478,Data_raw!$A$2:$A$478,$A4,Data_raw!$F$2:$F$478,M$1,Data_raw!$D$2:$D$478,"eucalipto")</f>
        <v>0</v>
      </c>
      <c r="N4" s="8">
        <f>SUMIFS(Data_raw!$G$2:$G$478,Data_raw!$A$2:$A$478,$A4,Data_raw!$F$2:$F$478,N$1,Data_raw!$D$2:$D$478,"eucalipto")</f>
        <v>0</v>
      </c>
      <c r="O4" s="8">
        <f>SUMIFS(Data_raw!$G$2:$G$478,Data_raw!$A$2:$A$478,$A4,Data_raw!$F$2:$F$478,O$1,Data_raw!$D$2:$D$478,"eucalipto")</f>
        <v>0</v>
      </c>
      <c r="P4" s="8">
        <f>SUMIFS(Data_raw!$G$2:$G$478,Data_raw!$A$2:$A$478,$A4,Data_raw!$F$2:$F$478,P$1,Data_raw!$D$2:$D$478,"eucalipto")</f>
        <v>0</v>
      </c>
      <c r="Q4" s="8">
        <f>SUMIFS(Data_raw!$G$2:$G$478,Data_raw!$A$2:$A$478,$A4,Data_raw!$F$2:$F$478,Q$1,Data_raw!$D$2:$D$478,"eucalipto")</f>
        <v>0</v>
      </c>
      <c r="R4" s="8">
        <f>SUMIFS(Data_raw!$G$2:$G$478,Data_raw!$A$2:$A$478,$A4,Data_raw!$F$2:$F$478,R$1,Data_raw!$D$2:$D$478,"eucalipto")</f>
        <v>0</v>
      </c>
      <c r="S4" s="8">
        <f>SUMIFS(Data_raw!$G$2:$G$478,Data_raw!$A$2:$A$478,$A4,Data_raw!$F$2:$F$478,S$1,Data_raw!$D$2:$D$478,"eucalipto")</f>
        <v>0</v>
      </c>
      <c r="T4" s="8">
        <f>SUMIFS(Data_raw!$G$2:$G$478,Data_raw!$A$2:$A$478,$A4,Data_raw!$F$2:$F$478,T$1,Data_raw!$D$2:$D$478,"eucalipto")</f>
        <v>0</v>
      </c>
      <c r="U4" s="8">
        <f>SUMIFS(Data_raw!$G$2:$G$478,Data_raw!$A$2:$A$478,$A4,Data_raw!$F$2:$F$478,U$1,Data_raw!$D$2:$D$478,"eucalipto")</f>
        <v>4</v>
      </c>
      <c r="V4" s="8">
        <f>SUMIFS(Data_raw!$G$2:$G$478,Data_raw!$A$2:$A$478,$A4,Data_raw!$F$2:$F$478,V$1,Data_raw!$D$2:$D$478,"eucalipto")</f>
        <v>0</v>
      </c>
      <c r="W4" s="8">
        <f>SUMIFS(Data_raw!$G$2:$G$478,Data_raw!$A$2:$A$478,$A4,Data_raw!$F$2:$F$478,W$1,Data_raw!$D$2:$D$478,"eucalipto")</f>
        <v>0</v>
      </c>
      <c r="X4" s="8">
        <f>SUMIFS(Data_raw!$G$2:$G$478,Data_raw!$A$2:$A$478,$A4,Data_raw!$F$2:$F$478,X$1,Data_raw!$D$2:$D$478,"eucalipto")</f>
        <v>0</v>
      </c>
      <c r="Y4" s="8">
        <f>SUMIFS(Data_raw!$G$2:$G$478,Data_raw!$A$2:$A$478,$A4,Data_raw!$F$2:$F$478,Y$1,Data_raw!$D$2:$D$478,"eucalipto")</f>
        <v>1</v>
      </c>
      <c r="Z4" s="8">
        <f>SUMIFS(Data_raw!$G$2:$G$478,Data_raw!$A$2:$A$478,$A4,Data_raw!$F$2:$F$478,Z$1,Data_raw!$D$2:$D$478,"eucalipto")</f>
        <v>0</v>
      </c>
      <c r="AA4" s="8">
        <f>SUMIFS(Data_raw!$G$2:$G$478,Data_raw!$A$2:$A$478,$A4,Data_raw!$F$2:$F$478,AA$1,Data_raw!$D$2:$D$478,"eucalipto")</f>
        <v>0</v>
      </c>
    </row>
    <row r="5">
      <c r="A5" s="8" t="s">
        <v>119</v>
      </c>
      <c r="B5" s="8">
        <f>SUMIFS(Data_raw!$G$2:$G$478,Data_raw!$A$2:$A$478,$A5,Data_raw!$F$2:$F$478,B$1,Data_raw!$D$2:$D$478,"eucalipto")</f>
        <v>0</v>
      </c>
      <c r="C5" s="8">
        <f>SUMIFS(Data_raw!$G$2:$G$478,Data_raw!$A$2:$A$478,$A5,Data_raw!$F$2:$F$478,C$1,Data_raw!$D$2:$D$478,"eucalipto")</f>
        <v>0</v>
      </c>
      <c r="D5" s="8">
        <f>SUMIFS(Data_raw!$G$2:$G$478,Data_raw!$A$2:$A$478,$A5,Data_raw!$F$2:$F$478,D$1,Data_raw!$D$2:$D$478,"eucalipto")</f>
        <v>1</v>
      </c>
      <c r="E5" s="8">
        <f>SUMIFS(Data_raw!$G$2:$G$478,Data_raw!$A$2:$A$478,$A5,Data_raw!$F$2:$F$478,E$1,Data_raw!$D$2:$D$478,"eucalipto")</f>
        <v>10</v>
      </c>
      <c r="F5" s="8">
        <f>SUMIFS(Data_raw!$G$2:$G$478,Data_raw!$A$2:$A$478,$A5,Data_raw!$F$2:$F$478,F$1,Data_raw!$D$2:$D$478,"eucalipto")</f>
        <v>0</v>
      </c>
      <c r="G5" s="8">
        <f>SUMIFS(Data_raw!$G$2:$G$478,Data_raw!$A$2:$A$478,$A5,Data_raw!$F$2:$F$478,G$1,Data_raw!$D$2:$D$478,"eucalipto")</f>
        <v>5</v>
      </c>
      <c r="H5" s="8">
        <f>SUMIFS(Data_raw!$G$2:$G$478,Data_raw!$A$2:$A$478,$A5,Data_raw!$F$2:$F$478,H$1,Data_raw!$D$2:$D$478,"eucalipto")</f>
        <v>1</v>
      </c>
      <c r="I5" s="8">
        <f>SUMIFS(Data_raw!$G$2:$G$478,Data_raw!$A$2:$A$478,$A5,Data_raw!$F$2:$F$478,I$1,Data_raw!$D$2:$D$478,"eucalipto")</f>
        <v>0</v>
      </c>
      <c r="J5" s="8">
        <f>SUMIFS(Data_raw!$G$2:$G$478,Data_raw!$A$2:$A$478,$A5,Data_raw!$F$2:$F$478,J$1,Data_raw!$D$2:$D$478,"eucalipto")</f>
        <v>0</v>
      </c>
      <c r="K5" s="8">
        <f>SUMIFS(Data_raw!$G$2:$G$478,Data_raw!$A$2:$A$478,$A5,Data_raw!$F$2:$F$478,K$1,Data_raw!$D$2:$D$478,"eucalipto")</f>
        <v>2</v>
      </c>
      <c r="L5" s="8">
        <f>SUMIFS(Data_raw!$G$2:$G$478,Data_raw!$A$2:$A$478,$A5,Data_raw!$F$2:$F$478,L$1,Data_raw!$D$2:$D$478,"eucalipto")</f>
        <v>0</v>
      </c>
      <c r="M5" s="8">
        <f>SUMIFS(Data_raw!$G$2:$G$478,Data_raw!$A$2:$A$478,$A5,Data_raw!$F$2:$F$478,M$1,Data_raw!$D$2:$D$478,"eucalipto")</f>
        <v>1</v>
      </c>
      <c r="N5" s="8">
        <f>SUMIFS(Data_raw!$G$2:$G$478,Data_raw!$A$2:$A$478,$A5,Data_raw!$F$2:$F$478,N$1,Data_raw!$D$2:$D$478,"eucalipto")</f>
        <v>0</v>
      </c>
      <c r="O5" s="8">
        <f>SUMIFS(Data_raw!$G$2:$G$478,Data_raw!$A$2:$A$478,$A5,Data_raw!$F$2:$F$478,O$1,Data_raw!$D$2:$D$478,"eucalipto")</f>
        <v>0</v>
      </c>
      <c r="P5" s="8">
        <f>SUMIFS(Data_raw!$G$2:$G$478,Data_raw!$A$2:$A$478,$A5,Data_raw!$F$2:$F$478,P$1,Data_raw!$D$2:$D$478,"eucalipto")</f>
        <v>0</v>
      </c>
      <c r="Q5" s="8">
        <f>SUMIFS(Data_raw!$G$2:$G$478,Data_raw!$A$2:$A$478,$A5,Data_raw!$F$2:$F$478,Q$1,Data_raw!$D$2:$D$478,"eucalipto")</f>
        <v>0</v>
      </c>
      <c r="R5" s="8">
        <f>SUMIFS(Data_raw!$G$2:$G$478,Data_raw!$A$2:$A$478,$A5,Data_raw!$F$2:$F$478,R$1,Data_raw!$D$2:$D$478,"eucalipto")</f>
        <v>0</v>
      </c>
      <c r="S5" s="8">
        <f>SUMIFS(Data_raw!$G$2:$G$478,Data_raw!$A$2:$A$478,$A5,Data_raw!$F$2:$F$478,S$1,Data_raw!$D$2:$D$478,"eucalipto")</f>
        <v>0</v>
      </c>
      <c r="T5" s="8">
        <f>SUMIFS(Data_raw!$G$2:$G$478,Data_raw!$A$2:$A$478,$A5,Data_raw!$F$2:$F$478,T$1,Data_raw!$D$2:$D$478,"eucalipto")</f>
        <v>1</v>
      </c>
      <c r="U5" s="8">
        <f>SUMIFS(Data_raw!$G$2:$G$478,Data_raw!$A$2:$A$478,$A5,Data_raw!$F$2:$F$478,U$1,Data_raw!$D$2:$D$478,"eucalipto")</f>
        <v>0</v>
      </c>
      <c r="V5" s="8">
        <f>SUMIFS(Data_raw!$G$2:$G$478,Data_raw!$A$2:$A$478,$A5,Data_raw!$F$2:$F$478,V$1,Data_raw!$D$2:$D$478,"eucalipto")</f>
        <v>0</v>
      </c>
      <c r="W5" s="8">
        <f>SUMIFS(Data_raw!$G$2:$G$478,Data_raw!$A$2:$A$478,$A5,Data_raw!$F$2:$F$478,W$1,Data_raw!$D$2:$D$478,"eucalipto")</f>
        <v>1</v>
      </c>
      <c r="X5" s="8">
        <f>SUMIFS(Data_raw!$G$2:$G$478,Data_raw!$A$2:$A$478,$A5,Data_raw!$F$2:$F$478,X$1,Data_raw!$D$2:$D$478,"eucalipto")</f>
        <v>0</v>
      </c>
      <c r="Y5" s="8">
        <f>SUMIFS(Data_raw!$G$2:$G$478,Data_raw!$A$2:$A$478,$A5,Data_raw!$F$2:$F$478,Y$1,Data_raw!$D$2:$D$478,"eucalipto")</f>
        <v>1</v>
      </c>
      <c r="Z5" s="8">
        <f>SUMIFS(Data_raw!$G$2:$G$478,Data_raw!$A$2:$A$478,$A5,Data_raw!$F$2:$F$478,Z$1,Data_raw!$D$2:$D$478,"eucalipto")</f>
        <v>0</v>
      </c>
      <c r="AA5" s="8">
        <f>SUMIFS(Data_raw!$G$2:$G$478,Data_raw!$A$2:$A$478,$A5,Data_raw!$F$2:$F$478,AA$1,Data_raw!$D$2:$D$478,"eucalipto")</f>
        <v>1</v>
      </c>
    </row>
    <row r="6">
      <c r="A6" s="8" t="s">
        <v>134</v>
      </c>
      <c r="B6" s="8">
        <f>SUMIFS(Data_raw!$G$2:$G$478,Data_raw!$A$2:$A$478,$A6,Data_raw!$F$2:$F$478,B$1,Data_raw!$D$2:$D$478,"eucalipto")</f>
        <v>0</v>
      </c>
      <c r="C6" s="8">
        <f>SUMIFS(Data_raw!$G$2:$G$478,Data_raw!$A$2:$A$478,$A6,Data_raw!$F$2:$F$478,C$1,Data_raw!$D$2:$D$478,"eucalipto")</f>
        <v>0</v>
      </c>
      <c r="D6" s="8">
        <f>SUMIFS(Data_raw!$G$2:$G$478,Data_raw!$A$2:$A$478,$A6,Data_raw!$F$2:$F$478,D$1,Data_raw!$D$2:$D$478,"eucalipto")</f>
        <v>0</v>
      </c>
      <c r="E6" s="8">
        <f>SUMIFS(Data_raw!$G$2:$G$478,Data_raw!$A$2:$A$478,$A6,Data_raw!$F$2:$F$478,E$1,Data_raw!$D$2:$D$478,"eucalipto")</f>
        <v>0</v>
      </c>
      <c r="F6" s="8">
        <f>SUMIFS(Data_raw!$G$2:$G$478,Data_raw!$A$2:$A$478,$A6,Data_raw!$F$2:$F$478,F$1,Data_raw!$D$2:$D$478,"eucalipto")</f>
        <v>0</v>
      </c>
      <c r="G6" s="8">
        <f>SUMIFS(Data_raw!$G$2:$G$478,Data_raw!$A$2:$A$478,$A6,Data_raw!$F$2:$F$478,G$1,Data_raw!$D$2:$D$478,"eucalipto")</f>
        <v>0</v>
      </c>
      <c r="H6" s="8">
        <f>SUMIFS(Data_raw!$G$2:$G$478,Data_raw!$A$2:$A$478,$A6,Data_raw!$F$2:$F$478,H$1,Data_raw!$D$2:$D$478,"eucalipto")</f>
        <v>0</v>
      </c>
      <c r="I6" s="8">
        <f>SUMIFS(Data_raw!$G$2:$G$478,Data_raw!$A$2:$A$478,$A6,Data_raw!$F$2:$F$478,I$1,Data_raw!$D$2:$D$478,"eucalipto")</f>
        <v>0</v>
      </c>
      <c r="J6" s="8">
        <f>SUMIFS(Data_raw!$G$2:$G$478,Data_raw!$A$2:$A$478,$A6,Data_raw!$F$2:$F$478,J$1,Data_raw!$D$2:$D$478,"eucalipto")</f>
        <v>0</v>
      </c>
      <c r="K6" s="8">
        <f>SUMIFS(Data_raw!$G$2:$G$478,Data_raw!$A$2:$A$478,$A6,Data_raw!$F$2:$F$478,K$1,Data_raw!$D$2:$D$478,"eucalipto")</f>
        <v>13</v>
      </c>
      <c r="L6" s="8">
        <f>SUMIFS(Data_raw!$G$2:$G$478,Data_raw!$A$2:$A$478,$A6,Data_raw!$F$2:$F$478,L$1,Data_raw!$D$2:$D$478,"eucalipto")</f>
        <v>0</v>
      </c>
      <c r="M6" s="8">
        <f>SUMIFS(Data_raw!$G$2:$G$478,Data_raw!$A$2:$A$478,$A6,Data_raw!$F$2:$F$478,M$1,Data_raw!$D$2:$D$478,"eucalipto")</f>
        <v>0</v>
      </c>
      <c r="N6" s="8">
        <f>SUMIFS(Data_raw!$G$2:$G$478,Data_raw!$A$2:$A$478,$A6,Data_raw!$F$2:$F$478,N$1,Data_raw!$D$2:$D$478,"eucalipto")</f>
        <v>0</v>
      </c>
      <c r="O6" s="8">
        <f>SUMIFS(Data_raw!$G$2:$G$478,Data_raw!$A$2:$A$478,$A6,Data_raw!$F$2:$F$478,O$1,Data_raw!$D$2:$D$478,"eucalipto")</f>
        <v>0</v>
      </c>
      <c r="P6" s="8">
        <f>SUMIFS(Data_raw!$G$2:$G$478,Data_raw!$A$2:$A$478,$A6,Data_raw!$F$2:$F$478,P$1,Data_raw!$D$2:$D$478,"eucalipto")</f>
        <v>0</v>
      </c>
      <c r="Q6" s="8">
        <f>SUMIFS(Data_raw!$G$2:$G$478,Data_raw!$A$2:$A$478,$A6,Data_raw!$F$2:$F$478,Q$1,Data_raw!$D$2:$D$478,"eucalipto")</f>
        <v>0</v>
      </c>
      <c r="R6" s="8">
        <f>SUMIFS(Data_raw!$G$2:$G$478,Data_raw!$A$2:$A$478,$A6,Data_raw!$F$2:$F$478,R$1,Data_raw!$D$2:$D$478,"eucalipto")</f>
        <v>0</v>
      </c>
      <c r="S6" s="8">
        <f>SUMIFS(Data_raw!$G$2:$G$478,Data_raw!$A$2:$A$478,$A6,Data_raw!$F$2:$F$478,S$1,Data_raw!$D$2:$D$478,"eucalipto")</f>
        <v>0</v>
      </c>
      <c r="T6" s="8">
        <f>SUMIFS(Data_raw!$G$2:$G$478,Data_raw!$A$2:$A$478,$A6,Data_raw!$F$2:$F$478,T$1,Data_raw!$D$2:$D$478,"eucalipto")</f>
        <v>0</v>
      </c>
      <c r="U6" s="8">
        <f>SUMIFS(Data_raw!$G$2:$G$478,Data_raw!$A$2:$A$478,$A6,Data_raw!$F$2:$F$478,U$1,Data_raw!$D$2:$D$478,"eucalipto")</f>
        <v>0</v>
      </c>
      <c r="V6" s="8">
        <f>SUMIFS(Data_raw!$G$2:$G$478,Data_raw!$A$2:$A$478,$A6,Data_raw!$F$2:$F$478,V$1,Data_raw!$D$2:$D$478,"eucalipto")</f>
        <v>0</v>
      </c>
      <c r="W6" s="8">
        <f>SUMIFS(Data_raw!$G$2:$G$478,Data_raw!$A$2:$A$478,$A6,Data_raw!$F$2:$F$478,W$1,Data_raw!$D$2:$D$478,"eucalipto")</f>
        <v>0</v>
      </c>
      <c r="X6" s="8">
        <f>SUMIFS(Data_raw!$G$2:$G$478,Data_raw!$A$2:$A$478,$A6,Data_raw!$F$2:$F$478,X$1,Data_raw!$D$2:$D$478,"eucalipto")</f>
        <v>0</v>
      </c>
      <c r="Y6" s="8">
        <f>SUMIFS(Data_raw!$G$2:$G$478,Data_raw!$A$2:$A$478,$A6,Data_raw!$F$2:$F$478,Y$1,Data_raw!$D$2:$D$478,"eucalipto")</f>
        <v>0</v>
      </c>
      <c r="Z6" s="8">
        <f>SUMIFS(Data_raw!$G$2:$G$478,Data_raw!$A$2:$A$478,$A6,Data_raw!$F$2:$F$478,Z$1,Data_raw!$D$2:$D$478,"eucalipto")</f>
        <v>0</v>
      </c>
      <c r="AA6" s="8">
        <f>SUMIFS(Data_raw!$G$2:$G$478,Data_raw!$A$2:$A$478,$A6,Data_raw!$F$2:$F$478,AA$1,Data_raw!$D$2:$D$478,"eucalipto")</f>
        <v>1</v>
      </c>
    </row>
    <row r="7">
      <c r="A7" s="8" t="s">
        <v>210</v>
      </c>
      <c r="B7" s="8">
        <f>SUMIFS(Data_raw!$G$2:$G$478,Data_raw!$A$2:$A$478,$A7,Data_raw!$F$2:$F$478,B$1,Data_raw!$D$2:$D$478,"eucalipto")</f>
        <v>0</v>
      </c>
      <c r="C7" s="8">
        <f>SUMIFS(Data_raw!$G$2:$G$478,Data_raw!$A$2:$A$478,$A7,Data_raw!$F$2:$F$478,C$1,Data_raw!$D$2:$D$478,"eucalipto")</f>
        <v>0</v>
      </c>
      <c r="D7" s="8">
        <f>SUMIFS(Data_raw!$G$2:$G$478,Data_raw!$A$2:$A$478,$A7,Data_raw!$F$2:$F$478,D$1,Data_raw!$D$2:$D$478,"eucalipto")</f>
        <v>0</v>
      </c>
      <c r="E7" s="8">
        <f>SUMIFS(Data_raw!$G$2:$G$478,Data_raw!$A$2:$A$478,$A7,Data_raw!$F$2:$F$478,E$1,Data_raw!$D$2:$D$478,"eucalipto")</f>
        <v>0</v>
      </c>
      <c r="F7" s="8">
        <f>SUMIFS(Data_raw!$G$2:$G$478,Data_raw!$A$2:$A$478,$A7,Data_raw!$F$2:$F$478,F$1,Data_raw!$D$2:$D$478,"eucalipto")</f>
        <v>0</v>
      </c>
      <c r="G7" s="8">
        <f>SUMIFS(Data_raw!$G$2:$G$478,Data_raw!$A$2:$A$478,$A7,Data_raw!$F$2:$F$478,G$1,Data_raw!$D$2:$D$478,"eucalipto")</f>
        <v>18</v>
      </c>
      <c r="H7" s="8">
        <f>SUMIFS(Data_raw!$G$2:$G$478,Data_raw!$A$2:$A$478,$A7,Data_raw!$F$2:$F$478,H$1,Data_raw!$D$2:$D$478,"eucalipto")</f>
        <v>0</v>
      </c>
      <c r="I7" s="8">
        <f>SUMIFS(Data_raw!$G$2:$G$478,Data_raw!$A$2:$A$478,$A7,Data_raw!$F$2:$F$478,I$1,Data_raw!$D$2:$D$478,"eucalipto")</f>
        <v>0</v>
      </c>
      <c r="J7" s="8">
        <f>SUMIFS(Data_raw!$G$2:$G$478,Data_raw!$A$2:$A$478,$A7,Data_raw!$F$2:$F$478,J$1,Data_raw!$D$2:$D$478,"eucalipto")</f>
        <v>0</v>
      </c>
      <c r="K7" s="8">
        <f>SUMIFS(Data_raw!$G$2:$G$478,Data_raw!$A$2:$A$478,$A7,Data_raw!$F$2:$F$478,K$1,Data_raw!$D$2:$D$478,"eucalipto")</f>
        <v>2</v>
      </c>
      <c r="L7" s="8">
        <f>SUMIFS(Data_raw!$G$2:$G$478,Data_raw!$A$2:$A$478,$A7,Data_raw!$F$2:$F$478,L$1,Data_raw!$D$2:$D$478,"eucalipto")</f>
        <v>0</v>
      </c>
      <c r="M7" s="8">
        <f>SUMIFS(Data_raw!$G$2:$G$478,Data_raw!$A$2:$A$478,$A7,Data_raw!$F$2:$F$478,M$1,Data_raw!$D$2:$D$478,"eucalipto")</f>
        <v>0</v>
      </c>
      <c r="N7" s="8">
        <f>SUMIFS(Data_raw!$G$2:$G$478,Data_raw!$A$2:$A$478,$A7,Data_raw!$F$2:$F$478,N$1,Data_raw!$D$2:$D$478,"eucalipto")</f>
        <v>0</v>
      </c>
      <c r="O7" s="8">
        <f>SUMIFS(Data_raw!$G$2:$G$478,Data_raw!$A$2:$A$478,$A7,Data_raw!$F$2:$F$478,O$1,Data_raw!$D$2:$D$478,"eucalipto")</f>
        <v>0</v>
      </c>
      <c r="P7" s="8">
        <f>SUMIFS(Data_raw!$G$2:$G$478,Data_raw!$A$2:$A$478,$A7,Data_raw!$F$2:$F$478,P$1,Data_raw!$D$2:$D$478,"eucalipto")</f>
        <v>0</v>
      </c>
      <c r="Q7" s="8">
        <f>SUMIFS(Data_raw!$G$2:$G$478,Data_raw!$A$2:$A$478,$A7,Data_raw!$F$2:$F$478,Q$1,Data_raw!$D$2:$D$478,"eucalipto")</f>
        <v>0</v>
      </c>
      <c r="R7" s="8">
        <f>SUMIFS(Data_raw!$G$2:$G$478,Data_raw!$A$2:$A$478,$A7,Data_raw!$F$2:$F$478,R$1,Data_raw!$D$2:$D$478,"eucalipto")</f>
        <v>0</v>
      </c>
      <c r="S7" s="8">
        <f>SUMIFS(Data_raw!$G$2:$G$478,Data_raw!$A$2:$A$478,$A7,Data_raw!$F$2:$F$478,S$1,Data_raw!$D$2:$D$478,"eucalipto")</f>
        <v>0</v>
      </c>
      <c r="T7" s="8">
        <f>SUMIFS(Data_raw!$G$2:$G$478,Data_raw!$A$2:$A$478,$A7,Data_raw!$F$2:$F$478,T$1,Data_raw!$D$2:$D$478,"eucalipto")</f>
        <v>0</v>
      </c>
      <c r="U7" s="8">
        <f>SUMIFS(Data_raw!$G$2:$G$478,Data_raw!$A$2:$A$478,$A7,Data_raw!$F$2:$F$478,U$1,Data_raw!$D$2:$D$478,"eucalipto")</f>
        <v>0</v>
      </c>
      <c r="V7" s="8">
        <f>SUMIFS(Data_raw!$G$2:$G$478,Data_raw!$A$2:$A$478,$A7,Data_raw!$F$2:$F$478,V$1,Data_raw!$D$2:$D$478,"eucalipto")</f>
        <v>0</v>
      </c>
      <c r="W7" s="8">
        <f>SUMIFS(Data_raw!$G$2:$G$478,Data_raw!$A$2:$A$478,$A7,Data_raw!$F$2:$F$478,W$1,Data_raw!$D$2:$D$478,"eucalipto")</f>
        <v>0</v>
      </c>
      <c r="X7" s="8">
        <f>SUMIFS(Data_raw!$G$2:$G$478,Data_raw!$A$2:$A$478,$A7,Data_raw!$F$2:$F$478,X$1,Data_raw!$D$2:$D$478,"eucalipto")</f>
        <v>0</v>
      </c>
      <c r="Y7" s="8">
        <f>SUMIFS(Data_raw!$G$2:$G$478,Data_raw!$A$2:$A$478,$A7,Data_raw!$F$2:$F$478,Y$1,Data_raw!$D$2:$D$478,"eucalipto")</f>
        <v>0</v>
      </c>
      <c r="Z7" s="8">
        <f>SUMIFS(Data_raw!$G$2:$G$478,Data_raw!$A$2:$A$478,$A7,Data_raw!$F$2:$F$478,Z$1,Data_raw!$D$2:$D$478,"eucalipto")</f>
        <v>0</v>
      </c>
      <c r="AA7" s="8">
        <f>SUMIFS(Data_raw!$G$2:$G$478,Data_raw!$A$2:$A$478,$A7,Data_raw!$F$2:$F$478,AA$1,Data_raw!$D$2:$D$478,"eucalipto")</f>
        <v>0</v>
      </c>
    </row>
    <row r="8">
      <c r="A8" s="8" t="s">
        <v>441</v>
      </c>
      <c r="B8" s="8">
        <f>SUMIFS(Data_raw!$G$2:$G$478,Data_raw!$A$2:$A$478,$A8,Data_raw!$F$2:$F$478,B$1,Data_raw!$D$2:$D$478,"eucalipto")</f>
        <v>0</v>
      </c>
      <c r="C8" s="8">
        <f>SUMIFS(Data_raw!$G$2:$G$478,Data_raw!$A$2:$A$478,$A8,Data_raw!$F$2:$F$478,C$1,Data_raw!$D$2:$D$478,"eucalipto")</f>
        <v>0</v>
      </c>
      <c r="D8" s="8">
        <f>SUMIFS(Data_raw!$G$2:$G$478,Data_raw!$A$2:$A$478,$A8,Data_raw!$F$2:$F$478,D$1,Data_raw!$D$2:$D$478,"eucalipto")</f>
        <v>0</v>
      </c>
      <c r="E8" s="8">
        <f>SUMIFS(Data_raw!$G$2:$G$478,Data_raw!$A$2:$A$478,$A8,Data_raw!$F$2:$F$478,E$1,Data_raw!$D$2:$D$478,"eucalipto")</f>
        <v>0</v>
      </c>
      <c r="F8" s="8">
        <f>SUMIFS(Data_raw!$G$2:$G$478,Data_raw!$A$2:$A$478,$A8,Data_raw!$F$2:$F$478,F$1,Data_raw!$D$2:$D$478,"eucalipto")</f>
        <v>0</v>
      </c>
      <c r="G8" s="8">
        <f>SUMIFS(Data_raw!$G$2:$G$478,Data_raw!$A$2:$A$478,$A8,Data_raw!$F$2:$F$478,G$1,Data_raw!$D$2:$D$478,"eucalipto")</f>
        <v>0</v>
      </c>
      <c r="H8" s="8">
        <f>SUMIFS(Data_raw!$G$2:$G$478,Data_raw!$A$2:$A$478,$A8,Data_raw!$F$2:$F$478,H$1,Data_raw!$D$2:$D$478,"eucalipto")</f>
        <v>0</v>
      </c>
      <c r="I8" s="8">
        <f>SUMIFS(Data_raw!$G$2:$G$478,Data_raw!$A$2:$A$478,$A8,Data_raw!$F$2:$F$478,I$1,Data_raw!$D$2:$D$478,"eucalipto")</f>
        <v>0</v>
      </c>
      <c r="J8" s="8">
        <f>SUMIFS(Data_raw!$G$2:$G$478,Data_raw!$A$2:$A$478,$A8,Data_raw!$F$2:$F$478,J$1,Data_raw!$D$2:$D$478,"eucalipto")</f>
        <v>0</v>
      </c>
      <c r="K8" s="8">
        <f>SUMIFS(Data_raw!$G$2:$G$478,Data_raw!$A$2:$A$478,$A8,Data_raw!$F$2:$F$478,K$1,Data_raw!$D$2:$D$478,"eucalipto")</f>
        <v>0</v>
      </c>
      <c r="L8" s="8">
        <f>SUMIFS(Data_raw!$G$2:$G$478,Data_raw!$A$2:$A$478,$A8,Data_raw!$F$2:$F$478,L$1,Data_raw!$D$2:$D$478,"eucalipto")</f>
        <v>0</v>
      </c>
      <c r="M8" s="8">
        <f>SUMIFS(Data_raw!$G$2:$G$478,Data_raw!$A$2:$A$478,$A8,Data_raw!$F$2:$F$478,M$1,Data_raw!$D$2:$D$478,"eucalipto")</f>
        <v>0</v>
      </c>
      <c r="N8" s="8">
        <f>SUMIFS(Data_raw!$G$2:$G$478,Data_raw!$A$2:$A$478,$A8,Data_raw!$F$2:$F$478,N$1,Data_raw!$D$2:$D$478,"eucalipto")</f>
        <v>0</v>
      </c>
      <c r="O8" s="8">
        <f>SUMIFS(Data_raw!$G$2:$G$478,Data_raw!$A$2:$A$478,$A8,Data_raw!$F$2:$F$478,O$1,Data_raw!$D$2:$D$478,"eucalipto")</f>
        <v>0</v>
      </c>
      <c r="P8" s="8">
        <f>SUMIFS(Data_raw!$G$2:$G$478,Data_raw!$A$2:$A$478,$A8,Data_raw!$F$2:$F$478,P$1,Data_raw!$D$2:$D$478,"eucalipto")</f>
        <v>0</v>
      </c>
      <c r="Q8" s="8">
        <f>SUMIFS(Data_raw!$G$2:$G$478,Data_raw!$A$2:$A$478,$A8,Data_raw!$F$2:$F$478,Q$1,Data_raw!$D$2:$D$478,"eucalipto")</f>
        <v>0</v>
      </c>
      <c r="R8" s="8">
        <f>SUMIFS(Data_raw!$G$2:$G$478,Data_raw!$A$2:$A$478,$A8,Data_raw!$F$2:$F$478,R$1,Data_raw!$D$2:$D$478,"eucalipto")</f>
        <v>0</v>
      </c>
      <c r="S8" s="8">
        <f>SUMIFS(Data_raw!$G$2:$G$478,Data_raw!$A$2:$A$478,$A8,Data_raw!$F$2:$F$478,S$1,Data_raw!$D$2:$D$478,"eucalipto")</f>
        <v>0</v>
      </c>
      <c r="T8" s="8">
        <f>SUMIFS(Data_raw!$G$2:$G$478,Data_raw!$A$2:$A$478,$A8,Data_raw!$F$2:$F$478,T$1,Data_raw!$D$2:$D$478,"eucalipto")</f>
        <v>0</v>
      </c>
      <c r="U8" s="8">
        <f>SUMIFS(Data_raw!$G$2:$G$478,Data_raw!$A$2:$A$478,$A8,Data_raw!$F$2:$F$478,U$1,Data_raw!$D$2:$D$478,"eucalipto")</f>
        <v>0</v>
      </c>
      <c r="V8" s="8">
        <f>SUMIFS(Data_raw!$G$2:$G$478,Data_raw!$A$2:$A$478,$A8,Data_raw!$F$2:$F$478,V$1,Data_raw!$D$2:$D$478,"eucalipto")</f>
        <v>0</v>
      </c>
      <c r="W8" s="8">
        <f>SUMIFS(Data_raw!$G$2:$G$478,Data_raw!$A$2:$A$478,$A8,Data_raw!$F$2:$F$478,W$1,Data_raw!$D$2:$D$478,"eucalipto")</f>
        <v>0</v>
      </c>
      <c r="X8" s="8">
        <f>SUMIFS(Data_raw!$G$2:$G$478,Data_raw!$A$2:$A$478,$A8,Data_raw!$F$2:$F$478,X$1,Data_raw!$D$2:$D$478,"eucalipto")</f>
        <v>0</v>
      </c>
      <c r="Y8" s="8">
        <f>SUMIFS(Data_raw!$G$2:$G$478,Data_raw!$A$2:$A$478,$A8,Data_raw!$F$2:$F$478,Y$1,Data_raw!$D$2:$D$478,"eucalipto")</f>
        <v>0</v>
      </c>
      <c r="Z8" s="8">
        <f>SUMIFS(Data_raw!$G$2:$G$478,Data_raw!$A$2:$A$478,$A8,Data_raw!$F$2:$F$478,Z$1,Data_raw!$D$2:$D$478,"eucalipto")</f>
        <v>0</v>
      </c>
      <c r="AA8" s="8">
        <f>SUMIFS(Data_raw!$G$2:$G$478,Data_raw!$A$2:$A$478,$A8,Data_raw!$F$2:$F$478,AA$1,Data_raw!$D$2:$D$478,"eucalipto")</f>
        <v>0</v>
      </c>
    </row>
  </sheetData>
  <drawing r:id="rId1"/>
</worksheet>
</file>