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llin\Teaching\433\GVF\Standard Step Method\"/>
    </mc:Choice>
  </mc:AlternateContent>
  <xr:revisionPtr revIDLastSave="0" documentId="13_ncr:1_{504E5C8E-0827-4D0E-B384-9ACEA7759259}" xr6:coauthVersionLast="47" xr6:coauthVersionMax="47" xr10:uidLastSave="{00000000-0000-0000-0000-000000000000}"/>
  <bookViews>
    <workbookView xWindow="-108" yWindow="-108" windowWidth="23256" windowHeight="13896" xr2:uid="{08F7EA92-CECE-4E4E-8AEE-8AA3D32A0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30" i="1"/>
  <c r="I87" i="1"/>
  <c r="I88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K105" i="1" s="1"/>
  <c r="I105" i="1"/>
  <c r="I106" i="1"/>
  <c r="I107" i="1"/>
  <c r="K108" i="1" s="1"/>
  <c r="I108" i="1"/>
  <c r="K109" i="1" s="1"/>
  <c r="I109" i="1"/>
  <c r="I110" i="1"/>
  <c r="I111" i="1"/>
  <c r="K112" i="1" s="1"/>
  <c r="I112" i="1"/>
  <c r="K113" i="1" s="1"/>
  <c r="I113" i="1"/>
  <c r="I114" i="1"/>
  <c r="K115" i="1" s="1"/>
  <c r="I115" i="1"/>
  <c r="K116" i="1" s="1"/>
  <c r="I116" i="1"/>
  <c r="K117" i="1" s="1"/>
  <c r="I117" i="1"/>
  <c r="I85" i="1"/>
  <c r="K114" i="1"/>
  <c r="I84" i="1"/>
  <c r="K106" i="1"/>
  <c r="K107" i="1"/>
  <c r="K110" i="1"/>
  <c r="K111" i="1"/>
  <c r="L86" i="1"/>
  <c r="L87" i="1"/>
  <c r="L88" i="1"/>
  <c r="L89" i="1" s="1"/>
  <c r="L90" i="1" s="1"/>
  <c r="L85" i="1"/>
  <c r="M85" i="1" s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D105" i="1"/>
  <c r="E105" i="1"/>
  <c r="F105" i="1"/>
  <c r="G105" i="1"/>
  <c r="H105" i="1"/>
  <c r="D106" i="1"/>
  <c r="E106" i="1"/>
  <c r="F106" i="1" s="1"/>
  <c r="H106" i="1" s="1"/>
  <c r="G106" i="1"/>
  <c r="D107" i="1"/>
  <c r="F107" i="1" s="1"/>
  <c r="E107" i="1"/>
  <c r="D108" i="1"/>
  <c r="G108" i="1" s="1"/>
  <c r="E108" i="1"/>
  <c r="F108" i="1"/>
  <c r="D109" i="1"/>
  <c r="E109" i="1"/>
  <c r="F109" i="1"/>
  <c r="G109" i="1"/>
  <c r="H109" i="1"/>
  <c r="D110" i="1"/>
  <c r="E110" i="1"/>
  <c r="F110" i="1"/>
  <c r="G110" i="1"/>
  <c r="H110" i="1"/>
  <c r="D111" i="1"/>
  <c r="F111" i="1" s="1"/>
  <c r="E111" i="1"/>
  <c r="D112" i="1"/>
  <c r="H112" i="1" s="1"/>
  <c r="E112" i="1"/>
  <c r="F112" i="1"/>
  <c r="G112" i="1"/>
  <c r="D113" i="1"/>
  <c r="E113" i="1"/>
  <c r="F113" i="1"/>
  <c r="G113" i="1"/>
  <c r="H113" i="1"/>
  <c r="D114" i="1"/>
  <c r="E114" i="1"/>
  <c r="F114" i="1" s="1"/>
  <c r="H114" i="1" s="1"/>
  <c r="G114" i="1"/>
  <c r="D115" i="1"/>
  <c r="F115" i="1" s="1"/>
  <c r="E115" i="1"/>
  <c r="D116" i="1"/>
  <c r="G116" i="1" s="1"/>
  <c r="E116" i="1"/>
  <c r="F116" i="1"/>
  <c r="D117" i="1"/>
  <c r="E117" i="1"/>
  <c r="F117" i="1"/>
  <c r="G117" i="1"/>
  <c r="H117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07" i="1"/>
  <c r="A106" i="1"/>
  <c r="A105" i="1"/>
  <c r="D86" i="1"/>
  <c r="G86" i="1" s="1"/>
  <c r="E86" i="1"/>
  <c r="E85" i="1"/>
  <c r="D85" i="1"/>
  <c r="G85" i="1" s="1"/>
  <c r="H84" i="1"/>
  <c r="G84" i="1"/>
  <c r="F84" i="1"/>
  <c r="E84" i="1"/>
  <c r="D84" i="1"/>
  <c r="B103" i="1"/>
  <c r="B104" i="1" s="1"/>
  <c r="N30" i="1"/>
  <c r="O30" i="1" s="1"/>
  <c r="O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L30" i="1"/>
  <c r="K30" i="1"/>
  <c r="J3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I29" i="1"/>
  <c r="G29" i="1"/>
  <c r="F29" i="1"/>
  <c r="D29" i="1"/>
  <c r="E29" i="1" s="1"/>
  <c r="C29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31" i="1"/>
  <c r="B32" i="1"/>
  <c r="B33" i="1"/>
  <c r="B34" i="1"/>
  <c r="B35" i="1"/>
  <c r="B36" i="1"/>
  <c r="B37" i="1"/>
  <c r="B38" i="1"/>
  <c r="B39" i="1" s="1"/>
  <c r="B40" i="1" s="1"/>
  <c r="B41" i="1" s="1"/>
  <c r="B30" i="1"/>
  <c r="G20" i="1"/>
  <c r="G19" i="1"/>
  <c r="B24" i="1"/>
  <c r="B23" i="1"/>
  <c r="B22" i="1"/>
  <c r="B19" i="1"/>
  <c r="B18" i="1"/>
  <c r="E10" i="1"/>
  <c r="N31" i="1" l="1"/>
  <c r="M90" i="1"/>
  <c r="L91" i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M99" i="1"/>
  <c r="M88" i="1"/>
  <c r="M103" i="1"/>
  <c r="M86" i="1"/>
  <c r="M100" i="1"/>
  <c r="M96" i="1"/>
  <c r="M95" i="1"/>
  <c r="M89" i="1"/>
  <c r="M104" i="1"/>
  <c r="M94" i="1"/>
  <c r="M87" i="1"/>
  <c r="M101" i="1"/>
  <c r="M93" i="1"/>
  <c r="M102" i="1"/>
  <c r="M97" i="1"/>
  <c r="M92" i="1"/>
  <c r="M91" i="1"/>
  <c r="H115" i="1"/>
  <c r="H107" i="1"/>
  <c r="G115" i="1"/>
  <c r="G107" i="1"/>
  <c r="H111" i="1"/>
  <c r="G111" i="1"/>
  <c r="H116" i="1"/>
  <c r="H108" i="1"/>
  <c r="J104" i="1"/>
  <c r="F86" i="1"/>
  <c r="H86" i="1" s="1"/>
  <c r="J86" i="1" s="1"/>
  <c r="F85" i="1"/>
  <c r="H85" i="1" s="1"/>
  <c r="B20" i="1"/>
  <c r="B21" i="1" s="1"/>
  <c r="N32" i="1" l="1"/>
  <c r="I86" i="1"/>
  <c r="M98" i="1"/>
  <c r="K86" i="1"/>
  <c r="J85" i="1"/>
  <c r="K85" i="1" s="1"/>
  <c r="D87" i="1"/>
  <c r="E87" i="1"/>
  <c r="O31" i="1"/>
  <c r="N33" i="1" l="1"/>
  <c r="G87" i="1"/>
  <c r="F87" i="1"/>
  <c r="H87" i="1" s="1"/>
  <c r="D88" i="1"/>
  <c r="E88" i="1"/>
  <c r="O32" i="1"/>
  <c r="N34" i="1" l="1"/>
  <c r="J87" i="1"/>
  <c r="K87" i="1" s="1"/>
  <c r="E89" i="1"/>
  <c r="D89" i="1"/>
  <c r="G88" i="1"/>
  <c r="F88" i="1"/>
  <c r="H88" i="1" s="1"/>
  <c r="O33" i="1"/>
  <c r="N35" i="1" l="1"/>
  <c r="J88" i="1"/>
  <c r="K88" i="1" s="1"/>
  <c r="E90" i="1"/>
  <c r="D90" i="1"/>
  <c r="G89" i="1"/>
  <c r="F89" i="1"/>
  <c r="H89" i="1" s="1"/>
  <c r="O34" i="1"/>
  <c r="I89" i="1" l="1"/>
  <c r="N36" i="1"/>
  <c r="J89" i="1"/>
  <c r="K89" i="1" s="1"/>
  <c r="E91" i="1"/>
  <c r="D91" i="1"/>
  <c r="G90" i="1"/>
  <c r="F90" i="1"/>
  <c r="H90" i="1" s="1"/>
  <c r="O35" i="1"/>
  <c r="I90" i="1" l="1"/>
  <c r="N37" i="1"/>
  <c r="J90" i="1"/>
  <c r="K90" i="1" s="1"/>
  <c r="E92" i="1"/>
  <c r="D92" i="1"/>
  <c r="G91" i="1"/>
  <c r="F91" i="1"/>
  <c r="H91" i="1" s="1"/>
  <c r="O36" i="1"/>
  <c r="N38" i="1" l="1"/>
  <c r="J91" i="1"/>
  <c r="K91" i="1" s="1"/>
  <c r="F92" i="1"/>
  <c r="H92" i="1" s="1"/>
  <c r="G92" i="1"/>
  <c r="E93" i="1"/>
  <c r="D93" i="1"/>
  <c r="O37" i="1"/>
  <c r="N39" i="1" l="1"/>
  <c r="J92" i="1"/>
  <c r="K92" i="1" s="1"/>
  <c r="E94" i="1"/>
  <c r="D94" i="1"/>
  <c r="F93" i="1"/>
  <c r="H93" i="1" s="1"/>
  <c r="G93" i="1"/>
  <c r="O38" i="1"/>
  <c r="N40" i="1" l="1"/>
  <c r="J93" i="1"/>
  <c r="K93" i="1" s="1"/>
  <c r="F94" i="1"/>
  <c r="H94" i="1" s="1"/>
  <c r="G94" i="1"/>
  <c r="E95" i="1"/>
  <c r="D95" i="1"/>
  <c r="O39" i="1"/>
  <c r="N41" i="1" l="1"/>
  <c r="J94" i="1"/>
  <c r="K94" i="1" s="1"/>
  <c r="E96" i="1"/>
  <c r="D96" i="1"/>
  <c r="G95" i="1"/>
  <c r="F95" i="1"/>
  <c r="H95" i="1" s="1"/>
  <c r="O40" i="1"/>
  <c r="N42" i="1" l="1"/>
  <c r="J95" i="1"/>
  <c r="K95" i="1" s="1"/>
  <c r="G96" i="1"/>
  <c r="F96" i="1"/>
  <c r="H96" i="1" s="1"/>
  <c r="D97" i="1"/>
  <c r="E97" i="1"/>
  <c r="O41" i="1"/>
  <c r="N43" i="1" l="1"/>
  <c r="J96" i="1"/>
  <c r="K96" i="1" s="1"/>
  <c r="G97" i="1"/>
  <c r="F97" i="1"/>
  <c r="H97" i="1" s="1"/>
  <c r="D98" i="1"/>
  <c r="E98" i="1"/>
  <c r="O42" i="1"/>
  <c r="N44" i="1" l="1"/>
  <c r="J97" i="1"/>
  <c r="K97" i="1" s="1"/>
  <c r="G98" i="1"/>
  <c r="F98" i="1"/>
  <c r="H98" i="1" s="1"/>
  <c r="E99" i="1"/>
  <c r="D99" i="1"/>
  <c r="O43" i="1"/>
  <c r="N45" i="1" l="1"/>
  <c r="J98" i="1"/>
  <c r="K98" i="1" s="1"/>
  <c r="G99" i="1"/>
  <c r="F99" i="1"/>
  <c r="H99" i="1" s="1"/>
  <c r="D100" i="1"/>
  <c r="E100" i="1"/>
  <c r="O44" i="1"/>
  <c r="N46" i="1" l="1"/>
  <c r="J99" i="1"/>
  <c r="K99" i="1" s="1"/>
  <c r="G100" i="1"/>
  <c r="F100" i="1"/>
  <c r="H100" i="1" s="1"/>
  <c r="D101" i="1"/>
  <c r="E101" i="1"/>
  <c r="O45" i="1"/>
  <c r="N47" i="1" l="1"/>
  <c r="J100" i="1"/>
  <c r="K100" i="1" s="1"/>
  <c r="G101" i="1"/>
  <c r="F101" i="1"/>
  <c r="H101" i="1" s="1"/>
  <c r="D102" i="1"/>
  <c r="E102" i="1"/>
  <c r="O46" i="1"/>
  <c r="N48" i="1" l="1"/>
  <c r="J101" i="1"/>
  <c r="K101" i="1" s="1"/>
  <c r="G102" i="1"/>
  <c r="F102" i="1"/>
  <c r="H102" i="1" s="1"/>
  <c r="D103" i="1"/>
  <c r="E103" i="1"/>
  <c r="O47" i="1"/>
  <c r="N49" i="1" l="1"/>
  <c r="J102" i="1"/>
  <c r="K102" i="1" s="1"/>
  <c r="G103" i="1"/>
  <c r="F103" i="1"/>
  <c r="H103" i="1" s="1"/>
  <c r="D104" i="1"/>
  <c r="E104" i="1"/>
  <c r="O48" i="1"/>
  <c r="N50" i="1" l="1"/>
  <c r="K104" i="1"/>
  <c r="J103" i="1"/>
  <c r="K103" i="1" s="1"/>
  <c r="F104" i="1"/>
  <c r="H104" i="1" s="1"/>
  <c r="G104" i="1"/>
  <c r="O49" i="1"/>
  <c r="N51" i="1" l="1"/>
  <c r="O50" i="1"/>
  <c r="N52" i="1" l="1"/>
  <c r="O51" i="1"/>
  <c r="N53" i="1" l="1"/>
  <c r="O52" i="1"/>
  <c r="N54" i="1" l="1"/>
  <c r="O53" i="1"/>
  <c r="N55" i="1" l="1"/>
  <c r="O54" i="1"/>
  <c r="N56" i="1" l="1"/>
  <c r="O55" i="1"/>
  <c r="N57" i="1" l="1"/>
  <c r="O56" i="1"/>
  <c r="N58" i="1" l="1"/>
  <c r="O57" i="1"/>
  <c r="N59" i="1" l="1"/>
  <c r="O58" i="1"/>
  <c r="N60" i="1" l="1"/>
  <c r="O59" i="1"/>
  <c r="N61" i="1" l="1"/>
  <c r="O60" i="1"/>
  <c r="N63" i="1" l="1"/>
  <c r="N62" i="1"/>
  <c r="O61" i="1"/>
  <c r="O63" i="1" l="1"/>
  <c r="O62" i="1"/>
</calcChain>
</file>

<file path=xl/sharedStrings.xml><?xml version="1.0" encoding="utf-8"?>
<sst xmlns="http://schemas.openxmlformats.org/spreadsheetml/2006/main" count="107" uniqueCount="67">
  <si>
    <t>Example 4.3 pag 121</t>
  </si>
  <si>
    <t>Given:</t>
  </si>
  <si>
    <t>A very long trapezoidal canal has b = 18 ft, m = 2.0, So = 0.001, n = 0.020, Q = 800 cfs.  The canal terminates in a free fall.</t>
  </si>
  <si>
    <t>Find:</t>
  </si>
  <si>
    <t>The water surface profile</t>
  </si>
  <si>
    <t>Solution</t>
  </si>
  <si>
    <t>Downstream boundary condition is critical depth:  find critical depth</t>
  </si>
  <si>
    <t>b, ft</t>
  </si>
  <si>
    <t>m</t>
  </si>
  <si>
    <t>Q, cfs</t>
  </si>
  <si>
    <r>
      <t>g, ft/s</t>
    </r>
    <r>
      <rPr>
        <vertAlign val="superscript"/>
        <sz val="11"/>
        <color theme="1"/>
        <rFont val="Aptos Narrow"/>
        <family val="2"/>
        <scheme val="minor"/>
      </rPr>
      <t>s</t>
    </r>
  </si>
  <si>
    <t>trial y, ft</t>
  </si>
  <si>
    <t>Fr</t>
  </si>
  <si>
    <t>Find normal depth and Froude number to determine upstream boundary condition and calculation direction</t>
  </si>
  <si>
    <t>Area</t>
  </si>
  <si>
    <t>P</t>
  </si>
  <si>
    <t>R</t>
  </si>
  <si>
    <t>T</t>
  </si>
  <si>
    <t>D</t>
  </si>
  <si>
    <r>
      <t>Area, ft</t>
    </r>
    <r>
      <rPr>
        <vertAlign val="superscript"/>
        <sz val="11"/>
        <color theme="1"/>
        <rFont val="Aptos Narrow"/>
        <family val="2"/>
        <scheme val="minor"/>
      </rPr>
      <t>2</t>
    </r>
  </si>
  <si>
    <t>Trial y, ft</t>
  </si>
  <si>
    <t>P, ft</t>
  </si>
  <si>
    <t>R, ft</t>
  </si>
  <si>
    <t>S</t>
  </si>
  <si>
    <t>n</t>
  </si>
  <si>
    <t>V, ft/s</t>
  </si>
  <si>
    <t xml:space="preserve">With a Froude number &lt; 1, flow is subritical and </t>
  </si>
  <si>
    <t>Downstream boundary condition</t>
  </si>
  <si>
    <t>Upstream boundary condition</t>
  </si>
  <si>
    <t>ft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</si>
  <si>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</si>
  <si>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</si>
  <si>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</si>
  <si>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</si>
  <si>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</si>
  <si>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</si>
  <si>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</si>
  <si>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</si>
  <si>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</si>
  <si>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</si>
  <si>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</si>
  <si>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</si>
  <si>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</si>
  <si>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i</t>
  </si>
  <si>
    <t>y, ft</t>
  </si>
  <si>
    <r>
      <t>A, ft</t>
    </r>
    <r>
      <rPr>
        <vertAlign val="superscript"/>
        <sz val="11"/>
        <color theme="1"/>
        <rFont val="Aptos Narrow"/>
        <family val="2"/>
        <scheme val="minor"/>
      </rPr>
      <t>2</t>
    </r>
  </si>
  <si>
    <t>E, ft</t>
  </si>
  <si>
    <r>
      <t>E</t>
    </r>
    <r>
      <rPr>
        <vertAlign val="subscript"/>
        <sz val="11"/>
        <color theme="1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>-E</t>
    </r>
    <r>
      <rPr>
        <vertAlign val="subscript"/>
        <sz val="11"/>
        <color theme="1"/>
        <rFont val="Aptos Narrow"/>
        <family val="2"/>
        <scheme val="minor"/>
      </rPr>
      <t>U</t>
    </r>
    <r>
      <rPr>
        <sz val="11"/>
        <color theme="1"/>
        <rFont val="Aptos Narrow"/>
        <family val="2"/>
        <scheme val="minor"/>
      </rPr>
      <t>, ft</t>
    </r>
  </si>
  <si>
    <r>
      <t>S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</si>
  <si>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S</t>
    </r>
    <r>
      <rPr>
        <vertAlign val="subscript"/>
        <sz val="11"/>
        <color theme="1"/>
        <rFont val="Aptos Narrow"/>
        <family val="2"/>
        <scheme val="minor"/>
      </rPr>
      <t>fm</t>
    </r>
  </si>
  <si>
    <r>
      <t>S</t>
    </r>
    <r>
      <rPr>
        <vertAlign val="sub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>-S</t>
    </r>
    <r>
      <rPr>
        <vertAlign val="subscript"/>
        <sz val="11"/>
        <color theme="1"/>
        <rFont val="Aptos Narrow"/>
        <family val="2"/>
        <scheme val="minor"/>
      </rPr>
      <t>fm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</si>
  <si>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ptos Narrow"/>
        <family val="2"/>
        <scheme val="minor"/>
      </rPr>
      <t>x, ft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</si>
  <si>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Aptos Narrow"/>
        <family val="2"/>
        <scheme val="minor"/>
      </rPr>
      <t>x, ft</t>
    </r>
  </si>
  <si>
    <t>Col. 14</t>
  </si>
  <si>
    <t>z, ft</t>
  </si>
  <si>
    <t>WSEL, ft</t>
  </si>
  <si>
    <t>Col 15</t>
  </si>
  <si>
    <t>Notes</t>
  </si>
  <si>
    <t>Col 14</t>
  </si>
  <si>
    <t>counter</t>
  </si>
  <si>
    <t>A, ft2</t>
  </si>
  <si>
    <t>Sf</t>
  </si>
  <si>
    <t>Dx, ft</t>
  </si>
  <si>
    <t>RHS, ft</t>
  </si>
  <si>
    <t>LHS, ft</t>
  </si>
  <si>
    <t>Diff, ft</t>
  </si>
  <si>
    <t xml:space="preserve">Standard Step Method delta x is small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</si>
</sst>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= 18 ft, m = 2.0, So = 0.001, n = 0.020, Q = 800 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Sheet1!$M$29:$M$62</c:f>
              <c:numCache>
                <c:formatCode>0.00E+00</c:formatCode>
                <c:ptCount val="34"/>
                <c:pt idx="0">
                  <c:v>0</c:v>
                </c:pt>
                <c:pt idx="1">
                  <c:v>0.40690835064258996</c:v>
                </c:pt>
                <c:pt idx="2">
                  <c:v>1.5863524610623729</c:v>
                </c:pt>
                <c:pt idx="3">
                  <c:v>3.5989878099762893</c:v>
                </c:pt>
                <c:pt idx="4">
                  <c:v>6.51130285815342</c:v>
                </c:pt>
                <c:pt idx="5">
                  <c:v>10.396408801079573</c:v>
                </c:pt>
                <c:pt idx="6">
                  <c:v>15.334967787290278</c:v>
                </c:pt>
                <c:pt idx="7">
                  <c:v>21.416289787033964</c:v>
                </c:pt>
                <c:pt idx="8">
                  <c:v>28.739636260369576</c:v>
                </c:pt>
                <c:pt idx="9">
                  <c:v>37.415779234285949</c:v>
                </c:pt>
                <c:pt idx="10">
                  <c:v>47.568878270879964</c:v>
                </c:pt>
                <c:pt idx="11">
                  <c:v>59.338756398181751</c:v>
                </c:pt>
                <c:pt idx="12">
                  <c:v>72.883681266512497</c:v>
                </c:pt>
                <c:pt idx="13">
                  <c:v>88.383792346215358</c:v>
                </c:pt>
                <c:pt idx="14">
                  <c:v>106.04536300187604</c:v>
                </c:pt>
                <c:pt idx="15">
                  <c:v>126.1061539701905</c:v>
                </c:pt>
                <c:pt idx="16">
                  <c:v>148.84221169002979</c:v>
                </c:pt>
                <c:pt idx="17">
                  <c:v>174.57660609279972</c:v>
                </c:pt>
                <c:pt idx="18">
                  <c:v>203.69081194913278</c:v>
                </c:pt>
                <c:pt idx="19">
                  <c:v>236.63975528929063</c:v>
                </c:pt>
                <c:pt idx="20">
                  <c:v>273.97203863706932</c:v>
                </c:pt>
                <c:pt idx="21">
                  <c:v>316.35764212014715</c:v>
                </c:pt>
                <c:pt idx="22">
                  <c:v>364.62668108103145</c:v>
                </c:pt>
                <c:pt idx="23">
                  <c:v>419.82497517868137</c:v>
                </c:pt>
                <c:pt idx="24">
                  <c:v>483.29601071505704</c:v>
                </c:pt>
                <c:pt idx="25">
                  <c:v>556.80591798394062</c:v>
                </c:pt>
                <c:pt idx="26">
                  <c:v>642.74173030332042</c:v>
                </c:pt>
                <c:pt idx="27">
                  <c:v>744.44133817135673</c:v>
                </c:pt>
                <c:pt idx="28">
                  <c:v>866.77619655689625</c:v>
                </c:pt>
                <c:pt idx="29">
                  <c:v>1017.261158759254</c:v>
                </c:pt>
                <c:pt idx="30">
                  <c:v>1208.3900484533831</c:v>
                </c:pt>
                <c:pt idx="31">
                  <c:v>1463.2820273512029</c:v>
                </c:pt>
                <c:pt idx="32">
                  <c:v>1832.4991252967438</c:v>
                </c:pt>
                <c:pt idx="33">
                  <c:v>2465.9235325602995</c:v>
                </c:pt>
              </c:numCache>
            </c:numRef>
          </c:xVal>
          <c:yVal>
            <c:numRef>
              <c:f>Sheet1!$N$29:$N$62</c:f>
              <c:numCache>
                <c:formatCode>0.00E+00</c:formatCode>
                <c:ptCount val="34"/>
                <c:pt idx="0">
                  <c:v>0</c:v>
                </c:pt>
                <c:pt idx="1">
                  <c:v>4.0690835064258998E-4</c:v>
                </c:pt>
                <c:pt idx="2">
                  <c:v>1.586352461062373E-3</c:v>
                </c:pt>
                <c:pt idx="3">
                  <c:v>3.5989878099762893E-3</c:v>
                </c:pt>
                <c:pt idx="4">
                  <c:v>6.5113028581534199E-3</c:v>
                </c:pt>
                <c:pt idx="5">
                  <c:v>1.0396408801079574E-2</c:v>
                </c:pt>
                <c:pt idx="6">
                  <c:v>1.5334967787290278E-2</c:v>
                </c:pt>
                <c:pt idx="7">
                  <c:v>2.1416289787033964E-2</c:v>
                </c:pt>
                <c:pt idx="8">
                  <c:v>2.8739636260369576E-2</c:v>
                </c:pt>
                <c:pt idx="9">
                  <c:v>3.7415779234285948E-2</c:v>
                </c:pt>
                <c:pt idx="10">
                  <c:v>4.7568878270879966E-2</c:v>
                </c:pt>
                <c:pt idx="11">
                  <c:v>5.9338756398181751E-2</c:v>
                </c:pt>
                <c:pt idx="12">
                  <c:v>7.2883681266512498E-2</c:v>
                </c:pt>
                <c:pt idx="13">
                  <c:v>8.8383792346215365E-2</c:v>
                </c:pt>
                <c:pt idx="14">
                  <c:v>0.10604536300187604</c:v>
                </c:pt>
                <c:pt idx="15">
                  <c:v>0.12610615397019051</c:v>
                </c:pt>
                <c:pt idx="16">
                  <c:v>0.14884221169002979</c:v>
                </c:pt>
                <c:pt idx="17">
                  <c:v>0.17457660609279974</c:v>
                </c:pt>
                <c:pt idx="18">
                  <c:v>0.20369081194913277</c:v>
                </c:pt>
                <c:pt idx="19">
                  <c:v>0.23663975528929063</c:v>
                </c:pt>
                <c:pt idx="20">
                  <c:v>0.27397203863706932</c:v>
                </c:pt>
                <c:pt idx="21">
                  <c:v>0.31635764212014716</c:v>
                </c:pt>
                <c:pt idx="22">
                  <c:v>0.36462668108103147</c:v>
                </c:pt>
                <c:pt idx="23">
                  <c:v>0.41982497517868139</c:v>
                </c:pt>
                <c:pt idx="24">
                  <c:v>0.48329601071505707</c:v>
                </c:pt>
                <c:pt idx="25">
                  <c:v>0.55680591798394063</c:v>
                </c:pt>
                <c:pt idx="26">
                  <c:v>0.64274173030332049</c:v>
                </c:pt>
                <c:pt idx="27">
                  <c:v>0.74444133817135671</c:v>
                </c:pt>
                <c:pt idx="28">
                  <c:v>0.86677619655689631</c:v>
                </c:pt>
                <c:pt idx="29">
                  <c:v>1.0172611587592542</c:v>
                </c:pt>
                <c:pt idx="30">
                  <c:v>1.2083900484533832</c:v>
                </c:pt>
                <c:pt idx="31">
                  <c:v>1.4632820273512031</c:v>
                </c:pt>
                <c:pt idx="32">
                  <c:v>1.832499125296744</c:v>
                </c:pt>
                <c:pt idx="33">
                  <c:v>2.4659235325602995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3-480A-897B-8EC6447B08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Sheet1!$M$29:$M$62</c:f>
              <c:numCache>
                <c:formatCode>0.00E+00</c:formatCode>
                <c:ptCount val="34"/>
                <c:pt idx="0">
                  <c:v>0</c:v>
                </c:pt>
                <c:pt idx="1">
                  <c:v>0.40690835064258996</c:v>
                </c:pt>
                <c:pt idx="2">
                  <c:v>1.5863524610623729</c:v>
                </c:pt>
                <c:pt idx="3">
                  <c:v>3.5989878099762893</c:v>
                </c:pt>
                <c:pt idx="4">
                  <c:v>6.51130285815342</c:v>
                </c:pt>
                <c:pt idx="5">
                  <c:v>10.396408801079573</c:v>
                </c:pt>
                <c:pt idx="6">
                  <c:v>15.334967787290278</c:v>
                </c:pt>
                <c:pt idx="7">
                  <c:v>21.416289787033964</c:v>
                </c:pt>
                <c:pt idx="8">
                  <c:v>28.739636260369576</c:v>
                </c:pt>
                <c:pt idx="9">
                  <c:v>37.415779234285949</c:v>
                </c:pt>
                <c:pt idx="10">
                  <c:v>47.568878270879964</c:v>
                </c:pt>
                <c:pt idx="11">
                  <c:v>59.338756398181751</c:v>
                </c:pt>
                <c:pt idx="12">
                  <c:v>72.883681266512497</c:v>
                </c:pt>
                <c:pt idx="13">
                  <c:v>88.383792346215358</c:v>
                </c:pt>
                <c:pt idx="14">
                  <c:v>106.04536300187604</c:v>
                </c:pt>
                <c:pt idx="15">
                  <c:v>126.1061539701905</c:v>
                </c:pt>
                <c:pt idx="16">
                  <c:v>148.84221169002979</c:v>
                </c:pt>
                <c:pt idx="17">
                  <c:v>174.57660609279972</c:v>
                </c:pt>
                <c:pt idx="18">
                  <c:v>203.69081194913278</c:v>
                </c:pt>
                <c:pt idx="19">
                  <c:v>236.63975528929063</c:v>
                </c:pt>
                <c:pt idx="20">
                  <c:v>273.97203863706932</c:v>
                </c:pt>
                <c:pt idx="21">
                  <c:v>316.35764212014715</c:v>
                </c:pt>
                <c:pt idx="22">
                  <c:v>364.62668108103145</c:v>
                </c:pt>
                <c:pt idx="23">
                  <c:v>419.82497517868137</c:v>
                </c:pt>
                <c:pt idx="24">
                  <c:v>483.29601071505704</c:v>
                </c:pt>
                <c:pt idx="25">
                  <c:v>556.80591798394062</c:v>
                </c:pt>
                <c:pt idx="26">
                  <c:v>642.74173030332042</c:v>
                </c:pt>
                <c:pt idx="27">
                  <c:v>744.44133817135673</c:v>
                </c:pt>
                <c:pt idx="28">
                  <c:v>866.77619655689625</c:v>
                </c:pt>
                <c:pt idx="29">
                  <c:v>1017.261158759254</c:v>
                </c:pt>
                <c:pt idx="30">
                  <c:v>1208.3900484533831</c:v>
                </c:pt>
                <c:pt idx="31">
                  <c:v>1463.2820273512029</c:v>
                </c:pt>
                <c:pt idx="32">
                  <c:v>1832.4991252967438</c:v>
                </c:pt>
                <c:pt idx="33">
                  <c:v>2465.9235325602995</c:v>
                </c:pt>
              </c:numCache>
            </c:numRef>
          </c:xVal>
          <c:yVal>
            <c:numRef>
              <c:f>Sheet1!$O$29:$O$62</c:f>
              <c:numCache>
                <c:formatCode>0.00E+00</c:formatCode>
                <c:ptCount val="34"/>
                <c:pt idx="0">
                  <c:v>3.45</c:v>
                </c:pt>
                <c:pt idx="1">
                  <c:v>3.5004069083506426</c:v>
                </c:pt>
                <c:pt idx="2">
                  <c:v>3.551586352461062</c:v>
                </c:pt>
                <c:pt idx="3">
                  <c:v>3.6035989878099759</c:v>
                </c:pt>
                <c:pt idx="4">
                  <c:v>3.6565113028581528</c:v>
                </c:pt>
                <c:pt idx="5">
                  <c:v>3.710396408801079</c:v>
                </c:pt>
                <c:pt idx="6">
                  <c:v>3.7653349677872896</c:v>
                </c:pt>
                <c:pt idx="7">
                  <c:v>3.8214162897870327</c:v>
                </c:pt>
                <c:pt idx="8">
                  <c:v>3.8787396362603683</c:v>
                </c:pt>
                <c:pt idx="9">
                  <c:v>3.9374157792342843</c:v>
                </c:pt>
                <c:pt idx="10">
                  <c:v>3.9975688782708785</c:v>
                </c:pt>
                <c:pt idx="11">
                  <c:v>4.05933875639818</c:v>
                </c:pt>
                <c:pt idx="12">
                  <c:v>4.1228836812665106</c:v>
                </c:pt>
                <c:pt idx="13">
                  <c:v>4.1883837923462135</c:v>
                </c:pt>
                <c:pt idx="14">
                  <c:v>4.2560453630018733</c:v>
                </c:pt>
                <c:pt idx="15">
                  <c:v>4.3261061539701879</c:v>
                </c:pt>
                <c:pt idx="16">
                  <c:v>4.3988422116900274</c:v>
                </c:pt>
                <c:pt idx="17">
                  <c:v>4.4745766060927972</c:v>
                </c:pt>
                <c:pt idx="18">
                  <c:v>4.5536908119491297</c:v>
                </c:pt>
                <c:pt idx="19">
                  <c:v>4.6366397552892877</c:v>
                </c:pt>
                <c:pt idx="20">
                  <c:v>4.7239720386370658</c:v>
                </c:pt>
                <c:pt idx="21">
                  <c:v>4.8163576421201437</c:v>
                </c:pt>
                <c:pt idx="22">
                  <c:v>4.9146266810810282</c:v>
                </c:pt>
                <c:pt idx="23">
                  <c:v>5.0198249751786772</c:v>
                </c:pt>
                <c:pt idx="24">
                  <c:v>5.1332960107150534</c:v>
                </c:pt>
                <c:pt idx="25">
                  <c:v>5.2568059179839359</c:v>
                </c:pt>
                <c:pt idx="26">
                  <c:v>5.3927417303033156</c:v>
                </c:pt>
                <c:pt idx="27">
                  <c:v>5.5444413381713522</c:v>
                </c:pt>
                <c:pt idx="28">
                  <c:v>5.7167761965568911</c:v>
                </c:pt>
                <c:pt idx="29">
                  <c:v>5.9172611587592492</c:v>
                </c:pt>
                <c:pt idx="30">
                  <c:v>6.158390048453378</c:v>
                </c:pt>
                <c:pt idx="31">
                  <c:v>6.4632820273511982</c:v>
                </c:pt>
                <c:pt idx="32">
                  <c:v>6.8824991252967385</c:v>
                </c:pt>
                <c:pt idx="33">
                  <c:v>7.5659235325602943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3-480A-897B-8EC6447B08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Sheet1!$B$84:$B$104</c:f>
              <c:numCache>
                <c:formatCode>0.00E+00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xVal>
          <c:yVal>
            <c:numRef>
              <c:f>Sheet1!$M$84:$M$104</c:f>
              <c:numCache>
                <c:formatCode>0.00E+00</c:formatCode>
                <c:ptCount val="21"/>
                <c:pt idx="0">
                  <c:v>3.45</c:v>
                </c:pt>
                <c:pt idx="1">
                  <c:v>3.5000499999999999</c:v>
                </c:pt>
                <c:pt idx="2">
                  <c:v>3.5192334199014903</c:v>
                </c:pt>
                <c:pt idx="3">
                  <c:v>3.5347771960555971</c:v>
                </c:pt>
                <c:pt idx="4">
                  <c:v>3.5477851303653809</c:v>
                </c:pt>
                <c:pt idx="5">
                  <c:v>3.5514258103433898</c:v>
                </c:pt>
                <c:pt idx="6">
                  <c:v>3.5688909657034746</c:v>
                </c:pt>
                <c:pt idx="7">
                  <c:v>3.5849988188616111</c:v>
                </c:pt>
                <c:pt idx="8">
                  <c:v>3.6097705132322782</c:v>
                </c:pt>
                <c:pt idx="9">
                  <c:v>3.6304663264307937</c:v>
                </c:pt>
                <c:pt idx="10">
                  <c:v>3.6504838129525732</c:v>
                </c:pt>
                <c:pt idx="11">
                  <c:v>3.6680474875213691</c:v>
                </c:pt>
                <c:pt idx="12">
                  <c:v>3.683868326804479</c:v>
                </c:pt>
                <c:pt idx="13">
                  <c:v>3.6983769941391742</c:v>
                </c:pt>
                <c:pt idx="14">
                  <c:v>3.7118554388319556</c:v>
                </c:pt>
                <c:pt idx="15">
                  <c:v>3.8168017830055581</c:v>
                </c:pt>
                <c:pt idx="16">
                  <c:v>3.8945413551132444</c:v>
                </c:pt>
                <c:pt idx="17">
                  <c:v>3.9594556903021645</c:v>
                </c:pt>
                <c:pt idx="18">
                  <c:v>4.0162899663459184</c:v>
                </c:pt>
                <c:pt idx="19">
                  <c:v>4.0674378961779611</c:v>
                </c:pt>
                <c:pt idx="20">
                  <c:v>4.4197947004778433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A-490A-9EBE-CCC42BF59FA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Sheet1!$M$29:$M$63</c:f>
              <c:numCache>
                <c:formatCode>0.00E+00</c:formatCode>
                <c:ptCount val="35"/>
                <c:pt idx="0">
                  <c:v>0</c:v>
                </c:pt>
                <c:pt idx="1">
                  <c:v>0.40690835064258996</c:v>
                </c:pt>
                <c:pt idx="2">
                  <c:v>1.5863524610623729</c:v>
                </c:pt>
                <c:pt idx="3">
                  <c:v>3.5989878099762893</c:v>
                </c:pt>
                <c:pt idx="4">
                  <c:v>6.51130285815342</c:v>
                </c:pt>
                <c:pt idx="5">
                  <c:v>10.396408801079573</c:v>
                </c:pt>
                <c:pt idx="6">
                  <c:v>15.334967787290278</c:v>
                </c:pt>
                <c:pt idx="7">
                  <c:v>21.416289787033964</c:v>
                </c:pt>
                <c:pt idx="8">
                  <c:v>28.739636260369576</c:v>
                </c:pt>
                <c:pt idx="9">
                  <c:v>37.415779234285949</c:v>
                </c:pt>
                <c:pt idx="10">
                  <c:v>47.568878270879964</c:v>
                </c:pt>
                <c:pt idx="11">
                  <c:v>59.338756398181751</c:v>
                </c:pt>
                <c:pt idx="12">
                  <c:v>72.883681266512497</c:v>
                </c:pt>
                <c:pt idx="13">
                  <c:v>88.383792346215358</c:v>
                </c:pt>
                <c:pt idx="14">
                  <c:v>106.04536300187604</c:v>
                </c:pt>
                <c:pt idx="15">
                  <c:v>126.1061539701905</c:v>
                </c:pt>
                <c:pt idx="16">
                  <c:v>148.84221169002979</c:v>
                </c:pt>
                <c:pt idx="17">
                  <c:v>174.57660609279972</c:v>
                </c:pt>
                <c:pt idx="18">
                  <c:v>203.69081194913278</c:v>
                </c:pt>
                <c:pt idx="19">
                  <c:v>236.63975528929063</c:v>
                </c:pt>
                <c:pt idx="20">
                  <c:v>273.97203863706932</c:v>
                </c:pt>
                <c:pt idx="21">
                  <c:v>316.35764212014715</c:v>
                </c:pt>
                <c:pt idx="22">
                  <c:v>364.62668108103145</c:v>
                </c:pt>
                <c:pt idx="23">
                  <c:v>419.82497517868137</c:v>
                </c:pt>
                <c:pt idx="24">
                  <c:v>483.29601071505704</c:v>
                </c:pt>
                <c:pt idx="25">
                  <c:v>556.80591798394062</c:v>
                </c:pt>
                <c:pt idx="26">
                  <c:v>642.74173030332042</c:v>
                </c:pt>
                <c:pt idx="27">
                  <c:v>744.44133817135673</c:v>
                </c:pt>
                <c:pt idx="28">
                  <c:v>866.77619655689625</c:v>
                </c:pt>
                <c:pt idx="29">
                  <c:v>1017.261158759254</c:v>
                </c:pt>
                <c:pt idx="30">
                  <c:v>1208.3900484533831</c:v>
                </c:pt>
                <c:pt idx="31">
                  <c:v>1463.2820273512029</c:v>
                </c:pt>
                <c:pt idx="32">
                  <c:v>1832.4991252967438</c:v>
                </c:pt>
                <c:pt idx="33">
                  <c:v>2465.9235325602995</c:v>
                </c:pt>
                <c:pt idx="34">
                  <c:v>4366.3149477074721</c:v>
                </c:pt>
              </c:numCache>
            </c:numRef>
          </c:xVal>
          <c:yVal>
            <c:numRef>
              <c:f>Sheet1!$N$29:$N$63</c:f>
              <c:numCache>
                <c:formatCode>0.00E+00</c:formatCode>
                <c:ptCount val="35"/>
                <c:pt idx="0">
                  <c:v>0</c:v>
                </c:pt>
                <c:pt idx="1">
                  <c:v>4.0690835064258998E-4</c:v>
                </c:pt>
                <c:pt idx="2">
                  <c:v>1.586352461062373E-3</c:v>
                </c:pt>
                <c:pt idx="3">
                  <c:v>3.5989878099762893E-3</c:v>
                </c:pt>
                <c:pt idx="4">
                  <c:v>6.5113028581534199E-3</c:v>
                </c:pt>
                <c:pt idx="5">
                  <c:v>1.0396408801079574E-2</c:v>
                </c:pt>
                <c:pt idx="6">
                  <c:v>1.5334967787290278E-2</c:v>
                </c:pt>
                <c:pt idx="7">
                  <c:v>2.1416289787033964E-2</c:v>
                </c:pt>
                <c:pt idx="8">
                  <c:v>2.8739636260369576E-2</c:v>
                </c:pt>
                <c:pt idx="9">
                  <c:v>3.7415779234285948E-2</c:v>
                </c:pt>
                <c:pt idx="10">
                  <c:v>4.7568878270879966E-2</c:v>
                </c:pt>
                <c:pt idx="11">
                  <c:v>5.9338756398181751E-2</c:v>
                </c:pt>
                <c:pt idx="12">
                  <c:v>7.2883681266512498E-2</c:v>
                </c:pt>
                <c:pt idx="13">
                  <c:v>8.8383792346215365E-2</c:v>
                </c:pt>
                <c:pt idx="14">
                  <c:v>0.10604536300187604</c:v>
                </c:pt>
                <c:pt idx="15">
                  <c:v>0.12610615397019051</c:v>
                </c:pt>
                <c:pt idx="16">
                  <c:v>0.14884221169002979</c:v>
                </c:pt>
                <c:pt idx="17">
                  <c:v>0.17457660609279974</c:v>
                </c:pt>
                <c:pt idx="18">
                  <c:v>0.20369081194913277</c:v>
                </c:pt>
                <c:pt idx="19">
                  <c:v>0.23663975528929063</c:v>
                </c:pt>
                <c:pt idx="20">
                  <c:v>0.27397203863706932</c:v>
                </c:pt>
                <c:pt idx="21">
                  <c:v>0.31635764212014716</c:v>
                </c:pt>
                <c:pt idx="22">
                  <c:v>0.36462668108103147</c:v>
                </c:pt>
                <c:pt idx="23">
                  <c:v>0.41982497517868139</c:v>
                </c:pt>
                <c:pt idx="24">
                  <c:v>0.48329601071505707</c:v>
                </c:pt>
                <c:pt idx="25">
                  <c:v>0.55680591798394063</c:v>
                </c:pt>
                <c:pt idx="26">
                  <c:v>0.64274173030332049</c:v>
                </c:pt>
                <c:pt idx="27">
                  <c:v>0.74444133817135671</c:v>
                </c:pt>
                <c:pt idx="28">
                  <c:v>0.86677619655689631</c:v>
                </c:pt>
                <c:pt idx="29">
                  <c:v>1.0172611587592542</c:v>
                </c:pt>
                <c:pt idx="30">
                  <c:v>1.2083900484533832</c:v>
                </c:pt>
                <c:pt idx="31">
                  <c:v>1.4632820273512031</c:v>
                </c:pt>
                <c:pt idx="32">
                  <c:v>1.832499125296744</c:v>
                </c:pt>
                <c:pt idx="33">
                  <c:v>2.4659235325602995</c:v>
                </c:pt>
                <c:pt idx="34">
                  <c:v>4.3663149477074725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7-4A92-BB41-9669FD65460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Sheet1!$M$29:$M$63</c:f>
              <c:numCache>
                <c:formatCode>0.00E+00</c:formatCode>
                <c:ptCount val="35"/>
                <c:pt idx="0">
                  <c:v>0</c:v>
                </c:pt>
                <c:pt idx="1">
                  <c:v>0.40690835064258996</c:v>
                </c:pt>
                <c:pt idx="2">
                  <c:v>1.5863524610623729</c:v>
                </c:pt>
                <c:pt idx="3">
                  <c:v>3.5989878099762893</c:v>
                </c:pt>
                <c:pt idx="4">
                  <c:v>6.51130285815342</c:v>
                </c:pt>
                <c:pt idx="5">
                  <c:v>10.396408801079573</c:v>
                </c:pt>
                <c:pt idx="6">
                  <c:v>15.334967787290278</c:v>
                </c:pt>
                <c:pt idx="7">
                  <c:v>21.416289787033964</c:v>
                </c:pt>
                <c:pt idx="8">
                  <c:v>28.739636260369576</c:v>
                </c:pt>
                <c:pt idx="9">
                  <c:v>37.415779234285949</c:v>
                </c:pt>
                <c:pt idx="10">
                  <c:v>47.568878270879964</c:v>
                </c:pt>
                <c:pt idx="11">
                  <c:v>59.338756398181751</c:v>
                </c:pt>
                <c:pt idx="12">
                  <c:v>72.883681266512497</c:v>
                </c:pt>
                <c:pt idx="13">
                  <c:v>88.383792346215358</c:v>
                </c:pt>
                <c:pt idx="14">
                  <c:v>106.04536300187604</c:v>
                </c:pt>
                <c:pt idx="15">
                  <c:v>126.1061539701905</c:v>
                </c:pt>
                <c:pt idx="16">
                  <c:v>148.84221169002979</c:v>
                </c:pt>
                <c:pt idx="17">
                  <c:v>174.57660609279972</c:v>
                </c:pt>
                <c:pt idx="18">
                  <c:v>203.69081194913278</c:v>
                </c:pt>
                <c:pt idx="19">
                  <c:v>236.63975528929063</c:v>
                </c:pt>
                <c:pt idx="20">
                  <c:v>273.97203863706932</c:v>
                </c:pt>
                <c:pt idx="21">
                  <c:v>316.35764212014715</c:v>
                </c:pt>
                <c:pt idx="22">
                  <c:v>364.62668108103145</c:v>
                </c:pt>
                <c:pt idx="23">
                  <c:v>419.82497517868137</c:v>
                </c:pt>
                <c:pt idx="24">
                  <c:v>483.29601071505704</c:v>
                </c:pt>
                <c:pt idx="25">
                  <c:v>556.80591798394062</c:v>
                </c:pt>
                <c:pt idx="26">
                  <c:v>642.74173030332042</c:v>
                </c:pt>
                <c:pt idx="27">
                  <c:v>744.44133817135673</c:v>
                </c:pt>
                <c:pt idx="28">
                  <c:v>866.77619655689625</c:v>
                </c:pt>
                <c:pt idx="29">
                  <c:v>1017.261158759254</c:v>
                </c:pt>
                <c:pt idx="30">
                  <c:v>1208.3900484533831</c:v>
                </c:pt>
                <c:pt idx="31">
                  <c:v>1463.2820273512029</c:v>
                </c:pt>
                <c:pt idx="32">
                  <c:v>1832.4991252967438</c:v>
                </c:pt>
                <c:pt idx="33">
                  <c:v>2465.9235325602995</c:v>
                </c:pt>
                <c:pt idx="34">
                  <c:v>4366.3149477074721</c:v>
                </c:pt>
              </c:numCache>
            </c:numRef>
          </c:xVal>
          <c:yVal>
            <c:numRef>
              <c:f>Sheet1!$N$29:$N$63</c:f>
              <c:numCache>
                <c:formatCode>0.00E+00</c:formatCode>
                <c:ptCount val="35"/>
                <c:pt idx="0">
                  <c:v>0</c:v>
                </c:pt>
                <c:pt idx="1">
                  <c:v>4.0690835064258998E-4</c:v>
                </c:pt>
                <c:pt idx="2">
                  <c:v>1.586352461062373E-3</c:v>
                </c:pt>
                <c:pt idx="3">
                  <c:v>3.5989878099762893E-3</c:v>
                </c:pt>
                <c:pt idx="4">
                  <c:v>6.5113028581534199E-3</c:v>
                </c:pt>
                <c:pt idx="5">
                  <c:v>1.0396408801079574E-2</c:v>
                </c:pt>
                <c:pt idx="6">
                  <c:v>1.5334967787290278E-2</c:v>
                </c:pt>
                <c:pt idx="7">
                  <c:v>2.1416289787033964E-2</c:v>
                </c:pt>
                <c:pt idx="8">
                  <c:v>2.8739636260369576E-2</c:v>
                </c:pt>
                <c:pt idx="9">
                  <c:v>3.7415779234285948E-2</c:v>
                </c:pt>
                <c:pt idx="10">
                  <c:v>4.7568878270879966E-2</c:v>
                </c:pt>
                <c:pt idx="11">
                  <c:v>5.9338756398181751E-2</c:v>
                </c:pt>
                <c:pt idx="12">
                  <c:v>7.2883681266512498E-2</c:v>
                </c:pt>
                <c:pt idx="13">
                  <c:v>8.8383792346215365E-2</c:v>
                </c:pt>
                <c:pt idx="14">
                  <c:v>0.10604536300187604</c:v>
                </c:pt>
                <c:pt idx="15">
                  <c:v>0.12610615397019051</c:v>
                </c:pt>
                <c:pt idx="16">
                  <c:v>0.14884221169002979</c:v>
                </c:pt>
                <c:pt idx="17">
                  <c:v>0.17457660609279974</c:v>
                </c:pt>
                <c:pt idx="18">
                  <c:v>0.20369081194913277</c:v>
                </c:pt>
                <c:pt idx="19">
                  <c:v>0.23663975528929063</c:v>
                </c:pt>
                <c:pt idx="20">
                  <c:v>0.27397203863706932</c:v>
                </c:pt>
                <c:pt idx="21">
                  <c:v>0.31635764212014716</c:v>
                </c:pt>
                <c:pt idx="22">
                  <c:v>0.36462668108103147</c:v>
                </c:pt>
                <c:pt idx="23">
                  <c:v>0.41982497517868139</c:v>
                </c:pt>
                <c:pt idx="24">
                  <c:v>0.48329601071505707</c:v>
                </c:pt>
                <c:pt idx="25">
                  <c:v>0.55680591798394063</c:v>
                </c:pt>
                <c:pt idx="26">
                  <c:v>0.64274173030332049</c:v>
                </c:pt>
                <c:pt idx="27">
                  <c:v>0.74444133817135671</c:v>
                </c:pt>
                <c:pt idx="28">
                  <c:v>0.86677619655689631</c:v>
                </c:pt>
                <c:pt idx="29">
                  <c:v>1.0172611587592542</c:v>
                </c:pt>
                <c:pt idx="30">
                  <c:v>1.2083900484533832</c:v>
                </c:pt>
                <c:pt idx="31">
                  <c:v>1.4632820273512031</c:v>
                </c:pt>
                <c:pt idx="32">
                  <c:v>1.832499125296744</c:v>
                </c:pt>
                <c:pt idx="33">
                  <c:v>2.4659235325602995</c:v>
                </c:pt>
                <c:pt idx="34">
                  <c:v>4.3663149477074725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7-4A92-BB41-9669FD65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71071"/>
        <c:axId val="385872991"/>
      </c:scatterChart>
      <c:valAx>
        <c:axId val="3858710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from brink,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2991"/>
        <c:crosses val="autoZero"/>
        <c:crossBetween val="midCat"/>
      </c:valAx>
      <c:valAx>
        <c:axId val="385872991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525779</xdr:colOff>
      <xdr:row>5</xdr:row>
      <xdr:rowOff>91440</xdr:rowOff>
    </xdr:from>
    <xdr:to>
      <xdr:col>11</xdr:col>
      <xdr:colOff>65924</xdr:colOff>
      <xdr:row>7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914D5-F74A-DDE7-CA67-304810502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3379" y="1005840"/>
          <a:ext cx="2626245" cy="396240"/>
        </a:xfrm>
        <a:prstGeom prst="rect">
          <a:avLst/>
        </a:prstGeom>
      </xdr:spPr>
    </xdr:pic>
    <xdr:clientData/>
  </xdr:twoCellAnchor>
  <xdr:twoCellAnchor editAs="oneCell">
    <xdr:from>
      <xdr:col>6</xdr:col>
      <xdr:colOff>213360</xdr:colOff>
      <xdr:row>9</xdr:row>
      <xdr:rowOff>45720</xdr:rowOff>
    </xdr:from>
    <xdr:to>
      <xdr:col>15</xdr:col>
      <xdr:colOff>152029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DE5876-AA0A-AAD7-A117-17F264922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960" y="1691640"/>
          <a:ext cx="5508889" cy="640080"/>
        </a:xfrm>
        <a:prstGeom prst="rect">
          <a:avLst/>
        </a:prstGeom>
      </xdr:spPr>
    </xdr:pic>
    <xdr:clientData/>
  </xdr:twoCellAnchor>
  <xdr:twoCellAnchor>
    <xdr:from>
      <xdr:col>16</xdr:col>
      <xdr:colOff>342900</xdr:colOff>
      <xdr:row>41</xdr:row>
      <xdr:rowOff>95250</xdr:rowOff>
    </xdr:from>
    <xdr:to>
      <xdr:col>26</xdr:col>
      <xdr:colOff>426720</xdr:colOff>
      <xdr:row>61</xdr:row>
      <xdr:rowOff>145542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CCFEA0-A598-5A86-5D02-B2F2D6F6C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2DC9-5E89-41BE-BB40-0F89BEE54F31}">
  <dimension ref="A1:O117"/>
  <sheetViews>
    <sheetView tabSelected="1" topLeftCell="F36" workbookViewId="0">
      <selection activeCell="O95" sqref="O95"/>
    </sheetView>
  </sheetViews>
  <sheetFormatPr defaultRowHeight="14.4" x14ac:dyDescent="0.3"/>
  <cols>
    <col min="7" max="11" width="9" bestFit="1" customWidth="1"/>
    <col min="12" max="12" width="9.21875" bestFit="1" customWidth="1"/>
    <col min="13" max="15" width="9" bestFit="1" customWidth="1"/>
  </cols>
  <sheetData>
    <row r="1" spans="1:15" x14ac:dyDescent="0.3">
      <c r="A1" t="s">
        <v>0</v>
      </c>
    </row>
    <row r="3" spans="1:15" x14ac:dyDescent="0.3">
      <c r="A3" t="s">
        <v>1</v>
      </c>
      <c r="B3" t="s">
        <v>2</v>
      </c>
    </row>
    <row r="4" spans="1:15" x14ac:dyDescent="0.3">
      <c r="A4" t="s">
        <v>3</v>
      </c>
      <c r="B4" t="s">
        <v>4</v>
      </c>
    </row>
    <row r="5" spans="1:15" x14ac:dyDescent="0.3">
      <c r="A5" t="s">
        <v>5</v>
      </c>
    </row>
    <row r="7" spans="1:15" x14ac:dyDescent="0.3">
      <c r="A7" t="s">
        <v>6</v>
      </c>
    </row>
    <row r="8" spans="1:15" x14ac:dyDescent="0.3">
      <c r="A8" t="s">
        <v>24</v>
      </c>
      <c r="B8">
        <v>0.02</v>
      </c>
    </row>
    <row r="9" spans="1:15" x14ac:dyDescent="0.3">
      <c r="A9" t="s">
        <v>7</v>
      </c>
      <c r="B9">
        <v>18</v>
      </c>
      <c r="D9" t="s">
        <v>11</v>
      </c>
      <c r="E9">
        <v>3.4469159138986494</v>
      </c>
      <c r="J9" t="s">
        <v>14</v>
      </c>
      <c r="K9" s="1" t="s">
        <v>15</v>
      </c>
      <c r="M9" t="s">
        <v>16</v>
      </c>
      <c r="N9" s="2" t="s">
        <v>17</v>
      </c>
      <c r="O9" s="2" t="s">
        <v>18</v>
      </c>
    </row>
    <row r="10" spans="1:15" x14ac:dyDescent="0.3">
      <c r="A10" t="s">
        <v>8</v>
      </c>
      <c r="B10">
        <v>2</v>
      </c>
      <c r="D10" t="s">
        <v>12</v>
      </c>
      <c r="E10">
        <f>B11^2*(B9 + 2*B10*E9)/(E9^3*B12*(B9 + B10*E9)^3)</f>
        <v>1.0000354377752019</v>
      </c>
    </row>
    <row r="11" spans="1:15" x14ac:dyDescent="0.3">
      <c r="A11" t="s">
        <v>9</v>
      </c>
      <c r="B11">
        <v>800</v>
      </c>
    </row>
    <row r="12" spans="1:15" ht="16.2" x14ac:dyDescent="0.3">
      <c r="A12" t="s">
        <v>10</v>
      </c>
      <c r="B12">
        <v>32.200000000000003</v>
      </c>
    </row>
    <row r="13" spans="1:15" x14ac:dyDescent="0.3">
      <c r="A13" t="s">
        <v>23</v>
      </c>
      <c r="B13">
        <v>1E-3</v>
      </c>
    </row>
    <row r="14" spans="1:15" x14ac:dyDescent="0.3">
      <c r="A14" t="s">
        <v>13</v>
      </c>
    </row>
    <row r="15" spans="1:15" x14ac:dyDescent="0.3">
      <c r="A15" t="s">
        <v>20</v>
      </c>
      <c r="B15">
        <v>5.1510766698206112</v>
      </c>
    </row>
    <row r="18" spans="1:15" ht="16.2" x14ac:dyDescent="0.3">
      <c r="A18" t="s">
        <v>19</v>
      </c>
      <c r="B18">
        <f>B15*(B9 + B10*B15)</f>
        <v>145.78656177351141</v>
      </c>
      <c r="D18" t="s">
        <v>26</v>
      </c>
    </row>
    <row r="19" spans="1:15" x14ac:dyDescent="0.3">
      <c r="A19" t="s">
        <v>21</v>
      </c>
      <c r="B19">
        <f>B9 + 2*B15*SQRT(1 + B10^2)</f>
        <v>41.036315182064257</v>
      </c>
      <c r="D19" t="s">
        <v>27</v>
      </c>
      <c r="G19">
        <f>E9</f>
        <v>3.4469159138986494</v>
      </c>
      <c r="H19" t="s">
        <v>29</v>
      </c>
    </row>
    <row r="20" spans="1:15" x14ac:dyDescent="0.3">
      <c r="A20" t="s">
        <v>22</v>
      </c>
      <c r="B20">
        <f>B18/B19</f>
        <v>3.5526231126431727</v>
      </c>
      <c r="D20" t="s">
        <v>28</v>
      </c>
      <c r="G20">
        <f>B15</f>
        <v>5.1510766698206112</v>
      </c>
      <c r="H20" t="s">
        <v>29</v>
      </c>
    </row>
    <row r="21" spans="1:15" x14ac:dyDescent="0.3">
      <c r="A21" t="s">
        <v>9</v>
      </c>
      <c r="B21">
        <f>1.49*B18*B20^0.667*B13^0.5/B8</f>
        <v>800.00009903473278</v>
      </c>
    </row>
    <row r="22" spans="1:15" x14ac:dyDescent="0.3">
      <c r="A22" t="s">
        <v>18</v>
      </c>
      <c r="B22">
        <f>B18/(B9 + 2*B10*B15)</f>
        <v>3.7764325878115006</v>
      </c>
    </row>
    <row r="23" spans="1:15" x14ac:dyDescent="0.3">
      <c r="A23" t="s">
        <v>25</v>
      </c>
      <c r="B23">
        <f>B21/B18</f>
        <v>5.4874749037403276</v>
      </c>
    </row>
    <row r="24" spans="1:15" x14ac:dyDescent="0.3">
      <c r="A24" t="s">
        <v>12</v>
      </c>
      <c r="B24">
        <f>B23/SQRT(B12*B22)</f>
        <v>0.49762677868474114</v>
      </c>
    </row>
    <row r="27" spans="1:15" x14ac:dyDescent="0.3">
      <c r="A27" s="2" t="s">
        <v>30</v>
      </c>
      <c r="B27" s="2" t="s">
        <v>31</v>
      </c>
      <c r="C27" s="2" t="s">
        <v>32</v>
      </c>
      <c r="D27" s="2" t="s">
        <v>33</v>
      </c>
      <c r="E27" s="2" t="s">
        <v>34</v>
      </c>
      <c r="F27" s="2" t="s">
        <v>35</v>
      </c>
      <c r="G27" s="2" t="s">
        <v>36</v>
      </c>
      <c r="H27" s="2" t="s">
        <v>37</v>
      </c>
      <c r="I27" s="2" t="s">
        <v>38</v>
      </c>
      <c r="J27" s="2" t="s">
        <v>39</v>
      </c>
      <c r="K27" s="2" t="s">
        <v>40</v>
      </c>
      <c r="L27" s="2" t="s">
        <v>41</v>
      </c>
      <c r="M27" s="2" t="s">
        <v>42</v>
      </c>
      <c r="N27" s="2" t="s">
        <v>53</v>
      </c>
      <c r="O27" s="2" t="s">
        <v>56</v>
      </c>
    </row>
    <row r="28" spans="1:15" ht="16.8" x14ac:dyDescent="0.35">
      <c r="A28" s="3" t="s">
        <v>43</v>
      </c>
      <c r="B28" s="3" t="s">
        <v>44</v>
      </c>
      <c r="C28" s="3" t="s">
        <v>45</v>
      </c>
      <c r="D28" s="3" t="s">
        <v>21</v>
      </c>
      <c r="E28" s="3" t="s">
        <v>22</v>
      </c>
      <c r="F28" s="3" t="s">
        <v>25</v>
      </c>
      <c r="G28" s="3" t="s">
        <v>46</v>
      </c>
      <c r="H28" s="3" t="s">
        <v>47</v>
      </c>
      <c r="I28" s="3" t="s">
        <v>48</v>
      </c>
      <c r="J28" s="3" t="s">
        <v>49</v>
      </c>
      <c r="K28" s="3" t="s">
        <v>50</v>
      </c>
      <c r="L28" s="4" t="s">
        <v>51</v>
      </c>
      <c r="M28" s="4" t="s">
        <v>52</v>
      </c>
      <c r="N28" s="3" t="s">
        <v>54</v>
      </c>
      <c r="O28" s="3" t="s">
        <v>55</v>
      </c>
    </row>
    <row r="29" spans="1:15" x14ac:dyDescent="0.3">
      <c r="A29" s="2">
        <v>1</v>
      </c>
      <c r="B29" s="5">
        <v>3.45</v>
      </c>
      <c r="C29" s="5">
        <f>B29*($B$9+$B$10*B29)</f>
        <v>85.905000000000001</v>
      </c>
      <c r="D29" s="5">
        <f>$B$9+2*B29*SQRT(1+$B$10^2)</f>
        <v>33.428869044748552</v>
      </c>
      <c r="E29" s="5">
        <f>C29/D29</f>
        <v>2.5697848133900627</v>
      </c>
      <c r="F29" s="5">
        <f>$B$11/C29</f>
        <v>9.3126127699202605</v>
      </c>
      <c r="G29" s="5">
        <f>B29+F29^2/2/$B$12</f>
        <v>4.7966577112186632</v>
      </c>
      <c r="H29" s="5"/>
      <c r="I29" s="5">
        <f>($B$11*$B$8/1.49/C29/(E29^0.667))^2</f>
        <v>4.436375197885636E-3</v>
      </c>
      <c r="J29" s="5"/>
      <c r="K29" s="5"/>
      <c r="L29" s="5"/>
      <c r="M29" s="5">
        <v>0</v>
      </c>
      <c r="N29" s="5">
        <v>0</v>
      </c>
      <c r="O29" s="5">
        <f>N29+B29</f>
        <v>3.45</v>
      </c>
    </row>
    <row r="30" spans="1:15" x14ac:dyDescent="0.3">
      <c r="A30" s="2">
        <v>2</v>
      </c>
      <c r="B30" s="5">
        <f>B29+0.05</f>
        <v>3.5</v>
      </c>
      <c r="C30" s="5">
        <f t="shared" ref="C30:C63" si="0">B30*($B$9+$B$10*B30)</f>
        <v>87.5</v>
      </c>
      <c r="D30" s="5">
        <f t="shared" ref="D30:D63" si="1">$B$9+2*B30*SQRT(1+$B$10^2)</f>
        <v>33.652475842498532</v>
      </c>
      <c r="E30" s="5">
        <f t="shared" ref="E30:E63" si="2">C30/D30</f>
        <v>2.6001058706503644</v>
      </c>
      <c r="F30" s="5">
        <f t="shared" ref="F30:F63" si="3">$B$11/C30</f>
        <v>9.1428571428571423</v>
      </c>
      <c r="G30" s="5">
        <f t="shared" ref="G30:G63" si="4">B30+F30^2/2/$B$12</f>
        <v>4.798009887184687</v>
      </c>
      <c r="H30" s="5">
        <f>G30-G29</f>
        <v>1.352175966023772E-3</v>
      </c>
      <c r="I30" s="5">
        <f t="shared" ref="I30:I63" si="5">($B$11*$B$8/1.49/C30/(E30^0.667))^2</f>
        <v>4.2097207295555914E-3</v>
      </c>
      <c r="J30" s="5">
        <f>(I29+I30)/2</f>
        <v>4.3230479637206137E-3</v>
      </c>
      <c r="K30" s="5">
        <f>$B$13-J30</f>
        <v>-3.3230479637206137E-3</v>
      </c>
      <c r="L30" s="5">
        <f>H30/K30</f>
        <v>-0.40690835064258996</v>
      </c>
      <c r="M30" s="5">
        <f>M29-L30</f>
        <v>0.40690835064258996</v>
      </c>
      <c r="N30" s="5">
        <f>$B$13*M30</f>
        <v>4.0690835064258998E-4</v>
      </c>
      <c r="O30" s="5">
        <f t="shared" ref="O30:O63" si="6">N30+B30</f>
        <v>3.5004069083506426</v>
      </c>
    </row>
    <row r="31" spans="1:15" x14ac:dyDescent="0.3">
      <c r="A31" s="2">
        <v>3</v>
      </c>
      <c r="B31" s="5">
        <f t="shared" ref="B31:B63" si="7">B30+0.05</f>
        <v>3.55</v>
      </c>
      <c r="C31" s="5">
        <f t="shared" si="0"/>
        <v>89.105000000000004</v>
      </c>
      <c r="D31" s="5">
        <f t="shared" si="1"/>
        <v>33.876082640248505</v>
      </c>
      <c r="E31" s="5">
        <f t="shared" si="2"/>
        <v>2.6303218393419989</v>
      </c>
      <c r="F31" s="5">
        <f t="shared" si="3"/>
        <v>8.978171819763201</v>
      </c>
      <c r="G31" s="5">
        <f t="shared" si="4"/>
        <v>4.801670329583696</v>
      </c>
      <c r="H31" s="5">
        <f t="shared" ref="H31:H63" si="8">G31-G30</f>
        <v>3.6604423990089785E-3</v>
      </c>
      <c r="I31" s="5">
        <f t="shared" si="5"/>
        <v>3.9973430332303694E-3</v>
      </c>
      <c r="J31" s="5">
        <f t="shared" ref="J31:J63" si="9">(I30+I31)/2</f>
        <v>4.10353188139298E-3</v>
      </c>
      <c r="K31" s="5">
        <f t="shared" ref="K31:K63" si="10">$B$13-J31</f>
        <v>-3.10353188139298E-3</v>
      </c>
      <c r="L31" s="5">
        <f t="shared" ref="L31:L63" si="11">H31/K31</f>
        <v>-1.179444110419783</v>
      </c>
      <c r="M31" s="5">
        <f t="shared" ref="M31:M63" si="12">M30-L31</f>
        <v>1.5863524610623729</v>
      </c>
      <c r="N31" s="5">
        <f t="shared" ref="N31:N63" si="13">$B$13*M31</f>
        <v>1.586352461062373E-3</v>
      </c>
      <c r="O31" s="5">
        <f t="shared" si="6"/>
        <v>3.551586352461062</v>
      </c>
    </row>
    <row r="32" spans="1:15" x14ac:dyDescent="0.3">
      <c r="A32" s="2">
        <v>4</v>
      </c>
      <c r="B32" s="5">
        <f t="shared" si="7"/>
        <v>3.5999999999999996</v>
      </c>
      <c r="C32" s="5">
        <f t="shared" si="0"/>
        <v>90.719999999999985</v>
      </c>
      <c r="D32" s="5">
        <f t="shared" si="1"/>
        <v>34.099689437998485</v>
      </c>
      <c r="E32" s="5">
        <f t="shared" si="2"/>
        <v>2.6604347868021194</v>
      </c>
      <c r="F32" s="5">
        <f t="shared" si="3"/>
        <v>8.8183421516754859</v>
      </c>
      <c r="G32" s="5">
        <f t="shared" si="4"/>
        <v>4.8075024581369039</v>
      </c>
      <c r="H32" s="5">
        <f t="shared" si="8"/>
        <v>5.8321285532079159E-3</v>
      </c>
      <c r="I32" s="5">
        <f t="shared" si="5"/>
        <v>3.7981713468138068E-3</v>
      </c>
      <c r="J32" s="5">
        <f t="shared" si="9"/>
        <v>3.8977571900220883E-3</v>
      </c>
      <c r="K32" s="5">
        <f t="shared" si="10"/>
        <v>-2.8977571900220883E-3</v>
      </c>
      <c r="L32" s="5">
        <f t="shared" si="11"/>
        <v>-2.0126353489139164</v>
      </c>
      <c r="M32" s="5">
        <f t="shared" si="12"/>
        <v>3.5989878099762893</v>
      </c>
      <c r="N32" s="5">
        <f t="shared" si="13"/>
        <v>3.5989878099762893E-3</v>
      </c>
      <c r="O32" s="5">
        <f t="shared" si="6"/>
        <v>3.6035989878099759</v>
      </c>
    </row>
    <row r="33" spans="1:15" x14ac:dyDescent="0.3">
      <c r="A33" s="2">
        <v>5</v>
      </c>
      <c r="B33" s="5">
        <f t="shared" si="7"/>
        <v>3.6499999999999995</v>
      </c>
      <c r="C33" s="5">
        <f t="shared" si="0"/>
        <v>92.34499999999997</v>
      </c>
      <c r="D33" s="5">
        <f t="shared" si="1"/>
        <v>34.323296235748458</v>
      </c>
      <c r="E33" s="5">
        <f t="shared" si="2"/>
        <v>2.6904467264953604</v>
      </c>
      <c r="F33" s="5">
        <f t="shared" si="3"/>
        <v>8.6631653040229608</v>
      </c>
      <c r="G33" s="5">
        <f t="shared" si="4"/>
        <v>4.8153793957271303</v>
      </c>
      <c r="H33" s="5">
        <f t="shared" si="8"/>
        <v>7.8769375902263405E-3</v>
      </c>
      <c r="I33" s="5">
        <f t="shared" si="5"/>
        <v>3.6112280209892439E-3</v>
      </c>
      <c r="J33" s="5">
        <f t="shared" si="9"/>
        <v>3.7046996839015254E-3</v>
      </c>
      <c r="K33" s="5">
        <f t="shared" si="10"/>
        <v>-2.7046996839015253E-3</v>
      </c>
      <c r="L33" s="5">
        <f t="shared" si="11"/>
        <v>-2.9123150481771307</v>
      </c>
      <c r="M33" s="5">
        <f t="shared" si="12"/>
        <v>6.51130285815342</v>
      </c>
      <c r="N33" s="5">
        <f t="shared" si="13"/>
        <v>6.5113028581534199E-3</v>
      </c>
      <c r="O33" s="5">
        <f t="shared" si="6"/>
        <v>3.6565113028581528</v>
      </c>
    </row>
    <row r="34" spans="1:15" x14ac:dyDescent="0.3">
      <c r="A34" s="2">
        <v>6</v>
      </c>
      <c r="B34" s="5">
        <f t="shared" si="7"/>
        <v>3.6999999999999993</v>
      </c>
      <c r="C34" s="5">
        <f t="shared" si="0"/>
        <v>93.979999999999976</v>
      </c>
      <c r="D34" s="5">
        <f t="shared" si="1"/>
        <v>34.546903033498438</v>
      </c>
      <c r="E34" s="5">
        <f t="shared" si="2"/>
        <v>2.7203596197572955</v>
      </c>
      <c r="F34" s="5">
        <f t="shared" si="3"/>
        <v>8.5124494573313498</v>
      </c>
      <c r="G34" s="5">
        <f t="shared" si="4"/>
        <v>4.8251831640313778</v>
      </c>
      <c r="H34" s="5">
        <f t="shared" si="8"/>
        <v>9.8037683042475621E-3</v>
      </c>
      <c r="I34" s="5">
        <f t="shared" si="5"/>
        <v>3.4356193228253446E-3</v>
      </c>
      <c r="J34" s="5">
        <f t="shared" si="9"/>
        <v>3.523423671907294E-3</v>
      </c>
      <c r="K34" s="5">
        <f t="shared" si="10"/>
        <v>-2.523423671907294E-3</v>
      </c>
      <c r="L34" s="5">
        <f t="shared" si="11"/>
        <v>-3.8851059429261525</v>
      </c>
      <c r="M34" s="5">
        <f t="shared" si="12"/>
        <v>10.396408801079573</v>
      </c>
      <c r="N34" s="5">
        <f t="shared" si="13"/>
        <v>1.0396408801079574E-2</v>
      </c>
      <c r="O34" s="5">
        <f t="shared" si="6"/>
        <v>3.710396408801079</v>
      </c>
    </row>
    <row r="35" spans="1:15" x14ac:dyDescent="0.3">
      <c r="A35" s="2">
        <v>7</v>
      </c>
      <c r="B35" s="5">
        <f t="shared" si="7"/>
        <v>3.7499999999999991</v>
      </c>
      <c r="C35" s="5">
        <f t="shared" si="0"/>
        <v>95.624999999999972</v>
      </c>
      <c r="D35" s="5">
        <f t="shared" si="1"/>
        <v>34.770509831248418</v>
      </c>
      <c r="E35" s="5">
        <f t="shared" si="2"/>
        <v>2.750175377470633</v>
      </c>
      <c r="F35" s="5">
        <f t="shared" si="3"/>
        <v>8.3660130718954271</v>
      </c>
      <c r="G35" s="5">
        <f t="shared" si="4"/>
        <v>4.8368039552659177</v>
      </c>
      <c r="H35" s="5">
        <f t="shared" si="8"/>
        <v>1.1620791234539851E-2</v>
      </c>
      <c r="I35" s="5">
        <f t="shared" si="5"/>
        <v>3.2705272543389952E-3</v>
      </c>
      <c r="J35" s="5">
        <f t="shared" si="9"/>
        <v>3.3530732885821701E-3</v>
      </c>
      <c r="K35" s="5">
        <f t="shared" si="10"/>
        <v>-2.3530732885821701E-3</v>
      </c>
      <c r="L35" s="5">
        <f t="shared" si="11"/>
        <v>-4.9385589862107047</v>
      </c>
      <c r="M35" s="5">
        <f t="shared" si="12"/>
        <v>15.334967787290278</v>
      </c>
      <c r="N35" s="5">
        <f t="shared" si="13"/>
        <v>1.5334967787290278E-2</v>
      </c>
      <c r="O35" s="5">
        <f t="shared" si="6"/>
        <v>3.7653349677872896</v>
      </c>
    </row>
    <row r="36" spans="1:15" x14ac:dyDescent="0.3">
      <c r="A36" s="2">
        <v>8</v>
      </c>
      <c r="B36" s="5">
        <f t="shared" si="7"/>
        <v>3.7999999999999989</v>
      </c>
      <c r="C36" s="5">
        <f t="shared" si="0"/>
        <v>97.279999999999959</v>
      </c>
      <c r="D36" s="5">
        <f t="shared" si="1"/>
        <v>34.994116628998398</v>
      </c>
      <c r="E36" s="5">
        <f t="shared" si="2"/>
        <v>2.7798958616771436</v>
      </c>
      <c r="F36" s="5">
        <f t="shared" si="3"/>
        <v>8.2236842105263186</v>
      </c>
      <c r="G36" s="5">
        <f t="shared" si="4"/>
        <v>4.8501394719636615</v>
      </c>
      <c r="H36" s="5">
        <f t="shared" si="8"/>
        <v>1.3335516697743799E-2</v>
      </c>
      <c r="I36" s="5">
        <f t="shared" si="5"/>
        <v>3.1152022624686532E-3</v>
      </c>
      <c r="J36" s="5">
        <f t="shared" si="9"/>
        <v>3.1928647584038242E-3</v>
      </c>
      <c r="K36" s="5">
        <f t="shared" si="10"/>
        <v>-2.1928647584038242E-3</v>
      </c>
      <c r="L36" s="5">
        <f t="shared" si="11"/>
        <v>-6.081321999743686</v>
      </c>
      <c r="M36" s="5">
        <f t="shared" si="12"/>
        <v>21.416289787033964</v>
      </c>
      <c r="N36" s="5">
        <f t="shared" si="13"/>
        <v>2.1416289787033964E-2</v>
      </c>
      <c r="O36" s="5">
        <f t="shared" si="6"/>
        <v>3.8214162897870327</v>
      </c>
    </row>
    <row r="37" spans="1:15" x14ac:dyDescent="0.3">
      <c r="A37" s="2">
        <v>9</v>
      </c>
      <c r="B37" s="5">
        <f t="shared" si="7"/>
        <v>3.8499999999999988</v>
      </c>
      <c r="C37" s="5">
        <f t="shared" si="0"/>
        <v>98.944999999999951</v>
      </c>
      <c r="D37" s="5">
        <f t="shared" si="1"/>
        <v>35.217723426748378</v>
      </c>
      <c r="E37" s="5">
        <f t="shared" si="2"/>
        <v>2.8095228871281832</v>
      </c>
      <c r="F37" s="5">
        <f t="shared" si="3"/>
        <v>8.0852999140936923</v>
      </c>
      <c r="G37" s="5">
        <f t="shared" si="4"/>
        <v>4.865094327652848</v>
      </c>
      <c r="H37" s="5">
        <f t="shared" si="8"/>
        <v>1.495485568918653E-2</v>
      </c>
      <c r="I37" s="5">
        <f t="shared" si="5"/>
        <v>2.9689567333230473E-3</v>
      </c>
      <c r="J37" s="5">
        <f t="shared" si="9"/>
        <v>3.04207949789585E-3</v>
      </c>
      <c r="K37" s="5">
        <f t="shared" si="10"/>
        <v>-2.04207949789585E-3</v>
      </c>
      <c r="L37" s="5">
        <f t="shared" si="11"/>
        <v>-7.3233464733356115</v>
      </c>
      <c r="M37" s="5">
        <f t="shared" si="12"/>
        <v>28.739636260369576</v>
      </c>
      <c r="N37" s="5">
        <f t="shared" si="13"/>
        <v>2.8739636260369576E-2</v>
      </c>
      <c r="O37" s="5">
        <f t="shared" si="6"/>
        <v>3.8787396362603683</v>
      </c>
    </row>
    <row r="38" spans="1:15" x14ac:dyDescent="0.3">
      <c r="A38" s="2">
        <v>10</v>
      </c>
      <c r="B38" s="5">
        <f t="shared" si="7"/>
        <v>3.8999999999999986</v>
      </c>
      <c r="C38" s="5">
        <f t="shared" si="0"/>
        <v>100.61999999999995</v>
      </c>
      <c r="D38" s="5">
        <f t="shared" si="1"/>
        <v>35.441330224498358</v>
      </c>
      <c r="E38" s="5">
        <f t="shared" si="2"/>
        <v>2.8390582227765164</v>
      </c>
      <c r="F38" s="5">
        <f t="shared" si="3"/>
        <v>7.9507056251242343</v>
      </c>
      <c r="G38" s="5">
        <f t="shared" si="4"/>
        <v>4.8815795021332615</v>
      </c>
      <c r="H38" s="5">
        <f t="shared" si="8"/>
        <v>1.6485174480413534E-2</v>
      </c>
      <c r="I38" s="5">
        <f t="shared" si="5"/>
        <v>2.8311591776235406E-3</v>
      </c>
      <c r="J38" s="5">
        <f t="shared" si="9"/>
        <v>2.900057955473294E-3</v>
      </c>
      <c r="K38" s="5">
        <f t="shared" si="10"/>
        <v>-1.9000579554732939E-3</v>
      </c>
      <c r="L38" s="5">
        <f t="shared" si="11"/>
        <v>-8.6761429739163756</v>
      </c>
      <c r="M38" s="5">
        <f t="shared" si="12"/>
        <v>37.415779234285949</v>
      </c>
      <c r="N38" s="5">
        <f t="shared" si="13"/>
        <v>3.7415779234285948E-2</v>
      </c>
      <c r="O38" s="5">
        <f t="shared" si="6"/>
        <v>3.9374157792342843</v>
      </c>
    </row>
    <row r="39" spans="1:15" x14ac:dyDescent="0.3">
      <c r="A39" s="2">
        <v>11</v>
      </c>
      <c r="B39" s="5">
        <f t="shared" si="7"/>
        <v>3.9499999999999984</v>
      </c>
      <c r="C39" s="5">
        <f t="shared" si="0"/>
        <v>102.30499999999995</v>
      </c>
      <c r="D39" s="5">
        <f t="shared" si="1"/>
        <v>35.664937022248331</v>
      </c>
      <c r="E39" s="5">
        <f t="shared" si="2"/>
        <v>2.8685035932120257</v>
      </c>
      <c r="F39" s="5">
        <f t="shared" si="3"/>
        <v>7.8197546551976966</v>
      </c>
      <c r="G39" s="5">
        <f t="shared" si="4"/>
        <v>4.8995118457684157</v>
      </c>
      <c r="H39" s="5">
        <f t="shared" si="8"/>
        <v>1.7932343635154169E-2</v>
      </c>
      <c r="I39" s="5">
        <f t="shared" si="5"/>
        <v>2.7012290263173527E-3</v>
      </c>
      <c r="J39" s="5">
        <f t="shared" si="9"/>
        <v>2.7661941019704464E-3</v>
      </c>
      <c r="K39" s="5">
        <f t="shared" si="10"/>
        <v>-1.7661941019704464E-3</v>
      </c>
      <c r="L39" s="5">
        <f t="shared" si="11"/>
        <v>-10.153099036594014</v>
      </c>
      <c r="M39" s="5">
        <f t="shared" si="12"/>
        <v>47.568878270879964</v>
      </c>
      <c r="N39" s="5">
        <f t="shared" si="13"/>
        <v>4.7568878270879966E-2</v>
      </c>
      <c r="O39" s="5">
        <f t="shared" si="6"/>
        <v>3.9975688782708785</v>
      </c>
    </row>
    <row r="40" spans="1:15" x14ac:dyDescent="0.3">
      <c r="A40" s="2">
        <v>12</v>
      </c>
      <c r="B40" s="5">
        <f t="shared" si="7"/>
        <v>3.9999999999999982</v>
      </c>
      <c r="C40" s="5">
        <f t="shared" si="0"/>
        <v>103.99999999999994</v>
      </c>
      <c r="D40" s="5">
        <f t="shared" si="1"/>
        <v>35.888543819998311</v>
      </c>
      <c r="E40" s="5">
        <f t="shared" si="2"/>
        <v>2.8978606800437419</v>
      </c>
      <c r="F40" s="5">
        <f t="shared" si="3"/>
        <v>7.692307692307697</v>
      </c>
      <c r="G40" s="5">
        <f t="shared" si="4"/>
        <v>4.9188136278437273</v>
      </c>
      <c r="H40" s="5">
        <f t="shared" si="8"/>
        <v>1.9301782075311635E-2</v>
      </c>
      <c r="I40" s="5">
        <f t="shared" si="5"/>
        <v>2.5786319657074676E-3</v>
      </c>
      <c r="J40" s="5">
        <f t="shared" si="9"/>
        <v>2.6399304960124104E-3</v>
      </c>
      <c r="K40" s="5">
        <f t="shared" si="10"/>
        <v>-1.6399304960124103E-3</v>
      </c>
      <c r="L40" s="5">
        <f t="shared" si="11"/>
        <v>-11.769878127301785</v>
      </c>
      <c r="M40" s="5">
        <f t="shared" si="12"/>
        <v>59.338756398181751</v>
      </c>
      <c r="N40" s="5">
        <f t="shared" si="13"/>
        <v>5.9338756398181751E-2</v>
      </c>
      <c r="O40" s="5">
        <f t="shared" si="6"/>
        <v>4.05933875639818</v>
      </c>
    </row>
    <row r="41" spans="1:15" x14ac:dyDescent="0.3">
      <c r="A41" s="2">
        <v>13</v>
      </c>
      <c r="B41" s="5">
        <f t="shared" si="7"/>
        <v>4.049999999999998</v>
      </c>
      <c r="C41" s="5">
        <f t="shared" si="0"/>
        <v>105.70499999999993</v>
      </c>
      <c r="D41" s="5">
        <f t="shared" si="1"/>
        <v>36.112150617748284</v>
      </c>
      <c r="E41" s="5">
        <f t="shared" si="2"/>
        <v>2.9271311232305388</v>
      </c>
      <c r="F41" s="5">
        <f t="shared" si="3"/>
        <v>7.5682323447329889</v>
      </c>
      <c r="G41" s="5">
        <f t="shared" si="4"/>
        <v>4.9394121245941376</v>
      </c>
      <c r="H41" s="5">
        <f t="shared" si="8"/>
        <v>2.0598496750410256E-2</v>
      </c>
      <c r="I41" s="5">
        <f t="shared" si="5"/>
        <v>2.4628757503776019E-3</v>
      </c>
      <c r="J41" s="5">
        <f t="shared" si="9"/>
        <v>2.5207538580425347E-3</v>
      </c>
      <c r="K41" s="5">
        <f t="shared" si="10"/>
        <v>-1.5207538580425347E-3</v>
      </c>
      <c r="L41" s="5">
        <f t="shared" si="11"/>
        <v>-13.544924868330748</v>
      </c>
      <c r="M41" s="5">
        <f t="shared" si="12"/>
        <v>72.883681266512497</v>
      </c>
      <c r="N41" s="5">
        <f t="shared" si="13"/>
        <v>7.2883681266512498E-2</v>
      </c>
      <c r="O41" s="5">
        <f t="shared" si="6"/>
        <v>4.1228836812665106</v>
      </c>
    </row>
    <row r="42" spans="1:15" x14ac:dyDescent="0.3">
      <c r="A42" s="2">
        <v>14</v>
      </c>
      <c r="B42" s="5">
        <f t="shared" si="7"/>
        <v>4.0999999999999979</v>
      </c>
      <c r="C42" s="5">
        <f t="shared" si="0"/>
        <v>107.41999999999993</v>
      </c>
      <c r="D42" s="5">
        <f t="shared" si="1"/>
        <v>36.335757415498264</v>
      </c>
      <c r="E42" s="5">
        <f t="shared" si="2"/>
        <v>2.9563165223626839</v>
      </c>
      <c r="F42" s="5">
        <f t="shared" si="3"/>
        <v>7.4474027183019968</v>
      </c>
      <c r="G42" s="5">
        <f t="shared" si="4"/>
        <v>4.9612392429902457</v>
      </c>
      <c r="H42" s="5">
        <f t="shared" si="8"/>
        <v>2.1827118396108069E-2</v>
      </c>
      <c r="I42" s="5">
        <f t="shared" si="5"/>
        <v>2.3535064399010639E-3</v>
      </c>
      <c r="J42" s="5">
        <f t="shared" si="9"/>
        <v>2.4081910951393327E-3</v>
      </c>
      <c r="K42" s="5">
        <f t="shared" si="10"/>
        <v>-1.4081910951393327E-3</v>
      </c>
      <c r="L42" s="5">
        <f t="shared" si="11"/>
        <v>-15.500111079702856</v>
      </c>
      <c r="M42" s="5">
        <f t="shared" si="12"/>
        <v>88.383792346215358</v>
      </c>
      <c r="N42" s="5">
        <f t="shared" si="13"/>
        <v>8.8383792346215365E-2</v>
      </c>
      <c r="O42" s="5">
        <f t="shared" si="6"/>
        <v>4.1883837923462135</v>
      </c>
    </row>
    <row r="43" spans="1:15" x14ac:dyDescent="0.3">
      <c r="A43" s="2">
        <v>15</v>
      </c>
      <c r="B43" s="5">
        <f t="shared" si="7"/>
        <v>4.1499999999999977</v>
      </c>
      <c r="C43" s="5">
        <f t="shared" si="0"/>
        <v>109.14499999999992</v>
      </c>
      <c r="D43" s="5">
        <f t="shared" si="1"/>
        <v>36.559364213248244</v>
      </c>
      <c r="E43" s="5">
        <f t="shared" si="2"/>
        <v>2.9854184378963673</v>
      </c>
      <c r="F43" s="5">
        <f t="shared" si="3"/>
        <v>7.3296990242338227</v>
      </c>
      <c r="G43" s="5">
        <f t="shared" si="4"/>
        <v>4.9842311767989766</v>
      </c>
      <c r="H43" s="5">
        <f t="shared" si="8"/>
        <v>2.2991933808730991E-2</v>
      </c>
      <c r="I43" s="5">
        <f t="shared" si="5"/>
        <v>2.2501050119900375E-3</v>
      </c>
      <c r="J43" s="5">
        <f t="shared" si="9"/>
        <v>2.3018057259455507E-3</v>
      </c>
      <c r="K43" s="5">
        <f t="shared" si="10"/>
        <v>-1.3018057259455507E-3</v>
      </c>
      <c r="L43" s="5">
        <f t="shared" si="11"/>
        <v>-17.661570655660682</v>
      </c>
      <c r="M43" s="5">
        <f t="shared" si="12"/>
        <v>106.04536300187604</v>
      </c>
      <c r="N43" s="5">
        <f t="shared" si="13"/>
        <v>0.10604536300187604</v>
      </c>
      <c r="O43" s="5">
        <f t="shared" si="6"/>
        <v>4.2560453630018733</v>
      </c>
    </row>
    <row r="44" spans="1:15" x14ac:dyDescent="0.3">
      <c r="A44" s="2">
        <v>16</v>
      </c>
      <c r="B44" s="5">
        <f t="shared" si="7"/>
        <v>4.1999999999999975</v>
      </c>
      <c r="C44" s="5">
        <f t="shared" si="0"/>
        <v>110.87999999999991</v>
      </c>
      <c r="D44" s="5">
        <f t="shared" si="1"/>
        <v>36.782971010998224</v>
      </c>
      <c r="E44" s="5">
        <f t="shared" si="2"/>
        <v>3.0144383923431972</v>
      </c>
      <c r="F44" s="5">
        <f t="shared" si="3"/>
        <v>7.2150072150072209</v>
      </c>
      <c r="G44" s="5">
        <f t="shared" si="4"/>
        <v>5.0083280918106539</v>
      </c>
      <c r="H44" s="5">
        <f t="shared" si="8"/>
        <v>2.4096915011677211E-2</v>
      </c>
      <c r="I44" s="5">
        <f t="shared" si="5"/>
        <v>2.1522843105185028E-3</v>
      </c>
      <c r="J44" s="5">
        <f t="shared" si="9"/>
        <v>2.2011946612542702E-3</v>
      </c>
      <c r="K44" s="5">
        <f t="shared" si="10"/>
        <v>-1.2011946612542701E-3</v>
      </c>
      <c r="L44" s="5">
        <f t="shared" si="11"/>
        <v>-20.060790968314461</v>
      </c>
      <c r="M44" s="5">
        <f t="shared" si="12"/>
        <v>126.1061539701905</v>
      </c>
      <c r="N44" s="5">
        <f t="shared" si="13"/>
        <v>0.12610615397019051</v>
      </c>
      <c r="O44" s="5">
        <f t="shared" si="6"/>
        <v>4.3261061539701879</v>
      </c>
    </row>
    <row r="45" spans="1:15" x14ac:dyDescent="0.3">
      <c r="A45" s="2">
        <v>17</v>
      </c>
      <c r="B45" s="5">
        <f t="shared" si="7"/>
        <v>4.2499999999999973</v>
      </c>
      <c r="C45" s="5">
        <f t="shared" si="0"/>
        <v>112.6249999999999</v>
      </c>
      <c r="D45" s="5">
        <f t="shared" si="1"/>
        <v>37.006577808748204</v>
      </c>
      <c r="E45" s="5">
        <f t="shared" si="2"/>
        <v>3.0433778714165731</v>
      </c>
      <c r="F45" s="5">
        <f t="shared" si="3"/>
        <v>7.1032186459489521</v>
      </c>
      <c r="G45" s="5">
        <f t="shared" si="4"/>
        <v>5.0334738374558494</v>
      </c>
      <c r="H45" s="5">
        <f t="shared" si="8"/>
        <v>2.5145745645195561E-2</v>
      </c>
      <c r="I45" s="5">
        <f t="shared" si="5"/>
        <v>2.0596862918655337E-3</v>
      </c>
      <c r="J45" s="5">
        <f t="shared" si="9"/>
        <v>2.1059853011920183E-3</v>
      </c>
      <c r="K45" s="5">
        <f t="shared" si="10"/>
        <v>-1.1059853011920182E-3</v>
      </c>
      <c r="L45" s="5">
        <f t="shared" si="11"/>
        <v>-22.736057719839284</v>
      </c>
      <c r="M45" s="5">
        <f t="shared" si="12"/>
        <v>148.84221169002979</v>
      </c>
      <c r="N45" s="5">
        <f t="shared" si="13"/>
        <v>0.14884221169002979</v>
      </c>
      <c r="O45" s="5">
        <f t="shared" si="6"/>
        <v>4.3988422116900274</v>
      </c>
    </row>
    <row r="46" spans="1:15" x14ac:dyDescent="0.3">
      <c r="A46" s="2">
        <v>18</v>
      </c>
      <c r="B46" s="5">
        <f t="shared" si="7"/>
        <v>4.2999999999999972</v>
      </c>
      <c r="C46" s="5">
        <f t="shared" si="0"/>
        <v>114.3799999999999</v>
      </c>
      <c r="D46" s="5">
        <f t="shared" si="1"/>
        <v>37.230184606498185</v>
      </c>
      <c r="E46" s="5">
        <f t="shared" si="2"/>
        <v>3.0722383251367473</v>
      </c>
      <c r="F46" s="5">
        <f t="shared" si="3"/>
        <v>6.9942297604476371</v>
      </c>
      <c r="G46" s="5">
        <f t="shared" si="4"/>
        <v>5.0596156823281246</v>
      </c>
      <c r="H46" s="5">
        <f t="shared" si="8"/>
        <v>2.6141844872275222E-2</v>
      </c>
      <c r="I46" s="5">
        <f t="shared" si="5"/>
        <v>1.9719795373844772E-3</v>
      </c>
      <c r="J46" s="5">
        <f t="shared" si="9"/>
        <v>2.0158329146250055E-3</v>
      </c>
      <c r="K46" s="5">
        <f t="shared" si="10"/>
        <v>-1.0158329146250054E-3</v>
      </c>
      <c r="L46" s="5">
        <f t="shared" si="11"/>
        <v>-25.734394402769947</v>
      </c>
      <c r="M46" s="5">
        <f t="shared" si="12"/>
        <v>174.57660609279972</v>
      </c>
      <c r="N46" s="5">
        <f t="shared" si="13"/>
        <v>0.17457660609279974</v>
      </c>
      <c r="O46" s="5">
        <f t="shared" si="6"/>
        <v>4.4745766060927972</v>
      </c>
    </row>
    <row r="47" spans="1:15" x14ac:dyDescent="0.3">
      <c r="A47" s="2">
        <v>19</v>
      </c>
      <c r="B47" s="5">
        <f t="shared" si="7"/>
        <v>4.349999999999997</v>
      </c>
      <c r="C47" s="5">
        <f t="shared" si="0"/>
        <v>116.1449999999999</v>
      </c>
      <c r="D47" s="5">
        <f t="shared" si="1"/>
        <v>37.453791404248157</v>
      </c>
      <c r="E47" s="5">
        <f t="shared" si="2"/>
        <v>3.1010211688963021</v>
      </c>
      <c r="F47" s="5">
        <f t="shared" si="3"/>
        <v>6.8879417968918224</v>
      </c>
      <c r="G47" s="5">
        <f t="shared" si="4"/>
        <v>5.0867040713877198</v>
      </c>
      <c r="H47" s="5">
        <f t="shared" si="8"/>
        <v>2.7088389059595208E-2</v>
      </c>
      <c r="I47" s="5">
        <f t="shared" si="5"/>
        <v>1.8888570035993683E-3</v>
      </c>
      <c r="J47" s="5">
        <f t="shared" si="9"/>
        <v>1.9304182704919228E-3</v>
      </c>
      <c r="K47" s="5">
        <f t="shared" si="10"/>
        <v>-9.3041827049192283E-4</v>
      </c>
      <c r="L47" s="5">
        <f t="shared" si="11"/>
        <v>-29.114205856333051</v>
      </c>
      <c r="M47" s="5">
        <f t="shared" si="12"/>
        <v>203.69081194913278</v>
      </c>
      <c r="N47" s="5">
        <f t="shared" si="13"/>
        <v>0.20369081194913277</v>
      </c>
      <c r="O47" s="5">
        <f t="shared" si="6"/>
        <v>4.5536908119491297</v>
      </c>
    </row>
    <row r="48" spans="1:15" x14ac:dyDescent="0.3">
      <c r="A48" s="2">
        <v>20</v>
      </c>
      <c r="B48" s="5">
        <f t="shared" si="7"/>
        <v>4.3999999999999968</v>
      </c>
      <c r="C48" s="5">
        <f t="shared" si="0"/>
        <v>117.91999999999989</v>
      </c>
      <c r="D48" s="5">
        <f t="shared" si="1"/>
        <v>37.677398201998137</v>
      </c>
      <c r="E48" s="5">
        <f t="shared" si="2"/>
        <v>3.1297277844876841</v>
      </c>
      <c r="F48" s="5">
        <f t="shared" si="3"/>
        <v>6.7842605156038056</v>
      </c>
      <c r="G48" s="5">
        <f t="shared" si="4"/>
        <v>5.1146924028506309</v>
      </c>
      <c r="H48" s="5">
        <f t="shared" si="8"/>
        <v>2.798833146291102E-2</v>
      </c>
      <c r="I48" s="5">
        <f t="shared" si="5"/>
        <v>1.8100339850411755E-3</v>
      </c>
      <c r="J48" s="5">
        <f t="shared" si="9"/>
        <v>1.8494454943202719E-3</v>
      </c>
      <c r="K48" s="5">
        <f t="shared" si="10"/>
        <v>-8.4944549432027189E-4</v>
      </c>
      <c r="L48" s="5">
        <f t="shared" si="11"/>
        <v>-32.948943340157854</v>
      </c>
      <c r="M48" s="5">
        <f t="shared" si="12"/>
        <v>236.63975528929063</v>
      </c>
      <c r="N48" s="5">
        <f t="shared" si="13"/>
        <v>0.23663975528929063</v>
      </c>
      <c r="O48" s="5">
        <f t="shared" si="6"/>
        <v>4.6366397552892877</v>
      </c>
    </row>
    <row r="49" spans="1:15" x14ac:dyDescent="0.3">
      <c r="A49" s="2">
        <v>21</v>
      </c>
      <c r="B49" s="5">
        <f t="shared" si="7"/>
        <v>4.4499999999999966</v>
      </c>
      <c r="C49" s="5">
        <f t="shared" si="0"/>
        <v>119.70499999999987</v>
      </c>
      <c r="D49" s="5">
        <f t="shared" si="1"/>
        <v>37.90100499974811</v>
      </c>
      <c r="E49" s="5">
        <f t="shared" si="2"/>
        <v>3.1583595210943729</v>
      </c>
      <c r="F49" s="5">
        <f t="shared" si="3"/>
        <v>6.6830959441961557</v>
      </c>
      <c r="G49" s="5">
        <f t="shared" si="4"/>
        <v>5.1435368229709768</v>
      </c>
      <c r="H49" s="5">
        <f t="shared" si="8"/>
        <v>2.8844420120345937E-2</v>
      </c>
      <c r="I49" s="5">
        <f t="shared" si="5"/>
        <v>1.7352462675294051E-3</v>
      </c>
      <c r="J49" s="5">
        <f t="shared" si="9"/>
        <v>1.7726401262852902E-3</v>
      </c>
      <c r="K49" s="5">
        <f t="shared" si="10"/>
        <v>-7.7264012628529017E-4</v>
      </c>
      <c r="L49" s="5">
        <f t="shared" si="11"/>
        <v>-37.332283347778656</v>
      </c>
      <c r="M49" s="5">
        <f t="shared" si="12"/>
        <v>273.97203863706932</v>
      </c>
      <c r="N49" s="5">
        <f t="shared" si="13"/>
        <v>0.27397203863706932</v>
      </c>
      <c r="O49" s="5">
        <f t="shared" si="6"/>
        <v>4.7239720386370658</v>
      </c>
    </row>
    <row r="50" spans="1:15" x14ac:dyDescent="0.3">
      <c r="A50" s="2">
        <v>22</v>
      </c>
      <c r="B50" s="5">
        <f t="shared" si="7"/>
        <v>4.4999999999999964</v>
      </c>
      <c r="C50" s="5">
        <f t="shared" si="0"/>
        <v>121.49999999999987</v>
      </c>
      <c r="D50" s="5">
        <f t="shared" si="1"/>
        <v>38.12461179749809</v>
      </c>
      <c r="E50" s="5">
        <f t="shared" si="2"/>
        <v>3.1869176962471588</v>
      </c>
      <c r="F50" s="5">
        <f t="shared" si="3"/>
        <v>6.5843621399177028</v>
      </c>
      <c r="G50" s="5">
        <f t="shared" si="4"/>
        <v>5.173196037105301</v>
      </c>
      <c r="H50" s="5">
        <f t="shared" si="8"/>
        <v>2.9659214134324152E-2</v>
      </c>
      <c r="I50" s="5">
        <f t="shared" si="5"/>
        <v>1.6642484522362536E-3</v>
      </c>
      <c r="J50" s="5">
        <f t="shared" si="9"/>
        <v>1.6997473598828294E-3</v>
      </c>
      <c r="K50" s="5">
        <f t="shared" si="10"/>
        <v>-6.997473598828294E-4</v>
      </c>
      <c r="L50" s="5">
        <f t="shared" si="11"/>
        <v>-42.385603483077809</v>
      </c>
      <c r="M50" s="5">
        <f t="shared" si="12"/>
        <v>316.35764212014715</v>
      </c>
      <c r="N50" s="5">
        <f t="shared" si="13"/>
        <v>0.31635764212014716</v>
      </c>
      <c r="O50" s="5">
        <f t="shared" si="6"/>
        <v>4.8163576421201437</v>
      </c>
    </row>
    <row r="51" spans="1:15" x14ac:dyDescent="0.3">
      <c r="A51" s="2">
        <v>23</v>
      </c>
      <c r="B51" s="5">
        <f t="shared" si="7"/>
        <v>4.5499999999999963</v>
      </c>
      <c r="C51" s="5">
        <f t="shared" si="0"/>
        <v>123.30499999999988</v>
      </c>
      <c r="D51" s="5">
        <f t="shared" si="1"/>
        <v>38.348218595248071</v>
      </c>
      <c r="E51" s="5">
        <f t="shared" si="2"/>
        <v>3.2154035967469752</v>
      </c>
      <c r="F51" s="5">
        <f t="shared" si="3"/>
        <v>6.4879769676817709</v>
      </c>
      <c r="G51" s="5">
        <f t="shared" si="4"/>
        <v>5.2036311356082123</v>
      </c>
      <c r="H51" s="5">
        <f t="shared" si="8"/>
        <v>3.0435098502911373E-2</v>
      </c>
      <c r="I51" s="5">
        <f t="shared" si="5"/>
        <v>1.596812433089225E-3</v>
      </c>
      <c r="J51" s="5">
        <f t="shared" si="9"/>
        <v>1.6305304426627392E-3</v>
      </c>
      <c r="K51" s="5">
        <f t="shared" si="10"/>
        <v>-6.3053044266273917E-4</v>
      </c>
      <c r="L51" s="5">
        <f t="shared" si="11"/>
        <v>-48.269038960884288</v>
      </c>
      <c r="M51" s="5">
        <f t="shared" si="12"/>
        <v>364.62668108103145</v>
      </c>
      <c r="N51" s="5">
        <f t="shared" si="13"/>
        <v>0.36462668108103147</v>
      </c>
      <c r="O51" s="5">
        <f t="shared" si="6"/>
        <v>4.9146266810810282</v>
      </c>
    </row>
    <row r="52" spans="1:15" x14ac:dyDescent="0.3">
      <c r="A52" s="2">
        <v>24</v>
      </c>
      <c r="B52" s="5">
        <f t="shared" si="7"/>
        <v>4.5999999999999961</v>
      </c>
      <c r="C52" s="5">
        <f t="shared" si="0"/>
        <v>125.11999999999986</v>
      </c>
      <c r="D52" s="5">
        <f t="shared" si="1"/>
        <v>38.571825392998051</v>
      </c>
      <c r="E52" s="5">
        <f t="shared" si="2"/>
        <v>3.243818479555622</v>
      </c>
      <c r="F52" s="5">
        <f t="shared" si="3"/>
        <v>6.3938618925831276</v>
      </c>
      <c r="G52" s="5">
        <f t="shared" si="4"/>
        <v>5.2348054332519638</v>
      </c>
      <c r="H52" s="5">
        <f t="shared" si="8"/>
        <v>3.1174297643751459E-2</v>
      </c>
      <c r="I52" s="5">
        <f t="shared" si="5"/>
        <v>1.5327260120156828E-3</v>
      </c>
      <c r="J52" s="5">
        <f t="shared" si="9"/>
        <v>1.564769222552454E-3</v>
      </c>
      <c r="K52" s="5">
        <f t="shared" si="10"/>
        <v>-5.6476922255245402E-4</v>
      </c>
      <c r="L52" s="5">
        <f t="shared" si="11"/>
        <v>-55.198294097649921</v>
      </c>
      <c r="M52" s="5">
        <f t="shared" si="12"/>
        <v>419.82497517868137</v>
      </c>
      <c r="N52" s="5">
        <f t="shared" si="13"/>
        <v>0.41982497517868139</v>
      </c>
      <c r="O52" s="5">
        <f t="shared" si="6"/>
        <v>5.0198249751786772</v>
      </c>
    </row>
    <row r="53" spans="1:15" x14ac:dyDescent="0.3">
      <c r="A53" s="2">
        <v>25</v>
      </c>
      <c r="B53" s="5">
        <f t="shared" si="7"/>
        <v>4.6499999999999959</v>
      </c>
      <c r="C53" s="5">
        <f t="shared" si="0"/>
        <v>126.94499999999984</v>
      </c>
      <c r="D53" s="5">
        <f t="shared" si="1"/>
        <v>38.795432190748031</v>
      </c>
      <c r="E53" s="5">
        <f t="shared" si="2"/>
        <v>3.2721635726556952</v>
      </c>
      <c r="F53" s="5">
        <f t="shared" si="3"/>
        <v>6.3019417858127618</v>
      </c>
      <c r="G53" s="5">
        <f t="shared" si="4"/>
        <v>5.266684320990259</v>
      </c>
      <c r="H53" s="5">
        <f t="shared" si="8"/>
        <v>3.187888773829517E-2</v>
      </c>
      <c r="I53" s="5">
        <f t="shared" si="5"/>
        <v>1.4717916382446521E-3</v>
      </c>
      <c r="J53" s="5">
        <f t="shared" si="9"/>
        <v>1.5022588251301676E-3</v>
      </c>
      <c r="K53" s="5">
        <f t="shared" si="10"/>
        <v>-5.0225882513016754E-4</v>
      </c>
      <c r="L53" s="5">
        <f t="shared" si="11"/>
        <v>-63.471035536375695</v>
      </c>
      <c r="M53" s="5">
        <f t="shared" si="12"/>
        <v>483.29601071505704</v>
      </c>
      <c r="N53" s="5">
        <f t="shared" si="13"/>
        <v>0.48329601071505707</v>
      </c>
      <c r="O53" s="5">
        <f t="shared" si="6"/>
        <v>5.1332960107150534</v>
      </c>
    </row>
    <row r="54" spans="1:15" x14ac:dyDescent="0.3">
      <c r="A54" s="2">
        <v>26</v>
      </c>
      <c r="B54" s="5">
        <f t="shared" si="7"/>
        <v>4.6999999999999957</v>
      </c>
      <c r="C54" s="5">
        <f t="shared" si="0"/>
        <v>128.77999999999983</v>
      </c>
      <c r="D54" s="5">
        <f t="shared" si="1"/>
        <v>39.019038988498004</v>
      </c>
      <c r="E54" s="5">
        <f t="shared" si="2"/>
        <v>3.3004400758809433</v>
      </c>
      <c r="F54" s="5">
        <f t="shared" si="3"/>
        <v>6.2121447429725194</v>
      </c>
      <c r="G54" s="5">
        <f t="shared" si="4"/>
        <v>5.2992351290006336</v>
      </c>
      <c r="H54" s="5">
        <f t="shared" si="8"/>
        <v>3.2550808010374688E-2</v>
      </c>
      <c r="I54" s="5">
        <f t="shared" si="5"/>
        <v>1.4138252593882278E-3</v>
      </c>
      <c r="J54" s="5">
        <f t="shared" si="9"/>
        <v>1.44280844881644E-3</v>
      </c>
      <c r="K54" s="5">
        <f t="shared" si="10"/>
        <v>-4.4280844881644001E-4</v>
      </c>
      <c r="L54" s="5">
        <f t="shared" si="11"/>
        <v>-73.50990726888358</v>
      </c>
      <c r="M54" s="5">
        <f t="shared" si="12"/>
        <v>556.80591798394062</v>
      </c>
      <c r="N54" s="5">
        <f t="shared" si="13"/>
        <v>0.55680591798394063</v>
      </c>
      <c r="O54" s="5">
        <f t="shared" si="6"/>
        <v>5.2568059179839359</v>
      </c>
    </row>
    <row r="55" spans="1:15" x14ac:dyDescent="0.3">
      <c r="A55" s="2">
        <v>27</v>
      </c>
      <c r="B55" s="5">
        <f t="shared" si="7"/>
        <v>4.7499999999999956</v>
      </c>
      <c r="C55" s="5">
        <f t="shared" si="0"/>
        <v>130.62499999999986</v>
      </c>
      <c r="D55" s="5">
        <f t="shared" si="1"/>
        <v>39.242645786247984</v>
      </c>
      <c r="E55" s="5">
        <f t="shared" si="2"/>
        <v>3.3286491617182321</v>
      </c>
      <c r="F55" s="5">
        <f t="shared" si="3"/>
        <v>6.1244019138756052</v>
      </c>
      <c r="G55" s="5">
        <f t="shared" si="4"/>
        <v>5.33242700004166</v>
      </c>
      <c r="H55" s="5">
        <f t="shared" si="8"/>
        <v>3.3191871041026388E-2</v>
      </c>
      <c r="I55" s="5">
        <f t="shared" si="5"/>
        <v>1.358655273353327E-3</v>
      </c>
      <c r="J55" s="5">
        <f t="shared" si="9"/>
        <v>1.3862402663707774E-3</v>
      </c>
      <c r="K55" s="5">
        <f t="shared" si="10"/>
        <v>-3.8624026637077737E-4</v>
      </c>
      <c r="L55" s="5">
        <f t="shared" si="11"/>
        <v>-85.935812319379806</v>
      </c>
      <c r="M55" s="5">
        <f t="shared" si="12"/>
        <v>642.74173030332042</v>
      </c>
      <c r="N55" s="5">
        <f t="shared" si="13"/>
        <v>0.64274173030332049</v>
      </c>
      <c r="O55" s="5">
        <f t="shared" si="6"/>
        <v>5.3927417303033156</v>
      </c>
    </row>
    <row r="56" spans="1:15" x14ac:dyDescent="0.3">
      <c r="A56" s="2">
        <v>28</v>
      </c>
      <c r="B56" s="5">
        <f t="shared" si="7"/>
        <v>4.7999999999999954</v>
      </c>
      <c r="C56" s="5">
        <f t="shared" si="0"/>
        <v>132.47999999999982</v>
      </c>
      <c r="D56" s="5">
        <f t="shared" si="1"/>
        <v>39.466252583997957</v>
      </c>
      <c r="E56" s="5">
        <f t="shared" si="2"/>
        <v>3.3567919760822527</v>
      </c>
      <c r="F56" s="5">
        <f t="shared" si="3"/>
        <v>6.0386473429951772</v>
      </c>
      <c r="G56" s="5">
        <f t="shared" si="4"/>
        <v>5.3662307722525222</v>
      </c>
      <c r="H56" s="5">
        <f t="shared" si="8"/>
        <v>3.3803772210862171E-2</v>
      </c>
      <c r="I56" s="5">
        <f t="shared" si="5"/>
        <v>1.3061215713071829E-3</v>
      </c>
      <c r="J56" s="5">
        <f t="shared" si="9"/>
        <v>1.3323884223302549E-3</v>
      </c>
      <c r="K56" s="5">
        <f t="shared" si="10"/>
        <v>-3.3238842233025484E-4</v>
      </c>
      <c r="L56" s="5">
        <f t="shared" si="11"/>
        <v>-101.69960786803634</v>
      </c>
      <c r="M56" s="5">
        <f t="shared" si="12"/>
        <v>744.44133817135673</v>
      </c>
      <c r="N56" s="5">
        <f t="shared" si="13"/>
        <v>0.74444133817135671</v>
      </c>
      <c r="O56" s="5">
        <f t="shared" si="6"/>
        <v>5.5444413381713522</v>
      </c>
    </row>
    <row r="57" spans="1:15" x14ac:dyDescent="0.3">
      <c r="A57" s="2">
        <v>29</v>
      </c>
      <c r="B57" s="5">
        <f t="shared" si="7"/>
        <v>4.8499999999999952</v>
      </c>
      <c r="C57" s="5">
        <f t="shared" si="0"/>
        <v>134.3449999999998</v>
      </c>
      <c r="D57" s="5">
        <f t="shared" si="1"/>
        <v>39.689859381747937</v>
      </c>
      <c r="E57" s="5">
        <f t="shared" si="2"/>
        <v>3.384869639064044</v>
      </c>
      <c r="F57" s="5">
        <f t="shared" si="3"/>
        <v>5.9548178197923347</v>
      </c>
      <c r="G57" s="5">
        <f t="shared" si="4"/>
        <v>5.4006188706042861</v>
      </c>
      <c r="H57" s="5">
        <f t="shared" si="8"/>
        <v>3.4388098351763929E-2</v>
      </c>
      <c r="I57" s="5">
        <f t="shared" si="5"/>
        <v>1.2560746629564727E-3</v>
      </c>
      <c r="J57" s="5">
        <f t="shared" si="9"/>
        <v>1.2810981171318277E-3</v>
      </c>
      <c r="K57" s="5">
        <f t="shared" si="10"/>
        <v>-2.810981171318277E-4</v>
      </c>
      <c r="L57" s="5">
        <f t="shared" si="11"/>
        <v>-122.33485838553948</v>
      </c>
      <c r="M57" s="5">
        <f t="shared" si="12"/>
        <v>866.77619655689625</v>
      </c>
      <c r="N57" s="5">
        <f t="shared" si="13"/>
        <v>0.86677619655689631</v>
      </c>
      <c r="O57" s="5">
        <f t="shared" si="6"/>
        <v>5.7167761965568911</v>
      </c>
    </row>
    <row r="58" spans="1:15" x14ac:dyDescent="0.3">
      <c r="A58" s="2">
        <v>30</v>
      </c>
      <c r="B58" s="5">
        <f t="shared" si="7"/>
        <v>4.899999999999995</v>
      </c>
      <c r="C58" s="5">
        <f t="shared" si="0"/>
        <v>136.2199999999998</v>
      </c>
      <c r="D58" s="5">
        <f t="shared" si="1"/>
        <v>39.913466179497917</v>
      </c>
      <c r="E58" s="5">
        <f t="shared" si="2"/>
        <v>3.4128832456543456</v>
      </c>
      <c r="F58" s="5">
        <f t="shared" si="3"/>
        <v>5.8728527382175981</v>
      </c>
      <c r="G58" s="5">
        <f t="shared" si="4"/>
        <v>5.4355652062855526</v>
      </c>
      <c r="H58" s="5">
        <f t="shared" si="8"/>
        <v>3.4946335681266483E-2</v>
      </c>
      <c r="I58" s="5">
        <f t="shared" si="5"/>
        <v>1.2083748763174116E-3</v>
      </c>
      <c r="J58" s="5">
        <f t="shared" si="9"/>
        <v>1.2322247696369421E-3</v>
      </c>
      <c r="K58" s="5">
        <f t="shared" si="10"/>
        <v>-2.3222476963694213E-4</v>
      </c>
      <c r="L58" s="5">
        <f t="shared" si="11"/>
        <v>-150.48496220235779</v>
      </c>
      <c r="M58" s="5">
        <f t="shared" si="12"/>
        <v>1017.261158759254</v>
      </c>
      <c r="N58" s="5">
        <f t="shared" si="13"/>
        <v>1.0172611587592542</v>
      </c>
      <c r="O58" s="5">
        <f t="shared" si="6"/>
        <v>5.9172611587592492</v>
      </c>
    </row>
    <row r="59" spans="1:15" x14ac:dyDescent="0.3">
      <c r="A59" s="2">
        <v>31</v>
      </c>
      <c r="B59" s="5">
        <f t="shared" si="7"/>
        <v>4.9499999999999948</v>
      </c>
      <c r="C59" s="5">
        <f t="shared" si="0"/>
        <v>138.10499999999982</v>
      </c>
      <c r="D59" s="5">
        <f t="shared" si="1"/>
        <v>40.137072977247897</v>
      </c>
      <c r="E59" s="5">
        <f t="shared" si="2"/>
        <v>3.440833866442778</v>
      </c>
      <c r="F59" s="5">
        <f t="shared" si="3"/>
        <v>5.7926939647369835</v>
      </c>
      <c r="G59" s="5">
        <f t="shared" si="4"/>
        <v>5.4710450833711173</v>
      </c>
      <c r="H59" s="5">
        <f t="shared" si="8"/>
        <v>3.5479877085564659E-2</v>
      </c>
      <c r="I59" s="5">
        <f t="shared" si="5"/>
        <v>1.1628916249670825E-3</v>
      </c>
      <c r="J59" s="5">
        <f t="shared" si="9"/>
        <v>1.1856332506422471E-3</v>
      </c>
      <c r="K59" s="5">
        <f t="shared" si="10"/>
        <v>-1.8563325064224713E-4</v>
      </c>
      <c r="L59" s="5">
        <f t="shared" si="11"/>
        <v>-191.12888969412904</v>
      </c>
      <c r="M59" s="5">
        <f t="shared" si="12"/>
        <v>1208.3900484533831</v>
      </c>
      <c r="N59" s="5">
        <f t="shared" si="13"/>
        <v>1.2083900484533832</v>
      </c>
      <c r="O59" s="5">
        <f t="shared" si="6"/>
        <v>6.158390048453378</v>
      </c>
    </row>
    <row r="60" spans="1:15" x14ac:dyDescent="0.3">
      <c r="A60" s="2">
        <v>32</v>
      </c>
      <c r="B60" s="5">
        <f t="shared" si="7"/>
        <v>4.9999999999999947</v>
      </c>
      <c r="C60" s="5">
        <f t="shared" si="0"/>
        <v>139.9999999999998</v>
      </c>
      <c r="D60" s="5">
        <f t="shared" si="1"/>
        <v>40.360679774997877</v>
      </c>
      <c r="E60" s="5">
        <f t="shared" si="2"/>
        <v>3.4687225482937785</v>
      </c>
      <c r="F60" s="5">
        <f t="shared" si="3"/>
        <v>5.7142857142857224</v>
      </c>
      <c r="G60" s="5">
        <f t="shared" si="4"/>
        <v>5.5070351121815149</v>
      </c>
      <c r="H60" s="5">
        <f t="shared" si="8"/>
        <v>3.599002881039759E-2</v>
      </c>
      <c r="I60" s="5">
        <f t="shared" si="5"/>
        <v>1.1195027364876977E-3</v>
      </c>
      <c r="J60" s="5">
        <f t="shared" si="9"/>
        <v>1.1411971807273901E-3</v>
      </c>
      <c r="K60" s="5">
        <f t="shared" si="10"/>
        <v>-1.4119718072739011E-4</v>
      </c>
      <c r="L60" s="5">
        <f t="shared" si="11"/>
        <v>-254.89197889781994</v>
      </c>
      <c r="M60" s="5">
        <f t="shared" si="12"/>
        <v>1463.2820273512029</v>
      </c>
      <c r="N60" s="5">
        <f t="shared" si="13"/>
        <v>1.4632820273512031</v>
      </c>
      <c r="O60" s="5">
        <f t="shared" si="6"/>
        <v>6.4632820273511982</v>
      </c>
    </row>
    <row r="61" spans="1:15" x14ac:dyDescent="0.3">
      <c r="A61" s="2">
        <v>33</v>
      </c>
      <c r="B61" s="5">
        <f t="shared" si="7"/>
        <v>5.0499999999999945</v>
      </c>
      <c r="C61" s="5">
        <f t="shared" si="0"/>
        <v>141.90499999999977</v>
      </c>
      <c r="D61" s="5">
        <f t="shared" si="1"/>
        <v>40.584286572747857</v>
      </c>
      <c r="E61" s="5">
        <f t="shared" si="2"/>
        <v>3.4965503150001966</v>
      </c>
      <c r="F61" s="5">
        <f t="shared" si="3"/>
        <v>5.6375744335999523</v>
      </c>
      <c r="G61" s="5">
        <f t="shared" si="4"/>
        <v>5.5435131287947126</v>
      </c>
      <c r="H61" s="5">
        <f t="shared" si="8"/>
        <v>3.6478016613197717E-2</v>
      </c>
      <c r="I61" s="5">
        <f t="shared" si="5"/>
        <v>1.0780938364563764E-3</v>
      </c>
      <c r="J61" s="5">
        <f t="shared" si="9"/>
        <v>1.0987982864720371E-3</v>
      </c>
      <c r="K61" s="5">
        <f t="shared" si="10"/>
        <v>-9.8798286472037049E-5</v>
      </c>
      <c r="L61" s="5">
        <f t="shared" si="11"/>
        <v>-369.21709794554096</v>
      </c>
      <c r="M61" s="5">
        <f t="shared" si="12"/>
        <v>1832.4991252967438</v>
      </c>
      <c r="N61" s="5">
        <f t="shared" si="13"/>
        <v>1.832499125296744</v>
      </c>
      <c r="O61" s="5">
        <f t="shared" si="6"/>
        <v>6.8824991252967385</v>
      </c>
    </row>
    <row r="62" spans="1:15" x14ac:dyDescent="0.3">
      <c r="A62" s="2">
        <v>34</v>
      </c>
      <c r="B62" s="5">
        <f t="shared" si="7"/>
        <v>5.0999999999999943</v>
      </c>
      <c r="C62" s="5">
        <f t="shared" si="0"/>
        <v>143.81999999999979</v>
      </c>
      <c r="D62" s="5">
        <f t="shared" si="1"/>
        <v>40.80789337049783</v>
      </c>
      <c r="E62" s="5">
        <f t="shared" si="2"/>
        <v>3.5243181679153972</v>
      </c>
      <c r="F62" s="5">
        <f t="shared" si="3"/>
        <v>5.5625086914198381</v>
      </c>
      <c r="G62" s="5">
        <f t="shared" si="4"/>
        <v>5.5804581202192685</v>
      </c>
      <c r="H62" s="5">
        <f t="shared" si="8"/>
        <v>3.6944991424555873E-2</v>
      </c>
      <c r="I62" s="5">
        <f t="shared" si="5"/>
        <v>1.0385577829031024E-3</v>
      </c>
      <c r="J62" s="5">
        <f t="shared" si="9"/>
        <v>1.0583258096797394E-3</v>
      </c>
      <c r="K62" s="5">
        <f t="shared" si="10"/>
        <v>-5.8325809679739401E-5</v>
      </c>
      <c r="L62" s="5">
        <f t="shared" si="11"/>
        <v>-633.42440726355539</v>
      </c>
      <c r="M62" s="5">
        <f t="shared" si="12"/>
        <v>2465.9235325602995</v>
      </c>
      <c r="N62" s="5">
        <f t="shared" si="13"/>
        <v>2.4659235325602995</v>
      </c>
      <c r="O62" s="5">
        <f t="shared" si="6"/>
        <v>7.5659235325602943</v>
      </c>
    </row>
    <row r="63" spans="1:15" x14ac:dyDescent="0.3">
      <c r="A63" s="2">
        <v>35</v>
      </c>
      <c r="B63" s="5">
        <f t="shared" si="7"/>
        <v>5.1499999999999941</v>
      </c>
      <c r="C63" s="5">
        <f t="shared" si="0"/>
        <v>145.74499999999978</v>
      </c>
      <c r="D63" s="5">
        <f t="shared" si="1"/>
        <v>41.03150016824781</v>
      </c>
      <c r="E63" s="5">
        <f t="shared" si="2"/>
        <v>3.5520270865646881</v>
      </c>
      <c r="F63" s="5">
        <f t="shared" si="3"/>
        <v>5.4890390750969242</v>
      </c>
      <c r="G63" s="5">
        <f t="shared" si="4"/>
        <v>5.617850154781685</v>
      </c>
      <c r="H63" s="5">
        <f t="shared" si="8"/>
        <v>3.7392034562416576E-2</v>
      </c>
      <c r="I63" s="5">
        <f t="shared" si="5"/>
        <v>1.0007941466671757E-3</v>
      </c>
      <c r="J63" s="5">
        <f t="shared" si="9"/>
        <v>1.0196759647851392E-3</v>
      </c>
      <c r="K63" s="5">
        <f t="shared" si="10"/>
        <v>-1.967596478513918E-5</v>
      </c>
      <c r="L63" s="5">
        <f t="shared" si="11"/>
        <v>-1900.3914151471724</v>
      </c>
      <c r="M63" s="5">
        <f t="shared" si="12"/>
        <v>4366.3149477074721</v>
      </c>
      <c r="N63" s="5">
        <f t="shared" si="13"/>
        <v>4.3663149477074725</v>
      </c>
      <c r="O63" s="5">
        <f t="shared" si="6"/>
        <v>9.5163149477074676</v>
      </c>
    </row>
    <row r="65" spans="1:3" x14ac:dyDescent="0.3">
      <c r="A65" t="s">
        <v>57</v>
      </c>
      <c r="B65" t="s">
        <v>30</v>
      </c>
      <c r="C65" t="s">
        <v>59</v>
      </c>
    </row>
    <row r="66" spans="1:3" x14ac:dyDescent="0.3">
      <c r="B66" t="s">
        <v>31</v>
      </c>
    </row>
    <row r="67" spans="1:3" x14ac:dyDescent="0.3">
      <c r="B67" t="s">
        <v>32</v>
      </c>
    </row>
    <row r="68" spans="1:3" x14ac:dyDescent="0.3">
      <c r="B68" t="s">
        <v>33</v>
      </c>
    </row>
    <row r="69" spans="1:3" x14ac:dyDescent="0.3">
      <c r="B69" t="s">
        <v>34</v>
      </c>
    </row>
    <row r="70" spans="1:3" x14ac:dyDescent="0.3">
      <c r="B70" t="s">
        <v>35</v>
      </c>
    </row>
    <row r="71" spans="1:3" x14ac:dyDescent="0.3">
      <c r="B71" t="s">
        <v>36</v>
      </c>
    </row>
    <row r="72" spans="1:3" x14ac:dyDescent="0.3">
      <c r="B72" t="s">
        <v>37</v>
      </c>
    </row>
    <row r="73" spans="1:3" x14ac:dyDescent="0.3">
      <c r="B73" t="s">
        <v>38</v>
      </c>
    </row>
    <row r="74" spans="1:3" x14ac:dyDescent="0.3">
      <c r="B74" t="s">
        <v>39</v>
      </c>
    </row>
    <row r="75" spans="1:3" x14ac:dyDescent="0.3">
      <c r="B75" t="s">
        <v>40</v>
      </c>
    </row>
    <row r="76" spans="1:3" x14ac:dyDescent="0.3">
      <c r="B76" t="s">
        <v>41</v>
      </c>
    </row>
    <row r="77" spans="1:3" x14ac:dyDescent="0.3">
      <c r="B77" t="s">
        <v>42</v>
      </c>
    </row>
    <row r="78" spans="1:3" x14ac:dyDescent="0.3">
      <c r="B78" t="s">
        <v>58</v>
      </c>
    </row>
    <row r="79" spans="1:3" x14ac:dyDescent="0.3">
      <c r="B79" t="s">
        <v>56</v>
      </c>
    </row>
    <row r="81" spans="1:13" x14ac:dyDescent="0.3">
      <c r="A81" t="s">
        <v>66</v>
      </c>
    </row>
    <row r="82" spans="1:13" x14ac:dyDescent="0.3">
      <c r="A82" s="5" t="s">
        <v>30</v>
      </c>
      <c r="B82" s="5" t="s">
        <v>31</v>
      </c>
      <c r="C82" s="5" t="s">
        <v>32</v>
      </c>
      <c r="D82" s="5" t="s">
        <v>33</v>
      </c>
      <c r="E82" s="5" t="s">
        <v>34</v>
      </c>
      <c r="F82" s="5" t="s">
        <v>35</v>
      </c>
      <c r="G82" s="5" t="s">
        <v>36</v>
      </c>
      <c r="H82" s="5" t="s">
        <v>37</v>
      </c>
      <c r="I82" s="5" t="s">
        <v>38</v>
      </c>
      <c r="J82" s="5" t="s">
        <v>39</v>
      </c>
      <c r="K82" s="5"/>
      <c r="L82" s="5" t="s">
        <v>53</v>
      </c>
      <c r="M82" s="5" t="s">
        <v>56</v>
      </c>
    </row>
    <row r="83" spans="1:13" x14ac:dyDescent="0.3">
      <c r="A83" s="6" t="s">
        <v>43</v>
      </c>
      <c r="B83" s="6" t="s">
        <v>62</v>
      </c>
      <c r="C83" s="6" t="s">
        <v>44</v>
      </c>
      <c r="D83" s="6" t="s">
        <v>60</v>
      </c>
      <c r="E83" s="6" t="s">
        <v>21</v>
      </c>
      <c r="F83" s="6" t="s">
        <v>22</v>
      </c>
      <c r="G83" s="6" t="s">
        <v>25</v>
      </c>
      <c r="H83" s="6" t="s">
        <v>61</v>
      </c>
      <c r="I83" s="6" t="s">
        <v>63</v>
      </c>
      <c r="J83" s="6" t="s">
        <v>64</v>
      </c>
      <c r="K83" s="6" t="s">
        <v>65</v>
      </c>
      <c r="L83" s="6" t="s">
        <v>54</v>
      </c>
      <c r="M83" s="6" t="s">
        <v>55</v>
      </c>
    </row>
    <row r="84" spans="1:13" x14ac:dyDescent="0.3">
      <c r="A84" s="5">
        <v>1</v>
      </c>
      <c r="B84" s="5">
        <v>0</v>
      </c>
      <c r="C84" s="5">
        <v>3.45</v>
      </c>
      <c r="D84" s="5">
        <f>$C84*($C84*$B$10+$B$9)</f>
        <v>85.905000000000001</v>
      </c>
      <c r="E84" s="5">
        <f>$B$9 + 2*$C84*SQRT(1 + $B$10^2)</f>
        <v>33.428869044748552</v>
      </c>
      <c r="F84" s="5">
        <f>D84/E84</f>
        <v>2.5697848133900627</v>
      </c>
      <c r="G84" s="5">
        <f>$B$11/$D84</f>
        <v>9.3126127699202605</v>
      </c>
      <c r="H84" s="5">
        <f>($B$11*$B$8/(1.49*D84*(F84)^0.667))^2</f>
        <v>4.436375197885636E-3</v>
      </c>
      <c r="I84" s="5">
        <f>G84^2/2/$B$12 + C84 + 0.5*($B85-$B84)*H84-($B85-$B84)*$B$13</f>
        <v>4.7971449862582407</v>
      </c>
      <c r="J84" s="5"/>
      <c r="K84" s="5"/>
      <c r="L84" s="5">
        <v>0</v>
      </c>
      <c r="M84" s="5">
        <v>3.45</v>
      </c>
    </row>
    <row r="85" spans="1:13" x14ac:dyDescent="0.3">
      <c r="A85" s="5">
        <v>2</v>
      </c>
      <c r="B85" s="5">
        <v>0.4</v>
      </c>
      <c r="C85" s="5">
        <v>3.4996499999999999</v>
      </c>
      <c r="D85" s="5">
        <f>$C85*($C85*$B$10+$B$9)</f>
        <v>87.488800244999993</v>
      </c>
      <c r="E85" s="5">
        <f>$B$9 + 2*$C85*SQRT(1 + $B$10^2)</f>
        <v>33.650910594914279</v>
      </c>
      <c r="F85" s="5">
        <f>D85/E85</f>
        <v>2.5998939909288019</v>
      </c>
      <c r="G85" s="5">
        <f>$B$11/$D85</f>
        <v>9.1440275527806225</v>
      </c>
      <c r="H85" s="5">
        <f>($B$11*$B$8/(1.49*D85*(F85)^0.667))^2</f>
        <v>4.2112563847492351E-3</v>
      </c>
      <c r="I85" s="5">
        <f>G85^2/2/$B$12 + C85 + 0.5*($B86-$B85)*H85 - ($B86-$B85)*$B$13</f>
        <v>4.7984344855317813</v>
      </c>
      <c r="J85" s="5">
        <f xml:space="preserve"> C85 + G85^2/2/$B$12 -0.5*($B85-$B84)*H85</f>
        <v>4.7971499829778814</v>
      </c>
      <c r="K85" s="5">
        <f>J85-I84</f>
        <v>4.9967196407152414E-6</v>
      </c>
      <c r="L85" s="5">
        <f>L84+($B85-$B84)*$B$13</f>
        <v>4.0000000000000002E-4</v>
      </c>
      <c r="M85" s="5">
        <f>C85+L85</f>
        <v>3.5000499999999999</v>
      </c>
    </row>
    <row r="86" spans="1:13" x14ac:dyDescent="0.3">
      <c r="A86" s="5">
        <v>3</v>
      </c>
      <c r="B86" s="5">
        <v>0.8</v>
      </c>
      <c r="C86" s="5">
        <v>3.5184334199014904</v>
      </c>
      <c r="D86" s="5">
        <f>$C86*($C86*$B$10+$B$9)</f>
        <v>88.090549018786234</v>
      </c>
      <c r="E86" s="5">
        <f>$B$9 + 2*$C86*SQRT(1 + $B$10^2)</f>
        <v>33.734912602413587</v>
      </c>
      <c r="F86" s="5">
        <f>D86/E86</f>
        <v>2.6112576622618473</v>
      </c>
      <c r="G86" s="5">
        <f>$B$11/$D86</f>
        <v>9.0815644687308232</v>
      </c>
      <c r="H86" s="5">
        <f>($B$11*$B$8/(1.49*D86*(F86)^0.667))^2</f>
        <v>4.1298212897791509E-3</v>
      </c>
      <c r="I86" s="5">
        <f t="shared" ref="I86:I117" si="14">G86^2/2/$B$12 + C86 + 0.5*($B87-$B86)*H86 - ($B87-$B86)*$B$13</f>
        <v>4.7995241853972441</v>
      </c>
      <c r="J86" s="5">
        <f t="shared" ref="J86:J117" si="15" xml:space="preserve"> C86 + G86^2/2/$B$12 -0.5*($B86-$B85)*H86</f>
        <v>4.7982722568813321</v>
      </c>
      <c r="K86" s="5">
        <f t="shared" ref="K86:K117" si="16">J86-I85</f>
        <v>-1.6222865044923651E-4</v>
      </c>
      <c r="L86" s="5">
        <f t="shared" ref="L86:L117" si="17">L85+($B86-$B85)*$B$13</f>
        <v>8.0000000000000004E-4</v>
      </c>
      <c r="M86" s="5">
        <f t="shared" ref="M86:M104" si="18">C86+L86</f>
        <v>3.5192334199014903</v>
      </c>
    </row>
    <row r="87" spans="1:13" x14ac:dyDescent="0.3">
      <c r="A87" s="5">
        <v>4</v>
      </c>
      <c r="B87" s="5">
        <v>1.2</v>
      </c>
      <c r="C87" s="5">
        <v>3.5335771960555973</v>
      </c>
      <c r="D87" s="5">
        <f t="shared" ref="D87:D117" si="19">$C87*($C87*$B$10+$B$9)</f>
        <v>88.576725129969034</v>
      </c>
      <c r="E87" s="5">
        <f t="shared" ref="E87:E117" si="20">$B$9 + 2*$C87*SQRT(1 + $B$10^2)</f>
        <v>33.802637628246835</v>
      </c>
      <c r="F87" s="5">
        <f t="shared" ref="F87:F104" si="21">D87/E87</f>
        <v>2.6204086824263317</v>
      </c>
      <c r="G87" s="5">
        <f t="shared" ref="G87:G117" si="22">$B$11/$D87</f>
        <v>9.0317179690957907</v>
      </c>
      <c r="H87" s="5">
        <f t="shared" ref="H87:H104" si="23">($B$11*$B$8/(1.49*D87*(F87)^0.667))^2</f>
        <v>4.0655930369005184E-3</v>
      </c>
      <c r="I87" s="5">
        <f t="shared" si="14"/>
        <v>4.8006351822606135</v>
      </c>
      <c r="J87" s="5">
        <f t="shared" si="15"/>
        <v>4.7994089450458537</v>
      </c>
      <c r="K87" s="5">
        <f t="shared" si="16"/>
        <v>-1.152403513904332E-4</v>
      </c>
      <c r="L87" s="5">
        <f t="shared" si="17"/>
        <v>1.1999999999999999E-3</v>
      </c>
      <c r="M87" s="5">
        <f t="shared" si="18"/>
        <v>3.5347771960555971</v>
      </c>
    </row>
    <row r="88" spans="1:13" x14ac:dyDescent="0.3">
      <c r="A88" s="5">
        <v>5</v>
      </c>
      <c r="B88" s="5">
        <v>1.6</v>
      </c>
      <c r="C88" s="5">
        <v>3.5461851303653811</v>
      </c>
      <c r="D88" s="5">
        <f t="shared" si="19"/>
        <v>88.982190304225924</v>
      </c>
      <c r="E88" s="5">
        <f t="shared" si="20"/>
        <v>33.859022024591894</v>
      </c>
      <c r="F88" s="5">
        <f t="shared" si="21"/>
        <v>2.6280200957841586</v>
      </c>
      <c r="G88" s="5">
        <f t="shared" si="22"/>
        <v>8.9905631370146946</v>
      </c>
      <c r="H88" s="5">
        <f t="shared" si="23"/>
        <v>4.0130685976450644E-3</v>
      </c>
      <c r="I88" s="5">
        <f t="shared" si="14"/>
        <v>4.8017154695608024</v>
      </c>
      <c r="J88" s="5">
        <f t="shared" si="15"/>
        <v>4.8005102421217449</v>
      </c>
      <c r="K88" s="5">
        <f t="shared" si="16"/>
        <v>-1.249401388685456E-4</v>
      </c>
      <c r="L88" s="5">
        <f t="shared" si="17"/>
        <v>1.6000000000000001E-3</v>
      </c>
      <c r="M88" s="5">
        <f t="shared" si="18"/>
        <v>3.5477851303653809</v>
      </c>
    </row>
    <row r="89" spans="1:13" x14ac:dyDescent="0.3">
      <c r="A89" s="5">
        <v>6</v>
      </c>
      <c r="B89" s="5">
        <v>2</v>
      </c>
      <c r="C89" s="5">
        <v>3.54942581034339</v>
      </c>
      <c r="D89" s="5">
        <f t="shared" si="19"/>
        <v>89.086511752444679</v>
      </c>
      <c r="E89" s="5">
        <f t="shared" si="20"/>
        <v>33.87351478604019</v>
      </c>
      <c r="F89" s="5">
        <f t="shared" si="21"/>
        <v>2.6299754340567763</v>
      </c>
      <c r="G89" s="5">
        <f t="shared" si="22"/>
        <v>8.9800350722346778</v>
      </c>
      <c r="H89" s="5">
        <f t="shared" si="23"/>
        <v>3.9997050211878242E-3</v>
      </c>
      <c r="I89" s="5">
        <f t="shared" si="14"/>
        <v>4.802115641855905</v>
      </c>
      <c r="J89" s="5">
        <f t="shared" si="15"/>
        <v>4.8008157745963702</v>
      </c>
      <c r="K89" s="5">
        <f t="shared" si="16"/>
        <v>-8.996949644322072E-4</v>
      </c>
      <c r="L89" s="5">
        <f t="shared" si="17"/>
        <v>2E-3</v>
      </c>
      <c r="M89" s="5">
        <f t="shared" si="18"/>
        <v>3.5514258103433898</v>
      </c>
    </row>
    <row r="90" spans="1:13" x14ac:dyDescent="0.3">
      <c r="A90" s="5">
        <v>7</v>
      </c>
      <c r="B90" s="5">
        <v>2.5</v>
      </c>
      <c r="C90" s="5">
        <v>3.5663909657034747</v>
      </c>
      <c r="D90" s="5">
        <f t="shared" si="19"/>
        <v>89.633326423165272</v>
      </c>
      <c r="E90" s="5">
        <f t="shared" si="20"/>
        <v>33.94938526730818</v>
      </c>
      <c r="F90" s="5">
        <f t="shared" si="21"/>
        <v>2.6402046964154713</v>
      </c>
      <c r="G90" s="5">
        <f t="shared" si="22"/>
        <v>8.9252517107659646</v>
      </c>
      <c r="H90" s="5">
        <f t="shared" si="23"/>
        <v>3.9306451917000733E-3</v>
      </c>
      <c r="I90" s="5">
        <f t="shared" si="14"/>
        <v>4.8038319825997045</v>
      </c>
      <c r="J90" s="5">
        <f t="shared" si="15"/>
        <v>4.8023666600038535</v>
      </c>
      <c r="K90" s="5">
        <f t="shared" si="16"/>
        <v>2.5101814794847854E-4</v>
      </c>
      <c r="L90" s="5">
        <f t="shared" si="17"/>
        <v>2.5000000000000001E-3</v>
      </c>
      <c r="M90" s="5">
        <f t="shared" si="18"/>
        <v>3.5688909657034746</v>
      </c>
    </row>
    <row r="91" spans="1:13" x14ac:dyDescent="0.3">
      <c r="A91" s="5">
        <v>8</v>
      </c>
      <c r="B91" s="5">
        <v>3</v>
      </c>
      <c r="C91" s="5">
        <v>3.581998818861611</v>
      </c>
      <c r="D91" s="5">
        <f t="shared" si="19"/>
        <v>90.13740981616094</v>
      </c>
      <c r="E91" s="5">
        <f t="shared" si="20"/>
        <v>34.019185708597036</v>
      </c>
      <c r="F91" s="5">
        <f t="shared" si="21"/>
        <v>2.6496051548165713</v>
      </c>
      <c r="G91" s="5">
        <f t="shared" si="22"/>
        <v>8.8753382378263783</v>
      </c>
      <c r="H91" s="5">
        <f t="shared" si="23"/>
        <v>3.8684199372308308E-3</v>
      </c>
      <c r="I91" s="5">
        <f t="shared" si="14"/>
        <v>4.8060949672746824</v>
      </c>
      <c r="J91" s="5">
        <f t="shared" si="15"/>
        <v>4.8041936523217599</v>
      </c>
      <c r="K91" s="5">
        <f t="shared" si="16"/>
        <v>3.6166972205542436E-4</v>
      </c>
      <c r="L91" s="5">
        <f t="shared" si="17"/>
        <v>3.0000000000000001E-3</v>
      </c>
      <c r="M91" s="5">
        <f t="shared" si="18"/>
        <v>3.5849988188616111</v>
      </c>
    </row>
    <row r="92" spans="1:13" x14ac:dyDescent="0.3">
      <c r="A92" s="5">
        <v>9</v>
      </c>
      <c r="B92" s="5">
        <v>4</v>
      </c>
      <c r="C92" s="5">
        <v>3.6057705132322782</v>
      </c>
      <c r="D92" s="5">
        <f t="shared" si="19"/>
        <v>90.907031226371743</v>
      </c>
      <c r="E92" s="5">
        <f t="shared" si="20"/>
        <v>34.125495957703357</v>
      </c>
      <c r="F92" s="5">
        <f t="shared" si="21"/>
        <v>2.6639035909997006</v>
      </c>
      <c r="G92" s="5">
        <f t="shared" si="22"/>
        <v>8.8001993818045108</v>
      </c>
      <c r="H92" s="5">
        <f t="shared" si="23"/>
        <v>3.7759896466358204E-3</v>
      </c>
      <c r="I92" s="5">
        <f t="shared" si="14"/>
        <v>4.8091974701598268</v>
      </c>
      <c r="J92" s="5">
        <f t="shared" si="15"/>
        <v>4.8064214805131913</v>
      </c>
      <c r="K92" s="5">
        <f t="shared" si="16"/>
        <v>3.2651323850885206E-4</v>
      </c>
      <c r="L92" s="5">
        <f t="shared" si="17"/>
        <v>4.0000000000000001E-3</v>
      </c>
      <c r="M92" s="5">
        <f t="shared" si="18"/>
        <v>3.6097705132322782</v>
      </c>
    </row>
    <row r="93" spans="1:13" x14ac:dyDescent="0.3">
      <c r="A93" s="5">
        <v>10</v>
      </c>
      <c r="B93" s="5">
        <v>5</v>
      </c>
      <c r="C93" s="5">
        <v>3.6254663264307938</v>
      </c>
      <c r="D93" s="5">
        <f t="shared" si="19"/>
        <v>91.546406043921479</v>
      </c>
      <c r="E93" s="5">
        <f t="shared" si="20"/>
        <v>34.213578312071391</v>
      </c>
      <c r="F93" s="5">
        <f t="shared" si="21"/>
        <v>2.6757331609369155</v>
      </c>
      <c r="G93" s="5">
        <f t="shared" si="22"/>
        <v>8.7387373745309205</v>
      </c>
      <c r="H93" s="5">
        <f t="shared" si="23"/>
        <v>3.7014861896485975E-3</v>
      </c>
      <c r="I93" s="5">
        <f t="shared" si="14"/>
        <v>4.8121172387961693</v>
      </c>
      <c r="J93" s="5">
        <f t="shared" si="15"/>
        <v>4.8094157526065215</v>
      </c>
      <c r="K93" s="5">
        <f t="shared" si="16"/>
        <v>2.1828244669475083E-4</v>
      </c>
      <c r="L93" s="5">
        <f t="shared" si="17"/>
        <v>5.0000000000000001E-3</v>
      </c>
      <c r="M93" s="5">
        <f t="shared" si="18"/>
        <v>3.6304663264307937</v>
      </c>
    </row>
    <row r="94" spans="1:13" x14ac:dyDescent="0.3">
      <c r="A94" s="5">
        <v>11</v>
      </c>
      <c r="B94" s="5">
        <v>6</v>
      </c>
      <c r="C94" s="5">
        <v>3.6444838129525734</v>
      </c>
      <c r="D94" s="5">
        <f t="shared" si="19"/>
        <v>92.165233158892974</v>
      </c>
      <c r="E94" s="5">
        <f t="shared" si="20"/>
        <v>34.298627097319169</v>
      </c>
      <c r="F94" s="5">
        <f t="shared" si="21"/>
        <v>2.6871405930442256</v>
      </c>
      <c r="G94" s="5">
        <f t="shared" si="22"/>
        <v>8.6800626720142837</v>
      </c>
      <c r="H94" s="5">
        <f t="shared" si="23"/>
        <v>3.6312804920510659E-3</v>
      </c>
      <c r="I94" s="5">
        <f t="shared" si="14"/>
        <v>4.8152293909330046</v>
      </c>
      <c r="J94" s="5">
        <f t="shared" si="15"/>
        <v>4.8125981104409536</v>
      </c>
      <c r="K94" s="5">
        <f t="shared" si="16"/>
        <v>4.8087164478438638E-4</v>
      </c>
      <c r="L94" s="5">
        <f t="shared" si="17"/>
        <v>6.0000000000000001E-3</v>
      </c>
      <c r="M94" s="5">
        <f t="shared" si="18"/>
        <v>3.6504838129525732</v>
      </c>
    </row>
    <row r="95" spans="1:13" x14ac:dyDescent="0.3">
      <c r="A95" s="5">
        <v>12</v>
      </c>
      <c r="B95" s="5">
        <v>7</v>
      </c>
      <c r="C95" s="5">
        <v>3.661047487521369</v>
      </c>
      <c r="D95" s="5">
        <f t="shared" si="19"/>
        <v>92.705392187157699</v>
      </c>
      <c r="E95" s="5">
        <f t="shared" si="20"/>
        <v>34.37270210190519</v>
      </c>
      <c r="F95" s="5">
        <f t="shared" si="21"/>
        <v>2.6970644295671851</v>
      </c>
      <c r="G95" s="5">
        <f t="shared" si="22"/>
        <v>8.6294872512369611</v>
      </c>
      <c r="H95" s="5">
        <f t="shared" si="23"/>
        <v>3.5714815817066395E-3</v>
      </c>
      <c r="I95" s="5">
        <f t="shared" si="14"/>
        <v>4.8181694118411231</v>
      </c>
      <c r="J95" s="5">
        <f t="shared" si="15"/>
        <v>4.8155979302594165</v>
      </c>
      <c r="K95" s="5">
        <f t="shared" si="16"/>
        <v>3.6853932641189857E-4</v>
      </c>
      <c r="L95" s="5">
        <f t="shared" si="17"/>
        <v>7.0000000000000001E-3</v>
      </c>
      <c r="M95" s="5">
        <f t="shared" si="18"/>
        <v>3.6680474875213691</v>
      </c>
    </row>
    <row r="96" spans="1:13" x14ac:dyDescent="0.3">
      <c r="A96" s="5">
        <v>13</v>
      </c>
      <c r="B96" s="5">
        <v>8</v>
      </c>
      <c r="C96" s="5">
        <v>3.6758683268044789</v>
      </c>
      <c r="D96" s="5">
        <f t="shared" si="19"/>
        <v>93.189645794489351</v>
      </c>
      <c r="E96" s="5">
        <f t="shared" si="20"/>
        <v>34.43898291014645</v>
      </c>
      <c r="F96" s="5">
        <f t="shared" si="21"/>
        <v>2.7059349005058371</v>
      </c>
      <c r="G96" s="5">
        <f t="shared" si="22"/>
        <v>8.5846447121843976</v>
      </c>
      <c r="H96" s="5">
        <f t="shared" si="23"/>
        <v>3.5190121749721116E-3</v>
      </c>
      <c r="I96" s="5">
        <f t="shared" si="14"/>
        <v>4.8209775974018338</v>
      </c>
      <c r="J96" s="5">
        <f t="shared" si="15"/>
        <v>4.8184585852268613</v>
      </c>
      <c r="K96" s="5">
        <f t="shared" si="16"/>
        <v>2.8917338573819507E-4</v>
      </c>
      <c r="L96" s="5">
        <f t="shared" si="17"/>
        <v>8.0000000000000002E-3</v>
      </c>
      <c r="M96" s="5">
        <f t="shared" si="18"/>
        <v>3.683868326804479</v>
      </c>
    </row>
    <row r="97" spans="1:13" x14ac:dyDescent="0.3">
      <c r="A97" s="5">
        <v>14</v>
      </c>
      <c r="B97" s="5">
        <v>9</v>
      </c>
      <c r="C97" s="5">
        <v>3.6893769941391743</v>
      </c>
      <c r="D97" s="5">
        <f t="shared" si="19"/>
        <v>93.631791104271954</v>
      </c>
      <c r="E97" s="5">
        <f t="shared" si="20"/>
        <v>34.499395507038074</v>
      </c>
      <c r="F97" s="5">
        <f t="shared" si="21"/>
        <v>2.7140125132097035</v>
      </c>
      <c r="G97" s="5">
        <f t="shared" si="22"/>
        <v>8.5441065536073033</v>
      </c>
      <c r="H97" s="5">
        <f t="shared" si="23"/>
        <v>3.472022764402088E-3</v>
      </c>
      <c r="I97" s="5">
        <f t="shared" si="14"/>
        <v>4.8236806576858973</v>
      </c>
      <c r="J97" s="5">
        <f t="shared" si="15"/>
        <v>4.8212086349214953</v>
      </c>
      <c r="K97" s="5">
        <f t="shared" si="16"/>
        <v>2.3103751966147001E-4</v>
      </c>
      <c r="L97" s="5">
        <f t="shared" si="17"/>
        <v>9.0000000000000011E-3</v>
      </c>
      <c r="M97" s="5">
        <f t="shared" si="18"/>
        <v>3.6983769941391742</v>
      </c>
    </row>
    <row r="98" spans="1:13" x14ac:dyDescent="0.3">
      <c r="A98" s="5">
        <v>15</v>
      </c>
      <c r="B98" s="5">
        <v>10</v>
      </c>
      <c r="C98" s="5">
        <v>3.7018554388319558</v>
      </c>
      <c r="D98" s="5">
        <f t="shared" si="19"/>
        <v>94.040865278994673</v>
      </c>
      <c r="E98" s="5">
        <f t="shared" si="20"/>
        <v>34.55520080821114</v>
      </c>
      <c r="F98" s="5">
        <f t="shared" si="21"/>
        <v>2.7214677698139238</v>
      </c>
      <c r="G98" s="5">
        <f t="shared" si="22"/>
        <v>8.5069400162005007</v>
      </c>
      <c r="H98" s="5">
        <f t="shared" si="23"/>
        <v>3.4293098979313466E-3</v>
      </c>
      <c r="I98" s="5">
        <f t="shared" si="14"/>
        <v>4.8327291379991495</v>
      </c>
      <c r="J98" s="5">
        <f t="shared" si="15"/>
        <v>4.8238679335605266</v>
      </c>
      <c r="K98" s="5">
        <f t="shared" si="16"/>
        <v>1.8727587462930018E-4</v>
      </c>
      <c r="L98" s="5">
        <f t="shared" si="17"/>
        <v>1.0000000000000002E-2</v>
      </c>
      <c r="M98" s="5">
        <f t="shared" si="18"/>
        <v>3.7118554388319556</v>
      </c>
    </row>
    <row r="99" spans="1:13" x14ac:dyDescent="0.3">
      <c r="A99" s="5">
        <v>16</v>
      </c>
      <c r="B99" s="5">
        <v>20</v>
      </c>
      <c r="C99" s="5">
        <v>3.796801783005558</v>
      </c>
      <c r="D99" s="5">
        <f t="shared" si="19"/>
        <v>97.173839652968411</v>
      </c>
      <c r="E99" s="5">
        <f t="shared" si="20"/>
        <v>34.979813767785672</v>
      </c>
      <c r="F99" s="5">
        <f t="shared" si="21"/>
        <v>2.7779976273761564</v>
      </c>
      <c r="G99" s="5">
        <f t="shared" si="22"/>
        <v>8.232668410109099</v>
      </c>
      <c r="H99" s="5">
        <f t="shared" si="23"/>
        <v>3.1248587157546534E-3</v>
      </c>
      <c r="I99" s="5">
        <f t="shared" si="14"/>
        <v>4.8548613118453297</v>
      </c>
      <c r="J99" s="5">
        <f t="shared" si="15"/>
        <v>4.8336127246877822</v>
      </c>
      <c r="K99" s="5">
        <f t="shared" si="16"/>
        <v>8.8358668863275369E-4</v>
      </c>
      <c r="L99" s="5">
        <f t="shared" si="17"/>
        <v>2.0000000000000004E-2</v>
      </c>
      <c r="M99" s="5">
        <f t="shared" si="18"/>
        <v>3.8168017830055581</v>
      </c>
    </row>
    <row r="100" spans="1:13" x14ac:dyDescent="0.3">
      <c r="A100" s="5">
        <v>17</v>
      </c>
      <c r="B100" s="5">
        <v>30</v>
      </c>
      <c r="C100" s="5">
        <v>3.8645413551132446</v>
      </c>
      <c r="D100" s="5">
        <f t="shared" si="19"/>
        <v>99.431104162799429</v>
      </c>
      <c r="E100" s="5">
        <f t="shared" si="20"/>
        <v>35.282754343784738</v>
      </c>
      <c r="F100" s="5">
        <f t="shared" si="21"/>
        <v>2.8181219412172904</v>
      </c>
      <c r="G100" s="5">
        <f t="shared" si="22"/>
        <v>8.0457720623332598</v>
      </c>
      <c r="H100" s="5">
        <f t="shared" si="23"/>
        <v>2.9280369697965835E-3</v>
      </c>
      <c r="I100" s="5">
        <f t="shared" si="14"/>
        <v>4.8743748331147492</v>
      </c>
      <c r="J100" s="5">
        <f t="shared" si="15"/>
        <v>4.8550944634167825</v>
      </c>
      <c r="K100" s="5">
        <f t="shared" si="16"/>
        <v>2.3315157145287202E-4</v>
      </c>
      <c r="L100" s="5">
        <f t="shared" si="17"/>
        <v>3.0000000000000006E-2</v>
      </c>
      <c r="M100" s="5">
        <f t="shared" si="18"/>
        <v>3.8945413551132444</v>
      </c>
    </row>
    <row r="101" spans="1:13" x14ac:dyDescent="0.3">
      <c r="A101" s="5">
        <v>18</v>
      </c>
      <c r="B101" s="5">
        <v>40</v>
      </c>
      <c r="C101" s="5">
        <v>3.9194556903021645</v>
      </c>
      <c r="D101" s="5">
        <f t="shared" si="19"/>
        <v>101.274468241923</v>
      </c>
      <c r="E101" s="5">
        <f t="shared" si="20"/>
        <v>35.528338716628006</v>
      </c>
      <c r="F101" s="5">
        <f t="shared" si="21"/>
        <v>2.8505264220115203</v>
      </c>
      <c r="G101" s="5">
        <f t="shared" si="22"/>
        <v>7.8993256038528035</v>
      </c>
      <c r="H101" s="5">
        <f t="shared" si="23"/>
        <v>2.7796968878414608E-3</v>
      </c>
      <c r="I101" s="5">
        <f t="shared" si="14"/>
        <v>4.8922881032457886</v>
      </c>
      <c r="J101" s="5">
        <f t="shared" si="15"/>
        <v>4.874491134367374</v>
      </c>
      <c r="K101" s="5">
        <f t="shared" si="16"/>
        <v>1.163012526248508E-4</v>
      </c>
      <c r="L101" s="5">
        <f t="shared" si="17"/>
        <v>4.0000000000000008E-2</v>
      </c>
      <c r="M101" s="5">
        <f t="shared" si="18"/>
        <v>3.9594556903021645</v>
      </c>
    </row>
    <row r="102" spans="1:13" x14ac:dyDescent="0.3">
      <c r="A102" s="5">
        <v>19</v>
      </c>
      <c r="B102" s="5">
        <v>50</v>
      </c>
      <c r="C102" s="5">
        <v>3.9662899663459181</v>
      </c>
      <c r="D102" s="5">
        <f t="shared" si="19"/>
        <v>102.85613158849914</v>
      </c>
      <c r="E102" s="5">
        <f t="shared" si="20"/>
        <v>35.737787966449652</v>
      </c>
      <c r="F102" s="5">
        <f t="shared" si="21"/>
        <v>2.8780777278397771</v>
      </c>
      <c r="G102" s="5">
        <f t="shared" si="22"/>
        <v>7.7778542479177979</v>
      </c>
      <c r="H102" s="5">
        <f t="shared" si="23"/>
        <v>2.6605063237701756E-3</v>
      </c>
      <c r="I102" s="5">
        <f t="shared" si="14"/>
        <v>4.9089561113475781</v>
      </c>
      <c r="J102" s="5">
        <f t="shared" si="15"/>
        <v>4.8923510481098766</v>
      </c>
      <c r="K102" s="5">
        <f t="shared" si="16"/>
        <v>6.2944864088088082E-5</v>
      </c>
      <c r="L102" s="5">
        <f t="shared" si="17"/>
        <v>5.000000000000001E-2</v>
      </c>
      <c r="M102" s="5">
        <f t="shared" si="18"/>
        <v>4.0162899663459184</v>
      </c>
    </row>
    <row r="103" spans="1:13" x14ac:dyDescent="0.3">
      <c r="A103" s="5">
        <v>20</v>
      </c>
      <c r="B103" s="5">
        <f t="shared" ref="B103:B117" si="24">10 +B102</f>
        <v>60</v>
      </c>
      <c r="C103" s="5">
        <v>4.0074378961779615</v>
      </c>
      <c r="D103" s="5">
        <f t="shared" si="19"/>
        <v>104.2529991146498</v>
      </c>
      <c r="E103" s="5">
        <f t="shared" si="20"/>
        <v>35.921807102925335</v>
      </c>
      <c r="F103" s="5">
        <f t="shared" si="21"/>
        <v>2.9022203369651698</v>
      </c>
      <c r="G103" s="5">
        <f t="shared" si="22"/>
        <v>7.6736401522628501</v>
      </c>
      <c r="H103" s="5">
        <f t="shared" si="23"/>
        <v>2.560990604907042E-3</v>
      </c>
      <c r="I103" s="5">
        <f t="shared" si="14"/>
        <v>4.9246023707307671</v>
      </c>
      <c r="J103" s="5">
        <f t="shared" si="15"/>
        <v>4.9089924646816971</v>
      </c>
      <c r="K103" s="5">
        <f t="shared" si="16"/>
        <v>3.6353334118999214E-5</v>
      </c>
      <c r="L103" s="5">
        <f t="shared" si="17"/>
        <v>6.0000000000000012E-2</v>
      </c>
      <c r="M103" s="5">
        <f t="shared" si="18"/>
        <v>4.0674378961779611</v>
      </c>
    </row>
    <row r="104" spans="1:13" x14ac:dyDescent="0.3">
      <c r="A104" s="5">
        <v>21</v>
      </c>
      <c r="B104" s="5">
        <f t="shared" si="24"/>
        <v>70</v>
      </c>
      <c r="C104" s="5">
        <v>4.349794700477843</v>
      </c>
      <c r="D104" s="5">
        <f t="shared" si="19"/>
        <v>116.13773248121144</v>
      </c>
      <c r="E104" s="5">
        <f t="shared" si="20"/>
        <v>37.452873276873589</v>
      </c>
      <c r="F104" s="5">
        <f t="shared" si="21"/>
        <v>3.1009031436027152</v>
      </c>
      <c r="G104" s="5">
        <f t="shared" si="22"/>
        <v>6.8883728217220241</v>
      </c>
      <c r="H104" s="5">
        <f t="shared" si="23"/>
        <v>1.8891893256953178E-3</v>
      </c>
      <c r="I104" s="5">
        <f t="shared" si="14"/>
        <v>5.0860369224330064</v>
      </c>
      <c r="J104" s="5">
        <f t="shared" si="15"/>
        <v>5.0771450291760534</v>
      </c>
      <c r="K104" s="5">
        <f t="shared" si="16"/>
        <v>0.15254265844528625</v>
      </c>
      <c r="L104" s="5">
        <f t="shared" si="17"/>
        <v>7.0000000000000007E-2</v>
      </c>
      <c r="M104" s="5">
        <f t="shared" si="18"/>
        <v>4.4197947004778433</v>
      </c>
    </row>
    <row r="105" spans="1:13" x14ac:dyDescent="0.3">
      <c r="A105" s="5">
        <f>A104+1</f>
        <v>22</v>
      </c>
      <c r="B105" s="5">
        <f t="shared" si="24"/>
        <v>80</v>
      </c>
      <c r="C105" s="5">
        <v>5.3497947004778403</v>
      </c>
      <c r="D105" s="5">
        <f t="shared" si="19"/>
        <v>153.53691128312269</v>
      </c>
      <c r="E105" s="5">
        <f t="shared" si="20"/>
        <v>41.925009231873162</v>
      </c>
      <c r="F105" s="5">
        <f t="shared" ref="F105:F117" si="25">D105/E105</f>
        <v>3.6621795461978683</v>
      </c>
      <c r="G105" s="5">
        <f t="shared" si="22"/>
        <v>5.210473451069995</v>
      </c>
      <c r="H105" s="5">
        <f t="shared" ref="H105:H117" si="26">($B$11*$B$8/(1.49*D105*(F105)^0.667))^2</f>
        <v>8.6579118394848804E-4</v>
      </c>
      <c r="I105" s="5">
        <f t="shared" si="14"/>
        <v>5.7656925008743727</v>
      </c>
      <c r="J105" s="5">
        <f t="shared" si="15"/>
        <v>5.7670345890348873</v>
      </c>
      <c r="K105" s="5">
        <f t="shared" si="16"/>
        <v>0.68099766660188088</v>
      </c>
      <c r="L105" s="5">
        <f t="shared" si="17"/>
        <v>0.08</v>
      </c>
      <c r="M105" s="5"/>
    </row>
    <row r="106" spans="1:13" x14ac:dyDescent="0.3">
      <c r="A106" s="5">
        <f t="shared" ref="A106:A117" si="27">A105+1</f>
        <v>23</v>
      </c>
      <c r="B106" s="5">
        <f t="shared" si="24"/>
        <v>90</v>
      </c>
      <c r="C106" s="5">
        <v>6.3497947004778403</v>
      </c>
      <c r="D106" s="5">
        <f t="shared" si="19"/>
        <v>194.93609008503407</v>
      </c>
      <c r="E106" s="5">
        <f t="shared" si="20"/>
        <v>46.397145186872734</v>
      </c>
      <c r="F106" s="5">
        <f t="shared" si="25"/>
        <v>4.2014673381281193</v>
      </c>
      <c r="G106" s="5">
        <f t="shared" si="22"/>
        <v>4.1039091306849746</v>
      </c>
      <c r="H106" s="5">
        <f t="shared" si="26"/>
        <v>4.4716314661519128E-4</v>
      </c>
      <c r="I106" s="5">
        <f t="shared" si="14"/>
        <v>6.6035533446723989</v>
      </c>
      <c r="J106" s="5">
        <f t="shared" si="15"/>
        <v>6.6090817132062476</v>
      </c>
      <c r="K106" s="5">
        <f t="shared" si="16"/>
        <v>0.84338921233187492</v>
      </c>
      <c r="L106" s="5">
        <f t="shared" si="17"/>
        <v>0.09</v>
      </c>
      <c r="M106" s="5"/>
    </row>
    <row r="107" spans="1:13" x14ac:dyDescent="0.3">
      <c r="A107" s="5">
        <f t="shared" si="27"/>
        <v>24</v>
      </c>
      <c r="B107" s="5">
        <f t="shared" si="24"/>
        <v>100</v>
      </c>
      <c r="C107" s="5">
        <v>7.3497947004778403</v>
      </c>
      <c r="D107" s="5">
        <f t="shared" si="19"/>
        <v>240.33526888694541</v>
      </c>
      <c r="E107" s="5">
        <f t="shared" si="20"/>
        <v>50.869281141872314</v>
      </c>
      <c r="F107" s="5">
        <f t="shared" si="25"/>
        <v>4.7245658576668363</v>
      </c>
      <c r="G107" s="5">
        <f t="shared" si="22"/>
        <v>3.3286833168723269</v>
      </c>
      <c r="H107" s="5">
        <f t="shared" si="26"/>
        <v>2.5155539104229185E-4</v>
      </c>
      <c r="I107" s="5">
        <f t="shared" si="14"/>
        <v>7.5131042262533025</v>
      </c>
      <c r="J107" s="5">
        <f t="shared" si="15"/>
        <v>7.5205886723428801</v>
      </c>
      <c r="K107" s="5">
        <f t="shared" si="16"/>
        <v>0.91703532767048124</v>
      </c>
      <c r="L107" s="5">
        <f t="shared" si="17"/>
        <v>9.9999999999999992E-2</v>
      </c>
      <c r="M107" s="5"/>
    </row>
    <row r="108" spans="1:13" x14ac:dyDescent="0.3">
      <c r="A108" s="5">
        <f t="shared" si="27"/>
        <v>25</v>
      </c>
      <c r="B108" s="5">
        <f t="shared" si="24"/>
        <v>110</v>
      </c>
      <c r="C108" s="5">
        <v>8.3497947004778403</v>
      </c>
      <c r="D108" s="5">
        <f t="shared" si="19"/>
        <v>289.73444768885679</v>
      </c>
      <c r="E108" s="5">
        <f t="shared" si="20"/>
        <v>55.341417096871893</v>
      </c>
      <c r="F108" s="5">
        <f t="shared" si="25"/>
        <v>5.2353998666440669</v>
      </c>
      <c r="G108" s="5">
        <f t="shared" si="22"/>
        <v>2.7611490672973509</v>
      </c>
      <c r="H108" s="5">
        <f t="shared" si="26"/>
        <v>1.5093433716956302E-4</v>
      </c>
      <c r="I108" s="5">
        <f t="shared" si="14"/>
        <v>8.4589335984344487</v>
      </c>
      <c r="J108" s="5">
        <f t="shared" si="15"/>
        <v>8.4674242550627543</v>
      </c>
      <c r="K108" s="5">
        <f t="shared" si="16"/>
        <v>0.95432002880945177</v>
      </c>
      <c r="L108" s="5">
        <f t="shared" si="17"/>
        <v>0.10999999999999999</v>
      </c>
      <c r="M108" s="5"/>
    </row>
    <row r="109" spans="1:13" x14ac:dyDescent="0.3">
      <c r="A109" s="5">
        <f t="shared" si="27"/>
        <v>26</v>
      </c>
      <c r="B109" s="5">
        <f t="shared" si="24"/>
        <v>120</v>
      </c>
      <c r="C109" s="5">
        <v>9.3497947004778403</v>
      </c>
      <c r="D109" s="5">
        <f t="shared" si="19"/>
        <v>343.13362649076817</v>
      </c>
      <c r="E109" s="5">
        <f t="shared" si="20"/>
        <v>59.813553051871473</v>
      </c>
      <c r="F109" s="5">
        <f t="shared" si="25"/>
        <v>5.7367203415118313</v>
      </c>
      <c r="G109" s="5">
        <f t="shared" si="22"/>
        <v>2.3314532247439863</v>
      </c>
      <c r="H109" s="5">
        <f t="shared" si="26"/>
        <v>9.5254065386303962E-5</v>
      </c>
      <c r="I109" s="5">
        <f t="shared" si="14"/>
        <v>9.4246758487421811</v>
      </c>
      <c r="J109" s="5">
        <f t="shared" si="15"/>
        <v>9.433723308088318</v>
      </c>
      <c r="K109" s="5">
        <f t="shared" si="16"/>
        <v>0.97478970965386935</v>
      </c>
      <c r="L109" s="5">
        <f t="shared" si="17"/>
        <v>0.11999999999999998</v>
      </c>
      <c r="M109" s="5"/>
    </row>
    <row r="110" spans="1:13" x14ac:dyDescent="0.3">
      <c r="A110" s="5">
        <f t="shared" si="27"/>
        <v>27</v>
      </c>
      <c r="B110" s="5">
        <f t="shared" si="24"/>
        <v>130</v>
      </c>
      <c r="C110" s="5">
        <v>10.349794700477799</v>
      </c>
      <c r="D110" s="5">
        <f t="shared" si="19"/>
        <v>400.5328052926771</v>
      </c>
      <c r="E110" s="5">
        <f t="shared" si="20"/>
        <v>64.285689006870882</v>
      </c>
      <c r="F110" s="5">
        <f t="shared" si="25"/>
        <v>6.2305127545551855</v>
      </c>
      <c r="G110" s="5">
        <f t="shared" si="22"/>
        <v>1.9973395173347273</v>
      </c>
      <c r="H110" s="5">
        <f t="shared" si="26"/>
        <v>6.2617613066800885E-5</v>
      </c>
      <c r="I110" s="5">
        <f t="shared" si="14"/>
        <v>10.402054452324299</v>
      </c>
      <c r="J110" s="5">
        <f t="shared" si="15"/>
        <v>10.411428276193629</v>
      </c>
      <c r="K110" s="5">
        <f t="shared" si="16"/>
        <v>0.98675242745144764</v>
      </c>
      <c r="L110" s="5">
        <f t="shared" si="17"/>
        <v>0.12999999999999998</v>
      </c>
      <c r="M110" s="5"/>
    </row>
    <row r="111" spans="1:13" x14ac:dyDescent="0.3">
      <c r="A111" s="5">
        <f t="shared" si="27"/>
        <v>28</v>
      </c>
      <c r="B111" s="5">
        <f t="shared" si="24"/>
        <v>140</v>
      </c>
      <c r="C111" s="5">
        <v>11.349794700477799</v>
      </c>
      <c r="D111" s="5">
        <f t="shared" si="19"/>
        <v>461.9319840945883</v>
      </c>
      <c r="E111" s="5">
        <f t="shared" si="20"/>
        <v>68.757824961870455</v>
      </c>
      <c r="F111" s="5">
        <f t="shared" si="25"/>
        <v>6.7182460229181471</v>
      </c>
      <c r="G111" s="5">
        <f t="shared" si="22"/>
        <v>1.7318566965395203</v>
      </c>
      <c r="H111" s="5">
        <f t="shared" si="26"/>
        <v>4.2574738133522304E-5</v>
      </c>
      <c r="I111" s="5">
        <f t="shared" si="14"/>
        <v>11.386580984375746</v>
      </c>
      <c r="J111" s="5">
        <f t="shared" si="15"/>
        <v>11.39615523699441</v>
      </c>
      <c r="K111" s="5">
        <f t="shared" si="16"/>
        <v>0.99410078467011154</v>
      </c>
      <c r="L111" s="5">
        <f t="shared" si="17"/>
        <v>0.13999999999999999</v>
      </c>
      <c r="M111" s="5"/>
    </row>
    <row r="112" spans="1:13" x14ac:dyDescent="0.3">
      <c r="A112" s="5">
        <f t="shared" si="27"/>
        <v>29</v>
      </c>
      <c r="B112" s="5">
        <f t="shared" si="24"/>
        <v>150</v>
      </c>
      <c r="C112" s="5">
        <v>12.349794700477799</v>
      </c>
      <c r="D112" s="5">
        <f t="shared" si="19"/>
        <v>527.33116289649956</v>
      </c>
      <c r="E112" s="5">
        <f t="shared" si="20"/>
        <v>73.229960916870027</v>
      </c>
      <c r="F112" s="5">
        <f t="shared" si="25"/>
        <v>7.2010302380895848</v>
      </c>
      <c r="G112" s="5">
        <f t="shared" si="22"/>
        <v>1.5170732478729267</v>
      </c>
      <c r="H112" s="5">
        <f t="shared" si="26"/>
        <v>2.978078299898899E-5</v>
      </c>
      <c r="I112" s="5">
        <f t="shared" si="14"/>
        <v>12.375681356557573</v>
      </c>
      <c r="J112" s="5">
        <f t="shared" si="15"/>
        <v>12.385383548727582</v>
      </c>
      <c r="K112" s="5">
        <f t="shared" si="16"/>
        <v>0.9988025643518359</v>
      </c>
      <c r="L112" s="5">
        <f t="shared" si="17"/>
        <v>0.15</v>
      </c>
      <c r="M112" s="5"/>
    </row>
    <row r="113" spans="1:13" x14ac:dyDescent="0.3">
      <c r="A113" s="5">
        <f t="shared" si="27"/>
        <v>30</v>
      </c>
      <c r="B113" s="5">
        <f t="shared" si="24"/>
        <v>160</v>
      </c>
      <c r="C113" s="5">
        <v>13.349794700477799</v>
      </c>
      <c r="D113" s="5">
        <f t="shared" si="19"/>
        <v>596.73034169841071</v>
      </c>
      <c r="E113" s="5">
        <f t="shared" si="20"/>
        <v>77.702096871869614</v>
      </c>
      <c r="F113" s="5">
        <f t="shared" si="25"/>
        <v>7.6797199267661487</v>
      </c>
      <c r="G113" s="5">
        <f t="shared" si="22"/>
        <v>1.3406390526800502</v>
      </c>
      <c r="H113" s="5">
        <f t="shared" si="26"/>
        <v>2.1343244886185175E-5</v>
      </c>
      <c r="I113" s="5">
        <f t="shared" si="14"/>
        <v>13.367810004739045</v>
      </c>
      <c r="J113" s="5">
        <f t="shared" si="15"/>
        <v>13.377596572290182</v>
      </c>
      <c r="K113" s="5">
        <f t="shared" si="16"/>
        <v>1.001915215732609</v>
      </c>
      <c r="L113" s="5">
        <f t="shared" si="17"/>
        <v>0.16</v>
      </c>
      <c r="M113" s="5"/>
    </row>
    <row r="114" spans="1:13" x14ac:dyDescent="0.3">
      <c r="A114" s="5">
        <f t="shared" si="27"/>
        <v>31</v>
      </c>
      <c r="B114" s="5">
        <f t="shared" si="24"/>
        <v>170</v>
      </c>
      <c r="C114" s="5">
        <v>14.349794700477799</v>
      </c>
      <c r="D114" s="5">
        <f t="shared" si="19"/>
        <v>670.12952050032197</v>
      </c>
      <c r="E114" s="5">
        <f t="shared" si="20"/>
        <v>82.174232826869186</v>
      </c>
      <c r="F114" s="5">
        <f t="shared" si="25"/>
        <v>8.154983593363152</v>
      </c>
      <c r="G114" s="5">
        <f t="shared" si="22"/>
        <v>1.193799072457987</v>
      </c>
      <c r="H114" s="5">
        <f t="shared" si="26"/>
        <v>1.5621096831846406E-5</v>
      </c>
      <c r="I114" s="5">
        <f t="shared" si="14"/>
        <v>14.362002561014778</v>
      </c>
      <c r="J114" s="5">
        <f t="shared" si="15"/>
        <v>14.371846350046461</v>
      </c>
      <c r="K114" s="5">
        <f t="shared" si="16"/>
        <v>1.0040363453074157</v>
      </c>
      <c r="L114" s="5">
        <f t="shared" si="17"/>
        <v>0.17</v>
      </c>
      <c r="M114" s="5"/>
    </row>
    <row r="115" spans="1:13" x14ac:dyDescent="0.3">
      <c r="A115" s="5">
        <f t="shared" si="27"/>
        <v>32</v>
      </c>
      <c r="B115" s="5">
        <f t="shared" si="24"/>
        <v>180</v>
      </c>
      <c r="C115" s="5">
        <v>15.349794700477799</v>
      </c>
      <c r="D115" s="5">
        <f t="shared" si="19"/>
        <v>747.52869930223312</v>
      </c>
      <c r="E115" s="5">
        <f t="shared" si="20"/>
        <v>86.646368781868773</v>
      </c>
      <c r="F115" s="5">
        <f t="shared" si="25"/>
        <v>8.6273517264656281</v>
      </c>
      <c r="G115" s="5">
        <f t="shared" si="22"/>
        <v>1.0701930250259892</v>
      </c>
      <c r="H115" s="5">
        <f t="shared" si="26"/>
        <v>1.1645311135973943E-5</v>
      </c>
      <c r="I115" s="5">
        <f t="shared" si="14"/>
        <v>15.357637292108235</v>
      </c>
      <c r="J115" s="5">
        <f t="shared" si="15"/>
        <v>15.367520838996874</v>
      </c>
      <c r="K115" s="5">
        <f t="shared" si="16"/>
        <v>1.0055182779820964</v>
      </c>
      <c r="L115" s="5">
        <f t="shared" si="17"/>
        <v>0.18000000000000002</v>
      </c>
      <c r="M115" s="5"/>
    </row>
    <row r="116" spans="1:13" x14ac:dyDescent="0.3">
      <c r="A116" s="5">
        <f t="shared" si="27"/>
        <v>33</v>
      </c>
      <c r="B116" s="5">
        <f t="shared" si="24"/>
        <v>190</v>
      </c>
      <c r="C116" s="5">
        <v>16.349794700477801</v>
      </c>
      <c r="D116" s="5">
        <f t="shared" si="19"/>
        <v>828.92787810414438</v>
      </c>
      <c r="E116" s="5">
        <f t="shared" si="20"/>
        <v>91.11850473686836</v>
      </c>
      <c r="F116" s="5">
        <f t="shared" si="25"/>
        <v>9.0972506682140892</v>
      </c>
      <c r="G116" s="5">
        <f t="shared" si="22"/>
        <v>0.96510205668277693</v>
      </c>
      <c r="H116" s="5">
        <f t="shared" si="26"/>
        <v>8.8236400091542552E-6</v>
      </c>
      <c r="I116" s="5">
        <f t="shared" si="14"/>
        <v>16.354301892898548</v>
      </c>
      <c r="J116" s="5">
        <f t="shared" si="15"/>
        <v>16.36421365649846</v>
      </c>
      <c r="K116" s="5">
        <f t="shared" si="16"/>
        <v>1.0065763643902255</v>
      </c>
      <c r="L116" s="5">
        <f t="shared" si="17"/>
        <v>0.19000000000000003</v>
      </c>
      <c r="M116" s="5"/>
    </row>
    <row r="117" spans="1:13" x14ac:dyDescent="0.3">
      <c r="A117" s="5">
        <f t="shared" si="27"/>
        <v>34</v>
      </c>
      <c r="B117" s="5">
        <f t="shared" si="24"/>
        <v>200</v>
      </c>
      <c r="C117" s="5">
        <v>17.349794700477801</v>
      </c>
      <c r="D117" s="5">
        <f t="shared" si="19"/>
        <v>914.32705690605565</v>
      </c>
      <c r="E117" s="5">
        <f t="shared" si="20"/>
        <v>95.590640691867932</v>
      </c>
      <c r="F117" s="5">
        <f t="shared" si="25"/>
        <v>9.565026976368399</v>
      </c>
      <c r="G117" s="5">
        <f t="shared" si="22"/>
        <v>0.8749604356094185</v>
      </c>
      <c r="H117" s="5">
        <f t="shared" si="26"/>
        <v>6.7831105535047469E-6</v>
      </c>
      <c r="I117" s="5">
        <f t="shared" si="14"/>
        <v>17.561003901283971</v>
      </c>
      <c r="J117" s="5">
        <f t="shared" si="15"/>
        <v>17.361648296786555</v>
      </c>
      <c r="K117" s="5">
        <f t="shared" si="16"/>
        <v>1.0073464038880076</v>
      </c>
      <c r="L117" s="5">
        <f t="shared" si="17"/>
        <v>0.20000000000000004</v>
      </c>
      <c r="M1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Rollin Hotchkiss</dc:creator>
  <cp:lastModifiedBy>Rollin Hotchkiss</cp:lastModifiedBy>
  <dcterms:created xsi:type="dcterms:W3CDTF">2025-02-12T17:11:15Z</dcterms:created>
  <dcterms:modified xsi:type="dcterms:W3CDTF">2025-02-14T04:27:52Z</dcterms:modified>
</cp:coreProperties>
</file>