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Trabajo JP\Tuning PID\"/>
    </mc:Choice>
  </mc:AlternateContent>
  <bookViews>
    <workbookView xWindow="480" yWindow="315" windowWidth="19875" windowHeight="7725"/>
  </bookViews>
  <sheets>
    <sheet name="Hoja1" sheetId="1" r:id="rId1"/>
    <sheet name="Hoja2" sheetId="2" r:id="rId2"/>
    <sheet name="Hoja3" sheetId="3" r:id="rId3"/>
  </sheets>
  <definedNames>
    <definedName name="k">Hoja1!$B$5</definedName>
    <definedName name="tm">Hoja1!$D$5</definedName>
    <definedName name="τ">Hoja1!$C$5</definedName>
  </definedNames>
  <calcPr calcId="152511"/>
</workbook>
</file>

<file path=xl/calcChain.xml><?xml version="1.0" encoding="utf-8"?>
<calcChain xmlns="http://schemas.openxmlformats.org/spreadsheetml/2006/main">
  <c r="N95" i="1" l="1"/>
  <c r="M95" i="1"/>
  <c r="L95" i="1"/>
  <c r="N101" i="1"/>
  <c r="M101" i="1"/>
  <c r="L101" i="1"/>
  <c r="N89" i="1"/>
  <c r="M89" i="1"/>
  <c r="L89" i="1"/>
  <c r="N113" i="1"/>
  <c r="M113" i="1"/>
  <c r="L113" i="1"/>
  <c r="N119" i="1"/>
  <c r="M119" i="1"/>
  <c r="L119" i="1"/>
  <c r="N107" i="1"/>
  <c r="M107" i="1"/>
  <c r="L107" i="1"/>
  <c r="L81" i="1"/>
  <c r="L75" i="1"/>
  <c r="N83" i="1"/>
  <c r="N77" i="1"/>
  <c r="M83" i="1"/>
  <c r="M77" i="1"/>
  <c r="L83" i="1"/>
  <c r="L77" i="1"/>
  <c r="M82" i="1"/>
  <c r="M76" i="1"/>
  <c r="L82" i="1"/>
  <c r="L76" i="1"/>
  <c r="A44" i="1"/>
  <c r="A43" i="1"/>
  <c r="A42" i="1"/>
  <c r="A41" i="1"/>
  <c r="A40" i="1"/>
  <c r="A39" i="1"/>
  <c r="A38" i="1"/>
  <c r="A37" i="1"/>
  <c r="A36" i="1"/>
  <c r="A35" i="1"/>
  <c r="A34" i="1"/>
  <c r="A33" i="1"/>
  <c r="A31" i="1"/>
  <c r="A32" i="1"/>
  <c r="A30" i="1"/>
  <c r="A29" i="1"/>
  <c r="A28" i="1"/>
  <c r="A27" i="1"/>
  <c r="A26" i="1"/>
  <c r="A25" i="1"/>
  <c r="N71" i="1"/>
  <c r="N65" i="1"/>
  <c r="N59" i="1"/>
  <c r="M59" i="1"/>
  <c r="M71" i="1"/>
  <c r="M65" i="1"/>
  <c r="M70" i="1"/>
  <c r="M64" i="1"/>
  <c r="M58" i="1"/>
  <c r="L71" i="1"/>
  <c r="L65" i="1"/>
  <c r="L59" i="1"/>
  <c r="L70" i="1"/>
  <c r="L64" i="1"/>
  <c r="L58" i="1"/>
  <c r="L69" i="1"/>
  <c r="L63" i="1"/>
  <c r="L57" i="1"/>
  <c r="L53" i="1" l="1"/>
  <c r="L52" i="1"/>
  <c r="L51" i="1"/>
  <c r="N53" i="1"/>
  <c r="M53" i="1"/>
  <c r="M52" i="1"/>
  <c r="L47" i="1"/>
  <c r="L46" i="1"/>
  <c r="L45" i="1"/>
  <c r="N47" i="1"/>
  <c r="M47" i="1"/>
  <c r="M46" i="1"/>
  <c r="L41" i="1"/>
  <c r="L40" i="1"/>
  <c r="L39" i="1"/>
  <c r="N41" i="1"/>
  <c r="M41" i="1"/>
  <c r="M40" i="1"/>
  <c r="L33" i="1"/>
  <c r="L34" i="1"/>
  <c r="L35" i="1"/>
  <c r="M35" i="1"/>
  <c r="N35" i="1"/>
  <c r="L27" i="1"/>
  <c r="L28" i="1"/>
  <c r="M28" i="1"/>
  <c r="L29" i="1"/>
  <c r="M29" i="1"/>
  <c r="N29" i="1"/>
  <c r="N23" i="1"/>
  <c r="M23" i="1"/>
  <c r="M22" i="1"/>
  <c r="L22" i="1"/>
  <c r="L21" i="1"/>
  <c r="L23" i="1"/>
  <c r="M34" i="1"/>
  <c r="N17" i="1"/>
  <c r="L17" i="1"/>
  <c r="M17" i="1"/>
  <c r="M16" i="1"/>
  <c r="L16" i="1"/>
  <c r="L15" i="1"/>
  <c r="M10" i="1"/>
  <c r="L10" i="1"/>
  <c r="L9" i="1"/>
  <c r="M11" i="1"/>
  <c r="L11" i="1"/>
  <c r="N11" i="1"/>
  <c r="I10" i="1"/>
  <c r="I11" i="1"/>
  <c r="I17" i="1" s="1"/>
  <c r="I23" i="1" s="1"/>
  <c r="I9" i="1"/>
  <c r="R4" i="1"/>
  <c r="R3" i="1"/>
  <c r="Q3" i="1"/>
  <c r="N5" i="1"/>
  <c r="R5" i="1" s="1"/>
  <c r="M5" i="1"/>
  <c r="Q5" i="1" s="1"/>
  <c r="M4" i="1"/>
  <c r="Q4" i="1" s="1"/>
  <c r="L5" i="1"/>
  <c r="P5" i="1" s="1"/>
  <c r="L4" i="1"/>
  <c r="P4" i="1" s="1"/>
  <c r="L3" i="1"/>
  <c r="P3" i="1" s="1"/>
  <c r="P64" i="1" l="1"/>
  <c r="P118" i="1"/>
  <c r="P88" i="1"/>
  <c r="P100" i="1"/>
  <c r="P106" i="1"/>
  <c r="P94" i="1"/>
  <c r="P112" i="1"/>
  <c r="P95" i="1"/>
  <c r="P107" i="1"/>
  <c r="P113" i="1"/>
  <c r="P101" i="1"/>
  <c r="P119" i="1"/>
  <c r="P89" i="1"/>
  <c r="P77" i="1"/>
  <c r="P82" i="1"/>
  <c r="P76" i="1"/>
  <c r="P63" i="1"/>
  <c r="P83" i="1"/>
  <c r="P65" i="1"/>
  <c r="P59" i="1"/>
  <c r="P71" i="1"/>
  <c r="P70" i="1"/>
  <c r="I16" i="1"/>
  <c r="R16" i="1" s="1"/>
  <c r="P58" i="1"/>
  <c r="P69" i="1"/>
  <c r="Q9" i="1"/>
  <c r="P57" i="1"/>
  <c r="P39" i="1"/>
  <c r="P40" i="1"/>
  <c r="P41" i="1"/>
  <c r="P51" i="1"/>
  <c r="P45" i="1"/>
  <c r="P21" i="1"/>
  <c r="P27" i="1"/>
  <c r="P33" i="1"/>
  <c r="P34" i="1"/>
  <c r="P28" i="1"/>
  <c r="P46" i="1"/>
  <c r="P22" i="1"/>
  <c r="P52" i="1"/>
  <c r="I29" i="1"/>
  <c r="R29" i="1" s="1"/>
  <c r="Q23" i="1"/>
  <c r="R23" i="1"/>
  <c r="P47" i="1"/>
  <c r="P23" i="1"/>
  <c r="P35" i="1"/>
  <c r="P29" i="1"/>
  <c r="P53" i="1"/>
  <c r="R11" i="1"/>
  <c r="Q17" i="1"/>
  <c r="P17" i="1"/>
  <c r="I15" i="1"/>
  <c r="P15" i="1"/>
  <c r="P16" i="1"/>
  <c r="R17" i="1"/>
  <c r="Q10" i="1"/>
  <c r="P9" i="1"/>
  <c r="R9" i="1"/>
  <c r="R10" i="1"/>
  <c r="P10" i="1"/>
  <c r="Q11" i="1"/>
  <c r="P11" i="1"/>
  <c r="R6" i="1"/>
  <c r="N6" i="1" s="1"/>
  <c r="D25" i="1" s="1"/>
  <c r="Q6" i="1"/>
  <c r="M6" i="1" s="1"/>
  <c r="C25" i="1" s="1"/>
  <c r="P6" i="1"/>
  <c r="L6" i="1" s="1"/>
  <c r="B25" i="1" s="1"/>
  <c r="P66" i="1" l="1"/>
  <c r="L66" i="1" s="1"/>
  <c r="B35" i="1" s="1"/>
  <c r="Q16" i="1"/>
  <c r="I22" i="1"/>
  <c r="I28" i="1" s="1"/>
  <c r="R18" i="1"/>
  <c r="N18" i="1" s="1"/>
  <c r="D27" i="1" s="1"/>
  <c r="P72" i="1"/>
  <c r="L72" i="1" s="1"/>
  <c r="B36" i="1" s="1"/>
  <c r="P60" i="1"/>
  <c r="L60" i="1" s="1"/>
  <c r="B34" i="1" s="1"/>
  <c r="P54" i="1"/>
  <c r="L54" i="1" s="1"/>
  <c r="B33" i="1" s="1"/>
  <c r="P36" i="1"/>
  <c r="L36" i="1" s="1"/>
  <c r="B30" i="1" s="1"/>
  <c r="P42" i="1"/>
  <c r="L42" i="1" s="1"/>
  <c r="B31" i="1" s="1"/>
  <c r="P48" i="1"/>
  <c r="L48" i="1" s="1"/>
  <c r="B32" i="1" s="1"/>
  <c r="P30" i="1"/>
  <c r="L30" i="1" s="1"/>
  <c r="B29" i="1" s="1"/>
  <c r="Q15" i="1"/>
  <c r="I21" i="1"/>
  <c r="P24" i="1"/>
  <c r="L24" i="1" s="1"/>
  <c r="B28" i="1" s="1"/>
  <c r="I35" i="1"/>
  <c r="Q29" i="1"/>
  <c r="R12" i="1"/>
  <c r="N12" i="1" s="1"/>
  <c r="D26" i="1" s="1"/>
  <c r="P18" i="1"/>
  <c r="L18" i="1" s="1"/>
  <c r="B27" i="1" s="1"/>
  <c r="R15" i="1"/>
  <c r="Q12" i="1"/>
  <c r="M12" i="1" s="1"/>
  <c r="C26" i="1" s="1"/>
  <c r="P12" i="1"/>
  <c r="L12" i="1" s="1"/>
  <c r="B26" i="1" s="1"/>
  <c r="Q22" i="1" l="1"/>
  <c r="Q18" i="1"/>
  <c r="M18" i="1" s="1"/>
  <c r="C27" i="1" s="1"/>
  <c r="R22" i="1"/>
  <c r="R24" i="1" s="1"/>
  <c r="N24" i="1" s="1"/>
  <c r="D28" i="1" s="1"/>
  <c r="Q21" i="1"/>
  <c r="I27" i="1"/>
  <c r="R21" i="1"/>
  <c r="Q28" i="1"/>
  <c r="I34" i="1"/>
  <c r="R28" i="1"/>
  <c r="R30" i="1" s="1"/>
  <c r="N30" i="1" s="1"/>
  <c r="D29" i="1" s="1"/>
  <c r="Q35" i="1"/>
  <c r="I41" i="1"/>
  <c r="R35" i="1"/>
  <c r="Q24" i="1" l="1"/>
  <c r="M24" i="1" s="1"/>
  <c r="C28" i="1" s="1"/>
  <c r="Q41" i="1"/>
  <c r="R41" i="1"/>
  <c r="Q27" i="1"/>
  <c r="Q30" i="1" s="1"/>
  <c r="M30" i="1" s="1"/>
  <c r="C29" i="1" s="1"/>
  <c r="I33" i="1"/>
  <c r="R27" i="1"/>
  <c r="Q34" i="1"/>
  <c r="R34" i="1"/>
  <c r="R36" i="1" s="1"/>
  <c r="N36" i="1" s="1"/>
  <c r="D30" i="1" s="1"/>
  <c r="I40" i="1"/>
  <c r="I47" i="1"/>
  <c r="R40" i="1" l="1"/>
  <c r="R42" i="1" s="1"/>
  <c r="N42" i="1" s="1"/>
  <c r="D31" i="1" s="1"/>
  <c r="Q40" i="1"/>
  <c r="Q33" i="1"/>
  <c r="Q36" i="1" s="1"/>
  <c r="M36" i="1" s="1"/>
  <c r="C30" i="1" s="1"/>
  <c r="I39" i="1"/>
  <c r="R33" i="1"/>
  <c r="I46" i="1"/>
  <c r="Q47" i="1"/>
  <c r="I53" i="1"/>
  <c r="I59" i="1" s="1"/>
  <c r="R47" i="1"/>
  <c r="I65" i="1" l="1"/>
  <c r="R59" i="1"/>
  <c r="Q59" i="1"/>
  <c r="Q39" i="1"/>
  <c r="Q42" i="1" s="1"/>
  <c r="M42" i="1" s="1"/>
  <c r="C31" i="1" s="1"/>
  <c r="R39" i="1"/>
  <c r="I45" i="1"/>
  <c r="Q46" i="1"/>
  <c r="I52" i="1"/>
  <c r="I58" i="1" s="1"/>
  <c r="R46" i="1"/>
  <c r="R48" i="1" s="1"/>
  <c r="N48" i="1" s="1"/>
  <c r="D32" i="1" s="1"/>
  <c r="Q53" i="1"/>
  <c r="R53" i="1"/>
  <c r="I71" i="1" l="1"/>
  <c r="I77" i="1" s="1"/>
  <c r="Q65" i="1"/>
  <c r="R65" i="1"/>
  <c r="I64" i="1"/>
  <c r="Q58" i="1"/>
  <c r="R58" i="1"/>
  <c r="R60" i="1" s="1"/>
  <c r="N60" i="1" s="1"/>
  <c r="D34" i="1" s="1"/>
  <c r="R45" i="1"/>
  <c r="I51" i="1"/>
  <c r="I57" i="1" s="1"/>
  <c r="Q45" i="1"/>
  <c r="Q48" i="1" s="1"/>
  <c r="M48" i="1" s="1"/>
  <c r="C32" i="1" s="1"/>
  <c r="Q52" i="1"/>
  <c r="R52" i="1"/>
  <c r="R54" i="1" s="1"/>
  <c r="N54" i="1" s="1"/>
  <c r="D33" i="1" s="1"/>
  <c r="I83" i="1" l="1"/>
  <c r="I89" i="1" s="1"/>
  <c r="Q77" i="1"/>
  <c r="R77" i="1"/>
  <c r="Q71" i="1"/>
  <c r="R71" i="1"/>
  <c r="I70" i="1"/>
  <c r="I76" i="1" s="1"/>
  <c r="Q64" i="1"/>
  <c r="R64" i="1"/>
  <c r="R66" i="1" s="1"/>
  <c r="N66" i="1" s="1"/>
  <c r="D35" i="1" s="1"/>
  <c r="Q57" i="1"/>
  <c r="Q60" i="1" s="1"/>
  <c r="M60" i="1" s="1"/>
  <c r="C34" i="1" s="1"/>
  <c r="I63" i="1"/>
  <c r="R57" i="1"/>
  <c r="Q51" i="1"/>
  <c r="Q54" i="1" s="1"/>
  <c r="M54" i="1" s="1"/>
  <c r="C33" i="1" s="1"/>
  <c r="R51" i="1"/>
  <c r="I95" i="1" l="1"/>
  <c r="Q89" i="1"/>
  <c r="R89" i="1"/>
  <c r="I82" i="1"/>
  <c r="I88" i="1" s="1"/>
  <c r="R76" i="1"/>
  <c r="R78" i="1" s="1"/>
  <c r="N78" i="1" s="1"/>
  <c r="D37" i="1" s="1"/>
  <c r="Q76" i="1"/>
  <c r="Q83" i="1"/>
  <c r="R83" i="1"/>
  <c r="Q70" i="1"/>
  <c r="R70" i="1"/>
  <c r="R72" i="1" s="1"/>
  <c r="N72" i="1" s="1"/>
  <c r="D36" i="1" s="1"/>
  <c r="R63" i="1"/>
  <c r="I69" i="1"/>
  <c r="I75" i="1" s="1"/>
  <c r="Q63" i="1"/>
  <c r="Q66" i="1" s="1"/>
  <c r="M66" i="1" s="1"/>
  <c r="C35" i="1" s="1"/>
  <c r="I94" i="1" l="1"/>
  <c r="R88" i="1"/>
  <c r="R90" i="1" s="1"/>
  <c r="N90" i="1" s="1"/>
  <c r="D39" i="1" s="1"/>
  <c r="Q88" i="1"/>
  <c r="I101" i="1"/>
  <c r="R95" i="1"/>
  <c r="Q95" i="1"/>
  <c r="P75" i="1"/>
  <c r="Q75" i="1"/>
  <c r="Q78" i="1" s="1"/>
  <c r="M78" i="1" s="1"/>
  <c r="C37" i="1" s="1"/>
  <c r="Q82" i="1"/>
  <c r="R82" i="1"/>
  <c r="R84" i="1" s="1"/>
  <c r="N84" i="1" s="1"/>
  <c r="D38" i="1" s="1"/>
  <c r="I81" i="1"/>
  <c r="R75" i="1"/>
  <c r="R69" i="1"/>
  <c r="Q69" i="1"/>
  <c r="Q72" i="1" s="1"/>
  <c r="M72" i="1" s="1"/>
  <c r="C36" i="1" s="1"/>
  <c r="P81" i="1" l="1"/>
  <c r="P84" i="1" s="1"/>
  <c r="L84" i="1" s="1"/>
  <c r="B38" i="1" s="1"/>
  <c r="I87" i="1"/>
  <c r="I100" i="1"/>
  <c r="R94" i="1"/>
  <c r="R96" i="1" s="1"/>
  <c r="N96" i="1" s="1"/>
  <c r="D40" i="1" s="1"/>
  <c r="Q94" i="1"/>
  <c r="I107" i="1"/>
  <c r="R101" i="1"/>
  <c r="Q101" i="1"/>
  <c r="P78" i="1"/>
  <c r="L78" i="1" s="1"/>
  <c r="B37" i="1" s="1"/>
  <c r="Q81" i="1"/>
  <c r="Q84" i="1" s="1"/>
  <c r="M84" i="1" s="1"/>
  <c r="C38" i="1" s="1"/>
  <c r="R81" i="1"/>
  <c r="P87" i="1" l="1"/>
  <c r="P90" i="1" s="1"/>
  <c r="L90" i="1" s="1"/>
  <c r="B39" i="1" s="1"/>
  <c r="Q87" i="1"/>
  <c r="Q90" i="1" s="1"/>
  <c r="M90" i="1" s="1"/>
  <c r="C39" i="1" s="1"/>
  <c r="I93" i="1"/>
  <c r="R87" i="1"/>
  <c r="I106" i="1"/>
  <c r="Q100" i="1"/>
  <c r="R100" i="1"/>
  <c r="R102" i="1" s="1"/>
  <c r="N102" i="1" s="1"/>
  <c r="D41" i="1" s="1"/>
  <c r="I113" i="1"/>
  <c r="R107" i="1"/>
  <c r="Q107" i="1"/>
  <c r="I99" i="1" l="1"/>
  <c r="P93" i="1"/>
  <c r="P96" i="1" s="1"/>
  <c r="L96" i="1" s="1"/>
  <c r="B40" i="1" s="1"/>
  <c r="Q93" i="1"/>
  <c r="Q96" i="1" s="1"/>
  <c r="M96" i="1" s="1"/>
  <c r="C40" i="1" s="1"/>
  <c r="R93" i="1"/>
  <c r="R106" i="1"/>
  <c r="R108" i="1" s="1"/>
  <c r="N108" i="1" s="1"/>
  <c r="D42" i="1" s="1"/>
  <c r="I112" i="1"/>
  <c r="Q106" i="1"/>
  <c r="Q113" i="1"/>
  <c r="I119" i="1"/>
  <c r="R113" i="1"/>
  <c r="I105" i="1" l="1"/>
  <c r="R99" i="1"/>
  <c r="P99" i="1"/>
  <c r="P102" i="1" s="1"/>
  <c r="L102" i="1" s="1"/>
  <c r="B41" i="1" s="1"/>
  <c r="Q99" i="1"/>
  <c r="Q102" i="1" s="1"/>
  <c r="M102" i="1" s="1"/>
  <c r="C41" i="1" s="1"/>
  <c r="R112" i="1"/>
  <c r="R114" i="1" s="1"/>
  <c r="N114" i="1" s="1"/>
  <c r="D43" i="1" s="1"/>
  <c r="Q112" i="1"/>
  <c r="I118" i="1"/>
  <c r="R119" i="1"/>
  <c r="Q119" i="1"/>
  <c r="P105" i="1" l="1"/>
  <c r="P108" i="1" s="1"/>
  <c r="L108" i="1" s="1"/>
  <c r="B42" i="1" s="1"/>
  <c r="R105" i="1"/>
  <c r="I111" i="1"/>
  <c r="Q105" i="1"/>
  <c r="Q108" i="1" s="1"/>
  <c r="M108" i="1" s="1"/>
  <c r="C42" i="1" s="1"/>
  <c r="Q118" i="1"/>
  <c r="R118" i="1"/>
  <c r="R120" i="1" s="1"/>
  <c r="N120" i="1" s="1"/>
  <c r="D44" i="1" s="1"/>
  <c r="C17" i="1" s="1"/>
  <c r="I117" i="1" l="1"/>
  <c r="Q111" i="1"/>
  <c r="Q114" i="1" s="1"/>
  <c r="M114" i="1" s="1"/>
  <c r="C43" i="1" s="1"/>
  <c r="P111" i="1"/>
  <c r="P114" i="1" s="1"/>
  <c r="L114" i="1" s="1"/>
  <c r="B43" i="1" s="1"/>
  <c r="R111" i="1"/>
  <c r="Q117" i="1" l="1"/>
  <c r="Q120" i="1" s="1"/>
  <c r="M120" i="1" s="1"/>
  <c r="C44" i="1" s="1"/>
  <c r="C16" i="1" s="1"/>
  <c r="P117" i="1"/>
  <c r="P120" i="1" s="1"/>
  <c r="L120" i="1" s="1"/>
  <c r="B44" i="1" s="1"/>
  <c r="C15" i="1" s="1"/>
  <c r="R117" i="1"/>
</calcChain>
</file>

<file path=xl/sharedStrings.xml><?xml version="1.0" encoding="utf-8"?>
<sst xmlns="http://schemas.openxmlformats.org/spreadsheetml/2006/main" count="305" uniqueCount="43">
  <si>
    <t>Ganancia</t>
  </si>
  <si>
    <t>Retardo</t>
  </si>
  <si>
    <t>Tiempo Muerto</t>
  </si>
  <si>
    <t>Kp</t>
  </si>
  <si>
    <t>ti</t>
  </si>
  <si>
    <t>td</t>
  </si>
  <si>
    <t>min</t>
  </si>
  <si>
    <t>τ (min)</t>
  </si>
  <si>
    <t>k (%/%)</t>
  </si>
  <si>
    <t>tm (min)</t>
  </si>
  <si>
    <t>Parametros de la Planta</t>
  </si>
  <si>
    <t xml:space="preserve">Parametros del Controlador </t>
  </si>
  <si>
    <t xml:space="preserve">Seleccione el Método de Ajuste del Controlador </t>
  </si>
  <si>
    <t xml:space="preserve">Ziegler y Nichols </t>
  </si>
  <si>
    <t>Chien-Hrones-Reswick</t>
  </si>
  <si>
    <t>Aström y Hägglund</t>
  </si>
  <si>
    <t xml:space="preserve">Cohen-Coon </t>
  </si>
  <si>
    <t>Dahlin λ=0,2</t>
  </si>
  <si>
    <t>Dahlin λ=0,6</t>
  </si>
  <si>
    <t>Dahlin λ=1,2</t>
  </si>
  <si>
    <t>Dahlin λ=1</t>
  </si>
  <si>
    <t>kp</t>
  </si>
  <si>
    <t>Kaya y Sheib (REF) IAE</t>
  </si>
  <si>
    <t>Kaya y Sheib (REF) ISE</t>
  </si>
  <si>
    <t>Kaya y Sheib (REF) IAET</t>
  </si>
  <si>
    <t>Kaya y Sheib (Dist) IAE</t>
  </si>
  <si>
    <t>Kaya y Sheib (Dist) IAET</t>
  </si>
  <si>
    <t>Kaya y Sheib (Dist) ISE</t>
  </si>
  <si>
    <t>López IAE</t>
  </si>
  <si>
    <t>López IAET</t>
  </si>
  <si>
    <t>López ISE</t>
  </si>
  <si>
    <t>Base de Datos</t>
  </si>
  <si>
    <t>P</t>
  </si>
  <si>
    <t>PI</t>
  </si>
  <si>
    <t>PID</t>
  </si>
  <si>
    <t>inf</t>
  </si>
  <si>
    <t>Controlador</t>
  </si>
  <si>
    <t>Chien-Hrones-Reswick 0%</t>
  </si>
  <si>
    <t>Chien-Hrones-Reswick  20%</t>
  </si>
  <si>
    <t>Hoja de Cálculo de los Parámetros de Ajuste del Controlador</t>
  </si>
  <si>
    <t>Método</t>
  </si>
  <si>
    <t>Rovira IAE</t>
  </si>
  <si>
    <t>Rovira IAET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</si>
</sst>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6699FF"/>
      <name val="Calibri"/>
      <family val="2"/>
      <scheme val="minor"/>
    </font>
    <font>
      <b/>
      <sz val="11"/>
      <color rgb="FF6699FF"/>
      <name val="Calibri"/>
      <family val="2"/>
      <scheme val="minor"/>
    </font>
    <font>
      <sz val="8"/>
      <color rgb="FF6699FF"/>
      <name val="Calibri"/>
      <family val="2"/>
      <scheme val="minor"/>
    </font>
    <font>
      <b/>
      <sz val="8"/>
      <color rgb="FF6699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99F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Border="1"/>
    <xf numFmtId="0" fontId="4" fillId="3" borderId="0" xfId="0" applyFont="1" applyFill="1" applyAlignment="1">
      <alignment horizontal="left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0" xfId="0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0" fillId="3" borderId="3" xfId="0" applyFill="1" applyBorder="1"/>
    <xf numFmtId="0" fontId="0" fillId="3" borderId="12" xfId="0" applyFill="1" applyBorder="1" applyAlignment="1">
      <alignment horizontal="center" vertical="center"/>
    </xf>
    <xf numFmtId="0" fontId="0" fillId="3" borderId="5" xfId="0" applyFill="1" applyBorder="1"/>
    <xf numFmtId="0" fontId="5" fillId="3" borderId="0" xfId="0" applyFont="1" applyFill="1" applyBorder="1"/>
    <xf numFmtId="0" fontId="6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left" vertical="center"/>
    </xf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7</xdr:row>
          <xdr:rowOff>57150</xdr:rowOff>
        </xdr:from>
        <xdr:to>
          <xdr:col>2</xdr:col>
          <xdr:colOff>85725</xdr:colOff>
          <xdr:row>8</xdr:row>
          <xdr:rowOff>114300</xdr:rowOff>
        </xdr:to>
        <xdr:sp macro="" textlink="">
          <xdr:nvSpPr>
            <xdr:cNvPr id="1025" name="Combo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7</xdr:row>
          <xdr:rowOff>57150</xdr:rowOff>
        </xdr:from>
        <xdr:to>
          <xdr:col>3</xdr:col>
          <xdr:colOff>1076325</xdr:colOff>
          <xdr:row>8</xdr:row>
          <xdr:rowOff>104775</xdr:rowOff>
        </xdr:to>
        <xdr:sp macro="" textlink="">
          <xdr:nvSpPr>
            <xdr:cNvPr id="1026" name="OptionButton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8</xdr:row>
          <xdr:rowOff>95250</xdr:rowOff>
        </xdr:from>
        <xdr:to>
          <xdr:col>3</xdr:col>
          <xdr:colOff>1076325</xdr:colOff>
          <xdr:row>9</xdr:row>
          <xdr:rowOff>142875</xdr:rowOff>
        </xdr:to>
        <xdr:sp macro="" textlink="">
          <xdr:nvSpPr>
            <xdr:cNvPr id="1027" name="OptionButton2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9</xdr:row>
          <xdr:rowOff>114300</xdr:rowOff>
        </xdr:from>
        <xdr:to>
          <xdr:col>3</xdr:col>
          <xdr:colOff>1076325</xdr:colOff>
          <xdr:row>10</xdr:row>
          <xdr:rowOff>161925</xdr:rowOff>
        </xdr:to>
        <xdr:sp macro="" textlink="">
          <xdr:nvSpPr>
            <xdr:cNvPr id="1028" name="OptionButton3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N234"/>
  <sheetViews>
    <sheetView tabSelected="1" zoomScale="115" zoomScaleNormal="115" workbookViewId="0">
      <selection activeCell="E11" sqref="E11"/>
    </sheetView>
  </sheetViews>
  <sheetFormatPr baseColWidth="10" defaultRowHeight="15" x14ac:dyDescent="0.25"/>
  <cols>
    <col min="1" max="1" width="16.42578125" style="14" customWidth="1"/>
    <col min="2" max="4" width="16.42578125" style="15" customWidth="1"/>
    <col min="5" max="5" width="16.42578125" style="14" customWidth="1"/>
    <col min="6" max="7" width="11.42578125" style="16"/>
    <col min="8" max="8" width="11.42578125" style="25"/>
    <col min="9" max="9" width="11.85546875" style="25" bestFit="1" customWidth="1"/>
    <col min="10" max="10" width="23.7109375" style="25" customWidth="1"/>
    <col min="11" max="11" width="6.85546875" style="25" customWidth="1"/>
    <col min="12" max="14" width="11.85546875" style="25" customWidth="1"/>
    <col min="15" max="15" width="4" style="25" customWidth="1"/>
    <col min="16" max="17" width="11.85546875" style="25" customWidth="1"/>
    <col min="18" max="18" width="11.42578125" style="25"/>
    <col min="19" max="25" width="11.42578125" style="16"/>
    <col min="26" max="38" width="11.42578125" style="12"/>
    <col min="39" max="92" width="11.42578125" style="13"/>
  </cols>
  <sheetData>
    <row r="1" spans="1:38" s="14" customFormat="1" ht="42.75" customHeight="1" thickBot="1" x14ac:dyDescent="0.3">
      <c r="A1" s="37" t="s">
        <v>39</v>
      </c>
      <c r="B1" s="38"/>
      <c r="C1" s="38"/>
      <c r="D1" s="38"/>
      <c r="E1" s="39"/>
      <c r="F1" s="16"/>
      <c r="G1" s="16"/>
      <c r="H1" s="25"/>
      <c r="I1" s="25"/>
      <c r="J1" s="26" t="s">
        <v>31</v>
      </c>
      <c r="K1" s="25"/>
      <c r="L1" s="25"/>
      <c r="M1" s="25"/>
      <c r="N1" s="25"/>
      <c r="O1" s="25"/>
      <c r="P1" s="25"/>
      <c r="Q1" s="25"/>
      <c r="R1" s="25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ht="15.75" thickBot="1" x14ac:dyDescent="0.3">
      <c r="A2" s="18"/>
      <c r="B2" s="40" t="s">
        <v>10</v>
      </c>
      <c r="C2" s="41"/>
      <c r="D2" s="42"/>
      <c r="E2" s="19"/>
      <c r="H2" s="25" t="s">
        <v>36</v>
      </c>
      <c r="L2" s="27" t="s">
        <v>21</v>
      </c>
      <c r="M2" s="27" t="s">
        <v>4</v>
      </c>
      <c r="N2" s="27" t="s">
        <v>5</v>
      </c>
      <c r="P2" s="27" t="s">
        <v>21</v>
      </c>
      <c r="Q2" s="27" t="s">
        <v>4</v>
      </c>
      <c r="R2" s="27" t="s">
        <v>5</v>
      </c>
    </row>
    <row r="3" spans="1:38" ht="15.75" thickBot="1" x14ac:dyDescent="0.3">
      <c r="A3" s="18"/>
      <c r="B3" s="4" t="s">
        <v>0</v>
      </c>
      <c r="C3" s="5" t="s">
        <v>1</v>
      </c>
      <c r="D3" s="6" t="s">
        <v>2</v>
      </c>
      <c r="E3" s="19"/>
      <c r="H3" s="28" t="s">
        <v>32</v>
      </c>
      <c r="I3" s="25" t="b">
        <v>0</v>
      </c>
      <c r="J3" s="29" t="s">
        <v>13</v>
      </c>
      <c r="K3" s="28" t="s">
        <v>32</v>
      </c>
      <c r="L3" s="28">
        <f>τ/(k*tm)</f>
        <v>13.280212483399733</v>
      </c>
      <c r="M3" s="28" t="s">
        <v>35</v>
      </c>
      <c r="N3" s="28">
        <v>0</v>
      </c>
      <c r="P3" s="28">
        <f>$I$3*L3</f>
        <v>0</v>
      </c>
      <c r="Q3" s="28">
        <f>IF(I3,"inf",0)</f>
        <v>0</v>
      </c>
      <c r="R3" s="28">
        <f>I3*N3</f>
        <v>0</v>
      </c>
    </row>
    <row r="4" spans="1:38" ht="15.75" thickBot="1" x14ac:dyDescent="0.3">
      <c r="A4" s="18"/>
      <c r="B4" s="7" t="s">
        <v>8</v>
      </c>
      <c r="C4" s="8" t="s">
        <v>7</v>
      </c>
      <c r="D4" s="9" t="s">
        <v>9</v>
      </c>
      <c r="E4" s="19"/>
      <c r="H4" s="28" t="s">
        <v>33</v>
      </c>
      <c r="I4" s="25" t="b">
        <v>0</v>
      </c>
      <c r="J4" s="29" t="s">
        <v>13</v>
      </c>
      <c r="K4" s="28" t="s">
        <v>33</v>
      </c>
      <c r="L4" s="28">
        <f>0.9*τ/(k*tm)</f>
        <v>11.952191235059759</v>
      </c>
      <c r="M4" s="28">
        <f>tm/0.3</f>
        <v>0.56666666666666676</v>
      </c>
      <c r="N4" s="28">
        <v>0</v>
      </c>
      <c r="P4" s="28">
        <f>$I$4*L4</f>
        <v>0</v>
      </c>
      <c r="Q4" s="28">
        <f t="shared" ref="Q4:R4" si="0">$I$4*M4</f>
        <v>0</v>
      </c>
      <c r="R4" s="28">
        <f t="shared" si="0"/>
        <v>0</v>
      </c>
    </row>
    <row r="5" spans="1:38" ht="15.75" thickBot="1" x14ac:dyDescent="0.3">
      <c r="A5" s="18"/>
      <c r="B5" s="1">
        <v>0.753</v>
      </c>
      <c r="C5" s="2">
        <v>1.7</v>
      </c>
      <c r="D5" s="3">
        <v>0.17</v>
      </c>
      <c r="E5" s="19"/>
      <c r="H5" s="28" t="s">
        <v>34</v>
      </c>
      <c r="I5" s="25" t="b">
        <v>1</v>
      </c>
      <c r="J5" s="29" t="s">
        <v>13</v>
      </c>
      <c r="K5" s="28" t="s">
        <v>34</v>
      </c>
      <c r="L5" s="28">
        <f>1.2*τ/(k*tm)</f>
        <v>15.93625498007968</v>
      </c>
      <c r="M5" s="28">
        <f>2*tm</f>
        <v>0.34</v>
      </c>
      <c r="N5" s="28">
        <f>0.5*tm</f>
        <v>8.5000000000000006E-2</v>
      </c>
      <c r="P5" s="28">
        <f>$I$5*L5</f>
        <v>15.93625498007968</v>
      </c>
      <c r="Q5" s="28">
        <f t="shared" ref="Q5:R5" si="1">$I$5*M5</f>
        <v>0.34</v>
      </c>
      <c r="R5" s="28">
        <f t="shared" si="1"/>
        <v>8.5000000000000006E-2</v>
      </c>
    </row>
    <row r="6" spans="1:38" x14ac:dyDescent="0.25">
      <c r="A6" s="18"/>
      <c r="B6" s="20"/>
      <c r="C6" s="20"/>
      <c r="D6" s="20"/>
      <c r="E6" s="19"/>
      <c r="J6" s="30" t="s">
        <v>13</v>
      </c>
      <c r="L6" s="28">
        <f>P6</f>
        <v>15.93625498007968</v>
      </c>
      <c r="M6" s="28">
        <f t="shared" ref="M6:N6" si="2">Q6</f>
        <v>0.34</v>
      </c>
      <c r="N6" s="28">
        <f t="shared" si="2"/>
        <v>8.5000000000000006E-2</v>
      </c>
      <c r="P6" s="28">
        <f>SUM(P3:P5)</f>
        <v>15.93625498007968</v>
      </c>
      <c r="Q6" s="28">
        <f>IF(Q3&lt;&gt;0,"inf",SUM(Q4:Q5))</f>
        <v>0.34</v>
      </c>
      <c r="R6" s="28">
        <f>SUM(R4:R5)</f>
        <v>8.5000000000000006E-2</v>
      </c>
    </row>
    <row r="7" spans="1:38" x14ac:dyDescent="0.25">
      <c r="A7" s="47" t="s">
        <v>12</v>
      </c>
      <c r="B7" s="48"/>
      <c r="C7" s="48"/>
      <c r="D7" s="48"/>
      <c r="E7" s="49"/>
    </row>
    <row r="8" spans="1:38" x14ac:dyDescent="0.25">
      <c r="A8" s="18"/>
      <c r="B8" s="20"/>
      <c r="C8" s="20"/>
      <c r="D8" s="20"/>
      <c r="E8" s="19"/>
      <c r="L8" s="27" t="s">
        <v>21</v>
      </c>
      <c r="M8" s="27" t="s">
        <v>4</v>
      </c>
      <c r="N8" s="27" t="s">
        <v>5</v>
      </c>
    </row>
    <row r="9" spans="1:38" x14ac:dyDescent="0.25">
      <c r="A9" s="18"/>
      <c r="B9" s="20"/>
      <c r="C9" s="20"/>
      <c r="D9" s="20"/>
      <c r="E9" s="19"/>
      <c r="H9" s="28" t="s">
        <v>32</v>
      </c>
      <c r="I9" s="25" t="b">
        <f>I3</f>
        <v>0</v>
      </c>
      <c r="J9" s="31" t="s">
        <v>37</v>
      </c>
      <c r="K9" s="28" t="s">
        <v>32</v>
      </c>
      <c r="L9" s="28">
        <f>0.3*τ/(k*tm)</f>
        <v>3.9840637450199199</v>
      </c>
      <c r="M9" s="28" t="s">
        <v>35</v>
      </c>
      <c r="N9" s="28">
        <v>0</v>
      </c>
      <c r="P9" s="28">
        <f>$I$9*L9</f>
        <v>0</v>
      </c>
      <c r="Q9" s="28">
        <f>IF(I9,"inf",0)</f>
        <v>0</v>
      </c>
      <c r="R9" s="28">
        <f>I9*N9</f>
        <v>0</v>
      </c>
    </row>
    <row r="10" spans="1:38" x14ac:dyDescent="0.25">
      <c r="A10" s="18"/>
      <c r="B10" s="20"/>
      <c r="C10" s="20"/>
      <c r="D10" s="20"/>
      <c r="E10" s="19"/>
      <c r="H10" s="28" t="s">
        <v>33</v>
      </c>
      <c r="I10" s="25" t="b">
        <f>I4</f>
        <v>0</v>
      </c>
      <c r="J10" s="31" t="s">
        <v>14</v>
      </c>
      <c r="K10" s="28" t="s">
        <v>33</v>
      </c>
      <c r="L10" s="28">
        <f>0.35*τ/(k*tm)</f>
        <v>4.6480743691899065</v>
      </c>
      <c r="M10" s="28">
        <f>1.2*τ</f>
        <v>2.04</v>
      </c>
      <c r="N10" s="28">
        <v>0</v>
      </c>
      <c r="P10" s="28">
        <f>$I$10*L10</f>
        <v>0</v>
      </c>
      <c r="Q10" s="28">
        <f>I10*M10</f>
        <v>0</v>
      </c>
      <c r="R10" s="28">
        <f>I10*N10</f>
        <v>0</v>
      </c>
    </row>
    <row r="11" spans="1:38" x14ac:dyDescent="0.25">
      <c r="A11" s="18"/>
      <c r="B11" s="21"/>
      <c r="C11" s="21"/>
      <c r="D11" s="21"/>
      <c r="E11" s="19"/>
      <c r="H11" s="28" t="s">
        <v>34</v>
      </c>
      <c r="I11" s="25" t="b">
        <f>I5</f>
        <v>1</v>
      </c>
      <c r="J11" s="31" t="s">
        <v>14</v>
      </c>
      <c r="K11" s="28" t="s">
        <v>34</v>
      </c>
      <c r="L11" s="28">
        <f>0.6*τ/(k*tm)</f>
        <v>7.9681274900398398</v>
      </c>
      <c r="M11" s="28">
        <f>τ</f>
        <v>1.7</v>
      </c>
      <c r="N11" s="28">
        <f>0.5*tm</f>
        <v>8.5000000000000006E-2</v>
      </c>
      <c r="P11" s="28">
        <f>$I$11*L11</f>
        <v>7.9681274900398398</v>
      </c>
      <c r="Q11" s="28">
        <f>I11*M11</f>
        <v>1.7</v>
      </c>
      <c r="R11" s="28">
        <f>N11*I11</f>
        <v>8.5000000000000006E-2</v>
      </c>
    </row>
    <row r="12" spans="1:38" ht="15.75" thickBot="1" x14ac:dyDescent="0.3">
      <c r="A12" s="18"/>
      <c r="B12" s="20"/>
      <c r="C12" s="20"/>
      <c r="D12" s="20"/>
      <c r="E12" s="19"/>
      <c r="J12" s="32" t="s">
        <v>37</v>
      </c>
      <c r="L12" s="28">
        <f>P12</f>
        <v>7.9681274900398398</v>
      </c>
      <c r="M12" s="28">
        <f t="shared" ref="M12" si="3">Q12</f>
        <v>1.7</v>
      </c>
      <c r="N12" s="28">
        <f t="shared" ref="N12" si="4">R12</f>
        <v>8.5000000000000006E-2</v>
      </c>
      <c r="P12" s="28">
        <f>SUM(P9:P11)</f>
        <v>7.9681274900398398</v>
      </c>
      <c r="Q12" s="28">
        <f>IF(Q9&lt;&gt;0,"inf",SUM(Q10:Q11))</f>
        <v>1.7</v>
      </c>
      <c r="R12" s="28">
        <f>SUM(R10:R11)</f>
        <v>8.5000000000000006E-2</v>
      </c>
    </row>
    <row r="13" spans="1:38" x14ac:dyDescent="0.25">
      <c r="A13" s="18"/>
      <c r="B13" s="43" t="s">
        <v>11</v>
      </c>
      <c r="C13" s="44"/>
      <c r="D13" s="45"/>
      <c r="E13" s="19"/>
    </row>
    <row r="14" spans="1:38" ht="15.75" thickBot="1" x14ac:dyDescent="0.3">
      <c r="A14" s="18"/>
      <c r="B14" s="7"/>
      <c r="C14" s="10" t="s">
        <v>13</v>
      </c>
      <c r="D14" s="9"/>
      <c r="E14" s="19"/>
      <c r="L14" s="27" t="s">
        <v>21</v>
      </c>
      <c r="M14" s="27" t="s">
        <v>4</v>
      </c>
      <c r="N14" s="27" t="s">
        <v>5</v>
      </c>
    </row>
    <row r="15" spans="1:38" ht="15.75" thickBot="1" x14ac:dyDescent="0.3">
      <c r="A15" s="18"/>
      <c r="B15" s="11" t="s">
        <v>3</v>
      </c>
      <c r="C15" s="5">
        <f>VLOOKUP(C14,A25:D44,2,)</f>
        <v>15.93625498007968</v>
      </c>
      <c r="D15" s="5"/>
      <c r="E15" s="19"/>
      <c r="H15" s="28" t="s">
        <v>32</v>
      </c>
      <c r="I15" s="25" t="b">
        <f>I9</f>
        <v>0</v>
      </c>
      <c r="J15" s="31" t="s">
        <v>37</v>
      </c>
      <c r="K15" s="28" t="s">
        <v>32</v>
      </c>
      <c r="L15" s="28">
        <f>0.7*τ/(k*tm)</f>
        <v>9.2961487383798129</v>
      </c>
      <c r="M15" s="28" t="s">
        <v>35</v>
      </c>
      <c r="N15" s="28">
        <v>0</v>
      </c>
      <c r="P15" s="28">
        <f>$I$9*L15</f>
        <v>0</v>
      </c>
      <c r="Q15" s="28">
        <f>IF(I15,"inf",0)</f>
        <v>0</v>
      </c>
      <c r="R15" s="28">
        <f>I15*N15</f>
        <v>0</v>
      </c>
    </row>
    <row r="16" spans="1:38" ht="15.75" thickBot="1" x14ac:dyDescent="0.3">
      <c r="A16" s="18"/>
      <c r="B16" s="5" t="s">
        <v>4</v>
      </c>
      <c r="C16" s="5">
        <f>VLOOKUP(C14,A25:D44,3,)</f>
        <v>0.34</v>
      </c>
      <c r="D16" s="5" t="s">
        <v>6</v>
      </c>
      <c r="E16" s="19"/>
      <c r="H16" s="28" t="s">
        <v>33</v>
      </c>
      <c r="I16" s="25" t="b">
        <f>I10</f>
        <v>0</v>
      </c>
      <c r="J16" s="31" t="s">
        <v>14</v>
      </c>
      <c r="K16" s="28" t="s">
        <v>33</v>
      </c>
      <c r="L16" s="28">
        <f>0.6*τ/(k*tm)</f>
        <v>7.9681274900398398</v>
      </c>
      <c r="M16" s="28">
        <f>τ</f>
        <v>1.7</v>
      </c>
      <c r="N16" s="28">
        <v>0</v>
      </c>
      <c r="P16" s="28">
        <f>$I$10*L16</f>
        <v>0</v>
      </c>
      <c r="Q16" s="28">
        <f>I16*M16</f>
        <v>0</v>
      </c>
      <c r="R16" s="28">
        <f>I16*N16</f>
        <v>0</v>
      </c>
    </row>
    <row r="17" spans="1:38" ht="15.75" thickBot="1" x14ac:dyDescent="0.3">
      <c r="A17" s="18"/>
      <c r="B17" s="8" t="s">
        <v>5</v>
      </c>
      <c r="C17" s="5">
        <f>VLOOKUP(C14,A25:D44,4,)</f>
        <v>8.5000000000000006E-2</v>
      </c>
      <c r="D17" s="5" t="s">
        <v>6</v>
      </c>
      <c r="E17" s="19"/>
      <c r="H17" s="28" t="s">
        <v>34</v>
      </c>
      <c r="I17" s="25" t="b">
        <f>I11</f>
        <v>1</v>
      </c>
      <c r="J17" s="31" t="s">
        <v>14</v>
      </c>
      <c r="K17" s="28" t="s">
        <v>34</v>
      </c>
      <c r="L17" s="28">
        <f>0.95*τ/(k*tm)</f>
        <v>12.616201859229747</v>
      </c>
      <c r="M17" s="28">
        <f>1.4*τ</f>
        <v>2.38</v>
      </c>
      <c r="N17" s="28">
        <f>0.47*tm</f>
        <v>7.9899999999999999E-2</v>
      </c>
      <c r="P17" s="28">
        <f>$I$11*L17</f>
        <v>12.616201859229747</v>
      </c>
      <c r="Q17" s="28">
        <f>I17*M17</f>
        <v>2.38</v>
      </c>
      <c r="R17" s="28">
        <f>N17*I17</f>
        <v>7.9899999999999999E-2</v>
      </c>
    </row>
    <row r="18" spans="1:38" ht="15.75" thickBot="1" x14ac:dyDescent="0.3">
      <c r="A18" s="22"/>
      <c r="B18" s="23"/>
      <c r="C18" s="23"/>
      <c r="D18" s="23"/>
      <c r="E18" s="24"/>
      <c r="J18" s="32" t="s">
        <v>38</v>
      </c>
      <c r="L18" s="28">
        <f>P18</f>
        <v>12.616201859229747</v>
      </c>
      <c r="M18" s="28">
        <f t="shared" ref="M18" si="5">Q18</f>
        <v>2.38</v>
      </c>
      <c r="N18" s="28">
        <f t="shared" ref="N18" si="6">R18</f>
        <v>7.9899999999999999E-2</v>
      </c>
      <c r="P18" s="28">
        <f>SUM(P15:P17)</f>
        <v>12.616201859229747</v>
      </c>
      <c r="Q18" s="28">
        <f>IF(Q15&lt;&gt;0,"inf",SUM(Q16:Q17))</f>
        <v>2.38</v>
      </c>
      <c r="R18" s="28">
        <f>SUM(R16:R17)</f>
        <v>7.9899999999999999E-2</v>
      </c>
    </row>
    <row r="19" spans="1:38" x14ac:dyDescent="0.25">
      <c r="B19" s="46"/>
      <c r="C19" s="46"/>
      <c r="D19" s="46"/>
    </row>
    <row r="20" spans="1:38" x14ac:dyDescent="0.25">
      <c r="L20" s="27" t="s">
        <v>21</v>
      </c>
      <c r="M20" s="27" t="s">
        <v>4</v>
      </c>
      <c r="N20" s="27" t="s">
        <v>5</v>
      </c>
    </row>
    <row r="21" spans="1:38" x14ac:dyDescent="0.25">
      <c r="H21" s="28" t="s">
        <v>32</v>
      </c>
      <c r="I21" s="25" t="b">
        <f>I15</f>
        <v>0</v>
      </c>
      <c r="J21" s="31" t="s">
        <v>16</v>
      </c>
      <c r="K21" s="28" t="s">
        <v>32</v>
      </c>
      <c r="L21" s="28">
        <f>(τ/(k*tm))*(1+(tm/(3*τ)))</f>
        <v>13.722886232846392</v>
      </c>
      <c r="M21" s="28" t="s">
        <v>35</v>
      </c>
      <c r="N21" s="28">
        <v>0</v>
      </c>
      <c r="P21" s="28">
        <f>$I$9*L21</f>
        <v>0</v>
      </c>
      <c r="Q21" s="28">
        <f>IF(I21,"inf",0)</f>
        <v>0</v>
      </c>
      <c r="R21" s="28">
        <f>I21*N21</f>
        <v>0</v>
      </c>
    </row>
    <row r="22" spans="1:38" s="33" customFormat="1" x14ac:dyDescent="0.25">
      <c r="B22" s="34"/>
      <c r="C22" s="34"/>
      <c r="D22" s="34"/>
      <c r="F22" s="25"/>
      <c r="G22" s="25"/>
      <c r="H22" s="28" t="s">
        <v>33</v>
      </c>
      <c r="I22" s="25" t="b">
        <f>I16</f>
        <v>0</v>
      </c>
      <c r="J22" s="31" t="s">
        <v>16</v>
      </c>
      <c r="K22" s="28" t="s">
        <v>33</v>
      </c>
      <c r="L22" s="28">
        <f>(τ/(k*tm))*((9/10)+(tm/(12*τ)))</f>
        <v>12.062859672421425</v>
      </c>
      <c r="M22" s="28">
        <f>tm*(30*τ+3*tm)/(9*τ+20*tm)</f>
        <v>0.46827272727272728</v>
      </c>
      <c r="N22" s="28">
        <v>0</v>
      </c>
      <c r="O22" s="25"/>
      <c r="P22" s="28">
        <f>$I$10*L22</f>
        <v>0</v>
      </c>
      <c r="Q22" s="28">
        <f>I22*M22</f>
        <v>0</v>
      </c>
      <c r="R22" s="28">
        <f>I22*N22</f>
        <v>0</v>
      </c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</row>
    <row r="23" spans="1:38" s="33" customFormat="1" x14ac:dyDescent="0.25">
      <c r="B23" s="34"/>
      <c r="C23" s="34"/>
      <c r="D23" s="34"/>
      <c r="F23" s="25"/>
      <c r="G23" s="25"/>
      <c r="H23" s="28" t="s">
        <v>34</v>
      </c>
      <c r="I23" s="25" t="b">
        <f>I17</f>
        <v>1</v>
      </c>
      <c r="J23" s="31" t="s">
        <v>16</v>
      </c>
      <c r="K23" s="28" t="s">
        <v>34</v>
      </c>
      <c r="L23" s="28">
        <f>(τ/(k*tm))*((4/3)+(tm/(4*τ)))</f>
        <v>18.038955289951303</v>
      </c>
      <c r="M23" s="28">
        <f>tm*(32*τ+6*tm)/(13*τ+8*tm)</f>
        <v>0.4015942028985508</v>
      </c>
      <c r="N23" s="28">
        <f>tm*(4*τ)/(11*τ+2*tm)</f>
        <v>6.0714285714285728E-2</v>
      </c>
      <c r="O23" s="25"/>
      <c r="P23" s="28">
        <f>$I$11*L23</f>
        <v>18.038955289951303</v>
      </c>
      <c r="Q23" s="28">
        <f>I23*M23</f>
        <v>0.4015942028985508</v>
      </c>
      <c r="R23" s="28">
        <f>N23*I23</f>
        <v>6.0714285714285728E-2</v>
      </c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</row>
    <row r="24" spans="1:38" s="33" customFormat="1" x14ac:dyDescent="0.25">
      <c r="A24" s="33" t="s">
        <v>40</v>
      </c>
      <c r="B24" s="35" t="s">
        <v>21</v>
      </c>
      <c r="C24" s="35" t="s">
        <v>4</v>
      </c>
      <c r="D24" s="35" t="s">
        <v>5</v>
      </c>
      <c r="F24" s="25"/>
      <c r="G24" s="25"/>
      <c r="H24" s="25"/>
      <c r="I24" s="25"/>
      <c r="J24" s="32" t="s">
        <v>16</v>
      </c>
      <c r="K24" s="25"/>
      <c r="L24" s="28">
        <f>P24</f>
        <v>18.038955289951303</v>
      </c>
      <c r="M24" s="28">
        <f t="shared" ref="M24" si="7">Q24</f>
        <v>0.4015942028985508</v>
      </c>
      <c r="N24" s="28">
        <f t="shared" ref="N24" si="8">R24</f>
        <v>6.0714285714285728E-2</v>
      </c>
      <c r="O24" s="25"/>
      <c r="P24" s="28">
        <f>SUM(P21:P23)</f>
        <v>18.038955289951303</v>
      </c>
      <c r="Q24" s="28">
        <f>IF(Q21&lt;&gt;0,"inf",SUM(Q22:Q23))</f>
        <v>0.4015942028985508</v>
      </c>
      <c r="R24" s="28">
        <f>SUM(R22:R23)</f>
        <v>6.0714285714285728E-2</v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</row>
    <row r="25" spans="1:38" s="33" customFormat="1" x14ac:dyDescent="0.25">
      <c r="A25" s="36" t="str">
        <f>J6</f>
        <v xml:space="preserve">Ziegler y Nichols </v>
      </c>
      <c r="B25" s="34">
        <f>L6</f>
        <v>15.93625498007968</v>
      </c>
      <c r="C25" s="34">
        <f>M6</f>
        <v>0.34</v>
      </c>
      <c r="D25" s="34">
        <f>N6</f>
        <v>8.5000000000000006E-2</v>
      </c>
      <c r="F25" s="25"/>
      <c r="G25" s="25"/>
      <c r="H25" s="25"/>
      <c r="I25" s="28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</row>
    <row r="26" spans="1:38" s="33" customFormat="1" x14ac:dyDescent="0.25">
      <c r="A26" s="36" t="str">
        <f>J12</f>
        <v>Chien-Hrones-Reswick 0%</v>
      </c>
      <c r="B26" s="34">
        <f>L12</f>
        <v>7.9681274900398398</v>
      </c>
      <c r="C26" s="34">
        <f>M12</f>
        <v>1.7</v>
      </c>
      <c r="D26" s="34">
        <f>N12</f>
        <v>8.5000000000000006E-2</v>
      </c>
      <c r="F26" s="25"/>
      <c r="G26" s="25"/>
      <c r="H26" s="25"/>
      <c r="I26" s="25"/>
      <c r="J26" s="25"/>
      <c r="K26" s="25"/>
      <c r="L26" s="27" t="s">
        <v>21</v>
      </c>
      <c r="M26" s="27" t="s">
        <v>4</v>
      </c>
      <c r="N26" s="27" t="s">
        <v>5</v>
      </c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</row>
    <row r="27" spans="1:38" s="33" customFormat="1" x14ac:dyDescent="0.25">
      <c r="A27" s="36" t="str">
        <f>J18</f>
        <v>Chien-Hrones-Reswick  20%</v>
      </c>
      <c r="B27" s="34">
        <f>L18</f>
        <v>12.616201859229747</v>
      </c>
      <c r="C27" s="34">
        <f>M18</f>
        <v>2.38</v>
      </c>
      <c r="D27" s="34">
        <f>N18</f>
        <v>7.9899999999999999E-2</v>
      </c>
      <c r="F27" s="25"/>
      <c r="G27" s="25"/>
      <c r="H27" s="28" t="s">
        <v>32</v>
      </c>
      <c r="I27" s="25" t="b">
        <f>I21</f>
        <v>0</v>
      </c>
      <c r="J27" s="31" t="s">
        <v>15</v>
      </c>
      <c r="K27" s="28" t="s">
        <v>32</v>
      </c>
      <c r="L27" s="28">
        <f>(0.21/k)+(0.45*τ)/(k*tm)</f>
        <v>6.2549800796812738</v>
      </c>
      <c r="M27" s="28" t="s">
        <v>35</v>
      </c>
      <c r="N27" s="28">
        <v>0</v>
      </c>
      <c r="O27" s="25"/>
      <c r="P27" s="28">
        <f>$I$9*L27</f>
        <v>0</v>
      </c>
      <c r="Q27" s="28">
        <f>IF(I27,"inf",0)</f>
        <v>0</v>
      </c>
      <c r="R27" s="28">
        <f>I27*N27</f>
        <v>0</v>
      </c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</row>
    <row r="28" spans="1:38" s="33" customFormat="1" x14ac:dyDescent="0.25">
      <c r="A28" s="36" t="str">
        <f>J24</f>
        <v xml:space="preserve">Cohen-Coon </v>
      </c>
      <c r="B28" s="34">
        <f>L24</f>
        <v>18.038955289951303</v>
      </c>
      <c r="C28" s="34">
        <f>M24</f>
        <v>0.4015942028985508</v>
      </c>
      <c r="D28" s="34">
        <f>N24</f>
        <v>6.0714285714285728E-2</v>
      </c>
      <c r="F28" s="25"/>
      <c r="G28" s="25"/>
      <c r="H28" s="28" t="s">
        <v>33</v>
      </c>
      <c r="I28" s="25" t="b">
        <f>I22</f>
        <v>0</v>
      </c>
      <c r="J28" s="31" t="s">
        <v>15</v>
      </c>
      <c r="K28" s="28" t="s">
        <v>33</v>
      </c>
      <c r="L28" s="28">
        <f>(0.15/k)+(τ/(k*tm))*(0.35-((τ*tm)/((τ+tm)*(τ+tm))))</f>
        <v>3.7497393346723293</v>
      </c>
      <c r="M28" s="28">
        <f>0.35*tm+(13*τ*tm)/(τ*τ+12*τ*tm+7*tm*tm)</f>
        <v>0.63218722466960353</v>
      </c>
      <c r="N28" s="28">
        <v>0</v>
      </c>
      <c r="O28" s="25"/>
      <c r="P28" s="28">
        <f>$I$10*L28</f>
        <v>0</v>
      </c>
      <c r="Q28" s="28">
        <f>I28*M28</f>
        <v>0</v>
      </c>
      <c r="R28" s="28">
        <f>I28*N28</f>
        <v>0</v>
      </c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 spans="1:38" s="33" customFormat="1" x14ac:dyDescent="0.25">
      <c r="A29" s="36" t="str">
        <f>J30</f>
        <v>Aström y Hägglund</v>
      </c>
      <c r="B29" s="34">
        <f>L30</f>
        <v>6.2416998671978741</v>
      </c>
      <c r="C29" s="34">
        <f>M30</f>
        <v>0.71400000000000008</v>
      </c>
      <c r="D29" s="34">
        <f>N30</f>
        <v>8.2524271844660213E-2</v>
      </c>
      <c r="F29" s="25"/>
      <c r="G29" s="25"/>
      <c r="H29" s="28" t="s">
        <v>34</v>
      </c>
      <c r="I29" s="25" t="b">
        <f>I23</f>
        <v>1</v>
      </c>
      <c r="J29" s="31" t="s">
        <v>15</v>
      </c>
      <c r="K29" s="28" t="s">
        <v>34</v>
      </c>
      <c r="L29" s="28">
        <f>(0.2/k)+(0.45*τ)/(k*tm)</f>
        <v>6.2416998671978741</v>
      </c>
      <c r="M29" s="28">
        <f>tm*(0.8*τ+0.4*tm)/(0.1*τ+tm)</f>
        <v>0.71400000000000008</v>
      </c>
      <c r="N29" s="28">
        <f>(0.5*tm*τ)/(0.3*tm+τ)</f>
        <v>8.2524271844660213E-2</v>
      </c>
      <c r="O29" s="25"/>
      <c r="P29" s="28">
        <f>$I$11*L29</f>
        <v>6.2416998671978741</v>
      </c>
      <c r="Q29" s="28">
        <f>I29*M29</f>
        <v>0.71400000000000008</v>
      </c>
      <c r="R29" s="28">
        <f>N29*I29</f>
        <v>8.2524271844660213E-2</v>
      </c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</row>
    <row r="30" spans="1:38" s="33" customFormat="1" x14ac:dyDescent="0.25">
      <c r="A30" s="36" t="str">
        <f>J36</f>
        <v>Dahlin λ=0,2</v>
      </c>
      <c r="B30" s="34">
        <f>L36</f>
        <v>11.066843736166446</v>
      </c>
      <c r="C30" s="34">
        <f>M36</f>
        <v>1.7</v>
      </c>
      <c r="D30" s="34">
        <f>N36</f>
        <v>8.5000000000000006E-2</v>
      </c>
      <c r="F30" s="25"/>
      <c r="G30" s="25"/>
      <c r="H30" s="25"/>
      <c r="I30" s="25"/>
      <c r="J30" s="32" t="s">
        <v>15</v>
      </c>
      <c r="K30" s="25"/>
      <c r="L30" s="28">
        <f>P30</f>
        <v>6.2416998671978741</v>
      </c>
      <c r="M30" s="28">
        <f t="shared" ref="M30" si="9">Q30</f>
        <v>0.71400000000000008</v>
      </c>
      <c r="N30" s="28">
        <f t="shared" ref="N30" si="10">R30</f>
        <v>8.2524271844660213E-2</v>
      </c>
      <c r="O30" s="25"/>
      <c r="P30" s="28">
        <f>SUM(P27:P29)</f>
        <v>6.2416998671978741</v>
      </c>
      <c r="Q30" s="28">
        <f>IF(Q27&lt;&gt;0,"inf",SUM(Q28:Q29))</f>
        <v>0.71400000000000008</v>
      </c>
      <c r="R30" s="28">
        <f>SUM(R28:R29)</f>
        <v>8.2524271844660213E-2</v>
      </c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</row>
    <row r="31" spans="1:38" s="33" customFormat="1" x14ac:dyDescent="0.25">
      <c r="A31" s="36" t="str">
        <f>J42</f>
        <v>Dahlin λ=0,6</v>
      </c>
      <c r="B31" s="34">
        <f>L42</f>
        <v>8.300132802124832</v>
      </c>
      <c r="C31" s="34">
        <f>M42</f>
        <v>1.7</v>
      </c>
      <c r="D31" s="34">
        <f>N42</f>
        <v>8.5000000000000006E-2</v>
      </c>
      <c r="F31" s="25"/>
      <c r="G31" s="25"/>
      <c r="H31" s="25"/>
      <c r="I31" s="28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</row>
    <row r="32" spans="1:38" s="33" customFormat="1" x14ac:dyDescent="0.25">
      <c r="A32" s="36" t="str">
        <f>J48</f>
        <v>Dahlin λ=1</v>
      </c>
      <c r="B32" s="34">
        <f>L48</f>
        <v>6.6401062416998666</v>
      </c>
      <c r="C32" s="34">
        <f>M48</f>
        <v>1.7</v>
      </c>
      <c r="D32" s="34">
        <f>N48</f>
        <v>8.5000000000000006E-2</v>
      </c>
      <c r="F32" s="25"/>
      <c r="G32" s="25"/>
      <c r="H32" s="25"/>
      <c r="I32" s="25"/>
      <c r="J32" s="25"/>
      <c r="K32" s="25"/>
      <c r="L32" s="27" t="s">
        <v>21</v>
      </c>
      <c r="M32" s="27" t="s">
        <v>4</v>
      </c>
      <c r="N32" s="27" t="s">
        <v>5</v>
      </c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8" s="33" customFormat="1" x14ac:dyDescent="0.25">
      <c r="A33" s="36" t="str">
        <f>J54</f>
        <v>Dahlin λ=1,2</v>
      </c>
      <c r="B33" s="34">
        <f>L54</f>
        <v>6.036460219727152</v>
      </c>
      <c r="C33" s="34">
        <f>M54</f>
        <v>1.7</v>
      </c>
      <c r="D33" s="34">
        <f>N54</f>
        <v>8.5000000000000006E-2</v>
      </c>
      <c r="F33" s="25"/>
      <c r="G33" s="25"/>
      <c r="H33" s="28" t="s">
        <v>32</v>
      </c>
      <c r="I33" s="25" t="b">
        <f>I27</f>
        <v>0</v>
      </c>
      <c r="J33" s="31" t="s">
        <v>17</v>
      </c>
      <c r="K33" s="28" t="s">
        <v>32</v>
      </c>
      <c r="L33" s="28">
        <f>0.3*τ/(0.2*k*tm)</f>
        <v>19.920318725099598</v>
      </c>
      <c r="M33" s="28" t="s">
        <v>35</v>
      </c>
      <c r="N33" s="28">
        <v>0</v>
      </c>
      <c r="O33" s="25"/>
      <c r="P33" s="28">
        <f>$I$9*L33</f>
        <v>0</v>
      </c>
      <c r="Q33" s="28">
        <f>IF(I33,"inf",0)</f>
        <v>0</v>
      </c>
      <c r="R33" s="28">
        <f>I33*N33</f>
        <v>0</v>
      </c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</row>
    <row r="34" spans="1:38" s="33" customFormat="1" x14ac:dyDescent="0.25">
      <c r="A34" s="36" t="str">
        <f>J60</f>
        <v>López IAE</v>
      </c>
      <c r="B34" s="34">
        <f>L60</f>
        <v>15.887549799856243</v>
      </c>
      <c r="C34" s="34">
        <f>M60</f>
        <v>10.863115709056943</v>
      </c>
      <c r="D34" s="34">
        <f>N60</f>
        <v>5.9771748390259359E-2</v>
      </c>
      <c r="F34" s="25"/>
      <c r="G34" s="25"/>
      <c r="H34" s="28" t="s">
        <v>33</v>
      </c>
      <c r="I34" s="25" t="b">
        <f>I28</f>
        <v>0</v>
      </c>
      <c r="J34" s="31" t="s">
        <v>17</v>
      </c>
      <c r="K34" s="28" t="s">
        <v>33</v>
      </c>
      <c r="L34" s="28">
        <f>0.35*τ/(0.2*k*tm)</f>
        <v>23.240371845949532</v>
      </c>
      <c r="M34" s="28">
        <f>τ</f>
        <v>1.7</v>
      </c>
      <c r="N34" s="28">
        <v>0</v>
      </c>
      <c r="O34" s="25"/>
      <c r="P34" s="28">
        <f>$I$10*L34</f>
        <v>0</v>
      </c>
      <c r="Q34" s="28">
        <f>I34*M34</f>
        <v>0</v>
      </c>
      <c r="R34" s="28">
        <f>I34*N34</f>
        <v>0</v>
      </c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</row>
    <row r="35" spans="1:38" s="33" customFormat="1" x14ac:dyDescent="0.25">
      <c r="A35" s="36" t="str">
        <f>J66</f>
        <v>López IAET</v>
      </c>
      <c r="B35" s="34">
        <f>L66</f>
        <v>15.950888214348513</v>
      </c>
      <c r="C35" s="34">
        <f>M66</f>
        <v>11.044265284082559</v>
      </c>
      <c r="D35" s="34">
        <f>N66</f>
        <v>6.5520001252413626E-2</v>
      </c>
      <c r="F35" s="25"/>
      <c r="G35" s="25"/>
      <c r="H35" s="28" t="s">
        <v>34</v>
      </c>
      <c r="I35" s="25" t="b">
        <f>I29</f>
        <v>1</v>
      </c>
      <c r="J35" s="31" t="s">
        <v>17</v>
      </c>
      <c r="K35" s="28" t="s">
        <v>34</v>
      </c>
      <c r="L35" s="28">
        <f>τ/(k*(tm+0.2*tm))</f>
        <v>11.066843736166446</v>
      </c>
      <c r="M35" s="28">
        <f>τ</f>
        <v>1.7</v>
      </c>
      <c r="N35" s="28">
        <f>0.5*tm</f>
        <v>8.5000000000000006E-2</v>
      </c>
      <c r="O35" s="25"/>
      <c r="P35" s="28">
        <f>$I$11*L35</f>
        <v>11.066843736166446</v>
      </c>
      <c r="Q35" s="28">
        <f>I35*M35</f>
        <v>1.7</v>
      </c>
      <c r="R35" s="28">
        <f>N35*I35</f>
        <v>8.5000000000000006E-2</v>
      </c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</row>
    <row r="36" spans="1:38" s="33" customFormat="1" x14ac:dyDescent="0.25">
      <c r="A36" s="36" t="str">
        <f>J72</f>
        <v>López ISE</v>
      </c>
      <c r="B36" s="34">
        <f>L72</f>
        <v>17.492271781500413</v>
      </c>
      <c r="C36" s="34">
        <f>M72</f>
        <v>9.1130048709549065</v>
      </c>
      <c r="D36" s="34">
        <f>N72</f>
        <v>9.3893807032091242E-2</v>
      </c>
      <c r="F36" s="25"/>
      <c r="G36" s="25"/>
      <c r="H36" s="25"/>
      <c r="I36" s="25"/>
      <c r="J36" s="32" t="s">
        <v>17</v>
      </c>
      <c r="K36" s="25"/>
      <c r="L36" s="28">
        <f>P36</f>
        <v>11.066843736166446</v>
      </c>
      <c r="M36" s="28">
        <f t="shared" ref="M36" si="11">Q36</f>
        <v>1.7</v>
      </c>
      <c r="N36" s="28">
        <f t="shared" ref="N36" si="12">R36</f>
        <v>8.5000000000000006E-2</v>
      </c>
      <c r="O36" s="25"/>
      <c r="P36" s="28">
        <f>SUM(P33:P35)</f>
        <v>11.066843736166446</v>
      </c>
      <c r="Q36" s="28">
        <f>IF(Q33&lt;&gt;0,"inf",SUM(Q34:Q35))</f>
        <v>1.7</v>
      </c>
      <c r="R36" s="28">
        <f>SUM(R34:R35)</f>
        <v>8.5000000000000006E-2</v>
      </c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</row>
    <row r="37" spans="1:38" s="33" customFormat="1" x14ac:dyDescent="0.25">
      <c r="A37" s="36" t="str">
        <f>J78</f>
        <v>Rovira IAE</v>
      </c>
      <c r="B37" s="34">
        <f>L78</f>
        <v>13.30561181792925</v>
      </c>
      <c r="C37" s="34">
        <f>M78</f>
        <v>2.3383768913342502</v>
      </c>
      <c r="D37" s="34">
        <f>N78</f>
        <v>7.2115424672395095E-2</v>
      </c>
      <c r="F37" s="25"/>
      <c r="G37" s="25"/>
      <c r="H37" s="25"/>
      <c r="I37" s="28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</row>
    <row r="38" spans="1:38" s="33" customFormat="1" x14ac:dyDescent="0.25">
      <c r="A38" s="36" t="str">
        <f>J84</f>
        <v>Rovira IAET</v>
      </c>
      <c r="B38" s="34">
        <f>L84</f>
        <v>9.1776678732463512</v>
      </c>
      <c r="C38" s="34">
        <f>M84</f>
        <v>2.1758607449123257</v>
      </c>
      <c r="D38" s="34">
        <f>N84</f>
        <v>6.165944877354948E-2</v>
      </c>
      <c r="F38" s="25"/>
      <c r="G38" s="25"/>
      <c r="H38" s="25"/>
      <c r="I38" s="25"/>
      <c r="J38" s="25"/>
      <c r="K38" s="25"/>
      <c r="L38" s="27" t="s">
        <v>21</v>
      </c>
      <c r="M38" s="27" t="s">
        <v>4</v>
      </c>
      <c r="N38" s="27" t="s">
        <v>5</v>
      </c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</row>
    <row r="39" spans="1:38" s="33" customFormat="1" x14ac:dyDescent="0.25">
      <c r="A39" s="36" t="str">
        <f>J90</f>
        <v>Kaya y Sheib (Dist) IAE</v>
      </c>
      <c r="B39" s="34">
        <f>L90</f>
        <v>7.5248064003824107</v>
      </c>
      <c r="C39" s="34">
        <f>M90</f>
        <v>21.060313753985266</v>
      </c>
      <c r="D39" s="34">
        <f>N90</f>
        <v>0.1288908051700898</v>
      </c>
      <c r="F39" s="25"/>
      <c r="G39" s="25"/>
      <c r="H39" s="28" t="s">
        <v>32</v>
      </c>
      <c r="I39" s="25" t="b">
        <f>I33</f>
        <v>0</v>
      </c>
      <c r="J39" s="31" t="s">
        <v>18</v>
      </c>
      <c r="K39" s="28" t="s">
        <v>32</v>
      </c>
      <c r="L39" s="28">
        <f>0.3*τ/(0.6*k*tm)</f>
        <v>6.6401062416998675</v>
      </c>
      <c r="M39" s="28" t="s">
        <v>35</v>
      </c>
      <c r="N39" s="28">
        <v>0</v>
      </c>
      <c r="O39" s="25"/>
      <c r="P39" s="28">
        <f>$I$9*L39</f>
        <v>0</v>
      </c>
      <c r="Q39" s="28">
        <f>IF(I39,"inf",0)</f>
        <v>0</v>
      </c>
      <c r="R39" s="28">
        <f>I39*N39</f>
        <v>0</v>
      </c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</row>
    <row r="40" spans="1:38" s="33" customFormat="1" x14ac:dyDescent="0.25">
      <c r="A40" s="36" t="str">
        <f>J96</f>
        <v>Kaya y Sheib (Dist) IAET</v>
      </c>
      <c r="B40" s="34">
        <f>L96</f>
        <v>11.988466426482224</v>
      </c>
      <c r="C40" s="34">
        <f>M96</f>
        <v>7.6181741683769415</v>
      </c>
      <c r="D40" s="34">
        <f>N96</f>
        <v>8.8941890272655699E-2</v>
      </c>
      <c r="F40" s="25"/>
      <c r="G40" s="25"/>
      <c r="H40" s="28" t="s">
        <v>33</v>
      </c>
      <c r="I40" s="25" t="b">
        <f>I34</f>
        <v>0</v>
      </c>
      <c r="J40" s="31" t="s">
        <v>18</v>
      </c>
      <c r="K40" s="28" t="s">
        <v>33</v>
      </c>
      <c r="L40" s="28">
        <f>0.35*τ/(0.6*k*tm)</f>
        <v>7.7467906153165114</v>
      </c>
      <c r="M40" s="28">
        <f>τ</f>
        <v>1.7</v>
      </c>
      <c r="N40" s="28">
        <v>0</v>
      </c>
      <c r="O40" s="25"/>
      <c r="P40" s="28">
        <f>$I$10*L40</f>
        <v>0</v>
      </c>
      <c r="Q40" s="28">
        <f>I40*M40</f>
        <v>0</v>
      </c>
      <c r="R40" s="28">
        <f>I40*N40</f>
        <v>0</v>
      </c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</row>
    <row r="41" spans="1:38" s="33" customFormat="1" x14ac:dyDescent="0.25">
      <c r="A41" s="36" t="str">
        <f>J102</f>
        <v>Kaya y Sheib (Dist) ISE</v>
      </c>
      <c r="B41" s="34">
        <f>L102</f>
        <v>11.726604474965281</v>
      </c>
      <c r="C41" s="34">
        <f>M102</f>
        <v>19.180734636002214</v>
      </c>
      <c r="D41" s="34">
        <f>N102</f>
        <v>0.12330478874262191</v>
      </c>
      <c r="F41" s="25"/>
      <c r="G41" s="25"/>
      <c r="H41" s="28" t="s">
        <v>34</v>
      </c>
      <c r="I41" s="25" t="b">
        <f>I35</f>
        <v>1</v>
      </c>
      <c r="J41" s="31" t="s">
        <v>18</v>
      </c>
      <c r="K41" s="28" t="s">
        <v>34</v>
      </c>
      <c r="L41" s="28">
        <f>τ/(k*(tm+0.6*tm))</f>
        <v>8.300132802124832</v>
      </c>
      <c r="M41" s="28">
        <f>τ</f>
        <v>1.7</v>
      </c>
      <c r="N41" s="28">
        <f>0.5*tm</f>
        <v>8.5000000000000006E-2</v>
      </c>
      <c r="O41" s="25"/>
      <c r="P41" s="28">
        <f>$I$11*L41</f>
        <v>8.300132802124832</v>
      </c>
      <c r="Q41" s="28">
        <f>I41*M41</f>
        <v>1.7</v>
      </c>
      <c r="R41" s="28">
        <f>N41*I41</f>
        <v>8.5000000000000006E-2</v>
      </c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</row>
    <row r="42" spans="1:38" s="33" customFormat="1" x14ac:dyDescent="0.25">
      <c r="A42" s="36" t="str">
        <f>J108</f>
        <v>Kaya y Sheib (REF) IAE</v>
      </c>
      <c r="B42" s="34">
        <f>L108</f>
        <v>9.5595705012379781</v>
      </c>
      <c r="C42" s="34">
        <f>M108</f>
        <v>1.7016352714959075</v>
      </c>
      <c r="D42" s="34">
        <f>N108</f>
        <v>7.1138107047920007E-2</v>
      </c>
      <c r="F42" s="25"/>
      <c r="G42" s="25"/>
      <c r="H42" s="25"/>
      <c r="I42" s="25"/>
      <c r="J42" s="32" t="s">
        <v>18</v>
      </c>
      <c r="K42" s="25"/>
      <c r="L42" s="28">
        <f>P42</f>
        <v>8.300132802124832</v>
      </c>
      <c r="M42" s="28">
        <f t="shared" ref="M42" si="13">Q42</f>
        <v>1.7</v>
      </c>
      <c r="N42" s="28">
        <f t="shared" ref="N42" si="14">R42</f>
        <v>8.5000000000000006E-2</v>
      </c>
      <c r="O42" s="25"/>
      <c r="P42" s="28">
        <f>SUM(P39:P41)</f>
        <v>8.300132802124832</v>
      </c>
      <c r="Q42" s="28">
        <f>IF(Q39&lt;&gt;0,"inf",SUM(Q40:Q41))</f>
        <v>1.7</v>
      </c>
      <c r="R42" s="28">
        <f>SUM(R40:R41)</f>
        <v>8.5000000000000006E-2</v>
      </c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</row>
    <row r="43" spans="1:38" s="33" customFormat="1" x14ac:dyDescent="0.25">
      <c r="A43" s="36" t="str">
        <f>J114</f>
        <v>Kaya y Sheib (REF) IAET</v>
      </c>
      <c r="B43" s="34">
        <f>L114</f>
        <v>9.5290102459700083</v>
      </c>
      <c r="C43" s="34">
        <f>M114</f>
        <v>1.7085942289717277</v>
      </c>
      <c r="D43" s="34">
        <f>N114</f>
        <v>7.1488952245415405E-2</v>
      </c>
      <c r="F43" s="25"/>
      <c r="G43" s="25"/>
      <c r="H43" s="25"/>
      <c r="I43" s="28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</row>
    <row r="44" spans="1:38" s="33" customFormat="1" x14ac:dyDescent="0.25">
      <c r="A44" s="36" t="str">
        <f>J120</f>
        <v>Kaya y Sheib (REF) ISE</v>
      </c>
      <c r="B44" s="34">
        <f>L120</f>
        <v>10.261483312280946</v>
      </c>
      <c r="C44" s="34">
        <f>M120</f>
        <v>1.493226242660683</v>
      </c>
      <c r="D44" s="34">
        <f>N120</f>
        <v>0.12684605295320556</v>
      </c>
      <c r="F44" s="25"/>
      <c r="G44" s="25"/>
      <c r="H44" s="25"/>
      <c r="I44" s="25"/>
      <c r="J44" s="25"/>
      <c r="K44" s="25"/>
      <c r="L44" s="27" t="s">
        <v>21</v>
      </c>
      <c r="M44" s="27" t="s">
        <v>4</v>
      </c>
      <c r="N44" s="27" t="s">
        <v>5</v>
      </c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</row>
    <row r="45" spans="1:38" s="33" customFormat="1" x14ac:dyDescent="0.25">
      <c r="A45" s="36"/>
      <c r="B45" s="34"/>
      <c r="C45" s="34"/>
      <c r="D45" s="34"/>
      <c r="F45" s="25"/>
      <c r="G45" s="25"/>
      <c r="H45" s="28" t="s">
        <v>32</v>
      </c>
      <c r="I45" s="25" t="b">
        <f>I39</f>
        <v>0</v>
      </c>
      <c r="J45" s="31" t="s">
        <v>20</v>
      </c>
      <c r="K45" s="28" t="s">
        <v>32</v>
      </c>
      <c r="L45" s="28">
        <f>0.3*τ/(1*k*tm)</f>
        <v>3.9840637450199199</v>
      </c>
      <c r="M45" s="28" t="s">
        <v>35</v>
      </c>
      <c r="N45" s="28">
        <v>0</v>
      </c>
      <c r="O45" s="25"/>
      <c r="P45" s="28">
        <f>$I$9*L45</f>
        <v>0</v>
      </c>
      <c r="Q45" s="28">
        <f>IF(I45,"inf",0)</f>
        <v>0</v>
      </c>
      <c r="R45" s="28">
        <f>I45*N45</f>
        <v>0</v>
      </c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</row>
    <row r="46" spans="1:38" s="13" customFormat="1" x14ac:dyDescent="0.25">
      <c r="A46" s="17"/>
      <c r="B46" s="15"/>
      <c r="C46" s="15"/>
      <c r="D46" s="15"/>
      <c r="E46" s="14"/>
      <c r="F46" s="16"/>
      <c r="G46" s="16"/>
      <c r="H46" s="28" t="s">
        <v>33</v>
      </c>
      <c r="I46" s="25" t="b">
        <f>I40</f>
        <v>0</v>
      </c>
      <c r="J46" s="31" t="s">
        <v>20</v>
      </c>
      <c r="K46" s="28" t="s">
        <v>33</v>
      </c>
      <c r="L46" s="28">
        <f>0.35*τ/(1*k*tm)</f>
        <v>4.6480743691899065</v>
      </c>
      <c r="M46" s="28">
        <f>τ</f>
        <v>1.7</v>
      </c>
      <c r="N46" s="28">
        <v>0</v>
      </c>
      <c r="O46" s="25"/>
      <c r="P46" s="28">
        <f>$I$10*L46</f>
        <v>0</v>
      </c>
      <c r="Q46" s="28">
        <f>I46*M46</f>
        <v>0</v>
      </c>
      <c r="R46" s="28">
        <f>I46*N46</f>
        <v>0</v>
      </c>
      <c r="S46" s="16"/>
      <c r="T46" s="16"/>
      <c r="U46" s="16"/>
      <c r="V46" s="16"/>
      <c r="W46" s="16"/>
      <c r="X46" s="16"/>
      <c r="Y46" s="16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spans="1:38" s="13" customFormat="1" x14ac:dyDescent="0.25">
      <c r="A47" s="17"/>
      <c r="B47" s="15"/>
      <c r="C47" s="15"/>
      <c r="D47" s="15"/>
      <c r="E47" s="14"/>
      <c r="F47" s="16"/>
      <c r="G47" s="16"/>
      <c r="H47" s="28" t="s">
        <v>34</v>
      </c>
      <c r="I47" s="25" t="b">
        <f>I41</f>
        <v>1</v>
      </c>
      <c r="J47" s="31" t="s">
        <v>20</v>
      </c>
      <c r="K47" s="28" t="s">
        <v>34</v>
      </c>
      <c r="L47" s="28">
        <f>τ/(k*(tm+1*tm))</f>
        <v>6.6401062416998666</v>
      </c>
      <c r="M47" s="28">
        <f>τ</f>
        <v>1.7</v>
      </c>
      <c r="N47" s="28">
        <f>0.5*tm</f>
        <v>8.5000000000000006E-2</v>
      </c>
      <c r="O47" s="25"/>
      <c r="P47" s="28">
        <f>$I$11*L47</f>
        <v>6.6401062416998666</v>
      </c>
      <c r="Q47" s="28">
        <f>I47*M47</f>
        <v>1.7</v>
      </c>
      <c r="R47" s="28">
        <f>N47*I47</f>
        <v>8.5000000000000006E-2</v>
      </c>
      <c r="S47" s="16"/>
      <c r="T47" s="16"/>
      <c r="U47" s="16"/>
      <c r="V47" s="16"/>
      <c r="W47" s="16"/>
      <c r="X47" s="16"/>
      <c r="Y47" s="16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</row>
    <row r="48" spans="1:38" s="13" customFormat="1" x14ac:dyDescent="0.25">
      <c r="A48" s="17"/>
      <c r="B48" s="15"/>
      <c r="C48" s="15"/>
      <c r="D48" s="15"/>
      <c r="E48" s="14"/>
      <c r="F48" s="16"/>
      <c r="G48" s="16"/>
      <c r="H48" s="25"/>
      <c r="I48" s="25"/>
      <c r="J48" s="32" t="s">
        <v>20</v>
      </c>
      <c r="K48" s="25"/>
      <c r="L48" s="28">
        <f>P48</f>
        <v>6.6401062416998666</v>
      </c>
      <c r="M48" s="28">
        <f t="shared" ref="M48" si="15">Q48</f>
        <v>1.7</v>
      </c>
      <c r="N48" s="28">
        <f t="shared" ref="N48" si="16">R48</f>
        <v>8.5000000000000006E-2</v>
      </c>
      <c r="O48" s="25"/>
      <c r="P48" s="28">
        <f>SUM(P45:P47)</f>
        <v>6.6401062416998666</v>
      </c>
      <c r="Q48" s="28">
        <f>IF(Q45&lt;&gt;0,"inf",SUM(Q46:Q47))</f>
        <v>1.7</v>
      </c>
      <c r="R48" s="28">
        <f>SUM(R46:R47)</f>
        <v>8.5000000000000006E-2</v>
      </c>
      <c r="S48" s="16"/>
      <c r="T48" s="16"/>
      <c r="U48" s="16"/>
      <c r="V48" s="16"/>
      <c r="W48" s="16"/>
      <c r="X48" s="16"/>
      <c r="Y48" s="16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</row>
    <row r="49" spans="1:38" s="13" customFormat="1" x14ac:dyDescent="0.25">
      <c r="A49" s="17"/>
      <c r="B49" s="15"/>
      <c r="C49" s="15"/>
      <c r="D49" s="15"/>
      <c r="E49" s="14"/>
      <c r="F49" s="16"/>
      <c r="G49" s="16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16"/>
      <c r="T49" s="16"/>
      <c r="U49" s="16"/>
      <c r="V49" s="16"/>
      <c r="W49" s="16"/>
      <c r="X49" s="16"/>
      <c r="Y49" s="16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  <row r="50" spans="1:38" s="13" customFormat="1" x14ac:dyDescent="0.25">
      <c r="A50" s="17"/>
      <c r="B50" s="15"/>
      <c r="C50" s="15"/>
      <c r="D50" s="15"/>
      <c r="E50" s="14"/>
      <c r="F50" s="16"/>
      <c r="G50" s="16"/>
      <c r="H50" s="25"/>
      <c r="I50" s="25"/>
      <c r="J50" s="25"/>
      <c r="K50" s="25"/>
      <c r="L50" s="27" t="s">
        <v>21</v>
      </c>
      <c r="M50" s="27" t="s">
        <v>4</v>
      </c>
      <c r="N50" s="27" t="s">
        <v>5</v>
      </c>
      <c r="O50" s="25"/>
      <c r="P50" s="25"/>
      <c r="Q50" s="25"/>
      <c r="R50" s="25"/>
      <c r="S50" s="16"/>
      <c r="T50" s="16"/>
      <c r="U50" s="16"/>
      <c r="V50" s="16"/>
      <c r="W50" s="16"/>
      <c r="X50" s="16"/>
      <c r="Y50" s="16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</row>
    <row r="51" spans="1:38" s="13" customFormat="1" x14ac:dyDescent="0.25">
      <c r="A51" s="17"/>
      <c r="B51" s="15"/>
      <c r="C51" s="15"/>
      <c r="D51" s="15"/>
      <c r="E51" s="14"/>
      <c r="F51" s="16"/>
      <c r="G51" s="16"/>
      <c r="H51" s="28" t="s">
        <v>32</v>
      </c>
      <c r="I51" s="25" t="b">
        <f>I45</f>
        <v>0</v>
      </c>
      <c r="J51" s="31" t="s">
        <v>19</v>
      </c>
      <c r="K51" s="28" t="s">
        <v>32</v>
      </c>
      <c r="L51" s="28">
        <f>0.3*τ/(1.2*k*tm)</f>
        <v>3.3200531208499338</v>
      </c>
      <c r="M51" s="28" t="s">
        <v>35</v>
      </c>
      <c r="N51" s="28">
        <v>0</v>
      </c>
      <c r="O51" s="25"/>
      <c r="P51" s="28">
        <f>$I$9*L51</f>
        <v>0</v>
      </c>
      <c r="Q51" s="28">
        <f>IF(I51,"inf",0)</f>
        <v>0</v>
      </c>
      <c r="R51" s="28">
        <f>I51*N51</f>
        <v>0</v>
      </c>
      <c r="S51" s="16"/>
      <c r="T51" s="16"/>
      <c r="U51" s="16"/>
      <c r="V51" s="16"/>
      <c r="W51" s="16"/>
      <c r="X51" s="16"/>
      <c r="Y51" s="16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</row>
    <row r="52" spans="1:38" s="13" customFormat="1" x14ac:dyDescent="0.25">
      <c r="A52" s="17"/>
      <c r="B52" s="15"/>
      <c r="C52" s="15"/>
      <c r="D52" s="15"/>
      <c r="E52" s="14"/>
      <c r="F52" s="16"/>
      <c r="G52" s="16"/>
      <c r="H52" s="28" t="s">
        <v>33</v>
      </c>
      <c r="I52" s="25" t="b">
        <f>I46</f>
        <v>0</v>
      </c>
      <c r="J52" s="31" t="s">
        <v>19</v>
      </c>
      <c r="K52" s="28" t="s">
        <v>33</v>
      </c>
      <c r="L52" s="28">
        <f>0.35*τ/(1.2*k*tm)</f>
        <v>3.8733953076582557</v>
      </c>
      <c r="M52" s="28">
        <f>τ</f>
        <v>1.7</v>
      </c>
      <c r="N52" s="28">
        <v>0</v>
      </c>
      <c r="O52" s="25"/>
      <c r="P52" s="28">
        <f>$I$10*L52</f>
        <v>0</v>
      </c>
      <c r="Q52" s="28">
        <f>I52*M52</f>
        <v>0</v>
      </c>
      <c r="R52" s="28">
        <f>I52*N52</f>
        <v>0</v>
      </c>
      <c r="S52" s="16"/>
      <c r="T52" s="16"/>
      <c r="U52" s="16"/>
      <c r="V52" s="16"/>
      <c r="W52" s="16"/>
      <c r="X52" s="16"/>
      <c r="Y52" s="16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</row>
    <row r="53" spans="1:38" s="13" customFormat="1" x14ac:dyDescent="0.25">
      <c r="A53" s="14"/>
      <c r="B53" s="15"/>
      <c r="C53" s="15"/>
      <c r="D53" s="15"/>
      <c r="E53" s="14"/>
      <c r="F53" s="16"/>
      <c r="G53" s="16"/>
      <c r="H53" s="28" t="s">
        <v>34</v>
      </c>
      <c r="I53" s="25" t="b">
        <f>I47</f>
        <v>1</v>
      </c>
      <c r="J53" s="31" t="s">
        <v>19</v>
      </c>
      <c r="K53" s="28" t="s">
        <v>34</v>
      </c>
      <c r="L53" s="28">
        <f>τ/(k*(tm+1.2*tm))</f>
        <v>6.036460219727152</v>
      </c>
      <c r="M53" s="28">
        <f>τ</f>
        <v>1.7</v>
      </c>
      <c r="N53" s="28">
        <f>0.5*tm</f>
        <v>8.5000000000000006E-2</v>
      </c>
      <c r="O53" s="25"/>
      <c r="P53" s="28">
        <f>$I$11*L53</f>
        <v>6.036460219727152</v>
      </c>
      <c r="Q53" s="28">
        <f>I53*M53</f>
        <v>1.7</v>
      </c>
      <c r="R53" s="28">
        <f>N53*I53</f>
        <v>8.5000000000000006E-2</v>
      </c>
      <c r="S53" s="16"/>
      <c r="T53" s="16"/>
      <c r="U53" s="16"/>
      <c r="V53" s="16"/>
      <c r="W53" s="16"/>
      <c r="X53" s="16"/>
      <c r="Y53" s="16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</row>
    <row r="54" spans="1:38" s="13" customFormat="1" x14ac:dyDescent="0.25">
      <c r="A54" s="14"/>
      <c r="B54" s="15"/>
      <c r="C54" s="15"/>
      <c r="D54" s="15"/>
      <c r="E54" s="14"/>
      <c r="F54" s="16"/>
      <c r="G54" s="16"/>
      <c r="H54" s="25"/>
      <c r="I54" s="25"/>
      <c r="J54" s="32" t="s">
        <v>19</v>
      </c>
      <c r="K54" s="25"/>
      <c r="L54" s="28">
        <f>P54</f>
        <v>6.036460219727152</v>
      </c>
      <c r="M54" s="28">
        <f t="shared" ref="M54" si="17">Q54</f>
        <v>1.7</v>
      </c>
      <c r="N54" s="28">
        <f t="shared" ref="N54" si="18">R54</f>
        <v>8.5000000000000006E-2</v>
      </c>
      <c r="O54" s="25"/>
      <c r="P54" s="28">
        <f>SUM(P51:P53)</f>
        <v>6.036460219727152</v>
      </c>
      <c r="Q54" s="28">
        <f>IF(Q51&lt;&gt;0,"inf",SUM(Q52:Q53))</f>
        <v>1.7</v>
      </c>
      <c r="R54" s="28">
        <f>SUM(R52:R53)</f>
        <v>8.5000000000000006E-2</v>
      </c>
      <c r="S54" s="16"/>
      <c r="T54" s="16"/>
      <c r="U54" s="16"/>
      <c r="V54" s="16"/>
      <c r="W54" s="16"/>
      <c r="X54" s="16"/>
      <c r="Y54" s="16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</row>
    <row r="55" spans="1:38" s="13" customFormat="1" x14ac:dyDescent="0.25">
      <c r="A55" s="14"/>
      <c r="B55" s="15"/>
      <c r="C55" s="15"/>
      <c r="D55" s="15"/>
      <c r="E55" s="14"/>
      <c r="F55" s="16"/>
      <c r="G55" s="16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16"/>
      <c r="T55" s="16"/>
      <c r="U55" s="16"/>
      <c r="V55" s="16"/>
      <c r="W55" s="16"/>
      <c r="X55" s="16"/>
      <c r="Y55" s="16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</row>
    <row r="56" spans="1:38" s="13" customFormat="1" x14ac:dyDescent="0.25">
      <c r="A56" s="14"/>
      <c r="B56" s="15"/>
      <c r="C56" s="15"/>
      <c r="D56" s="15"/>
      <c r="E56" s="14"/>
      <c r="F56" s="16"/>
      <c r="G56" s="16"/>
      <c r="H56" s="25"/>
      <c r="I56" s="25"/>
      <c r="J56" s="25"/>
      <c r="K56" s="25"/>
      <c r="L56" s="27" t="s">
        <v>21</v>
      </c>
      <c r="M56" s="27" t="s">
        <v>4</v>
      </c>
      <c r="N56" s="27" t="s">
        <v>5</v>
      </c>
      <c r="O56" s="25"/>
      <c r="P56" s="25"/>
      <c r="Q56" s="25"/>
      <c r="R56" s="25"/>
      <c r="S56" s="16"/>
      <c r="T56" s="16"/>
      <c r="U56" s="16"/>
      <c r="V56" s="16"/>
      <c r="W56" s="16"/>
      <c r="X56" s="16"/>
      <c r="Y56" s="16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</row>
    <row r="57" spans="1:38" s="13" customFormat="1" x14ac:dyDescent="0.25">
      <c r="A57" s="14"/>
      <c r="B57" s="15"/>
      <c r="C57" s="15"/>
      <c r="D57" s="15"/>
      <c r="E57" s="14"/>
      <c r="F57" s="16"/>
      <c r="G57" s="16"/>
      <c r="H57" s="28" t="s">
        <v>32</v>
      </c>
      <c r="I57" s="25" t="b">
        <f>I51</f>
        <v>0</v>
      </c>
      <c r="J57" s="31" t="s">
        <v>28</v>
      </c>
      <c r="K57" s="28" t="s">
        <v>32</v>
      </c>
      <c r="L57" s="28">
        <f>(0.902/k)*((tm/τ)^(-0.985))</f>
        <v>11.572083570369344</v>
      </c>
      <c r="M57" s="28" t="s">
        <v>35</v>
      </c>
      <c r="N57" s="28">
        <v>0</v>
      </c>
      <c r="O57" s="25"/>
      <c r="P57" s="28">
        <f>$I$9*L57</f>
        <v>0</v>
      </c>
      <c r="Q57" s="28">
        <f>IF(I57,"inf",0)</f>
        <v>0</v>
      </c>
      <c r="R57" s="28">
        <f>I57*N57</f>
        <v>0</v>
      </c>
      <c r="S57" s="16"/>
      <c r="T57" s="16"/>
      <c r="U57" s="16"/>
      <c r="V57" s="16"/>
      <c r="W57" s="16"/>
      <c r="X57" s="16"/>
      <c r="Y57" s="16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</row>
    <row r="58" spans="1:38" s="13" customFormat="1" x14ac:dyDescent="0.25">
      <c r="A58" s="14"/>
      <c r="B58" s="15"/>
      <c r="C58" s="15"/>
      <c r="D58" s="15"/>
      <c r="E58" s="14"/>
      <c r="F58" s="16"/>
      <c r="G58" s="16"/>
      <c r="H58" s="28" t="s">
        <v>33</v>
      </c>
      <c r="I58" s="25" t="b">
        <f>I52</f>
        <v>0</v>
      </c>
      <c r="J58" s="31" t="s">
        <v>28</v>
      </c>
      <c r="K58" s="28" t="s">
        <v>33</v>
      </c>
      <c r="L58" s="28">
        <f>(0.984/k)*((tm/τ)^(-0.986))</f>
        <v>12.653192703334248</v>
      </c>
      <c r="M58" s="28">
        <f>(τ/0.608)*((tm/τ)^-0.707)</f>
        <v>14.241159223638684</v>
      </c>
      <c r="N58" s="28">
        <v>0</v>
      </c>
      <c r="O58" s="25"/>
      <c r="P58" s="28">
        <f>$I$10*L58</f>
        <v>0</v>
      </c>
      <c r="Q58" s="28">
        <f>I58*M58</f>
        <v>0</v>
      </c>
      <c r="R58" s="28">
        <f>I58*N58</f>
        <v>0</v>
      </c>
      <c r="S58" s="16"/>
      <c r="T58" s="16"/>
      <c r="U58" s="16"/>
      <c r="V58" s="16"/>
      <c r="W58" s="16"/>
      <c r="X58" s="16"/>
      <c r="Y58" s="16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</row>
    <row r="59" spans="1:38" s="13" customFormat="1" x14ac:dyDescent="0.25">
      <c r="A59" s="14"/>
      <c r="B59" s="15"/>
      <c r="C59" s="15"/>
      <c r="D59" s="15"/>
      <c r="E59" s="14"/>
      <c r="F59" s="16"/>
      <c r="G59" s="16"/>
      <c r="H59" s="28" t="s">
        <v>34</v>
      </c>
      <c r="I59" s="25" t="b">
        <f>I53</f>
        <v>1</v>
      </c>
      <c r="J59" s="31" t="s">
        <v>28</v>
      </c>
      <c r="K59" s="28" t="s">
        <v>34</v>
      </c>
      <c r="L59" s="28">
        <f>(1.435/k)*((tm/τ)^(-0.921))</f>
        <v>15.887549799856243</v>
      </c>
      <c r="M59" s="28">
        <f>(τ/0.878)*((tm/τ)^-0.749)</f>
        <v>10.863115709056943</v>
      </c>
      <c r="N59" s="28">
        <f>0.482*τ*((tm/τ)^1.137)</f>
        <v>5.9771748390259359E-2</v>
      </c>
      <c r="O59" s="25"/>
      <c r="P59" s="28">
        <f>$I$11*L59</f>
        <v>15.887549799856243</v>
      </c>
      <c r="Q59" s="28">
        <f>I59*M59</f>
        <v>10.863115709056943</v>
      </c>
      <c r="R59" s="28">
        <f>N59*I59</f>
        <v>5.9771748390259359E-2</v>
      </c>
      <c r="S59" s="16"/>
      <c r="T59" s="16"/>
      <c r="U59" s="16"/>
      <c r="V59" s="16"/>
      <c r="W59" s="16"/>
      <c r="X59" s="16"/>
      <c r="Y59" s="16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</row>
    <row r="60" spans="1:38" s="13" customFormat="1" x14ac:dyDescent="0.25">
      <c r="A60" s="14"/>
      <c r="B60" s="15"/>
      <c r="C60" s="15"/>
      <c r="D60" s="15"/>
      <c r="E60" s="14"/>
      <c r="F60" s="16"/>
      <c r="G60" s="16"/>
      <c r="H60" s="25"/>
      <c r="I60" s="25"/>
      <c r="J60" s="32" t="s">
        <v>28</v>
      </c>
      <c r="K60" s="25"/>
      <c r="L60" s="28">
        <f>P60</f>
        <v>15.887549799856243</v>
      </c>
      <c r="M60" s="28">
        <f t="shared" ref="M60" si="19">Q60</f>
        <v>10.863115709056943</v>
      </c>
      <c r="N60" s="28">
        <f t="shared" ref="N60" si="20">R60</f>
        <v>5.9771748390259359E-2</v>
      </c>
      <c r="O60" s="25"/>
      <c r="P60" s="28">
        <f>SUM(P57:P59)</f>
        <v>15.887549799856243</v>
      </c>
      <c r="Q60" s="28">
        <f>IF(Q57&lt;&gt;0,"inf",SUM(Q58:Q59))</f>
        <v>10.863115709056943</v>
      </c>
      <c r="R60" s="28">
        <f>SUM(R58:R59)</f>
        <v>5.9771748390259359E-2</v>
      </c>
      <c r="S60" s="16"/>
      <c r="T60" s="16"/>
      <c r="U60" s="16"/>
      <c r="V60" s="16"/>
      <c r="W60" s="16"/>
      <c r="X60" s="16"/>
      <c r="Y60" s="16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</row>
    <row r="61" spans="1:38" s="13" customFormat="1" x14ac:dyDescent="0.25">
      <c r="A61" s="14"/>
      <c r="B61" s="15"/>
      <c r="C61" s="15"/>
      <c r="D61" s="15"/>
      <c r="E61" s="14"/>
      <c r="F61" s="16"/>
      <c r="G61" s="16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16"/>
      <c r="T61" s="16"/>
      <c r="U61" s="16"/>
      <c r="V61" s="16"/>
      <c r="W61" s="16"/>
      <c r="X61" s="16"/>
      <c r="Y61" s="16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</row>
    <row r="62" spans="1:38" s="13" customFormat="1" x14ac:dyDescent="0.25">
      <c r="A62" s="14"/>
      <c r="B62" s="15"/>
      <c r="C62" s="15"/>
      <c r="D62" s="15"/>
      <c r="E62" s="14"/>
      <c r="F62" s="16"/>
      <c r="G62" s="16"/>
      <c r="H62" s="25"/>
      <c r="I62" s="25"/>
      <c r="J62" s="25"/>
      <c r="K62" s="25"/>
      <c r="L62" s="27" t="s">
        <v>21</v>
      </c>
      <c r="M62" s="27" t="s">
        <v>4</v>
      </c>
      <c r="N62" s="27" t="s">
        <v>5</v>
      </c>
      <c r="O62" s="25"/>
      <c r="P62" s="25"/>
      <c r="Q62" s="25"/>
      <c r="R62" s="25"/>
      <c r="S62" s="16"/>
      <c r="T62" s="16"/>
      <c r="U62" s="16"/>
      <c r="V62" s="16"/>
      <c r="W62" s="16"/>
      <c r="X62" s="16"/>
      <c r="Y62" s="16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</row>
    <row r="63" spans="1:38" s="13" customFormat="1" x14ac:dyDescent="0.25">
      <c r="A63" s="14"/>
      <c r="B63" s="15"/>
      <c r="C63" s="15"/>
      <c r="D63" s="15"/>
      <c r="E63" s="14"/>
      <c r="F63" s="16"/>
      <c r="G63" s="16"/>
      <c r="H63" s="28" t="s">
        <v>32</v>
      </c>
      <c r="I63" s="25" t="b">
        <f>I57</f>
        <v>0</v>
      </c>
      <c r="J63" s="31" t="s">
        <v>29</v>
      </c>
      <c r="K63" s="28" t="s">
        <v>32</v>
      </c>
      <c r="L63" s="28">
        <f>(0.49/k)*((tm/τ)^(-1.084))</f>
        <v>7.8958902619898907</v>
      </c>
      <c r="M63" s="28" t="s">
        <v>35</v>
      </c>
      <c r="N63" s="28">
        <v>0</v>
      </c>
      <c r="O63" s="25"/>
      <c r="P63" s="28">
        <f>$I$9*L63</f>
        <v>0</v>
      </c>
      <c r="Q63" s="28">
        <f>IF(I63,"inf",0)</f>
        <v>0</v>
      </c>
      <c r="R63" s="28">
        <f>I63*N63</f>
        <v>0</v>
      </c>
      <c r="S63" s="16"/>
      <c r="T63" s="16"/>
      <c r="U63" s="16"/>
      <c r="V63" s="16"/>
      <c r="W63" s="16"/>
      <c r="X63" s="16"/>
      <c r="Y63" s="16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</row>
    <row r="64" spans="1:38" s="13" customFormat="1" x14ac:dyDescent="0.25">
      <c r="A64" s="14"/>
      <c r="B64" s="15"/>
      <c r="C64" s="15"/>
      <c r="D64" s="15"/>
      <c r="E64" s="14"/>
      <c r="F64" s="16"/>
      <c r="G64" s="16"/>
      <c r="H64" s="28" t="s">
        <v>33</v>
      </c>
      <c r="I64" s="25" t="b">
        <f>I58</f>
        <v>0</v>
      </c>
      <c r="J64" s="31" t="s">
        <v>29</v>
      </c>
      <c r="K64" s="28" t="s">
        <v>33</v>
      </c>
      <c r="L64" s="28">
        <f>(0.859/k)*((tm/τ)^(-0.977))</f>
        <v>10.819275696885397</v>
      </c>
      <c r="M64" s="28">
        <f>(τ/0.674)*((tm/τ)^-0.68)</f>
        <v>12.07227235828613</v>
      </c>
      <c r="N64" s="28">
        <v>0</v>
      </c>
      <c r="O64" s="25"/>
      <c r="P64" s="28">
        <f>$I$10*L64</f>
        <v>0</v>
      </c>
      <c r="Q64" s="28">
        <f>I64*M64</f>
        <v>0</v>
      </c>
      <c r="R64" s="28">
        <f>I64*N64</f>
        <v>0</v>
      </c>
      <c r="S64" s="16"/>
      <c r="T64" s="16"/>
      <c r="U64" s="16"/>
      <c r="V64" s="16"/>
      <c r="W64" s="16"/>
      <c r="X64" s="16"/>
      <c r="Y64" s="16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</row>
    <row r="65" spans="1:38" s="13" customFormat="1" x14ac:dyDescent="0.25">
      <c r="A65" s="14"/>
      <c r="B65" s="15"/>
      <c r="C65" s="15"/>
      <c r="D65" s="15"/>
      <c r="E65" s="14"/>
      <c r="F65" s="16"/>
      <c r="G65" s="16"/>
      <c r="H65" s="28" t="s">
        <v>34</v>
      </c>
      <c r="I65" s="25" t="b">
        <f>I59</f>
        <v>1</v>
      </c>
      <c r="J65" s="31" t="s">
        <v>29</v>
      </c>
      <c r="K65" s="28" t="s">
        <v>34</v>
      </c>
      <c r="L65" s="28">
        <f>(1.357/k)*((tm/τ)^(-0.947))</f>
        <v>15.950888214348513</v>
      </c>
      <c r="M65" s="28">
        <f>(τ/0.842)*((tm/τ)^-0.738)</f>
        <v>11.044265284082559</v>
      </c>
      <c r="N65" s="28">
        <f>0.381*τ*((tm/τ)^0.995)</f>
        <v>6.5520001252413626E-2</v>
      </c>
      <c r="O65" s="25"/>
      <c r="P65" s="28">
        <f>$I$11*L65</f>
        <v>15.950888214348513</v>
      </c>
      <c r="Q65" s="28">
        <f>I65*M65</f>
        <v>11.044265284082559</v>
      </c>
      <c r="R65" s="28">
        <f>N65*I65</f>
        <v>6.5520001252413626E-2</v>
      </c>
      <c r="S65" s="16"/>
      <c r="T65" s="16"/>
      <c r="U65" s="16"/>
      <c r="V65" s="16"/>
      <c r="W65" s="16"/>
      <c r="X65" s="16"/>
      <c r="Y65" s="16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</row>
    <row r="66" spans="1:38" s="13" customFormat="1" x14ac:dyDescent="0.25">
      <c r="A66" s="14"/>
      <c r="B66" s="15"/>
      <c r="C66" s="15"/>
      <c r="D66" s="15"/>
      <c r="E66" s="14"/>
      <c r="F66" s="16"/>
      <c r="G66" s="16"/>
      <c r="H66" s="25"/>
      <c r="I66" s="25"/>
      <c r="J66" s="32" t="s">
        <v>29</v>
      </c>
      <c r="K66" s="25"/>
      <c r="L66" s="28">
        <f>P66</f>
        <v>15.950888214348513</v>
      </c>
      <c r="M66" s="28">
        <f t="shared" ref="M66" si="21">Q66</f>
        <v>11.044265284082559</v>
      </c>
      <c r="N66" s="28">
        <f t="shared" ref="N66" si="22">R66</f>
        <v>6.5520001252413626E-2</v>
      </c>
      <c r="O66" s="25"/>
      <c r="P66" s="28">
        <f>SUM(P63:P65)</f>
        <v>15.950888214348513</v>
      </c>
      <c r="Q66" s="28">
        <f>IF(Q63&lt;&gt;0,"inf",SUM(Q64:Q65))</f>
        <v>11.044265284082559</v>
      </c>
      <c r="R66" s="28">
        <f>SUM(R64:R65)</f>
        <v>6.5520001252413626E-2</v>
      </c>
      <c r="S66" s="16"/>
      <c r="T66" s="16"/>
      <c r="U66" s="16"/>
      <c r="V66" s="16"/>
      <c r="W66" s="16"/>
      <c r="X66" s="16"/>
      <c r="Y66" s="16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</row>
    <row r="67" spans="1:38" s="13" customFormat="1" x14ac:dyDescent="0.25">
      <c r="A67" s="14"/>
      <c r="B67" s="15"/>
      <c r="C67" s="15"/>
      <c r="D67" s="15"/>
      <c r="E67" s="14"/>
      <c r="F67" s="16"/>
      <c r="G67" s="16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16"/>
      <c r="T67" s="16"/>
      <c r="U67" s="16"/>
      <c r="V67" s="16"/>
      <c r="W67" s="16"/>
      <c r="X67" s="16"/>
      <c r="Y67" s="16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</row>
    <row r="68" spans="1:38" s="13" customFormat="1" x14ac:dyDescent="0.25">
      <c r="A68" s="14"/>
      <c r="B68" s="15"/>
      <c r="C68" s="15"/>
      <c r="D68" s="15"/>
      <c r="E68" s="14"/>
      <c r="F68" s="16"/>
      <c r="G68" s="16"/>
      <c r="H68" s="25"/>
      <c r="I68" s="25"/>
      <c r="J68" s="25"/>
      <c r="K68" s="25"/>
      <c r="L68" s="27" t="s">
        <v>21</v>
      </c>
      <c r="M68" s="27" t="s">
        <v>4</v>
      </c>
      <c r="N68" s="27" t="s">
        <v>5</v>
      </c>
      <c r="O68" s="25"/>
      <c r="P68" s="25"/>
      <c r="Q68" s="25"/>
      <c r="R68" s="25"/>
      <c r="S68" s="16"/>
      <c r="T68" s="16"/>
      <c r="U68" s="16"/>
      <c r="V68" s="16"/>
      <c r="W68" s="16"/>
      <c r="X68" s="16"/>
      <c r="Y68" s="16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</row>
    <row r="69" spans="1:38" s="13" customFormat="1" x14ac:dyDescent="0.25">
      <c r="A69" s="14"/>
      <c r="B69" s="15"/>
      <c r="C69" s="15"/>
      <c r="D69" s="15"/>
      <c r="E69" s="14"/>
      <c r="F69" s="16"/>
      <c r="G69" s="16"/>
      <c r="H69" s="28" t="s">
        <v>32</v>
      </c>
      <c r="I69" s="25" t="b">
        <f>I63</f>
        <v>0</v>
      </c>
      <c r="J69" s="31" t="s">
        <v>30</v>
      </c>
      <c r="K69" s="28" t="s">
        <v>32</v>
      </c>
      <c r="L69" s="28">
        <f>(1.411/k)*((tm/τ)^(-0.917))</f>
        <v>15.478612840018577</v>
      </c>
      <c r="M69" s="28" t="s">
        <v>35</v>
      </c>
      <c r="N69" s="28">
        <v>0</v>
      </c>
      <c r="O69" s="25"/>
      <c r="P69" s="28">
        <f>$I$9*L69</f>
        <v>0</v>
      </c>
      <c r="Q69" s="28">
        <f>IF(I69,"inf",0)</f>
        <v>0</v>
      </c>
      <c r="R69" s="28">
        <f>I69*N69</f>
        <v>0</v>
      </c>
      <c r="S69" s="16"/>
      <c r="T69" s="16"/>
      <c r="U69" s="16"/>
      <c r="V69" s="16"/>
      <c r="W69" s="16"/>
      <c r="X69" s="16"/>
      <c r="Y69" s="16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</row>
    <row r="70" spans="1:38" s="13" customFormat="1" x14ac:dyDescent="0.25">
      <c r="A70" s="14"/>
      <c r="B70" s="15"/>
      <c r="C70" s="15"/>
      <c r="D70" s="15"/>
      <c r="E70" s="14"/>
      <c r="F70" s="16"/>
      <c r="G70" s="16"/>
      <c r="H70" s="28" t="s">
        <v>33</v>
      </c>
      <c r="I70" s="25" t="b">
        <f>I64</f>
        <v>0</v>
      </c>
      <c r="J70" s="31" t="s">
        <v>30</v>
      </c>
      <c r="K70" s="28" t="s">
        <v>33</v>
      </c>
      <c r="L70" s="28">
        <f>(1.305/k)*((tm/τ)^(-0.959))</f>
        <v>15.769413290638621</v>
      </c>
      <c r="M70" s="28">
        <f>(τ/0.492)*((tm/τ)^-0.739)</f>
        <v>18.944529275720551</v>
      </c>
      <c r="N70" s="28">
        <v>0</v>
      </c>
      <c r="O70" s="25"/>
      <c r="P70" s="28">
        <f>$I$10*L70</f>
        <v>0</v>
      </c>
      <c r="Q70" s="28">
        <f>I70*M70</f>
        <v>0</v>
      </c>
      <c r="R70" s="28">
        <f>I70*N70</f>
        <v>0</v>
      </c>
      <c r="S70" s="16"/>
      <c r="T70" s="16"/>
      <c r="U70" s="16"/>
      <c r="V70" s="16"/>
      <c r="W70" s="16"/>
      <c r="X70" s="16"/>
      <c r="Y70" s="16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</row>
    <row r="71" spans="1:38" s="13" customFormat="1" x14ac:dyDescent="0.25">
      <c r="A71" s="14"/>
      <c r="B71" s="15"/>
      <c r="C71" s="15"/>
      <c r="D71" s="15"/>
      <c r="E71" s="14"/>
      <c r="F71" s="16"/>
      <c r="G71" s="16"/>
      <c r="H71" s="28" t="s">
        <v>34</v>
      </c>
      <c r="I71" s="25" t="b">
        <f>I65</f>
        <v>1</v>
      </c>
      <c r="J71" s="31" t="s">
        <v>30</v>
      </c>
      <c r="K71" s="28" t="s">
        <v>34</v>
      </c>
      <c r="L71" s="28">
        <f>(1.495/k)*((tm/τ)^(-0.945))</f>
        <v>17.492271781500413</v>
      </c>
      <c r="M71" s="28">
        <f>(τ/1.101)*((tm/τ)^-0.771)</f>
        <v>9.1130048709549065</v>
      </c>
      <c r="N71" s="28">
        <f>0.56*τ*((tm/τ)^1.006)</f>
        <v>9.3893807032091242E-2</v>
      </c>
      <c r="O71" s="25"/>
      <c r="P71" s="28">
        <f>$I$11*L71</f>
        <v>17.492271781500413</v>
      </c>
      <c r="Q71" s="28">
        <f>I71*M71</f>
        <v>9.1130048709549065</v>
      </c>
      <c r="R71" s="28">
        <f>N71*I71</f>
        <v>9.3893807032091242E-2</v>
      </c>
      <c r="S71" s="16"/>
      <c r="T71" s="16"/>
      <c r="U71" s="16"/>
      <c r="V71" s="16"/>
      <c r="W71" s="16"/>
      <c r="X71" s="16"/>
      <c r="Y71" s="16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</row>
    <row r="72" spans="1:38" s="13" customFormat="1" x14ac:dyDescent="0.25">
      <c r="A72" s="14"/>
      <c r="B72" s="15"/>
      <c r="C72" s="15"/>
      <c r="D72" s="15"/>
      <c r="E72" s="14"/>
      <c r="F72" s="16"/>
      <c r="G72" s="16"/>
      <c r="H72" s="25"/>
      <c r="I72" s="25"/>
      <c r="J72" s="32" t="s">
        <v>30</v>
      </c>
      <c r="K72" s="25"/>
      <c r="L72" s="28">
        <f>P72</f>
        <v>17.492271781500413</v>
      </c>
      <c r="M72" s="28">
        <f t="shared" ref="M72" si="23">Q72</f>
        <v>9.1130048709549065</v>
      </c>
      <c r="N72" s="28">
        <f t="shared" ref="N72" si="24">R72</f>
        <v>9.3893807032091242E-2</v>
      </c>
      <c r="O72" s="25"/>
      <c r="P72" s="28">
        <f>SUM(P69:P71)</f>
        <v>17.492271781500413</v>
      </c>
      <c r="Q72" s="28">
        <f>IF(Q69&lt;&gt;0,"inf",SUM(Q70:Q71))</f>
        <v>9.1130048709549065</v>
      </c>
      <c r="R72" s="28">
        <f>SUM(R70:R71)</f>
        <v>9.3893807032091242E-2</v>
      </c>
      <c r="S72" s="16"/>
      <c r="T72" s="16"/>
      <c r="U72" s="16"/>
      <c r="V72" s="16"/>
      <c r="W72" s="16"/>
      <c r="X72" s="16"/>
      <c r="Y72" s="16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</row>
    <row r="73" spans="1:38" s="13" customFormat="1" x14ac:dyDescent="0.25">
      <c r="A73" s="14"/>
      <c r="B73" s="15"/>
      <c r="C73" s="15"/>
      <c r="D73" s="15"/>
      <c r="E73" s="14"/>
      <c r="F73" s="16"/>
      <c r="G73" s="16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16"/>
      <c r="T73" s="16"/>
      <c r="U73" s="16"/>
      <c r="V73" s="16"/>
      <c r="W73" s="16"/>
      <c r="X73" s="16"/>
      <c r="Y73" s="16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</row>
    <row r="74" spans="1:38" s="13" customFormat="1" x14ac:dyDescent="0.25">
      <c r="A74" s="14"/>
      <c r="B74" s="15"/>
      <c r="C74" s="15"/>
      <c r="D74" s="15"/>
      <c r="E74" s="14"/>
      <c r="F74" s="16"/>
      <c r="G74" s="16"/>
      <c r="H74" s="25"/>
      <c r="I74" s="25"/>
      <c r="J74" s="25"/>
      <c r="K74" s="25"/>
      <c r="L74" s="27" t="s">
        <v>21</v>
      </c>
      <c r="M74" s="27" t="s">
        <v>4</v>
      </c>
      <c r="N74" s="27" t="s">
        <v>5</v>
      </c>
      <c r="O74" s="25"/>
      <c r="P74" s="25"/>
      <c r="Q74" s="25"/>
      <c r="R74" s="25"/>
      <c r="S74" s="16"/>
      <c r="T74" s="16"/>
      <c r="U74" s="16"/>
      <c r="V74" s="16"/>
      <c r="W74" s="16"/>
      <c r="X74" s="16"/>
      <c r="Y74" s="16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</row>
    <row r="75" spans="1:38" s="13" customFormat="1" x14ac:dyDescent="0.25">
      <c r="A75" s="14"/>
      <c r="B75" s="15"/>
      <c r="C75" s="15"/>
      <c r="D75" s="15"/>
      <c r="E75" s="14"/>
      <c r="F75" s="16"/>
      <c r="G75" s="16"/>
      <c r="H75" s="28" t="s">
        <v>32</v>
      </c>
      <c r="I75" s="25" t="b">
        <f>I69</f>
        <v>0</v>
      </c>
      <c r="J75" s="31" t="s">
        <v>41</v>
      </c>
      <c r="K75" s="28" t="s">
        <v>32</v>
      </c>
      <c r="L75" s="28">
        <f>(0.902/k)*((tm/τ)^(-0.985))</f>
        <v>11.572083570369344</v>
      </c>
      <c r="M75" s="28" t="s">
        <v>35</v>
      </c>
      <c r="N75" s="28">
        <v>0</v>
      </c>
      <c r="O75" s="25"/>
      <c r="P75" s="28">
        <f>IF(I75,"No Aplica",0)</f>
        <v>0</v>
      </c>
      <c r="Q75" s="28">
        <f>IF(I75,"inf",0)</f>
        <v>0</v>
      </c>
      <c r="R75" s="28">
        <f>I75*N75</f>
        <v>0</v>
      </c>
      <c r="S75" s="16"/>
      <c r="T75" s="16"/>
      <c r="U75" s="16"/>
      <c r="V75" s="16"/>
      <c r="W75" s="16"/>
      <c r="X75" s="16"/>
      <c r="Y75" s="16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</row>
    <row r="76" spans="1:38" s="13" customFormat="1" x14ac:dyDescent="0.25">
      <c r="A76" s="14"/>
      <c r="B76" s="15"/>
      <c r="C76" s="15"/>
      <c r="D76" s="15"/>
      <c r="E76" s="14"/>
      <c r="F76" s="16"/>
      <c r="G76" s="16"/>
      <c r="H76" s="28" t="s">
        <v>33</v>
      </c>
      <c r="I76" s="25" t="b">
        <f>I70</f>
        <v>0</v>
      </c>
      <c r="J76" s="31" t="s">
        <v>41</v>
      </c>
      <c r="K76" s="28" t="s">
        <v>33</v>
      </c>
      <c r="L76" s="28">
        <f>(0.758/k)*((tm/τ)^(-0.861))</f>
        <v>7.3092737813525526</v>
      </c>
      <c r="M76" s="28">
        <f>τ/(1.02-0.323*tm/τ)</f>
        <v>1.7211703958691911</v>
      </c>
      <c r="N76" s="28">
        <v>0</v>
      </c>
      <c r="O76" s="25"/>
      <c r="P76" s="28">
        <f>$I$10*L76</f>
        <v>0</v>
      </c>
      <c r="Q76" s="28">
        <f>I76*M76</f>
        <v>0</v>
      </c>
      <c r="R76" s="28">
        <f>I76*N76</f>
        <v>0</v>
      </c>
      <c r="S76" s="16"/>
      <c r="T76" s="16"/>
      <c r="U76" s="16"/>
      <c r="V76" s="16"/>
      <c r="W76" s="16"/>
      <c r="X76" s="16"/>
      <c r="Y76" s="16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</row>
    <row r="77" spans="1:38" s="13" customFormat="1" x14ac:dyDescent="0.25">
      <c r="A77" s="14"/>
      <c r="B77" s="15"/>
      <c r="C77" s="15"/>
      <c r="D77" s="15"/>
      <c r="E77" s="14"/>
      <c r="F77" s="16"/>
      <c r="G77" s="16"/>
      <c r="H77" s="28" t="s">
        <v>34</v>
      </c>
      <c r="I77" s="25" t="b">
        <f>I71</f>
        <v>1</v>
      </c>
      <c r="J77" s="31" t="s">
        <v>41</v>
      </c>
      <c r="K77" s="28" t="s">
        <v>34</v>
      </c>
      <c r="L77" s="28">
        <f>(1.086/k)*((tm/τ)^(-0.965))</f>
        <v>13.30561181792925</v>
      </c>
      <c r="M77" s="28">
        <f>τ/(0.74-0.13*tm/τ)</f>
        <v>2.3383768913342502</v>
      </c>
      <c r="N77" s="28">
        <f>0.348*τ*((tm/τ)^0.914)</f>
        <v>7.2115424672395095E-2</v>
      </c>
      <c r="O77" s="25"/>
      <c r="P77" s="28">
        <f>$I$11*L77</f>
        <v>13.30561181792925</v>
      </c>
      <c r="Q77" s="28">
        <f>I77*M77</f>
        <v>2.3383768913342502</v>
      </c>
      <c r="R77" s="28">
        <f>N77*I77</f>
        <v>7.2115424672395095E-2</v>
      </c>
      <c r="S77" s="16"/>
      <c r="T77" s="16"/>
      <c r="U77" s="16"/>
      <c r="V77" s="16"/>
      <c r="W77" s="16"/>
      <c r="X77" s="16"/>
      <c r="Y77" s="16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</row>
    <row r="78" spans="1:38" s="13" customFormat="1" x14ac:dyDescent="0.25">
      <c r="A78" s="14"/>
      <c r="B78" s="15"/>
      <c r="C78" s="15"/>
      <c r="D78" s="15"/>
      <c r="E78" s="14"/>
      <c r="F78" s="16"/>
      <c r="G78" s="16"/>
      <c r="H78" s="25"/>
      <c r="I78" s="25"/>
      <c r="J78" s="32" t="s">
        <v>41</v>
      </c>
      <c r="K78" s="25"/>
      <c r="L78" s="28">
        <f>P78</f>
        <v>13.30561181792925</v>
      </c>
      <c r="M78" s="28">
        <f t="shared" ref="M78" si="25">Q78</f>
        <v>2.3383768913342502</v>
      </c>
      <c r="N78" s="28">
        <f t="shared" ref="N78" si="26">R78</f>
        <v>7.2115424672395095E-2</v>
      </c>
      <c r="O78" s="25"/>
      <c r="P78" s="28">
        <f>SUM(P75:P77)</f>
        <v>13.30561181792925</v>
      </c>
      <c r="Q78" s="28">
        <f>IF(Q75&lt;&gt;0,"inf",SUM(Q76:Q77))</f>
        <v>2.3383768913342502</v>
      </c>
      <c r="R78" s="28">
        <f>SUM(R76:R77)</f>
        <v>7.2115424672395095E-2</v>
      </c>
      <c r="S78" s="16"/>
      <c r="T78" s="16"/>
      <c r="U78" s="16"/>
      <c r="V78" s="16"/>
      <c r="W78" s="16"/>
      <c r="X78" s="16"/>
      <c r="Y78" s="16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</row>
    <row r="79" spans="1:38" s="13" customFormat="1" x14ac:dyDescent="0.25">
      <c r="A79" s="14"/>
      <c r="B79" s="15"/>
      <c r="C79" s="15"/>
      <c r="D79" s="15"/>
      <c r="E79" s="14"/>
      <c r="F79" s="16"/>
      <c r="G79" s="16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16"/>
      <c r="T79" s="16"/>
      <c r="U79" s="16"/>
      <c r="V79" s="16"/>
      <c r="W79" s="16"/>
      <c r="X79" s="16"/>
      <c r="Y79" s="16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</row>
    <row r="80" spans="1:38" s="13" customFormat="1" x14ac:dyDescent="0.25">
      <c r="A80" s="14"/>
      <c r="B80" s="15"/>
      <c r="C80" s="15"/>
      <c r="D80" s="15"/>
      <c r="E80" s="14"/>
      <c r="F80" s="16"/>
      <c r="G80" s="16"/>
      <c r="H80" s="25"/>
      <c r="I80" s="25"/>
      <c r="J80" s="25"/>
      <c r="K80" s="25"/>
      <c r="L80" s="27" t="s">
        <v>21</v>
      </c>
      <c r="M80" s="27" t="s">
        <v>4</v>
      </c>
      <c r="N80" s="27" t="s">
        <v>5</v>
      </c>
      <c r="O80" s="25"/>
      <c r="P80" s="25"/>
      <c r="Q80" s="25"/>
      <c r="R80" s="25"/>
      <c r="S80" s="16"/>
      <c r="T80" s="16"/>
      <c r="U80" s="16"/>
      <c r="V80" s="16"/>
      <c r="W80" s="16"/>
      <c r="X80" s="16"/>
      <c r="Y80" s="16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</row>
    <row r="81" spans="1:38" s="13" customFormat="1" x14ac:dyDescent="0.25">
      <c r="A81" s="14"/>
      <c r="B81" s="15"/>
      <c r="C81" s="15"/>
      <c r="D81" s="15"/>
      <c r="E81" s="14"/>
      <c r="F81" s="16"/>
      <c r="G81" s="16"/>
      <c r="H81" s="28" t="s">
        <v>32</v>
      </c>
      <c r="I81" s="25" t="b">
        <f>I75</f>
        <v>0</v>
      </c>
      <c r="J81" s="31" t="s">
        <v>42</v>
      </c>
      <c r="K81" s="28" t="s">
        <v>32</v>
      </c>
      <c r="L81" s="28">
        <f>(0.49/k)*((tm/τ)^(-1.084))</f>
        <v>7.8958902619898907</v>
      </c>
      <c r="M81" s="28" t="s">
        <v>35</v>
      </c>
      <c r="N81" s="28">
        <v>0</v>
      </c>
      <c r="O81" s="25"/>
      <c r="P81" s="28">
        <f>IF(I81,"No Aplica",0)</f>
        <v>0</v>
      </c>
      <c r="Q81" s="28">
        <f>IF(I81,"inf",0)</f>
        <v>0</v>
      </c>
      <c r="R81" s="28">
        <f>I81*N81</f>
        <v>0</v>
      </c>
      <c r="S81" s="16"/>
      <c r="T81" s="16"/>
      <c r="U81" s="16"/>
      <c r="V81" s="16"/>
      <c r="W81" s="16"/>
      <c r="X81" s="16"/>
      <c r="Y81" s="16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</row>
    <row r="82" spans="1:38" s="13" customFormat="1" x14ac:dyDescent="0.25">
      <c r="A82" s="14"/>
      <c r="B82" s="15"/>
      <c r="C82" s="15"/>
      <c r="D82" s="15"/>
      <c r="E82" s="14"/>
      <c r="F82" s="16"/>
      <c r="G82" s="16"/>
      <c r="H82" s="28" t="s">
        <v>33</v>
      </c>
      <c r="I82" s="25" t="b">
        <f>I76</f>
        <v>0</v>
      </c>
      <c r="J82" s="31" t="s">
        <v>42</v>
      </c>
      <c r="K82" s="28" t="s">
        <v>33</v>
      </c>
      <c r="L82" s="28">
        <f>(0.586/k)*((tm/τ)^(-0.916))</f>
        <v>6.4136113598621423</v>
      </c>
      <c r="M82" s="28">
        <f>τ/(1.03-0.165*tm/τ)</f>
        <v>1.6773556980759743</v>
      </c>
      <c r="N82" s="28">
        <v>0</v>
      </c>
      <c r="O82" s="25"/>
      <c r="P82" s="28">
        <f>$I$10*L82</f>
        <v>0</v>
      </c>
      <c r="Q82" s="28">
        <f>I82*M82</f>
        <v>0</v>
      </c>
      <c r="R82" s="28">
        <f>I82*N82</f>
        <v>0</v>
      </c>
      <c r="S82" s="16"/>
      <c r="T82" s="16"/>
      <c r="U82" s="16"/>
      <c r="V82" s="16"/>
      <c r="W82" s="16"/>
      <c r="X82" s="16"/>
      <c r="Y82" s="16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</row>
    <row r="83" spans="1:38" s="13" customFormat="1" x14ac:dyDescent="0.25">
      <c r="A83" s="14"/>
      <c r="B83" s="15"/>
      <c r="C83" s="15"/>
      <c r="D83" s="15"/>
      <c r="E83" s="14"/>
      <c r="F83" s="16"/>
      <c r="G83" s="16"/>
      <c r="H83" s="28" t="s">
        <v>34</v>
      </c>
      <c r="I83" s="25" t="b">
        <f>I77</f>
        <v>1</v>
      </c>
      <c r="J83" s="31" t="s">
        <v>42</v>
      </c>
      <c r="K83" s="28" t="s">
        <v>34</v>
      </c>
      <c r="L83" s="28">
        <f>(0.965/k)*((tm/τ)^(-0.855))</f>
        <v>9.1776678732463512</v>
      </c>
      <c r="M83" s="28">
        <f>τ/(0.796-0.147*tm/τ)</f>
        <v>2.1758607449123257</v>
      </c>
      <c r="N83" s="28">
        <f>0.308*τ*((tm/τ)^0.929)</f>
        <v>6.165944877354948E-2</v>
      </c>
      <c r="O83" s="25"/>
      <c r="P83" s="28">
        <f>$I$11*L83</f>
        <v>9.1776678732463512</v>
      </c>
      <c r="Q83" s="28">
        <f>I83*M83</f>
        <v>2.1758607449123257</v>
      </c>
      <c r="R83" s="28">
        <f>N83*I83</f>
        <v>6.165944877354948E-2</v>
      </c>
      <c r="S83" s="16"/>
      <c r="T83" s="16"/>
      <c r="U83" s="16"/>
      <c r="V83" s="16"/>
      <c r="W83" s="16"/>
      <c r="X83" s="16"/>
      <c r="Y83" s="16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</row>
    <row r="84" spans="1:38" s="13" customFormat="1" x14ac:dyDescent="0.25">
      <c r="A84" s="14"/>
      <c r="B84" s="15"/>
      <c r="C84" s="15"/>
      <c r="D84" s="15"/>
      <c r="E84" s="14"/>
      <c r="F84" s="16"/>
      <c r="G84" s="16"/>
      <c r="H84" s="25"/>
      <c r="I84" s="25"/>
      <c r="J84" s="32" t="s">
        <v>42</v>
      </c>
      <c r="K84" s="25"/>
      <c r="L84" s="28">
        <f>P84</f>
        <v>9.1776678732463512</v>
      </c>
      <c r="M84" s="28">
        <f t="shared" ref="M84" si="27">Q84</f>
        <v>2.1758607449123257</v>
      </c>
      <c r="N84" s="28">
        <f t="shared" ref="N84" si="28">R84</f>
        <v>6.165944877354948E-2</v>
      </c>
      <c r="O84" s="25"/>
      <c r="P84" s="28">
        <f>SUM(P81:P83)</f>
        <v>9.1776678732463512</v>
      </c>
      <c r="Q84" s="28">
        <f>IF(Q81&lt;&gt;0,"inf",SUM(Q82:Q83))</f>
        <v>2.1758607449123257</v>
      </c>
      <c r="R84" s="28">
        <f>SUM(R82:R83)</f>
        <v>6.165944877354948E-2</v>
      </c>
      <c r="S84" s="16"/>
      <c r="T84" s="16"/>
      <c r="U84" s="16"/>
      <c r="V84" s="16"/>
      <c r="W84" s="16"/>
      <c r="X84" s="16"/>
      <c r="Y84" s="16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</row>
    <row r="85" spans="1:38" s="13" customFormat="1" x14ac:dyDescent="0.25">
      <c r="A85" s="14"/>
      <c r="B85" s="15"/>
      <c r="C85" s="15"/>
      <c r="D85" s="15"/>
      <c r="E85" s="14"/>
      <c r="F85" s="16"/>
      <c r="G85" s="16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16"/>
      <c r="T85" s="16"/>
      <c r="U85" s="16"/>
      <c r="V85" s="16"/>
      <c r="W85" s="16"/>
      <c r="X85" s="16"/>
      <c r="Y85" s="16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</row>
    <row r="86" spans="1:38" s="13" customFormat="1" x14ac:dyDescent="0.25">
      <c r="A86" s="14"/>
      <c r="B86" s="15"/>
      <c r="C86" s="15"/>
      <c r="D86" s="15"/>
      <c r="E86" s="14"/>
      <c r="F86" s="16"/>
      <c r="G86" s="16"/>
      <c r="H86" s="25"/>
      <c r="I86" s="25"/>
      <c r="J86" s="25"/>
      <c r="K86" s="25"/>
      <c r="L86" s="27" t="s">
        <v>21</v>
      </c>
      <c r="M86" s="27" t="s">
        <v>4</v>
      </c>
      <c r="N86" s="27" t="s">
        <v>5</v>
      </c>
      <c r="O86" s="25"/>
      <c r="P86" s="25"/>
      <c r="Q86" s="25"/>
      <c r="R86" s="25"/>
      <c r="S86" s="16"/>
      <c r="T86" s="16"/>
      <c r="U86" s="16"/>
      <c r="V86" s="16"/>
      <c r="W86" s="16"/>
      <c r="X86" s="16"/>
      <c r="Y86" s="16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</row>
    <row r="87" spans="1:38" s="13" customFormat="1" x14ac:dyDescent="0.25">
      <c r="A87" s="14"/>
      <c r="B87" s="15"/>
      <c r="C87" s="15"/>
      <c r="D87" s="15"/>
      <c r="E87" s="14"/>
      <c r="F87" s="16"/>
      <c r="G87" s="16"/>
      <c r="H87" s="28" t="s">
        <v>32</v>
      </c>
      <c r="I87" s="25" t="b">
        <f>I81</f>
        <v>0</v>
      </c>
      <c r="J87" s="31" t="s">
        <v>25</v>
      </c>
      <c r="K87" s="28" t="s">
        <v>32</v>
      </c>
      <c r="L87" s="28">
        <v>0</v>
      </c>
      <c r="M87" s="28" t="s">
        <v>35</v>
      </c>
      <c r="N87" s="28">
        <v>0</v>
      </c>
      <c r="O87" s="25"/>
      <c r="P87" s="28">
        <f>IF(I87,"No Aplica",0)</f>
        <v>0</v>
      </c>
      <c r="Q87" s="28">
        <f>IF(I87,"inf",0)</f>
        <v>0</v>
      </c>
      <c r="R87" s="28">
        <f>I87*N87</f>
        <v>0</v>
      </c>
      <c r="S87" s="16"/>
      <c r="T87" s="16"/>
      <c r="U87" s="16"/>
      <c r="V87" s="16"/>
      <c r="W87" s="16"/>
      <c r="X87" s="16"/>
      <c r="Y87" s="16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</row>
    <row r="88" spans="1:38" s="13" customFormat="1" x14ac:dyDescent="0.25">
      <c r="A88" s="14"/>
      <c r="B88" s="15"/>
      <c r="C88" s="15"/>
      <c r="D88" s="15"/>
      <c r="E88" s="14"/>
      <c r="F88" s="16"/>
      <c r="G88" s="16"/>
      <c r="H88" s="28" t="s">
        <v>33</v>
      </c>
      <c r="I88" s="25" t="b">
        <f>I82</f>
        <v>0</v>
      </c>
      <c r="J88" s="31" t="s">
        <v>25</v>
      </c>
      <c r="K88" s="28" t="s">
        <v>33</v>
      </c>
      <c r="L88" s="28">
        <v>0</v>
      </c>
      <c r="M88" s="28">
        <v>0</v>
      </c>
      <c r="N88" s="28">
        <v>0</v>
      </c>
      <c r="O88" s="25"/>
      <c r="P88" s="28">
        <f>$I$10*L88</f>
        <v>0</v>
      </c>
      <c r="Q88" s="28">
        <f>I88*M88</f>
        <v>0</v>
      </c>
      <c r="R88" s="28">
        <f>I88*N88</f>
        <v>0</v>
      </c>
      <c r="S88" s="16"/>
      <c r="T88" s="16"/>
      <c r="U88" s="16"/>
      <c r="V88" s="16"/>
      <c r="W88" s="16"/>
      <c r="X88" s="16"/>
      <c r="Y88" s="16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</row>
    <row r="89" spans="1:38" s="13" customFormat="1" x14ac:dyDescent="0.25">
      <c r="A89" s="14"/>
      <c r="B89" s="15"/>
      <c r="C89" s="15"/>
      <c r="D89" s="15"/>
      <c r="E89" s="14"/>
      <c r="F89" s="16"/>
      <c r="G89" s="16"/>
      <c r="H89" s="28" t="s">
        <v>34</v>
      </c>
      <c r="I89" s="25" t="b">
        <f>I83</f>
        <v>1</v>
      </c>
      <c r="J89" s="31" t="s">
        <v>25</v>
      </c>
      <c r="K89" s="28" t="s">
        <v>34</v>
      </c>
      <c r="L89" s="28">
        <f>(0.98089/k)*((tm/τ)^(-0.76167))</f>
        <v>7.5248064003824107</v>
      </c>
      <c r="M89" s="28">
        <f>(τ/0.91032)*((tm/τ)^-1.05221)</f>
        <v>21.060313753985266</v>
      </c>
      <c r="N89" s="28">
        <f>0.59974*τ*((tm/τ)^0.89819)</f>
        <v>0.1288908051700898</v>
      </c>
      <c r="O89" s="25"/>
      <c r="P89" s="28">
        <f>$I$11*L89</f>
        <v>7.5248064003824107</v>
      </c>
      <c r="Q89" s="28">
        <f>I89*M89</f>
        <v>21.060313753985266</v>
      </c>
      <c r="R89" s="28">
        <f>N89*I89</f>
        <v>0.1288908051700898</v>
      </c>
      <c r="S89" s="16"/>
      <c r="T89" s="16"/>
      <c r="U89" s="16"/>
      <c r="V89" s="16"/>
      <c r="W89" s="16"/>
      <c r="X89" s="16"/>
      <c r="Y89" s="16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</row>
    <row r="90" spans="1:38" s="13" customFormat="1" x14ac:dyDescent="0.25">
      <c r="A90" s="14"/>
      <c r="B90" s="15"/>
      <c r="C90" s="15"/>
      <c r="D90" s="15"/>
      <c r="E90" s="14"/>
      <c r="F90" s="16"/>
      <c r="G90" s="16"/>
      <c r="H90" s="25"/>
      <c r="I90" s="25"/>
      <c r="J90" s="32" t="s">
        <v>25</v>
      </c>
      <c r="K90" s="25"/>
      <c r="L90" s="28">
        <f>P90</f>
        <v>7.5248064003824107</v>
      </c>
      <c r="M90" s="28">
        <f t="shared" ref="M90" si="29">Q90</f>
        <v>21.060313753985266</v>
      </c>
      <c r="N90" s="28">
        <f t="shared" ref="N90" si="30">R90</f>
        <v>0.1288908051700898</v>
      </c>
      <c r="O90" s="25"/>
      <c r="P90" s="28">
        <f>SUM(P87:P89)</f>
        <v>7.5248064003824107</v>
      </c>
      <c r="Q90" s="28">
        <f>IF(Q87&lt;&gt;0,"inf",SUM(Q88:Q89))</f>
        <v>21.060313753985266</v>
      </c>
      <c r="R90" s="28">
        <f>SUM(R88:R89)</f>
        <v>0.1288908051700898</v>
      </c>
      <c r="S90" s="16"/>
      <c r="T90" s="16"/>
      <c r="U90" s="16"/>
      <c r="V90" s="16"/>
      <c r="W90" s="16"/>
      <c r="X90" s="16"/>
      <c r="Y90" s="16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</row>
    <row r="91" spans="1:38" s="13" customFormat="1" x14ac:dyDescent="0.25">
      <c r="A91" s="14"/>
      <c r="B91" s="15"/>
      <c r="C91" s="15"/>
      <c r="D91" s="15"/>
      <c r="E91" s="14"/>
      <c r="F91" s="16"/>
      <c r="G91" s="16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16"/>
      <c r="T91" s="16"/>
      <c r="U91" s="16"/>
      <c r="V91" s="16"/>
      <c r="W91" s="16"/>
      <c r="X91" s="16"/>
      <c r="Y91" s="16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</row>
    <row r="92" spans="1:38" s="13" customFormat="1" x14ac:dyDescent="0.25">
      <c r="A92" s="14"/>
      <c r="B92" s="15"/>
      <c r="C92" s="15"/>
      <c r="D92" s="15"/>
      <c r="E92" s="14"/>
      <c r="F92" s="16"/>
      <c r="G92" s="16"/>
      <c r="H92" s="25"/>
      <c r="I92" s="25"/>
      <c r="J92" s="25"/>
      <c r="K92" s="25"/>
      <c r="L92" s="27" t="s">
        <v>21</v>
      </c>
      <c r="M92" s="27" t="s">
        <v>4</v>
      </c>
      <c r="N92" s="27" t="s">
        <v>5</v>
      </c>
      <c r="O92" s="25"/>
      <c r="P92" s="25"/>
      <c r="Q92" s="25"/>
      <c r="R92" s="25"/>
      <c r="S92" s="16"/>
      <c r="T92" s="16"/>
      <c r="U92" s="16"/>
      <c r="V92" s="16"/>
      <c r="W92" s="16"/>
      <c r="X92" s="16"/>
      <c r="Y92" s="16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</row>
    <row r="93" spans="1:38" s="13" customFormat="1" x14ac:dyDescent="0.25">
      <c r="A93" s="14"/>
      <c r="B93" s="15"/>
      <c r="C93" s="15"/>
      <c r="D93" s="15"/>
      <c r="E93" s="14"/>
      <c r="F93" s="16"/>
      <c r="G93" s="16"/>
      <c r="H93" s="28" t="s">
        <v>32</v>
      </c>
      <c r="I93" s="25" t="b">
        <f>I87</f>
        <v>0</v>
      </c>
      <c r="J93" s="31" t="s">
        <v>26</v>
      </c>
      <c r="K93" s="28" t="s">
        <v>32</v>
      </c>
      <c r="L93" s="28">
        <v>0</v>
      </c>
      <c r="M93" s="28" t="s">
        <v>35</v>
      </c>
      <c r="N93" s="28">
        <v>0</v>
      </c>
      <c r="O93" s="25"/>
      <c r="P93" s="28">
        <f>IF(I93,"No Aplica",0)</f>
        <v>0</v>
      </c>
      <c r="Q93" s="28">
        <f>IF(I93,"inf",0)</f>
        <v>0</v>
      </c>
      <c r="R93" s="28">
        <f>I93*N93</f>
        <v>0</v>
      </c>
      <c r="S93" s="16"/>
      <c r="T93" s="16"/>
      <c r="U93" s="16"/>
      <c r="V93" s="16"/>
      <c r="W93" s="16"/>
      <c r="X93" s="16"/>
      <c r="Y93" s="16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</row>
    <row r="94" spans="1:38" s="13" customFormat="1" x14ac:dyDescent="0.25">
      <c r="A94" s="14"/>
      <c r="B94" s="15"/>
      <c r="C94" s="15"/>
      <c r="D94" s="15"/>
      <c r="E94" s="14"/>
      <c r="F94" s="16"/>
      <c r="G94" s="16"/>
      <c r="H94" s="28" t="s">
        <v>33</v>
      </c>
      <c r="I94" s="25" t="b">
        <f>I88</f>
        <v>0</v>
      </c>
      <c r="J94" s="31" t="s">
        <v>26</v>
      </c>
      <c r="K94" s="28" t="s">
        <v>33</v>
      </c>
      <c r="L94" s="28">
        <v>0</v>
      </c>
      <c r="M94" s="28">
        <v>0</v>
      </c>
      <c r="N94" s="28">
        <v>0</v>
      </c>
      <c r="O94" s="25"/>
      <c r="P94" s="28">
        <f>$I$10*L94</f>
        <v>0</v>
      </c>
      <c r="Q94" s="28">
        <f>I94*M94</f>
        <v>0</v>
      </c>
      <c r="R94" s="28">
        <f>I94*N94</f>
        <v>0</v>
      </c>
      <c r="S94" s="16"/>
      <c r="T94" s="16"/>
      <c r="U94" s="16"/>
      <c r="V94" s="16"/>
      <c r="W94" s="16"/>
      <c r="X94" s="16"/>
      <c r="Y94" s="16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</row>
    <row r="95" spans="1:38" s="13" customFormat="1" x14ac:dyDescent="0.25">
      <c r="A95" s="14"/>
      <c r="B95" s="15"/>
      <c r="C95" s="15"/>
      <c r="D95" s="15"/>
      <c r="E95" s="14"/>
      <c r="F95" s="16"/>
      <c r="G95" s="16"/>
      <c r="H95" s="28" t="s">
        <v>34</v>
      </c>
      <c r="I95" s="25" t="b">
        <f>I89</f>
        <v>1</v>
      </c>
      <c r="J95" s="31" t="s">
        <v>26</v>
      </c>
      <c r="K95" s="28" t="s">
        <v>34</v>
      </c>
      <c r="L95" s="28">
        <f>(0.77902/k)*((tm/τ)^(-1.06401))</f>
        <v>11.988466426482224</v>
      </c>
      <c r="M95" s="28">
        <f>(τ/1.14311)*((tm/τ)^-0.70949)</f>
        <v>7.6181741683769415</v>
      </c>
      <c r="N95" s="28">
        <f>0.57137*τ*((tm/τ)^1.03826)</f>
        <v>8.8941890272655699E-2</v>
      </c>
      <c r="O95" s="25"/>
      <c r="P95" s="28">
        <f>$I$11*L95</f>
        <v>11.988466426482224</v>
      </c>
      <c r="Q95" s="28">
        <f>I95*M95</f>
        <v>7.6181741683769415</v>
      </c>
      <c r="R95" s="28">
        <f>N95*I95</f>
        <v>8.8941890272655699E-2</v>
      </c>
      <c r="S95" s="16"/>
      <c r="T95" s="16"/>
      <c r="U95" s="16"/>
      <c r="V95" s="16"/>
      <c r="W95" s="16"/>
      <c r="X95" s="16"/>
      <c r="Y95" s="16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</row>
    <row r="96" spans="1:38" s="13" customFormat="1" x14ac:dyDescent="0.25">
      <c r="A96" s="14"/>
      <c r="B96" s="15"/>
      <c r="C96" s="15"/>
      <c r="D96" s="15"/>
      <c r="E96" s="14"/>
      <c r="F96" s="16"/>
      <c r="G96" s="16"/>
      <c r="H96" s="25"/>
      <c r="I96" s="25"/>
      <c r="J96" s="32" t="s">
        <v>26</v>
      </c>
      <c r="K96" s="25"/>
      <c r="L96" s="28">
        <f>P96</f>
        <v>11.988466426482224</v>
      </c>
      <c r="M96" s="28">
        <f t="shared" ref="M96" si="31">Q96</f>
        <v>7.6181741683769415</v>
      </c>
      <c r="N96" s="28">
        <f t="shared" ref="N96" si="32">R96</f>
        <v>8.8941890272655699E-2</v>
      </c>
      <c r="O96" s="25"/>
      <c r="P96" s="28">
        <f>SUM(P93:P95)</f>
        <v>11.988466426482224</v>
      </c>
      <c r="Q96" s="28">
        <f>IF(Q93&lt;&gt;0,"inf",SUM(Q94:Q95))</f>
        <v>7.6181741683769415</v>
      </c>
      <c r="R96" s="28">
        <f>SUM(R94:R95)</f>
        <v>8.8941890272655699E-2</v>
      </c>
      <c r="S96" s="16"/>
      <c r="T96" s="16"/>
      <c r="U96" s="16"/>
      <c r="V96" s="16"/>
      <c r="W96" s="16"/>
      <c r="X96" s="16"/>
      <c r="Y96" s="16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</row>
    <row r="97" spans="1:38" s="13" customFormat="1" x14ac:dyDescent="0.25">
      <c r="A97" s="14"/>
      <c r="B97" s="15"/>
      <c r="C97" s="15"/>
      <c r="D97" s="15"/>
      <c r="E97" s="14"/>
      <c r="F97" s="16"/>
      <c r="G97" s="16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16"/>
      <c r="T97" s="16"/>
      <c r="U97" s="16"/>
      <c r="V97" s="16"/>
      <c r="W97" s="16"/>
      <c r="X97" s="16"/>
      <c r="Y97" s="16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</row>
    <row r="98" spans="1:38" s="13" customFormat="1" x14ac:dyDescent="0.25">
      <c r="A98" s="14"/>
      <c r="B98" s="15"/>
      <c r="C98" s="15"/>
      <c r="D98" s="15"/>
      <c r="E98" s="14"/>
      <c r="F98" s="16"/>
      <c r="G98" s="16"/>
      <c r="H98" s="25"/>
      <c r="I98" s="25"/>
      <c r="J98" s="25"/>
      <c r="K98" s="25"/>
      <c r="L98" s="27" t="s">
        <v>21</v>
      </c>
      <c r="M98" s="27" t="s">
        <v>4</v>
      </c>
      <c r="N98" s="27" t="s">
        <v>5</v>
      </c>
      <c r="O98" s="25"/>
      <c r="P98" s="25"/>
      <c r="Q98" s="25"/>
      <c r="R98" s="25"/>
      <c r="S98" s="16"/>
      <c r="T98" s="16"/>
      <c r="U98" s="16"/>
      <c r="V98" s="16"/>
      <c r="W98" s="16"/>
      <c r="X98" s="16"/>
      <c r="Y98" s="16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</row>
    <row r="99" spans="1:38" s="13" customFormat="1" x14ac:dyDescent="0.25">
      <c r="A99" s="14"/>
      <c r="B99" s="15"/>
      <c r="C99" s="15"/>
      <c r="D99" s="15"/>
      <c r="E99" s="14"/>
      <c r="F99" s="16"/>
      <c r="G99" s="16"/>
      <c r="H99" s="28" t="s">
        <v>32</v>
      </c>
      <c r="I99" s="25" t="b">
        <f>I93</f>
        <v>0</v>
      </c>
      <c r="J99" s="31" t="s">
        <v>27</v>
      </c>
      <c r="K99" s="28" t="s">
        <v>32</v>
      </c>
      <c r="L99" s="28">
        <v>0</v>
      </c>
      <c r="M99" s="28" t="s">
        <v>35</v>
      </c>
      <c r="N99" s="28">
        <v>0</v>
      </c>
      <c r="O99" s="25"/>
      <c r="P99" s="28">
        <f>IF(I99,"No Aplica",0)</f>
        <v>0</v>
      </c>
      <c r="Q99" s="28">
        <f>IF(I99,"inf",0)</f>
        <v>0</v>
      </c>
      <c r="R99" s="28">
        <f>I99*N99</f>
        <v>0</v>
      </c>
      <c r="S99" s="16"/>
      <c r="T99" s="16"/>
      <c r="U99" s="16"/>
      <c r="V99" s="16"/>
      <c r="W99" s="16"/>
      <c r="X99" s="16"/>
      <c r="Y99" s="16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</row>
    <row r="100" spans="1:38" s="13" customFormat="1" x14ac:dyDescent="0.25">
      <c r="A100" s="14"/>
      <c r="B100" s="15"/>
      <c r="C100" s="15"/>
      <c r="D100" s="15"/>
      <c r="E100" s="14"/>
      <c r="F100" s="16"/>
      <c r="G100" s="16"/>
      <c r="H100" s="28" t="s">
        <v>33</v>
      </c>
      <c r="I100" s="25" t="b">
        <f>I94</f>
        <v>0</v>
      </c>
      <c r="J100" s="31" t="s">
        <v>27</v>
      </c>
      <c r="K100" s="28" t="s">
        <v>33</v>
      </c>
      <c r="L100" s="28">
        <v>0</v>
      </c>
      <c r="M100" s="28">
        <v>0</v>
      </c>
      <c r="N100" s="28">
        <v>0</v>
      </c>
      <c r="O100" s="25"/>
      <c r="P100" s="28">
        <f>$I$10*L100</f>
        <v>0</v>
      </c>
      <c r="Q100" s="28">
        <f>I100*M100</f>
        <v>0</v>
      </c>
      <c r="R100" s="28">
        <f>I100*N100</f>
        <v>0</v>
      </c>
      <c r="S100" s="16"/>
      <c r="T100" s="16"/>
      <c r="U100" s="16"/>
      <c r="V100" s="16"/>
      <c r="W100" s="16"/>
      <c r="X100" s="16"/>
      <c r="Y100" s="16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</row>
    <row r="101" spans="1:38" s="13" customFormat="1" x14ac:dyDescent="0.25">
      <c r="A101" s="14"/>
      <c r="B101" s="15"/>
      <c r="C101" s="15"/>
      <c r="D101" s="15"/>
      <c r="E101" s="14"/>
      <c r="F101" s="16"/>
      <c r="G101" s="16"/>
      <c r="H101" s="28" t="s">
        <v>34</v>
      </c>
      <c r="I101" s="25" t="b">
        <f>I95</f>
        <v>1</v>
      </c>
      <c r="J101" s="31" t="s">
        <v>27</v>
      </c>
      <c r="K101" s="28" t="s">
        <v>34</v>
      </c>
      <c r="L101" s="28">
        <f>(1.11907/k)*((tm/τ)^(-0.89711))</f>
        <v>11.726604474965281</v>
      </c>
      <c r="M101" s="28">
        <f>(τ/0.7987)*((tm/τ)^-0.9548)</f>
        <v>19.180734636002214</v>
      </c>
      <c r="N101" s="28">
        <f>0.54766*τ*((tm/τ)^0.87798)</f>
        <v>0.12330478874262191</v>
      </c>
      <c r="O101" s="25"/>
      <c r="P101" s="28">
        <f>$I$11*L101</f>
        <v>11.726604474965281</v>
      </c>
      <c r="Q101" s="28">
        <f>I101*M101</f>
        <v>19.180734636002214</v>
      </c>
      <c r="R101" s="28">
        <f>N101*I101</f>
        <v>0.12330478874262191</v>
      </c>
      <c r="S101" s="16"/>
      <c r="T101" s="16"/>
      <c r="U101" s="16"/>
      <c r="V101" s="16"/>
      <c r="W101" s="16"/>
      <c r="X101" s="16"/>
      <c r="Y101" s="16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</row>
    <row r="102" spans="1:38" s="13" customFormat="1" x14ac:dyDescent="0.25">
      <c r="A102" s="14"/>
      <c r="B102" s="15"/>
      <c r="C102" s="15"/>
      <c r="D102" s="15"/>
      <c r="E102" s="14"/>
      <c r="F102" s="16"/>
      <c r="G102" s="16"/>
      <c r="H102" s="25"/>
      <c r="I102" s="25"/>
      <c r="J102" s="32" t="s">
        <v>27</v>
      </c>
      <c r="K102" s="25"/>
      <c r="L102" s="28">
        <f>P102</f>
        <v>11.726604474965281</v>
      </c>
      <c r="M102" s="28">
        <f t="shared" ref="M102" si="33">Q102</f>
        <v>19.180734636002214</v>
      </c>
      <c r="N102" s="28">
        <f t="shared" ref="N102" si="34">R102</f>
        <v>0.12330478874262191</v>
      </c>
      <c r="O102" s="25"/>
      <c r="P102" s="28">
        <f>SUM(P99:P101)</f>
        <v>11.726604474965281</v>
      </c>
      <c r="Q102" s="28">
        <f>IF(Q99&lt;&gt;0,"inf",SUM(Q100:Q101))</f>
        <v>19.180734636002214</v>
      </c>
      <c r="R102" s="28">
        <f>SUM(R100:R101)</f>
        <v>0.12330478874262191</v>
      </c>
      <c r="S102" s="16"/>
      <c r="T102" s="16"/>
      <c r="U102" s="16"/>
      <c r="V102" s="16"/>
      <c r="W102" s="16"/>
      <c r="X102" s="16"/>
      <c r="Y102" s="16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</row>
    <row r="103" spans="1:38" s="13" customFormat="1" x14ac:dyDescent="0.25">
      <c r="A103" s="14"/>
      <c r="B103" s="15"/>
      <c r="C103" s="15"/>
      <c r="D103" s="15"/>
      <c r="E103" s="14"/>
      <c r="F103" s="16"/>
      <c r="G103" s="16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16"/>
      <c r="T103" s="16"/>
      <c r="U103" s="16"/>
      <c r="V103" s="16"/>
      <c r="W103" s="16"/>
      <c r="X103" s="16"/>
      <c r="Y103" s="16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</row>
    <row r="104" spans="1:38" s="13" customFormat="1" x14ac:dyDescent="0.25">
      <c r="A104" s="14"/>
      <c r="B104" s="15"/>
      <c r="C104" s="15"/>
      <c r="D104" s="15"/>
      <c r="E104" s="14"/>
      <c r="F104" s="16"/>
      <c r="G104" s="16"/>
      <c r="H104" s="25"/>
      <c r="I104" s="25"/>
      <c r="J104" s="25"/>
      <c r="K104" s="25"/>
      <c r="L104" s="27" t="s">
        <v>21</v>
      </c>
      <c r="M104" s="27" t="s">
        <v>4</v>
      </c>
      <c r="N104" s="27" t="s">
        <v>5</v>
      </c>
      <c r="O104" s="25"/>
      <c r="P104" s="25"/>
      <c r="Q104" s="25"/>
      <c r="R104" s="25"/>
      <c r="S104" s="16"/>
      <c r="T104" s="16"/>
      <c r="U104" s="16"/>
      <c r="V104" s="16"/>
      <c r="W104" s="16"/>
      <c r="X104" s="16"/>
      <c r="Y104" s="16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</row>
    <row r="105" spans="1:38" s="13" customFormat="1" x14ac:dyDescent="0.25">
      <c r="A105" s="14"/>
      <c r="B105" s="15"/>
      <c r="C105" s="15"/>
      <c r="D105" s="15"/>
      <c r="E105" s="14"/>
      <c r="F105" s="16"/>
      <c r="G105" s="16"/>
      <c r="H105" s="28" t="s">
        <v>32</v>
      </c>
      <c r="I105" s="25" t="b">
        <f>I99</f>
        <v>0</v>
      </c>
      <c r="J105" s="31" t="s">
        <v>22</v>
      </c>
      <c r="K105" s="28" t="s">
        <v>32</v>
      </c>
      <c r="L105" s="28">
        <v>0</v>
      </c>
      <c r="M105" s="28" t="s">
        <v>35</v>
      </c>
      <c r="N105" s="28">
        <v>0</v>
      </c>
      <c r="O105" s="25"/>
      <c r="P105" s="28">
        <f>IF(I105,"No Aplica",0)</f>
        <v>0</v>
      </c>
      <c r="Q105" s="28">
        <f>IF(I105,"inf",0)</f>
        <v>0</v>
      </c>
      <c r="R105" s="28">
        <f>I105*N105</f>
        <v>0</v>
      </c>
      <c r="S105" s="16"/>
      <c r="T105" s="16"/>
      <c r="U105" s="16"/>
      <c r="V105" s="16"/>
      <c r="W105" s="16"/>
      <c r="X105" s="16"/>
      <c r="Y105" s="16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</row>
    <row r="106" spans="1:38" s="13" customFormat="1" x14ac:dyDescent="0.25">
      <c r="A106" s="14"/>
      <c r="B106" s="15"/>
      <c r="C106" s="15"/>
      <c r="D106" s="15"/>
      <c r="E106" s="14"/>
      <c r="F106" s="16"/>
      <c r="G106" s="16"/>
      <c r="H106" s="28" t="s">
        <v>33</v>
      </c>
      <c r="I106" s="25" t="b">
        <f>I100</f>
        <v>0</v>
      </c>
      <c r="J106" s="31" t="s">
        <v>22</v>
      </c>
      <c r="K106" s="28" t="s">
        <v>33</v>
      </c>
      <c r="L106" s="28">
        <v>0</v>
      </c>
      <c r="M106" s="28">
        <v>0</v>
      </c>
      <c r="N106" s="28">
        <v>0</v>
      </c>
      <c r="O106" s="25"/>
      <c r="P106" s="28">
        <f>$I$10*L106</f>
        <v>0</v>
      </c>
      <c r="Q106" s="28">
        <f>I106*M106</f>
        <v>0</v>
      </c>
      <c r="R106" s="28">
        <f>I106*N106</f>
        <v>0</v>
      </c>
      <c r="S106" s="16"/>
      <c r="T106" s="16"/>
      <c r="U106" s="16"/>
      <c r="V106" s="16"/>
      <c r="W106" s="16"/>
      <c r="X106" s="16"/>
      <c r="Y106" s="16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</row>
    <row r="107" spans="1:38" s="13" customFormat="1" x14ac:dyDescent="0.25">
      <c r="A107" s="14"/>
      <c r="B107" s="15"/>
      <c r="C107" s="15"/>
      <c r="D107" s="15"/>
      <c r="E107" s="14"/>
      <c r="F107" s="16"/>
      <c r="G107" s="16"/>
      <c r="H107" s="28" t="s">
        <v>34</v>
      </c>
      <c r="I107" s="25" t="b">
        <f>I101</f>
        <v>1</v>
      </c>
      <c r="J107" s="31" t="s">
        <v>22</v>
      </c>
      <c r="K107" s="28" t="s">
        <v>34</v>
      </c>
      <c r="L107" s="28">
        <f>(0.65/k)*((tm/τ)^(-1.04432))</f>
        <v>9.5595705012379781</v>
      </c>
      <c r="M107" s="28">
        <f>τ/(0.9895+0.09539*tm/τ)</f>
        <v>1.7016352714959075</v>
      </c>
      <c r="N107" s="28">
        <f>0.50814*τ*((tm/τ)^1.08433)</f>
        <v>7.1138107047920007E-2</v>
      </c>
      <c r="O107" s="25"/>
      <c r="P107" s="28">
        <f>$I$11*L107</f>
        <v>9.5595705012379781</v>
      </c>
      <c r="Q107" s="28">
        <f>I107*M107</f>
        <v>1.7016352714959075</v>
      </c>
      <c r="R107" s="28">
        <f>N107*I107</f>
        <v>7.1138107047920007E-2</v>
      </c>
      <c r="S107" s="16"/>
      <c r="T107" s="16"/>
      <c r="U107" s="16"/>
      <c r="V107" s="16"/>
      <c r="W107" s="16"/>
      <c r="X107" s="16"/>
      <c r="Y107" s="16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</row>
    <row r="108" spans="1:38" s="13" customFormat="1" x14ac:dyDescent="0.25">
      <c r="A108" s="14"/>
      <c r="B108" s="15"/>
      <c r="C108" s="15"/>
      <c r="D108" s="15"/>
      <c r="E108" s="14"/>
      <c r="F108" s="16"/>
      <c r="G108" s="16"/>
      <c r="H108" s="25"/>
      <c r="I108" s="25"/>
      <c r="J108" s="32" t="s">
        <v>22</v>
      </c>
      <c r="K108" s="25"/>
      <c r="L108" s="28">
        <f>P108</f>
        <v>9.5595705012379781</v>
      </c>
      <c r="M108" s="28">
        <f t="shared" ref="M108" si="35">Q108</f>
        <v>1.7016352714959075</v>
      </c>
      <c r="N108" s="28">
        <f t="shared" ref="N108" si="36">R108</f>
        <v>7.1138107047920007E-2</v>
      </c>
      <c r="O108" s="25"/>
      <c r="P108" s="28">
        <f>SUM(P105:P107)</f>
        <v>9.5595705012379781</v>
      </c>
      <c r="Q108" s="28">
        <f>IF(Q105&lt;&gt;0,"inf",SUM(Q106:Q107))</f>
        <v>1.7016352714959075</v>
      </c>
      <c r="R108" s="28">
        <f>SUM(R106:R107)</f>
        <v>7.1138107047920007E-2</v>
      </c>
      <c r="S108" s="16"/>
      <c r="T108" s="16"/>
      <c r="U108" s="16"/>
      <c r="V108" s="16"/>
      <c r="W108" s="16"/>
      <c r="X108" s="16"/>
      <c r="Y108" s="16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</row>
    <row r="109" spans="1:38" s="13" customFormat="1" x14ac:dyDescent="0.25">
      <c r="A109" s="14"/>
      <c r="B109" s="15"/>
      <c r="C109" s="15"/>
      <c r="D109" s="15"/>
      <c r="E109" s="14"/>
      <c r="F109" s="16"/>
      <c r="G109" s="16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16"/>
      <c r="T109" s="16"/>
      <c r="U109" s="16"/>
      <c r="V109" s="16"/>
      <c r="W109" s="16"/>
      <c r="X109" s="16"/>
      <c r="Y109" s="16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</row>
    <row r="110" spans="1:38" s="13" customFormat="1" x14ac:dyDescent="0.25">
      <c r="A110" s="14"/>
      <c r="B110" s="15"/>
      <c r="C110" s="15"/>
      <c r="D110" s="15"/>
      <c r="E110" s="14"/>
      <c r="F110" s="16"/>
      <c r="G110" s="16"/>
      <c r="H110" s="25"/>
      <c r="I110" s="25"/>
      <c r="J110" s="25"/>
      <c r="K110" s="25"/>
      <c r="L110" s="27" t="s">
        <v>21</v>
      </c>
      <c r="M110" s="27" t="s">
        <v>4</v>
      </c>
      <c r="N110" s="27" t="s">
        <v>5</v>
      </c>
      <c r="O110" s="25"/>
      <c r="P110" s="25"/>
      <c r="Q110" s="25"/>
      <c r="R110" s="25"/>
      <c r="S110" s="16"/>
      <c r="T110" s="16"/>
      <c r="U110" s="16"/>
      <c r="V110" s="16"/>
      <c r="W110" s="16"/>
      <c r="X110" s="16"/>
      <c r="Y110" s="16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</row>
    <row r="111" spans="1:38" s="13" customFormat="1" x14ac:dyDescent="0.25">
      <c r="A111" s="14"/>
      <c r="B111" s="15"/>
      <c r="C111" s="15"/>
      <c r="D111" s="15"/>
      <c r="E111" s="14"/>
      <c r="F111" s="16"/>
      <c r="G111" s="16"/>
      <c r="H111" s="28" t="s">
        <v>32</v>
      </c>
      <c r="I111" s="25" t="b">
        <f>I105</f>
        <v>0</v>
      </c>
      <c r="J111" s="31" t="s">
        <v>24</v>
      </c>
      <c r="K111" s="28" t="s">
        <v>32</v>
      </c>
      <c r="L111" s="28">
        <v>0</v>
      </c>
      <c r="M111" s="28" t="s">
        <v>35</v>
      </c>
      <c r="N111" s="28">
        <v>0</v>
      </c>
      <c r="O111" s="25"/>
      <c r="P111" s="28">
        <f>IF(I111,"No Aplica",0)</f>
        <v>0</v>
      </c>
      <c r="Q111" s="28">
        <f>IF(I111,"inf",0)</f>
        <v>0</v>
      </c>
      <c r="R111" s="28">
        <f>I111*N111</f>
        <v>0</v>
      </c>
      <c r="S111" s="16"/>
      <c r="T111" s="16"/>
      <c r="U111" s="16"/>
      <c r="V111" s="16"/>
      <c r="W111" s="16"/>
      <c r="X111" s="16"/>
      <c r="Y111" s="16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</row>
    <row r="112" spans="1:38" s="13" customFormat="1" x14ac:dyDescent="0.25">
      <c r="A112" s="14"/>
      <c r="B112" s="15"/>
      <c r="C112" s="15"/>
      <c r="D112" s="15"/>
      <c r="E112" s="14"/>
      <c r="F112" s="16"/>
      <c r="G112" s="16"/>
      <c r="H112" s="28" t="s">
        <v>33</v>
      </c>
      <c r="I112" s="25" t="b">
        <f>I106</f>
        <v>0</v>
      </c>
      <c r="J112" s="31" t="s">
        <v>24</v>
      </c>
      <c r="K112" s="28" t="s">
        <v>33</v>
      </c>
      <c r="L112" s="28">
        <v>0</v>
      </c>
      <c r="M112" s="28">
        <v>0</v>
      </c>
      <c r="N112" s="28">
        <v>0</v>
      </c>
      <c r="O112" s="25"/>
      <c r="P112" s="28">
        <f>$I$10*L112</f>
        <v>0</v>
      </c>
      <c r="Q112" s="28">
        <f>I112*M112</f>
        <v>0</v>
      </c>
      <c r="R112" s="28">
        <f>I112*N112</f>
        <v>0</v>
      </c>
      <c r="S112" s="16"/>
      <c r="T112" s="16"/>
      <c r="U112" s="16"/>
      <c r="V112" s="16"/>
      <c r="W112" s="16"/>
      <c r="X112" s="16"/>
      <c r="Y112" s="16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</row>
    <row r="113" spans="1:38" s="13" customFormat="1" x14ac:dyDescent="0.25">
      <c r="A113" s="14"/>
      <c r="B113" s="15"/>
      <c r="C113" s="15"/>
      <c r="D113" s="15"/>
      <c r="E113" s="14"/>
      <c r="F113" s="16"/>
      <c r="G113" s="16"/>
      <c r="H113" s="28" t="s">
        <v>34</v>
      </c>
      <c r="I113" s="25" t="b">
        <f>I107</f>
        <v>1</v>
      </c>
      <c r="J113" s="31" t="s">
        <v>24</v>
      </c>
      <c r="K113" s="28" t="s">
        <v>34</v>
      </c>
      <c r="L113" s="28">
        <f>(1.12762/k)*((tm/τ)^(-0.80368))</f>
        <v>9.5290102459700083</v>
      </c>
      <c r="M113" s="28">
        <f>τ/(0.99783-0.0286*tm/τ)</f>
        <v>1.7085942289717277</v>
      </c>
      <c r="N113" s="28">
        <f>0.42844*τ*((tm/τ)^1.0081)</f>
        <v>7.1488952245415405E-2</v>
      </c>
      <c r="O113" s="25"/>
      <c r="P113" s="28">
        <f>$I$11*L113</f>
        <v>9.5290102459700083</v>
      </c>
      <c r="Q113" s="28">
        <f>I113*M113</f>
        <v>1.7085942289717277</v>
      </c>
      <c r="R113" s="28">
        <f>N113*I113</f>
        <v>7.1488952245415405E-2</v>
      </c>
      <c r="S113" s="16"/>
      <c r="T113" s="16"/>
      <c r="U113" s="16"/>
      <c r="V113" s="16"/>
      <c r="W113" s="16"/>
      <c r="X113" s="16"/>
      <c r="Y113" s="16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</row>
    <row r="114" spans="1:38" s="13" customFormat="1" x14ac:dyDescent="0.25">
      <c r="A114" s="14"/>
      <c r="B114" s="15"/>
      <c r="C114" s="15"/>
      <c r="D114" s="15"/>
      <c r="E114" s="14"/>
      <c r="F114" s="16"/>
      <c r="G114" s="16"/>
      <c r="H114" s="25"/>
      <c r="I114" s="25"/>
      <c r="J114" s="32" t="s">
        <v>24</v>
      </c>
      <c r="K114" s="25"/>
      <c r="L114" s="28">
        <f>P114</f>
        <v>9.5290102459700083</v>
      </c>
      <c r="M114" s="28">
        <f t="shared" ref="M114" si="37">Q114</f>
        <v>1.7085942289717277</v>
      </c>
      <c r="N114" s="28">
        <f t="shared" ref="N114" si="38">R114</f>
        <v>7.1488952245415405E-2</v>
      </c>
      <c r="O114" s="25"/>
      <c r="P114" s="28">
        <f>SUM(P111:P113)</f>
        <v>9.5290102459700083</v>
      </c>
      <c r="Q114" s="28">
        <f>IF(Q111&lt;&gt;0,"inf",SUM(Q112:Q113))</f>
        <v>1.7085942289717277</v>
      </c>
      <c r="R114" s="28">
        <f>SUM(R112:R113)</f>
        <v>7.1488952245415405E-2</v>
      </c>
      <c r="S114" s="16"/>
      <c r="T114" s="16"/>
      <c r="U114" s="16"/>
      <c r="V114" s="16"/>
      <c r="W114" s="16"/>
      <c r="X114" s="16"/>
      <c r="Y114" s="16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</row>
    <row r="115" spans="1:38" s="13" customFormat="1" x14ac:dyDescent="0.25">
      <c r="A115" s="14"/>
      <c r="B115" s="15"/>
      <c r="C115" s="15"/>
      <c r="D115" s="15"/>
      <c r="E115" s="14"/>
      <c r="F115" s="16"/>
      <c r="G115" s="16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16"/>
      <c r="T115" s="16"/>
      <c r="U115" s="16"/>
      <c r="V115" s="16"/>
      <c r="W115" s="16"/>
      <c r="X115" s="16"/>
      <c r="Y115" s="16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</row>
    <row r="116" spans="1:38" s="13" customFormat="1" x14ac:dyDescent="0.25">
      <c r="A116" s="14"/>
      <c r="B116" s="15"/>
      <c r="C116" s="15"/>
      <c r="D116" s="15"/>
      <c r="E116" s="14"/>
      <c r="F116" s="16"/>
      <c r="G116" s="16"/>
      <c r="H116" s="25"/>
      <c r="I116" s="25"/>
      <c r="J116" s="25"/>
      <c r="K116" s="25"/>
      <c r="L116" s="27" t="s">
        <v>21</v>
      </c>
      <c r="M116" s="27" t="s">
        <v>4</v>
      </c>
      <c r="N116" s="27" t="s">
        <v>5</v>
      </c>
      <c r="O116" s="25"/>
      <c r="P116" s="25"/>
      <c r="Q116" s="25"/>
      <c r="R116" s="25"/>
      <c r="S116" s="16"/>
      <c r="T116" s="16"/>
      <c r="U116" s="16"/>
      <c r="V116" s="16"/>
      <c r="W116" s="16"/>
      <c r="X116" s="16"/>
      <c r="Y116" s="16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</row>
    <row r="117" spans="1:38" s="13" customFormat="1" x14ac:dyDescent="0.25">
      <c r="A117" s="14"/>
      <c r="B117" s="15"/>
      <c r="C117" s="15"/>
      <c r="D117" s="15"/>
      <c r="E117" s="14"/>
      <c r="F117" s="16"/>
      <c r="G117" s="16"/>
      <c r="H117" s="28" t="s">
        <v>32</v>
      </c>
      <c r="I117" s="25" t="b">
        <f>I111</f>
        <v>0</v>
      </c>
      <c r="J117" s="31" t="s">
        <v>23</v>
      </c>
      <c r="K117" s="28" t="s">
        <v>32</v>
      </c>
      <c r="L117" s="28">
        <v>0</v>
      </c>
      <c r="M117" s="28" t="s">
        <v>35</v>
      </c>
      <c r="N117" s="28">
        <v>0</v>
      </c>
      <c r="O117" s="25"/>
      <c r="P117" s="28">
        <f>IF(I117,"No Aplica",0)</f>
        <v>0</v>
      </c>
      <c r="Q117" s="28">
        <f>IF(I117,"inf",0)</f>
        <v>0</v>
      </c>
      <c r="R117" s="28">
        <f>I117*N117</f>
        <v>0</v>
      </c>
      <c r="S117" s="16"/>
      <c r="T117" s="16"/>
      <c r="U117" s="16"/>
      <c r="V117" s="16"/>
      <c r="W117" s="16"/>
      <c r="X117" s="16"/>
      <c r="Y117" s="16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</row>
    <row r="118" spans="1:38" s="13" customFormat="1" x14ac:dyDescent="0.25">
      <c r="A118" s="14"/>
      <c r="B118" s="15"/>
      <c r="C118" s="15"/>
      <c r="D118" s="15"/>
      <c r="E118" s="14"/>
      <c r="F118" s="16"/>
      <c r="G118" s="16"/>
      <c r="H118" s="28" t="s">
        <v>33</v>
      </c>
      <c r="I118" s="25" t="b">
        <f>I112</f>
        <v>0</v>
      </c>
      <c r="J118" s="31" t="s">
        <v>23</v>
      </c>
      <c r="K118" s="28" t="s">
        <v>33</v>
      </c>
      <c r="L118" s="28">
        <v>0</v>
      </c>
      <c r="M118" s="28">
        <v>0</v>
      </c>
      <c r="N118" s="28">
        <v>0</v>
      </c>
      <c r="O118" s="25"/>
      <c r="P118" s="28">
        <f>$I$10*L118</f>
        <v>0</v>
      </c>
      <c r="Q118" s="28">
        <f>I118*M118</f>
        <v>0</v>
      </c>
      <c r="R118" s="28">
        <f>I118*N118</f>
        <v>0</v>
      </c>
      <c r="S118" s="16"/>
      <c r="T118" s="16"/>
      <c r="U118" s="16"/>
      <c r="V118" s="16"/>
      <c r="W118" s="16"/>
      <c r="X118" s="16"/>
      <c r="Y118" s="16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</row>
    <row r="119" spans="1:38" s="13" customFormat="1" x14ac:dyDescent="0.25">
      <c r="A119" s="14"/>
      <c r="B119" s="15"/>
      <c r="C119" s="15"/>
      <c r="D119" s="15"/>
      <c r="E119" s="14"/>
      <c r="F119" s="16"/>
      <c r="G119" s="16"/>
      <c r="H119" s="28" t="s">
        <v>34</v>
      </c>
      <c r="I119" s="25" t="b">
        <f>I113</f>
        <v>1</v>
      </c>
      <c r="J119" s="31" t="s">
        <v>23</v>
      </c>
      <c r="K119" s="28" t="s">
        <v>34</v>
      </c>
      <c r="L119" s="28">
        <f>(0.71959/k)*((tm/τ)^(-1.03092))</f>
        <v>10.261483312280946</v>
      </c>
      <c r="M119" s="28">
        <f>τ/(1.12666+0.118145*tm/τ)</f>
        <v>1.493226242660683</v>
      </c>
      <c r="N119" s="28">
        <f>0.54568*τ*((tm/τ)^0.86411)</f>
        <v>0.12684605295320556</v>
      </c>
      <c r="O119" s="25"/>
      <c r="P119" s="28">
        <f>$I$11*L119</f>
        <v>10.261483312280946</v>
      </c>
      <c r="Q119" s="28">
        <f>I119*M119</f>
        <v>1.493226242660683</v>
      </c>
      <c r="R119" s="28">
        <f>N119*I119</f>
        <v>0.12684605295320556</v>
      </c>
      <c r="S119" s="16"/>
      <c r="T119" s="16"/>
      <c r="U119" s="16"/>
      <c r="V119" s="16"/>
      <c r="W119" s="16"/>
      <c r="X119" s="16"/>
      <c r="Y119" s="16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</row>
    <row r="120" spans="1:38" s="13" customFormat="1" x14ac:dyDescent="0.25">
      <c r="A120" s="14"/>
      <c r="B120" s="15"/>
      <c r="C120" s="15"/>
      <c r="D120" s="15"/>
      <c r="E120" s="14"/>
      <c r="F120" s="16"/>
      <c r="G120" s="16"/>
      <c r="H120" s="25"/>
      <c r="I120" s="25"/>
      <c r="J120" s="32" t="s">
        <v>23</v>
      </c>
      <c r="K120" s="25"/>
      <c r="L120" s="28">
        <f>P120</f>
        <v>10.261483312280946</v>
      </c>
      <c r="M120" s="28">
        <f t="shared" ref="M120" si="39">Q120</f>
        <v>1.493226242660683</v>
      </c>
      <c r="N120" s="28">
        <f t="shared" ref="N120" si="40">R120</f>
        <v>0.12684605295320556</v>
      </c>
      <c r="O120" s="25"/>
      <c r="P120" s="28">
        <f>SUM(P117:P119)</f>
        <v>10.261483312280946</v>
      </c>
      <c r="Q120" s="28">
        <f>IF(Q117&lt;&gt;0,"inf",SUM(Q118:Q119))</f>
        <v>1.493226242660683</v>
      </c>
      <c r="R120" s="28">
        <f>SUM(R118:R119)</f>
        <v>0.12684605295320556</v>
      </c>
      <c r="S120" s="16"/>
      <c r="T120" s="16"/>
      <c r="U120" s="16"/>
      <c r="V120" s="16"/>
      <c r="W120" s="16"/>
      <c r="X120" s="16"/>
      <c r="Y120" s="16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</row>
    <row r="121" spans="1:38" s="13" customFormat="1" x14ac:dyDescent="0.25">
      <c r="A121" s="14"/>
      <c r="B121" s="15"/>
      <c r="C121" s="15"/>
      <c r="D121" s="15"/>
      <c r="E121" s="14"/>
      <c r="F121" s="16"/>
      <c r="G121" s="16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16"/>
      <c r="T121" s="16"/>
      <c r="U121" s="16"/>
      <c r="V121" s="16"/>
      <c r="W121" s="16"/>
      <c r="X121" s="16"/>
      <c r="Y121" s="16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</row>
    <row r="122" spans="1:38" s="13" customFormat="1" x14ac:dyDescent="0.25">
      <c r="A122" s="14"/>
      <c r="B122" s="15"/>
      <c r="C122" s="15"/>
      <c r="D122" s="15"/>
      <c r="E122" s="14"/>
      <c r="F122" s="16"/>
      <c r="G122" s="16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16"/>
      <c r="T122" s="16"/>
      <c r="U122" s="16"/>
      <c r="V122" s="16"/>
      <c r="W122" s="16"/>
      <c r="X122" s="16"/>
      <c r="Y122" s="16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</row>
    <row r="123" spans="1:38" s="13" customFormat="1" x14ac:dyDescent="0.25">
      <c r="A123" s="14"/>
      <c r="B123" s="15"/>
      <c r="C123" s="15"/>
      <c r="D123" s="15"/>
      <c r="E123" s="14"/>
      <c r="F123" s="16"/>
      <c r="G123" s="16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16"/>
      <c r="T123" s="16"/>
      <c r="U123" s="16"/>
      <c r="V123" s="16"/>
      <c r="W123" s="16"/>
      <c r="X123" s="16"/>
      <c r="Y123" s="16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</row>
    <row r="124" spans="1:38" s="13" customFormat="1" x14ac:dyDescent="0.25">
      <c r="A124" s="14"/>
      <c r="B124" s="15"/>
      <c r="C124" s="15"/>
      <c r="D124" s="15"/>
      <c r="E124" s="14"/>
      <c r="F124" s="16"/>
      <c r="G124" s="16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16"/>
      <c r="T124" s="16"/>
      <c r="U124" s="16"/>
      <c r="V124" s="16"/>
      <c r="W124" s="16"/>
      <c r="X124" s="16"/>
      <c r="Y124" s="16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</row>
    <row r="125" spans="1:38" s="13" customFormat="1" x14ac:dyDescent="0.25">
      <c r="A125" s="14"/>
      <c r="B125" s="15"/>
      <c r="C125" s="15"/>
      <c r="D125" s="15"/>
      <c r="E125" s="14"/>
      <c r="F125" s="16"/>
      <c r="G125" s="16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16"/>
      <c r="T125" s="16"/>
      <c r="U125" s="16"/>
      <c r="V125" s="16"/>
      <c r="W125" s="16"/>
      <c r="X125" s="16"/>
      <c r="Y125" s="16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</row>
    <row r="126" spans="1:38" s="13" customFormat="1" x14ac:dyDescent="0.25">
      <c r="A126" s="14"/>
      <c r="B126" s="15"/>
      <c r="C126" s="15"/>
      <c r="D126" s="15"/>
      <c r="E126" s="14"/>
      <c r="F126" s="16"/>
      <c r="G126" s="16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16"/>
      <c r="T126" s="16"/>
      <c r="U126" s="16"/>
      <c r="V126" s="16"/>
      <c r="W126" s="16"/>
      <c r="X126" s="16"/>
      <c r="Y126" s="16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</row>
    <row r="127" spans="1:38" s="13" customFormat="1" x14ac:dyDescent="0.25">
      <c r="A127" s="14"/>
      <c r="B127" s="15"/>
      <c r="C127" s="15"/>
      <c r="D127" s="15"/>
      <c r="E127" s="14"/>
      <c r="F127" s="16"/>
      <c r="G127" s="16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16"/>
      <c r="T127" s="16"/>
      <c r="U127" s="16"/>
      <c r="V127" s="16"/>
      <c r="W127" s="16"/>
      <c r="X127" s="16"/>
      <c r="Y127" s="16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</row>
    <row r="128" spans="1:38" s="13" customFormat="1" x14ac:dyDescent="0.25">
      <c r="A128" s="14"/>
      <c r="B128" s="15"/>
      <c r="C128" s="15"/>
      <c r="D128" s="15"/>
      <c r="E128" s="14"/>
      <c r="F128" s="16"/>
      <c r="G128" s="16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16"/>
      <c r="T128" s="16"/>
      <c r="U128" s="16"/>
      <c r="V128" s="16"/>
      <c r="W128" s="16"/>
      <c r="X128" s="16"/>
      <c r="Y128" s="16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</row>
    <row r="129" spans="1:38" s="13" customFormat="1" x14ac:dyDescent="0.25">
      <c r="A129" s="14"/>
      <c r="B129" s="15"/>
      <c r="C129" s="15"/>
      <c r="D129" s="15"/>
      <c r="E129" s="14"/>
      <c r="F129" s="16"/>
      <c r="G129" s="16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16"/>
      <c r="T129" s="16"/>
      <c r="U129" s="16"/>
      <c r="V129" s="16"/>
      <c r="W129" s="16"/>
      <c r="X129" s="16"/>
      <c r="Y129" s="16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</row>
    <row r="130" spans="1:38" s="13" customFormat="1" x14ac:dyDescent="0.25">
      <c r="A130" s="14"/>
      <c r="B130" s="15"/>
      <c r="C130" s="15"/>
      <c r="D130" s="15"/>
      <c r="E130" s="14"/>
      <c r="F130" s="16"/>
      <c r="G130" s="16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16"/>
      <c r="T130" s="16"/>
      <c r="U130" s="16"/>
      <c r="V130" s="16"/>
      <c r="W130" s="16"/>
      <c r="X130" s="16"/>
      <c r="Y130" s="16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</row>
    <row r="131" spans="1:38" s="13" customFormat="1" x14ac:dyDescent="0.25">
      <c r="A131" s="14"/>
      <c r="B131" s="15"/>
      <c r="C131" s="15"/>
      <c r="D131" s="15"/>
      <c r="E131" s="14"/>
      <c r="F131" s="16"/>
      <c r="G131" s="16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16"/>
      <c r="T131" s="16"/>
      <c r="U131" s="16"/>
      <c r="V131" s="16"/>
      <c r="W131" s="16"/>
      <c r="X131" s="16"/>
      <c r="Y131" s="16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</row>
    <row r="132" spans="1:38" s="13" customFormat="1" x14ac:dyDescent="0.25">
      <c r="A132" s="14"/>
      <c r="B132" s="15"/>
      <c r="C132" s="15"/>
      <c r="D132" s="15"/>
      <c r="E132" s="14"/>
      <c r="F132" s="16"/>
      <c r="G132" s="16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16"/>
      <c r="T132" s="16"/>
      <c r="U132" s="16"/>
      <c r="V132" s="16"/>
      <c r="W132" s="16"/>
      <c r="X132" s="16"/>
      <c r="Y132" s="16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</row>
    <row r="133" spans="1:38" s="13" customFormat="1" x14ac:dyDescent="0.25">
      <c r="A133" s="14"/>
      <c r="B133" s="15"/>
      <c r="C133" s="15"/>
      <c r="D133" s="15"/>
      <c r="E133" s="14"/>
      <c r="F133" s="16"/>
      <c r="G133" s="16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16"/>
      <c r="T133" s="16"/>
      <c r="U133" s="16"/>
      <c r="V133" s="16"/>
      <c r="W133" s="16"/>
      <c r="X133" s="16"/>
      <c r="Y133" s="16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</row>
    <row r="134" spans="1:38" s="13" customFormat="1" x14ac:dyDescent="0.25">
      <c r="A134" s="14"/>
      <c r="B134" s="15"/>
      <c r="C134" s="15"/>
      <c r="D134" s="15"/>
      <c r="E134" s="14"/>
      <c r="F134" s="16"/>
      <c r="G134" s="16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16"/>
      <c r="T134" s="16"/>
      <c r="U134" s="16"/>
      <c r="V134" s="16"/>
      <c r="W134" s="16"/>
      <c r="X134" s="16"/>
      <c r="Y134" s="16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</row>
    <row r="135" spans="1:38" s="13" customFormat="1" x14ac:dyDescent="0.25">
      <c r="A135" s="14"/>
      <c r="B135" s="15"/>
      <c r="C135" s="15"/>
      <c r="D135" s="15"/>
      <c r="E135" s="14"/>
      <c r="F135" s="16"/>
      <c r="G135" s="16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16"/>
      <c r="T135" s="16"/>
      <c r="U135" s="16"/>
      <c r="V135" s="16"/>
      <c r="W135" s="16"/>
      <c r="X135" s="16"/>
      <c r="Y135" s="16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</row>
    <row r="136" spans="1:38" s="13" customFormat="1" x14ac:dyDescent="0.25">
      <c r="A136" s="14"/>
      <c r="B136" s="15"/>
      <c r="C136" s="15"/>
      <c r="D136" s="15"/>
      <c r="E136" s="14"/>
      <c r="F136" s="16"/>
      <c r="G136" s="16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16"/>
      <c r="T136" s="16"/>
      <c r="U136" s="16"/>
      <c r="V136" s="16"/>
      <c r="W136" s="16"/>
      <c r="X136" s="16"/>
      <c r="Y136" s="16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</row>
    <row r="137" spans="1:38" s="13" customFormat="1" x14ac:dyDescent="0.25">
      <c r="A137" s="14"/>
      <c r="B137" s="15"/>
      <c r="C137" s="15"/>
      <c r="D137" s="15"/>
      <c r="E137" s="14"/>
      <c r="F137" s="16"/>
      <c r="G137" s="16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16"/>
      <c r="T137" s="16"/>
      <c r="U137" s="16"/>
      <c r="V137" s="16"/>
      <c r="W137" s="16"/>
      <c r="X137" s="16"/>
      <c r="Y137" s="16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</row>
    <row r="138" spans="1:38" s="13" customFormat="1" x14ac:dyDescent="0.25">
      <c r="A138" s="14"/>
      <c r="B138" s="15"/>
      <c r="C138" s="15"/>
      <c r="D138" s="15"/>
      <c r="E138" s="14"/>
      <c r="F138" s="16"/>
      <c r="G138" s="16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16"/>
      <c r="T138" s="16"/>
      <c r="U138" s="16"/>
      <c r="V138" s="16"/>
      <c r="W138" s="16"/>
      <c r="X138" s="16"/>
      <c r="Y138" s="16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</row>
    <row r="139" spans="1:38" s="13" customFormat="1" x14ac:dyDescent="0.25">
      <c r="A139" s="14"/>
      <c r="B139" s="15"/>
      <c r="C139" s="15"/>
      <c r="D139" s="15"/>
      <c r="E139" s="14"/>
      <c r="F139" s="16"/>
      <c r="G139" s="16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16"/>
      <c r="T139" s="16"/>
      <c r="U139" s="16"/>
      <c r="V139" s="16"/>
      <c r="W139" s="16"/>
      <c r="X139" s="16"/>
      <c r="Y139" s="16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</row>
    <row r="140" spans="1:38" s="13" customFormat="1" x14ac:dyDescent="0.25">
      <c r="A140" s="14"/>
      <c r="B140" s="15"/>
      <c r="C140" s="15"/>
      <c r="D140" s="15"/>
      <c r="E140" s="14"/>
      <c r="F140" s="16"/>
      <c r="G140" s="16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16"/>
      <c r="T140" s="16"/>
      <c r="U140" s="16"/>
      <c r="V140" s="16"/>
      <c r="W140" s="16"/>
      <c r="X140" s="16"/>
      <c r="Y140" s="16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</row>
    <row r="141" spans="1:38" s="13" customFormat="1" x14ac:dyDescent="0.25">
      <c r="A141" s="14"/>
      <c r="B141" s="15"/>
      <c r="C141" s="15"/>
      <c r="D141" s="15"/>
      <c r="E141" s="14"/>
      <c r="F141" s="16"/>
      <c r="G141" s="16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16"/>
      <c r="T141" s="16"/>
      <c r="U141" s="16"/>
      <c r="V141" s="16"/>
      <c r="W141" s="16"/>
      <c r="X141" s="16"/>
      <c r="Y141" s="16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</row>
    <row r="142" spans="1:38" s="13" customFormat="1" x14ac:dyDescent="0.25">
      <c r="A142" s="14"/>
      <c r="B142" s="15"/>
      <c r="C142" s="15"/>
      <c r="D142" s="15"/>
      <c r="E142" s="14"/>
      <c r="F142" s="16"/>
      <c r="G142" s="16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16"/>
      <c r="T142" s="16"/>
      <c r="U142" s="16"/>
      <c r="V142" s="16"/>
      <c r="W142" s="16"/>
      <c r="X142" s="16"/>
      <c r="Y142" s="16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</row>
    <row r="143" spans="1:38" s="13" customFormat="1" x14ac:dyDescent="0.25">
      <c r="A143" s="14"/>
      <c r="B143" s="15"/>
      <c r="C143" s="15"/>
      <c r="D143" s="15"/>
      <c r="E143" s="14"/>
      <c r="F143" s="16"/>
      <c r="G143" s="16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16"/>
      <c r="T143" s="16"/>
      <c r="U143" s="16"/>
      <c r="V143" s="16"/>
      <c r="W143" s="16"/>
      <c r="X143" s="16"/>
      <c r="Y143" s="16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</row>
    <row r="144" spans="1:38" s="13" customFormat="1" x14ac:dyDescent="0.25">
      <c r="A144" s="14"/>
      <c r="B144" s="15"/>
      <c r="C144" s="15"/>
      <c r="D144" s="15"/>
      <c r="E144" s="14"/>
      <c r="F144" s="16"/>
      <c r="G144" s="16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16"/>
      <c r="T144" s="16"/>
      <c r="U144" s="16"/>
      <c r="V144" s="16"/>
      <c r="W144" s="16"/>
      <c r="X144" s="16"/>
      <c r="Y144" s="16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</row>
    <row r="145" spans="1:38" s="13" customFormat="1" x14ac:dyDescent="0.25">
      <c r="A145" s="14"/>
      <c r="B145" s="15"/>
      <c r="C145" s="15"/>
      <c r="D145" s="15"/>
      <c r="E145" s="14"/>
      <c r="F145" s="16"/>
      <c r="G145" s="16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16"/>
      <c r="T145" s="16"/>
      <c r="U145" s="16"/>
      <c r="V145" s="16"/>
      <c r="W145" s="16"/>
      <c r="X145" s="16"/>
      <c r="Y145" s="16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</row>
    <row r="146" spans="1:38" s="13" customFormat="1" x14ac:dyDescent="0.25">
      <c r="A146" s="14"/>
      <c r="B146" s="15"/>
      <c r="C146" s="15"/>
      <c r="D146" s="15"/>
      <c r="E146" s="14"/>
      <c r="F146" s="16"/>
      <c r="G146" s="16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16"/>
      <c r="T146" s="16"/>
      <c r="U146" s="16"/>
      <c r="V146" s="16"/>
      <c r="W146" s="16"/>
      <c r="X146" s="16"/>
      <c r="Y146" s="16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</row>
    <row r="147" spans="1:38" s="13" customFormat="1" x14ac:dyDescent="0.25">
      <c r="A147" s="14"/>
      <c r="B147" s="15"/>
      <c r="C147" s="15"/>
      <c r="D147" s="15"/>
      <c r="E147" s="14"/>
      <c r="F147" s="16"/>
      <c r="G147" s="16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16"/>
      <c r="T147" s="16"/>
      <c r="U147" s="16"/>
      <c r="V147" s="16"/>
      <c r="W147" s="16"/>
      <c r="X147" s="16"/>
      <c r="Y147" s="16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</row>
    <row r="148" spans="1:38" s="13" customFormat="1" x14ac:dyDescent="0.25">
      <c r="A148" s="14"/>
      <c r="B148" s="15"/>
      <c r="C148" s="15"/>
      <c r="D148" s="15"/>
      <c r="E148" s="14"/>
      <c r="F148" s="16"/>
      <c r="G148" s="16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16"/>
      <c r="T148" s="16"/>
      <c r="U148" s="16"/>
      <c r="V148" s="16"/>
      <c r="W148" s="16"/>
      <c r="X148" s="16"/>
      <c r="Y148" s="16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</row>
    <row r="149" spans="1:38" s="13" customFormat="1" x14ac:dyDescent="0.25">
      <c r="A149" s="14"/>
      <c r="B149" s="15"/>
      <c r="C149" s="15"/>
      <c r="D149" s="15"/>
      <c r="E149" s="14"/>
      <c r="F149" s="16"/>
      <c r="G149" s="16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16"/>
      <c r="T149" s="16"/>
      <c r="U149" s="16"/>
      <c r="V149" s="16"/>
      <c r="W149" s="16"/>
      <c r="X149" s="16"/>
      <c r="Y149" s="16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</row>
    <row r="150" spans="1:38" s="13" customFormat="1" x14ac:dyDescent="0.25">
      <c r="A150" s="14"/>
      <c r="B150" s="15"/>
      <c r="C150" s="15"/>
      <c r="D150" s="15"/>
      <c r="E150" s="14"/>
      <c r="F150" s="16"/>
      <c r="G150" s="16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16"/>
      <c r="T150" s="16"/>
      <c r="U150" s="16"/>
      <c r="V150" s="16"/>
      <c r="W150" s="16"/>
      <c r="X150" s="16"/>
      <c r="Y150" s="16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</row>
    <row r="151" spans="1:38" s="13" customFormat="1" x14ac:dyDescent="0.25">
      <c r="A151" s="14"/>
      <c r="B151" s="15"/>
      <c r="C151" s="15"/>
      <c r="D151" s="15"/>
      <c r="E151" s="14"/>
      <c r="F151" s="16"/>
      <c r="G151" s="16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16"/>
      <c r="T151" s="16"/>
      <c r="U151" s="16"/>
      <c r="V151" s="16"/>
      <c r="W151" s="16"/>
      <c r="X151" s="16"/>
      <c r="Y151" s="16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</row>
    <row r="152" spans="1:38" s="13" customFormat="1" x14ac:dyDescent="0.25">
      <c r="A152" s="14"/>
      <c r="B152" s="15"/>
      <c r="C152" s="15"/>
      <c r="D152" s="15"/>
      <c r="E152" s="14"/>
      <c r="F152" s="16"/>
      <c r="G152" s="16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16"/>
      <c r="T152" s="16"/>
      <c r="U152" s="16"/>
      <c r="V152" s="16"/>
      <c r="W152" s="16"/>
      <c r="X152" s="16"/>
      <c r="Y152" s="16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</row>
    <row r="153" spans="1:38" s="13" customFormat="1" x14ac:dyDescent="0.25">
      <c r="A153" s="14"/>
      <c r="B153" s="15"/>
      <c r="C153" s="15"/>
      <c r="D153" s="15"/>
      <c r="E153" s="14"/>
      <c r="F153" s="16"/>
      <c r="G153" s="16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16"/>
      <c r="T153" s="16"/>
      <c r="U153" s="16"/>
      <c r="V153" s="16"/>
      <c r="W153" s="16"/>
      <c r="X153" s="16"/>
      <c r="Y153" s="16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</row>
    <row r="154" spans="1:38" s="13" customFormat="1" x14ac:dyDescent="0.25">
      <c r="A154" s="14"/>
      <c r="B154" s="15"/>
      <c r="C154" s="15"/>
      <c r="D154" s="15"/>
      <c r="E154" s="14"/>
      <c r="F154" s="16"/>
      <c r="G154" s="16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16"/>
      <c r="T154" s="16"/>
      <c r="U154" s="16"/>
      <c r="V154" s="16"/>
      <c r="W154" s="16"/>
      <c r="X154" s="16"/>
      <c r="Y154" s="16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</row>
    <row r="155" spans="1:38" s="13" customFormat="1" x14ac:dyDescent="0.25">
      <c r="A155" s="14"/>
      <c r="B155" s="15"/>
      <c r="C155" s="15"/>
      <c r="D155" s="15"/>
      <c r="E155" s="14"/>
      <c r="F155" s="16"/>
      <c r="G155" s="16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16"/>
      <c r="T155" s="16"/>
      <c r="U155" s="16"/>
      <c r="V155" s="16"/>
      <c r="W155" s="16"/>
      <c r="X155" s="16"/>
      <c r="Y155" s="16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</row>
    <row r="156" spans="1:38" s="13" customFormat="1" x14ac:dyDescent="0.25">
      <c r="A156" s="14"/>
      <c r="B156" s="15"/>
      <c r="C156" s="15"/>
      <c r="D156" s="15"/>
      <c r="E156" s="14"/>
      <c r="F156" s="16"/>
      <c r="G156" s="16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16"/>
      <c r="T156" s="16"/>
      <c r="U156" s="16"/>
      <c r="V156" s="16"/>
      <c r="W156" s="16"/>
      <c r="X156" s="16"/>
      <c r="Y156" s="16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</row>
    <row r="157" spans="1:38" s="13" customFormat="1" x14ac:dyDescent="0.25">
      <c r="A157" s="14"/>
      <c r="B157" s="15"/>
      <c r="C157" s="15"/>
      <c r="D157" s="15"/>
      <c r="E157" s="14"/>
      <c r="F157" s="16"/>
      <c r="G157" s="16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16"/>
      <c r="T157" s="16"/>
      <c r="U157" s="16"/>
      <c r="V157" s="16"/>
      <c r="W157" s="16"/>
      <c r="X157" s="16"/>
      <c r="Y157" s="16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</row>
    <row r="158" spans="1:38" s="13" customFormat="1" x14ac:dyDescent="0.25">
      <c r="A158" s="14"/>
      <c r="B158" s="15"/>
      <c r="C158" s="15"/>
      <c r="D158" s="15"/>
      <c r="E158" s="14"/>
      <c r="F158" s="16"/>
      <c r="G158" s="16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16"/>
      <c r="T158" s="16"/>
      <c r="U158" s="16"/>
      <c r="V158" s="16"/>
      <c r="W158" s="16"/>
      <c r="X158" s="16"/>
      <c r="Y158" s="16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</row>
    <row r="159" spans="1:38" s="13" customFormat="1" x14ac:dyDescent="0.25">
      <c r="A159" s="14"/>
      <c r="B159" s="15"/>
      <c r="C159" s="15"/>
      <c r="D159" s="15"/>
      <c r="E159" s="14"/>
      <c r="F159" s="16"/>
      <c r="G159" s="16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16"/>
      <c r="T159" s="16"/>
      <c r="U159" s="16"/>
      <c r="V159" s="16"/>
      <c r="W159" s="16"/>
      <c r="X159" s="16"/>
      <c r="Y159" s="16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</row>
    <row r="160" spans="1:38" s="13" customFormat="1" x14ac:dyDescent="0.25">
      <c r="A160" s="14"/>
      <c r="B160" s="15"/>
      <c r="C160" s="15"/>
      <c r="D160" s="15"/>
      <c r="E160" s="14"/>
      <c r="F160" s="16"/>
      <c r="G160" s="16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16"/>
      <c r="T160" s="16"/>
      <c r="U160" s="16"/>
      <c r="V160" s="16"/>
      <c r="W160" s="16"/>
      <c r="X160" s="16"/>
      <c r="Y160" s="16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</row>
    <row r="161" spans="1:38" s="13" customFormat="1" x14ac:dyDescent="0.25">
      <c r="A161" s="14"/>
      <c r="B161" s="15"/>
      <c r="C161" s="15"/>
      <c r="D161" s="15"/>
      <c r="E161" s="14"/>
      <c r="F161" s="16"/>
      <c r="G161" s="16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16"/>
      <c r="T161" s="16"/>
      <c r="U161" s="16"/>
      <c r="V161" s="16"/>
      <c r="W161" s="16"/>
      <c r="X161" s="16"/>
      <c r="Y161" s="16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</row>
    <row r="162" spans="1:38" s="13" customFormat="1" x14ac:dyDescent="0.25">
      <c r="A162" s="14"/>
      <c r="B162" s="15"/>
      <c r="C162" s="15"/>
      <c r="D162" s="15"/>
      <c r="E162" s="14"/>
      <c r="F162" s="16"/>
      <c r="G162" s="16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16"/>
      <c r="T162" s="16"/>
      <c r="U162" s="16"/>
      <c r="V162" s="16"/>
      <c r="W162" s="16"/>
      <c r="X162" s="16"/>
      <c r="Y162" s="16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</row>
    <row r="163" spans="1:38" s="13" customFormat="1" x14ac:dyDescent="0.25">
      <c r="A163" s="14"/>
      <c r="B163" s="15"/>
      <c r="C163" s="15"/>
      <c r="D163" s="15"/>
      <c r="E163" s="14"/>
      <c r="F163" s="16"/>
      <c r="G163" s="16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16"/>
      <c r="T163" s="16"/>
      <c r="U163" s="16"/>
      <c r="V163" s="16"/>
      <c r="W163" s="16"/>
      <c r="X163" s="16"/>
      <c r="Y163" s="16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</row>
    <row r="164" spans="1:38" s="13" customFormat="1" x14ac:dyDescent="0.25">
      <c r="A164" s="14"/>
      <c r="B164" s="15"/>
      <c r="C164" s="15"/>
      <c r="D164" s="15"/>
      <c r="E164" s="14"/>
      <c r="F164" s="16"/>
      <c r="G164" s="16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16"/>
      <c r="T164" s="16"/>
      <c r="U164" s="16"/>
      <c r="V164" s="16"/>
      <c r="W164" s="16"/>
      <c r="X164" s="16"/>
      <c r="Y164" s="16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</row>
    <row r="165" spans="1:38" s="13" customFormat="1" x14ac:dyDescent="0.25">
      <c r="A165" s="14"/>
      <c r="B165" s="15"/>
      <c r="C165" s="15"/>
      <c r="D165" s="15"/>
      <c r="E165" s="14"/>
      <c r="F165" s="16"/>
      <c r="G165" s="16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16"/>
      <c r="T165" s="16"/>
      <c r="U165" s="16"/>
      <c r="V165" s="16"/>
      <c r="W165" s="16"/>
      <c r="X165" s="16"/>
      <c r="Y165" s="16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</row>
    <row r="166" spans="1:38" s="13" customFormat="1" x14ac:dyDescent="0.25">
      <c r="A166" s="14"/>
      <c r="B166" s="15"/>
      <c r="C166" s="15"/>
      <c r="D166" s="15"/>
      <c r="E166" s="14"/>
      <c r="F166" s="16"/>
      <c r="G166" s="16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16"/>
      <c r="T166" s="16"/>
      <c r="U166" s="16"/>
      <c r="V166" s="16"/>
      <c r="W166" s="16"/>
      <c r="X166" s="16"/>
      <c r="Y166" s="16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</row>
    <row r="167" spans="1:38" s="13" customFormat="1" x14ac:dyDescent="0.25">
      <c r="A167" s="14"/>
      <c r="B167" s="15"/>
      <c r="C167" s="15"/>
      <c r="D167" s="15"/>
      <c r="E167" s="14"/>
      <c r="F167" s="16"/>
      <c r="G167" s="16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16"/>
      <c r="T167" s="16"/>
      <c r="U167" s="16"/>
      <c r="V167" s="16"/>
      <c r="W167" s="16"/>
      <c r="X167" s="16"/>
      <c r="Y167" s="16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</row>
    <row r="168" spans="1:38" s="13" customFormat="1" x14ac:dyDescent="0.25">
      <c r="A168" s="14"/>
      <c r="B168" s="15"/>
      <c r="C168" s="15"/>
      <c r="D168" s="15"/>
      <c r="E168" s="14"/>
      <c r="F168" s="16"/>
      <c r="G168" s="16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16"/>
      <c r="T168" s="16"/>
      <c r="U168" s="16"/>
      <c r="V168" s="16"/>
      <c r="W168" s="16"/>
      <c r="X168" s="16"/>
      <c r="Y168" s="16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</row>
    <row r="169" spans="1:38" s="13" customFormat="1" x14ac:dyDescent="0.25">
      <c r="A169" s="14"/>
      <c r="B169" s="15"/>
      <c r="C169" s="15"/>
      <c r="D169" s="15"/>
      <c r="E169" s="14"/>
      <c r="F169" s="16"/>
      <c r="G169" s="16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16"/>
      <c r="T169" s="16"/>
      <c r="U169" s="16"/>
      <c r="V169" s="16"/>
      <c r="W169" s="16"/>
      <c r="X169" s="16"/>
      <c r="Y169" s="16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</row>
    <row r="170" spans="1:38" s="13" customFormat="1" x14ac:dyDescent="0.25">
      <c r="A170" s="14"/>
      <c r="B170" s="15"/>
      <c r="C170" s="15"/>
      <c r="D170" s="15"/>
      <c r="E170" s="14"/>
      <c r="F170" s="16"/>
      <c r="G170" s="16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16"/>
      <c r="T170" s="16"/>
      <c r="U170" s="16"/>
      <c r="V170" s="16"/>
      <c r="W170" s="16"/>
      <c r="X170" s="16"/>
      <c r="Y170" s="16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</row>
    <row r="171" spans="1:38" s="13" customFormat="1" x14ac:dyDescent="0.25">
      <c r="A171" s="14"/>
      <c r="B171" s="15"/>
      <c r="C171" s="15"/>
      <c r="D171" s="15"/>
      <c r="E171" s="14"/>
      <c r="F171" s="16"/>
      <c r="G171" s="16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16"/>
      <c r="T171" s="16"/>
      <c r="U171" s="16"/>
      <c r="V171" s="16"/>
      <c r="W171" s="16"/>
      <c r="X171" s="16"/>
      <c r="Y171" s="16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</row>
    <row r="172" spans="1:38" s="13" customFormat="1" x14ac:dyDescent="0.25">
      <c r="A172" s="14"/>
      <c r="B172" s="15"/>
      <c r="C172" s="15"/>
      <c r="D172" s="15"/>
      <c r="E172" s="14"/>
      <c r="F172" s="16"/>
      <c r="G172" s="16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16"/>
      <c r="T172" s="16"/>
      <c r="U172" s="16"/>
      <c r="V172" s="16"/>
      <c r="W172" s="16"/>
      <c r="X172" s="16"/>
      <c r="Y172" s="16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</row>
    <row r="173" spans="1:38" s="13" customFormat="1" x14ac:dyDescent="0.25">
      <c r="A173" s="14"/>
      <c r="B173" s="15"/>
      <c r="C173" s="15"/>
      <c r="D173" s="15"/>
      <c r="E173" s="14"/>
      <c r="F173" s="16"/>
      <c r="G173" s="16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16"/>
      <c r="T173" s="16"/>
      <c r="U173" s="16"/>
      <c r="V173" s="16"/>
      <c r="W173" s="16"/>
      <c r="X173" s="16"/>
      <c r="Y173" s="16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</row>
    <row r="174" spans="1:38" s="13" customFormat="1" x14ac:dyDescent="0.25">
      <c r="A174" s="14"/>
      <c r="B174" s="15"/>
      <c r="C174" s="15"/>
      <c r="D174" s="15"/>
      <c r="E174" s="14"/>
      <c r="F174" s="16"/>
      <c r="G174" s="16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16"/>
      <c r="T174" s="16"/>
      <c r="U174" s="16"/>
      <c r="V174" s="16"/>
      <c r="W174" s="16"/>
      <c r="X174" s="16"/>
      <c r="Y174" s="16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</row>
    <row r="175" spans="1:38" s="13" customFormat="1" x14ac:dyDescent="0.25">
      <c r="A175" s="14"/>
      <c r="B175" s="15"/>
      <c r="C175" s="15"/>
      <c r="D175" s="15"/>
      <c r="E175" s="14"/>
      <c r="F175" s="16"/>
      <c r="G175" s="16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16"/>
      <c r="T175" s="16"/>
      <c r="U175" s="16"/>
      <c r="V175" s="16"/>
      <c r="W175" s="16"/>
      <c r="X175" s="16"/>
      <c r="Y175" s="16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</row>
    <row r="176" spans="1:38" s="13" customFormat="1" x14ac:dyDescent="0.25">
      <c r="A176" s="14"/>
      <c r="B176" s="15"/>
      <c r="C176" s="15"/>
      <c r="D176" s="15"/>
      <c r="E176" s="14"/>
      <c r="F176" s="16"/>
      <c r="G176" s="16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16"/>
      <c r="T176" s="16"/>
      <c r="U176" s="16"/>
      <c r="V176" s="16"/>
      <c r="W176" s="16"/>
      <c r="X176" s="16"/>
      <c r="Y176" s="16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</row>
    <row r="177" spans="1:38" s="13" customFormat="1" x14ac:dyDescent="0.25">
      <c r="A177" s="14"/>
      <c r="B177" s="15"/>
      <c r="C177" s="15"/>
      <c r="D177" s="15"/>
      <c r="E177" s="14"/>
      <c r="F177" s="16"/>
      <c r="G177" s="16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16"/>
      <c r="T177" s="16"/>
      <c r="U177" s="16"/>
      <c r="V177" s="16"/>
      <c r="W177" s="16"/>
      <c r="X177" s="16"/>
      <c r="Y177" s="16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</row>
    <row r="178" spans="1:38" s="13" customFormat="1" x14ac:dyDescent="0.25">
      <c r="A178" s="14"/>
      <c r="B178" s="15"/>
      <c r="C178" s="15"/>
      <c r="D178" s="15"/>
      <c r="E178" s="14"/>
      <c r="F178" s="16"/>
      <c r="G178" s="16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16"/>
      <c r="T178" s="16"/>
      <c r="U178" s="16"/>
      <c r="V178" s="16"/>
      <c r="W178" s="16"/>
      <c r="X178" s="16"/>
      <c r="Y178" s="16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</row>
    <row r="179" spans="1:38" s="13" customFormat="1" x14ac:dyDescent="0.25">
      <c r="A179" s="14"/>
      <c r="B179" s="15"/>
      <c r="C179" s="15"/>
      <c r="D179" s="15"/>
      <c r="E179" s="14"/>
      <c r="F179" s="16"/>
      <c r="G179" s="16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16"/>
      <c r="T179" s="16"/>
      <c r="U179" s="16"/>
      <c r="V179" s="16"/>
      <c r="W179" s="16"/>
      <c r="X179" s="16"/>
      <c r="Y179" s="16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</row>
    <row r="180" spans="1:38" s="13" customFormat="1" x14ac:dyDescent="0.25">
      <c r="A180" s="14"/>
      <c r="B180" s="15"/>
      <c r="C180" s="15"/>
      <c r="D180" s="15"/>
      <c r="E180" s="14"/>
      <c r="F180" s="16"/>
      <c r="G180" s="16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16"/>
      <c r="T180" s="16"/>
      <c r="U180" s="16"/>
      <c r="V180" s="16"/>
      <c r="W180" s="16"/>
      <c r="X180" s="16"/>
      <c r="Y180" s="16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</row>
    <row r="181" spans="1:38" s="13" customFormat="1" x14ac:dyDescent="0.25">
      <c r="A181" s="14"/>
      <c r="B181" s="15"/>
      <c r="C181" s="15"/>
      <c r="D181" s="15"/>
      <c r="E181" s="14"/>
      <c r="F181" s="16"/>
      <c r="G181" s="16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16"/>
      <c r="T181" s="16"/>
      <c r="U181" s="16"/>
      <c r="V181" s="16"/>
      <c r="W181" s="16"/>
      <c r="X181" s="16"/>
      <c r="Y181" s="16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</row>
    <row r="182" spans="1:38" s="13" customFormat="1" x14ac:dyDescent="0.25">
      <c r="A182" s="14"/>
      <c r="B182" s="15"/>
      <c r="C182" s="15"/>
      <c r="D182" s="15"/>
      <c r="E182" s="14"/>
      <c r="F182" s="16"/>
      <c r="G182" s="16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16"/>
      <c r="T182" s="16"/>
      <c r="U182" s="16"/>
      <c r="V182" s="16"/>
      <c r="W182" s="16"/>
      <c r="X182" s="16"/>
      <c r="Y182" s="16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</row>
    <row r="183" spans="1:38" s="13" customFormat="1" x14ac:dyDescent="0.25">
      <c r="A183" s="14"/>
      <c r="B183" s="15"/>
      <c r="C183" s="15"/>
      <c r="D183" s="15"/>
      <c r="E183" s="14"/>
      <c r="F183" s="16"/>
      <c r="G183" s="16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16"/>
      <c r="T183" s="16"/>
      <c r="U183" s="16"/>
      <c r="V183" s="16"/>
      <c r="W183" s="16"/>
      <c r="X183" s="16"/>
      <c r="Y183" s="16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</row>
    <row r="184" spans="1:38" s="13" customFormat="1" x14ac:dyDescent="0.25">
      <c r="A184" s="14"/>
      <c r="B184" s="15"/>
      <c r="C184" s="15"/>
      <c r="D184" s="15"/>
      <c r="E184" s="14"/>
      <c r="F184" s="16"/>
      <c r="G184" s="16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16"/>
      <c r="T184" s="16"/>
      <c r="U184" s="16"/>
      <c r="V184" s="16"/>
      <c r="W184" s="16"/>
      <c r="X184" s="16"/>
      <c r="Y184" s="16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</row>
    <row r="185" spans="1:38" s="13" customFormat="1" x14ac:dyDescent="0.25">
      <c r="A185" s="14"/>
      <c r="B185" s="15"/>
      <c r="C185" s="15"/>
      <c r="D185" s="15"/>
      <c r="E185" s="14"/>
      <c r="F185" s="16"/>
      <c r="G185" s="16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16"/>
      <c r="T185" s="16"/>
      <c r="U185" s="16"/>
      <c r="V185" s="16"/>
      <c r="W185" s="16"/>
      <c r="X185" s="16"/>
      <c r="Y185" s="16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</row>
    <row r="186" spans="1:38" s="13" customFormat="1" x14ac:dyDescent="0.25">
      <c r="A186" s="14"/>
      <c r="B186" s="15"/>
      <c r="C186" s="15"/>
      <c r="D186" s="15"/>
      <c r="E186" s="14"/>
      <c r="F186" s="16"/>
      <c r="G186" s="16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16"/>
      <c r="T186" s="16"/>
      <c r="U186" s="16"/>
      <c r="V186" s="16"/>
      <c r="W186" s="16"/>
      <c r="X186" s="16"/>
      <c r="Y186" s="16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</row>
    <row r="187" spans="1:38" s="13" customFormat="1" x14ac:dyDescent="0.25">
      <c r="A187" s="14"/>
      <c r="B187" s="15"/>
      <c r="C187" s="15"/>
      <c r="D187" s="15"/>
      <c r="E187" s="14"/>
      <c r="F187" s="16"/>
      <c r="G187" s="16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16"/>
      <c r="T187" s="16"/>
      <c r="U187" s="16"/>
      <c r="V187" s="16"/>
      <c r="W187" s="16"/>
      <c r="X187" s="16"/>
      <c r="Y187" s="16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</row>
    <row r="188" spans="1:38" s="13" customFormat="1" x14ac:dyDescent="0.25">
      <c r="A188" s="14"/>
      <c r="B188" s="15"/>
      <c r="C188" s="15"/>
      <c r="D188" s="15"/>
      <c r="E188" s="14"/>
      <c r="F188" s="16"/>
      <c r="G188" s="16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16"/>
      <c r="T188" s="16"/>
      <c r="U188" s="16"/>
      <c r="V188" s="16"/>
      <c r="W188" s="16"/>
      <c r="X188" s="16"/>
      <c r="Y188" s="16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</row>
    <row r="189" spans="1:38" s="13" customFormat="1" x14ac:dyDescent="0.25">
      <c r="A189" s="14"/>
      <c r="B189" s="15"/>
      <c r="C189" s="15"/>
      <c r="D189" s="15"/>
      <c r="E189" s="14"/>
      <c r="F189" s="16"/>
      <c r="G189" s="16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16"/>
      <c r="T189" s="16"/>
      <c r="U189" s="16"/>
      <c r="V189" s="16"/>
      <c r="W189" s="16"/>
      <c r="X189" s="16"/>
      <c r="Y189" s="16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</row>
    <row r="190" spans="1:38" s="13" customFormat="1" x14ac:dyDescent="0.25">
      <c r="A190" s="14"/>
      <c r="B190" s="15"/>
      <c r="C190" s="15"/>
      <c r="D190" s="15"/>
      <c r="E190" s="14"/>
      <c r="F190" s="16"/>
      <c r="G190" s="16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16"/>
      <c r="T190" s="16"/>
      <c r="U190" s="16"/>
      <c r="V190" s="16"/>
      <c r="W190" s="16"/>
      <c r="X190" s="16"/>
      <c r="Y190" s="16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</row>
    <row r="191" spans="1:38" s="13" customFormat="1" x14ac:dyDescent="0.25">
      <c r="A191" s="14"/>
      <c r="B191" s="15"/>
      <c r="C191" s="15"/>
      <c r="D191" s="15"/>
      <c r="E191" s="14"/>
      <c r="F191" s="16"/>
      <c r="G191" s="16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16"/>
      <c r="T191" s="16"/>
      <c r="U191" s="16"/>
      <c r="V191" s="16"/>
      <c r="W191" s="16"/>
      <c r="X191" s="16"/>
      <c r="Y191" s="16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</row>
    <row r="192" spans="1:38" s="13" customFormat="1" x14ac:dyDescent="0.25">
      <c r="A192" s="14"/>
      <c r="B192" s="15"/>
      <c r="C192" s="15"/>
      <c r="D192" s="15"/>
      <c r="E192" s="14"/>
      <c r="F192" s="16"/>
      <c r="G192" s="16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16"/>
      <c r="T192" s="16"/>
      <c r="U192" s="16"/>
      <c r="V192" s="16"/>
      <c r="W192" s="16"/>
      <c r="X192" s="16"/>
      <c r="Y192" s="16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</row>
    <row r="193" spans="1:38" s="13" customFormat="1" x14ac:dyDescent="0.25">
      <c r="A193" s="14"/>
      <c r="B193" s="15"/>
      <c r="C193" s="15"/>
      <c r="D193" s="15"/>
      <c r="E193" s="14"/>
      <c r="F193" s="16"/>
      <c r="G193" s="16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16"/>
      <c r="T193" s="16"/>
      <c r="U193" s="16"/>
      <c r="V193" s="16"/>
      <c r="W193" s="16"/>
      <c r="X193" s="16"/>
      <c r="Y193" s="16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</row>
    <row r="194" spans="1:38" s="13" customFormat="1" x14ac:dyDescent="0.25">
      <c r="A194" s="14"/>
      <c r="B194" s="15"/>
      <c r="C194" s="15"/>
      <c r="D194" s="15"/>
      <c r="E194" s="14"/>
      <c r="F194" s="16"/>
      <c r="G194" s="16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16"/>
      <c r="T194" s="16"/>
      <c r="U194" s="16"/>
      <c r="V194" s="16"/>
      <c r="W194" s="16"/>
      <c r="X194" s="16"/>
      <c r="Y194" s="16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</row>
    <row r="195" spans="1:38" s="13" customFormat="1" x14ac:dyDescent="0.25">
      <c r="A195" s="14"/>
      <c r="B195" s="15"/>
      <c r="C195" s="15"/>
      <c r="D195" s="15"/>
      <c r="E195" s="14"/>
      <c r="F195" s="16"/>
      <c r="G195" s="16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16"/>
      <c r="T195" s="16"/>
      <c r="U195" s="16"/>
      <c r="V195" s="16"/>
      <c r="W195" s="16"/>
      <c r="X195" s="16"/>
      <c r="Y195" s="16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</row>
    <row r="196" spans="1:38" s="13" customFormat="1" x14ac:dyDescent="0.25">
      <c r="A196" s="14"/>
      <c r="B196" s="15"/>
      <c r="C196" s="15"/>
      <c r="D196" s="15"/>
      <c r="E196" s="14"/>
      <c r="F196" s="16"/>
      <c r="G196" s="16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16"/>
      <c r="T196" s="16"/>
      <c r="U196" s="16"/>
      <c r="V196" s="16"/>
      <c r="W196" s="16"/>
      <c r="X196" s="16"/>
      <c r="Y196" s="16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</row>
    <row r="197" spans="1:38" s="13" customFormat="1" x14ac:dyDescent="0.25">
      <c r="A197" s="14"/>
      <c r="B197" s="15"/>
      <c r="C197" s="15"/>
      <c r="D197" s="15"/>
      <c r="E197" s="14"/>
      <c r="F197" s="16"/>
      <c r="G197" s="16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16"/>
      <c r="T197" s="16"/>
      <c r="U197" s="16"/>
      <c r="V197" s="16"/>
      <c r="W197" s="16"/>
      <c r="X197" s="16"/>
      <c r="Y197" s="16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</row>
    <row r="198" spans="1:38" s="13" customFormat="1" x14ac:dyDescent="0.25">
      <c r="A198" s="14"/>
      <c r="B198" s="15"/>
      <c r="C198" s="15"/>
      <c r="D198" s="15"/>
      <c r="E198" s="14"/>
      <c r="F198" s="16"/>
      <c r="G198" s="16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16"/>
      <c r="T198" s="16"/>
      <c r="U198" s="16"/>
      <c r="V198" s="16"/>
      <c r="W198" s="16"/>
      <c r="X198" s="16"/>
      <c r="Y198" s="16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</row>
    <row r="199" spans="1:38" s="13" customFormat="1" x14ac:dyDescent="0.25">
      <c r="A199" s="14"/>
      <c r="B199" s="15"/>
      <c r="C199" s="15"/>
      <c r="D199" s="15"/>
      <c r="E199" s="14"/>
      <c r="F199" s="16"/>
      <c r="G199" s="16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16"/>
      <c r="T199" s="16"/>
      <c r="U199" s="16"/>
      <c r="V199" s="16"/>
      <c r="W199" s="16"/>
      <c r="X199" s="16"/>
      <c r="Y199" s="16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</row>
    <row r="200" spans="1:38" s="13" customFormat="1" x14ac:dyDescent="0.25">
      <c r="A200" s="14"/>
      <c r="B200" s="15"/>
      <c r="C200" s="15"/>
      <c r="D200" s="15"/>
      <c r="E200" s="14"/>
      <c r="F200" s="16"/>
      <c r="G200" s="16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16"/>
      <c r="T200" s="16"/>
      <c r="U200" s="16"/>
      <c r="V200" s="16"/>
      <c r="W200" s="16"/>
      <c r="X200" s="16"/>
      <c r="Y200" s="16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</row>
    <row r="201" spans="1:38" s="13" customFormat="1" x14ac:dyDescent="0.25">
      <c r="A201" s="14"/>
      <c r="B201" s="15"/>
      <c r="C201" s="15"/>
      <c r="D201" s="15"/>
      <c r="E201" s="14"/>
      <c r="F201" s="16"/>
      <c r="G201" s="16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16"/>
      <c r="T201" s="16"/>
      <c r="U201" s="16"/>
      <c r="V201" s="16"/>
      <c r="W201" s="16"/>
      <c r="X201" s="16"/>
      <c r="Y201" s="16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</row>
    <row r="202" spans="1:38" s="13" customFormat="1" x14ac:dyDescent="0.25">
      <c r="A202" s="14"/>
      <c r="B202" s="15"/>
      <c r="C202" s="15"/>
      <c r="D202" s="15"/>
      <c r="E202" s="14"/>
      <c r="F202" s="16"/>
      <c r="G202" s="16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16"/>
      <c r="T202" s="16"/>
      <c r="U202" s="16"/>
      <c r="V202" s="16"/>
      <c r="W202" s="16"/>
      <c r="X202" s="16"/>
      <c r="Y202" s="16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</row>
    <row r="203" spans="1:38" s="13" customFormat="1" x14ac:dyDescent="0.25">
      <c r="A203" s="14"/>
      <c r="B203" s="15"/>
      <c r="C203" s="15"/>
      <c r="D203" s="15"/>
      <c r="E203" s="14"/>
      <c r="F203" s="16"/>
      <c r="G203" s="1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16"/>
      <c r="T203" s="16"/>
      <c r="U203" s="16"/>
      <c r="V203" s="16"/>
      <c r="W203" s="16"/>
      <c r="X203" s="16"/>
      <c r="Y203" s="16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</row>
    <row r="204" spans="1:38" s="13" customFormat="1" x14ac:dyDescent="0.25">
      <c r="A204" s="14"/>
      <c r="B204" s="15"/>
      <c r="C204" s="15"/>
      <c r="D204" s="15"/>
      <c r="E204" s="14"/>
      <c r="F204" s="16"/>
      <c r="G204" s="16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16"/>
      <c r="T204" s="16"/>
      <c r="U204" s="16"/>
      <c r="V204" s="16"/>
      <c r="W204" s="16"/>
      <c r="X204" s="16"/>
      <c r="Y204" s="16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</row>
    <row r="205" spans="1:38" s="13" customFormat="1" x14ac:dyDescent="0.25">
      <c r="A205" s="14"/>
      <c r="B205" s="15"/>
      <c r="C205" s="15"/>
      <c r="D205" s="15"/>
      <c r="E205" s="14"/>
      <c r="F205" s="16"/>
      <c r="G205" s="16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16"/>
      <c r="T205" s="16"/>
      <c r="U205" s="16"/>
      <c r="V205" s="16"/>
      <c r="W205" s="16"/>
      <c r="X205" s="16"/>
      <c r="Y205" s="16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</row>
    <row r="206" spans="1:38" s="13" customFormat="1" x14ac:dyDescent="0.25">
      <c r="A206" s="14"/>
      <c r="B206" s="15"/>
      <c r="C206" s="15"/>
      <c r="D206" s="15"/>
      <c r="E206" s="14"/>
      <c r="F206" s="16"/>
      <c r="G206" s="1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16"/>
      <c r="T206" s="16"/>
      <c r="U206" s="16"/>
      <c r="V206" s="16"/>
      <c r="W206" s="16"/>
      <c r="X206" s="16"/>
      <c r="Y206" s="16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</row>
    <row r="207" spans="1:38" s="13" customFormat="1" x14ac:dyDescent="0.25">
      <c r="A207" s="14"/>
      <c r="B207" s="15"/>
      <c r="C207" s="15"/>
      <c r="D207" s="15"/>
      <c r="E207" s="14"/>
      <c r="F207" s="16"/>
      <c r="G207" s="16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16"/>
      <c r="T207" s="16"/>
      <c r="U207" s="16"/>
      <c r="V207" s="16"/>
      <c r="W207" s="16"/>
      <c r="X207" s="16"/>
      <c r="Y207" s="16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</row>
    <row r="208" spans="1:38" s="13" customFormat="1" x14ac:dyDescent="0.25">
      <c r="A208" s="14"/>
      <c r="B208" s="15"/>
      <c r="C208" s="15"/>
      <c r="D208" s="15"/>
      <c r="E208" s="14"/>
      <c r="F208" s="16"/>
      <c r="G208" s="16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16"/>
      <c r="T208" s="16"/>
      <c r="U208" s="16"/>
      <c r="V208" s="16"/>
      <c r="W208" s="16"/>
      <c r="X208" s="16"/>
      <c r="Y208" s="16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</row>
    <row r="209" spans="1:38" s="13" customFormat="1" x14ac:dyDescent="0.25">
      <c r="A209" s="14"/>
      <c r="B209" s="15"/>
      <c r="C209" s="15"/>
      <c r="D209" s="15"/>
      <c r="E209" s="14"/>
      <c r="F209" s="16"/>
      <c r="G209" s="16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16"/>
      <c r="T209" s="16"/>
      <c r="U209" s="16"/>
      <c r="V209" s="16"/>
      <c r="W209" s="16"/>
      <c r="X209" s="16"/>
      <c r="Y209" s="16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</row>
    <row r="210" spans="1:38" s="13" customFormat="1" x14ac:dyDescent="0.25">
      <c r="A210" s="14"/>
      <c r="B210" s="15"/>
      <c r="C210" s="15"/>
      <c r="D210" s="15"/>
      <c r="E210" s="14"/>
      <c r="F210" s="16"/>
      <c r="G210" s="16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16"/>
      <c r="T210" s="16"/>
      <c r="U210" s="16"/>
      <c r="V210" s="16"/>
      <c r="W210" s="16"/>
      <c r="X210" s="16"/>
      <c r="Y210" s="16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</row>
    <row r="211" spans="1:38" s="13" customFormat="1" x14ac:dyDescent="0.25">
      <c r="A211" s="14"/>
      <c r="B211" s="15"/>
      <c r="C211" s="15"/>
      <c r="D211" s="15"/>
      <c r="E211" s="14"/>
      <c r="F211" s="16"/>
      <c r="G211" s="16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16"/>
      <c r="T211" s="16"/>
      <c r="U211" s="16"/>
      <c r="V211" s="16"/>
      <c r="W211" s="16"/>
      <c r="X211" s="16"/>
      <c r="Y211" s="16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</row>
    <row r="212" spans="1:38" s="13" customFormat="1" x14ac:dyDescent="0.25">
      <c r="A212" s="14"/>
      <c r="B212" s="15"/>
      <c r="C212" s="15"/>
      <c r="D212" s="15"/>
      <c r="E212" s="14"/>
      <c r="F212" s="16"/>
      <c r="G212" s="16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16"/>
      <c r="T212" s="16"/>
      <c r="U212" s="16"/>
      <c r="V212" s="16"/>
      <c r="W212" s="16"/>
      <c r="X212" s="16"/>
      <c r="Y212" s="16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</row>
    <row r="213" spans="1:38" s="13" customFormat="1" x14ac:dyDescent="0.25">
      <c r="A213" s="14"/>
      <c r="B213" s="15"/>
      <c r="C213" s="15"/>
      <c r="D213" s="15"/>
      <c r="E213" s="14"/>
      <c r="F213" s="16"/>
      <c r="G213" s="16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16"/>
      <c r="T213" s="16"/>
      <c r="U213" s="16"/>
      <c r="V213" s="16"/>
      <c r="W213" s="16"/>
      <c r="X213" s="16"/>
      <c r="Y213" s="16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</row>
    <row r="214" spans="1:38" s="13" customFormat="1" x14ac:dyDescent="0.25">
      <c r="A214" s="14"/>
      <c r="B214" s="15"/>
      <c r="C214" s="15"/>
      <c r="D214" s="15"/>
      <c r="E214" s="14"/>
      <c r="F214" s="16"/>
      <c r="G214" s="16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16"/>
      <c r="T214" s="16"/>
      <c r="U214" s="16"/>
      <c r="V214" s="16"/>
      <c r="W214" s="16"/>
      <c r="X214" s="16"/>
      <c r="Y214" s="16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</row>
    <row r="215" spans="1:38" s="13" customFormat="1" x14ac:dyDescent="0.25">
      <c r="A215" s="14"/>
      <c r="B215" s="15"/>
      <c r="C215" s="15"/>
      <c r="D215" s="15"/>
      <c r="E215" s="14"/>
      <c r="F215" s="16"/>
      <c r="G215" s="16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16"/>
      <c r="T215" s="16"/>
      <c r="U215" s="16"/>
      <c r="V215" s="16"/>
      <c r="W215" s="16"/>
      <c r="X215" s="16"/>
      <c r="Y215" s="16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</row>
    <row r="216" spans="1:38" s="13" customFormat="1" x14ac:dyDescent="0.25">
      <c r="A216" s="14"/>
      <c r="B216" s="15"/>
      <c r="C216" s="15"/>
      <c r="D216" s="15"/>
      <c r="E216" s="14"/>
      <c r="F216" s="16"/>
      <c r="G216" s="16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16"/>
      <c r="T216" s="16"/>
      <c r="U216" s="16"/>
      <c r="V216" s="16"/>
      <c r="W216" s="16"/>
      <c r="X216" s="16"/>
      <c r="Y216" s="16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</row>
    <row r="217" spans="1:38" s="13" customFormat="1" x14ac:dyDescent="0.25">
      <c r="A217" s="14"/>
      <c r="B217" s="15"/>
      <c r="C217" s="15"/>
      <c r="D217" s="15"/>
      <c r="E217" s="14"/>
      <c r="F217" s="16"/>
      <c r="G217" s="16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16"/>
      <c r="T217" s="16"/>
      <c r="U217" s="16"/>
      <c r="V217" s="16"/>
      <c r="W217" s="16"/>
      <c r="X217" s="16"/>
      <c r="Y217" s="16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</row>
    <row r="218" spans="1:38" s="13" customFormat="1" x14ac:dyDescent="0.25">
      <c r="A218" s="14"/>
      <c r="B218" s="15"/>
      <c r="C218" s="15"/>
      <c r="D218" s="15"/>
      <c r="E218" s="14"/>
      <c r="F218" s="16"/>
      <c r="G218" s="16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16"/>
      <c r="T218" s="16"/>
      <c r="U218" s="16"/>
      <c r="V218" s="16"/>
      <c r="W218" s="16"/>
      <c r="X218" s="16"/>
      <c r="Y218" s="16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</row>
    <row r="219" spans="1:38" s="13" customFormat="1" x14ac:dyDescent="0.25">
      <c r="A219" s="14"/>
      <c r="B219" s="15"/>
      <c r="C219" s="15"/>
      <c r="D219" s="15"/>
      <c r="E219" s="14"/>
      <c r="F219" s="16"/>
      <c r="G219" s="16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16"/>
      <c r="T219" s="16"/>
      <c r="U219" s="16"/>
      <c r="V219" s="16"/>
      <c r="W219" s="16"/>
      <c r="X219" s="16"/>
      <c r="Y219" s="16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</row>
    <row r="220" spans="1:38" s="13" customFormat="1" x14ac:dyDescent="0.25">
      <c r="A220" s="14"/>
      <c r="B220" s="15"/>
      <c r="C220" s="15"/>
      <c r="D220" s="15"/>
      <c r="E220" s="14"/>
      <c r="F220" s="16"/>
      <c r="G220" s="16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16"/>
      <c r="T220" s="16"/>
      <c r="U220" s="16"/>
      <c r="V220" s="16"/>
      <c r="W220" s="16"/>
      <c r="X220" s="16"/>
      <c r="Y220" s="16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</row>
    <row r="221" spans="1:38" s="13" customFormat="1" x14ac:dyDescent="0.25">
      <c r="A221" s="14"/>
      <c r="B221" s="15"/>
      <c r="C221" s="15"/>
      <c r="D221" s="15"/>
      <c r="E221" s="14"/>
      <c r="F221" s="16"/>
      <c r="G221" s="16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16"/>
      <c r="T221" s="16"/>
      <c r="U221" s="16"/>
      <c r="V221" s="16"/>
      <c r="W221" s="16"/>
      <c r="X221" s="16"/>
      <c r="Y221" s="16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</row>
    <row r="222" spans="1:38" s="13" customFormat="1" x14ac:dyDescent="0.25">
      <c r="A222" s="14"/>
      <c r="B222" s="15"/>
      <c r="C222" s="15"/>
      <c r="D222" s="15"/>
      <c r="E222" s="14"/>
      <c r="F222" s="16"/>
      <c r="G222" s="16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16"/>
      <c r="T222" s="16"/>
      <c r="U222" s="16"/>
      <c r="V222" s="16"/>
      <c r="W222" s="16"/>
      <c r="X222" s="16"/>
      <c r="Y222" s="16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</row>
    <row r="223" spans="1:38" s="13" customFormat="1" x14ac:dyDescent="0.25">
      <c r="A223" s="14"/>
      <c r="B223" s="15"/>
      <c r="C223" s="15"/>
      <c r="D223" s="15"/>
      <c r="E223" s="14"/>
      <c r="F223" s="16"/>
      <c r="G223" s="16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16"/>
      <c r="T223" s="16"/>
      <c r="U223" s="16"/>
      <c r="V223" s="16"/>
      <c r="W223" s="16"/>
      <c r="X223" s="16"/>
      <c r="Y223" s="16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</row>
    <row r="224" spans="1:38" s="13" customFormat="1" x14ac:dyDescent="0.25">
      <c r="A224" s="14"/>
      <c r="B224" s="15"/>
      <c r="C224" s="15"/>
      <c r="D224" s="15"/>
      <c r="E224" s="14"/>
      <c r="F224" s="16"/>
      <c r="G224" s="16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16"/>
      <c r="T224" s="16"/>
      <c r="U224" s="16"/>
      <c r="V224" s="16"/>
      <c r="W224" s="16"/>
      <c r="X224" s="16"/>
      <c r="Y224" s="16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</row>
    <row r="225" spans="1:38" s="13" customFormat="1" x14ac:dyDescent="0.25">
      <c r="A225" s="14"/>
      <c r="B225" s="15"/>
      <c r="C225" s="15"/>
      <c r="D225" s="15"/>
      <c r="E225" s="14"/>
      <c r="F225" s="16"/>
      <c r="G225" s="16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16"/>
      <c r="T225" s="16"/>
      <c r="U225" s="16"/>
      <c r="V225" s="16"/>
      <c r="W225" s="16"/>
      <c r="X225" s="16"/>
      <c r="Y225" s="16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</row>
    <row r="226" spans="1:38" s="13" customFormat="1" x14ac:dyDescent="0.25">
      <c r="A226" s="14"/>
      <c r="B226" s="15"/>
      <c r="C226" s="15"/>
      <c r="D226" s="15"/>
      <c r="E226" s="14"/>
      <c r="F226" s="16"/>
      <c r="G226" s="16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16"/>
      <c r="T226" s="16"/>
      <c r="U226" s="16"/>
      <c r="V226" s="16"/>
      <c r="W226" s="16"/>
      <c r="X226" s="16"/>
      <c r="Y226" s="16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</row>
    <row r="227" spans="1:38" s="13" customFormat="1" x14ac:dyDescent="0.25">
      <c r="A227" s="14"/>
      <c r="B227" s="15"/>
      <c r="C227" s="15"/>
      <c r="D227" s="15"/>
      <c r="E227" s="14"/>
      <c r="F227" s="16"/>
      <c r="G227" s="16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16"/>
      <c r="T227" s="16"/>
      <c r="U227" s="16"/>
      <c r="V227" s="16"/>
      <c r="W227" s="16"/>
      <c r="X227" s="16"/>
      <c r="Y227" s="16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</row>
    <row r="228" spans="1:38" s="13" customFormat="1" x14ac:dyDescent="0.25">
      <c r="A228" s="14"/>
      <c r="B228" s="15"/>
      <c r="C228" s="15"/>
      <c r="D228" s="15"/>
      <c r="E228" s="14"/>
      <c r="F228" s="16"/>
      <c r="G228" s="16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16"/>
      <c r="T228" s="16"/>
      <c r="U228" s="16"/>
      <c r="V228" s="16"/>
      <c r="W228" s="16"/>
      <c r="X228" s="16"/>
      <c r="Y228" s="16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</row>
    <row r="229" spans="1:38" s="13" customFormat="1" x14ac:dyDescent="0.25">
      <c r="A229" s="14"/>
      <c r="B229" s="15"/>
      <c r="C229" s="15"/>
      <c r="D229" s="15"/>
      <c r="E229" s="14"/>
      <c r="F229" s="16"/>
      <c r="G229" s="16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16"/>
      <c r="T229" s="16"/>
      <c r="U229" s="16"/>
      <c r="V229" s="16"/>
      <c r="W229" s="16"/>
      <c r="X229" s="16"/>
      <c r="Y229" s="16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</row>
    <row r="230" spans="1:38" s="13" customFormat="1" x14ac:dyDescent="0.25">
      <c r="A230" s="14"/>
      <c r="B230" s="15"/>
      <c r="C230" s="15"/>
      <c r="D230" s="15"/>
      <c r="E230" s="14"/>
      <c r="F230" s="16"/>
      <c r="G230" s="16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16"/>
      <c r="T230" s="16"/>
      <c r="U230" s="16"/>
      <c r="V230" s="16"/>
      <c r="W230" s="16"/>
      <c r="X230" s="16"/>
      <c r="Y230" s="16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</row>
    <row r="231" spans="1:38" s="13" customFormat="1" x14ac:dyDescent="0.25">
      <c r="A231" s="14"/>
      <c r="B231" s="15"/>
      <c r="C231" s="15"/>
      <c r="D231" s="15"/>
      <c r="E231" s="14"/>
      <c r="F231" s="16"/>
      <c r="G231" s="16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16"/>
      <c r="T231" s="16"/>
      <c r="U231" s="16"/>
      <c r="V231" s="16"/>
      <c r="W231" s="16"/>
      <c r="X231" s="16"/>
      <c r="Y231" s="16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</row>
    <row r="232" spans="1:38" s="13" customFormat="1" x14ac:dyDescent="0.25">
      <c r="A232" s="14"/>
      <c r="B232" s="15"/>
      <c r="C232" s="15"/>
      <c r="D232" s="15"/>
      <c r="E232" s="14"/>
      <c r="F232" s="16"/>
      <c r="G232" s="16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16"/>
      <c r="T232" s="16"/>
      <c r="U232" s="16"/>
      <c r="V232" s="16"/>
      <c r="W232" s="16"/>
      <c r="X232" s="16"/>
      <c r="Y232" s="16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</row>
    <row r="233" spans="1:38" s="13" customFormat="1" x14ac:dyDescent="0.25">
      <c r="A233" s="14"/>
      <c r="B233" s="15"/>
      <c r="C233" s="15"/>
      <c r="D233" s="15"/>
      <c r="E233" s="14"/>
      <c r="F233" s="16"/>
      <c r="G233" s="16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16"/>
      <c r="T233" s="16"/>
      <c r="U233" s="16"/>
      <c r="V233" s="16"/>
      <c r="W233" s="16"/>
      <c r="X233" s="16"/>
      <c r="Y233" s="16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</row>
    <row r="234" spans="1:38" s="13" customFormat="1" x14ac:dyDescent="0.25">
      <c r="A234" s="14"/>
      <c r="B234" s="15"/>
      <c r="C234" s="15"/>
      <c r="D234" s="15"/>
      <c r="E234" s="14"/>
      <c r="F234" s="16"/>
      <c r="G234" s="16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16"/>
      <c r="T234" s="16"/>
      <c r="U234" s="16"/>
      <c r="V234" s="16"/>
      <c r="W234" s="16"/>
      <c r="X234" s="16"/>
      <c r="Y234" s="16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</row>
  </sheetData>
  <mergeCells count="5">
    <mergeCell ref="A1:E1"/>
    <mergeCell ref="B2:D2"/>
    <mergeCell ref="B13:D13"/>
    <mergeCell ref="B19:D19"/>
    <mergeCell ref="A7:E7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mboBox1">
          <controlPr defaultSize="0" autoLine="0" linkedCell="C14" listFillRange="A25:A44" r:id="rId5">
            <anchor moveWithCells="1">
              <from>
                <xdr:col>0</xdr:col>
                <xdr:colOff>304800</xdr:colOff>
                <xdr:row>7</xdr:row>
                <xdr:rowOff>57150</xdr:rowOff>
              </from>
              <to>
                <xdr:col>2</xdr:col>
                <xdr:colOff>85725</xdr:colOff>
                <xdr:row>8</xdr:row>
                <xdr:rowOff>114300</xdr:rowOff>
              </to>
            </anchor>
          </controlPr>
        </control>
      </mc:Choice>
      <mc:Fallback>
        <control shapeId="1025" r:id="rId4" name="ComboBox1"/>
      </mc:Fallback>
    </mc:AlternateContent>
    <mc:AlternateContent xmlns:mc="http://schemas.openxmlformats.org/markup-compatibility/2006">
      <mc:Choice Requires="x14">
        <control shapeId="1026" r:id="rId6" name="OptionButton1">
          <controlPr autoLine="0" linkedCell="I3" r:id="rId7">
            <anchor moveWithCells="1">
              <from>
                <xdr:col>2</xdr:col>
                <xdr:colOff>800100</xdr:colOff>
                <xdr:row>7</xdr:row>
                <xdr:rowOff>57150</xdr:rowOff>
              </from>
              <to>
                <xdr:col>3</xdr:col>
                <xdr:colOff>1076325</xdr:colOff>
                <xdr:row>8</xdr:row>
                <xdr:rowOff>104775</xdr:rowOff>
              </to>
            </anchor>
          </controlPr>
        </control>
      </mc:Choice>
      <mc:Fallback>
        <control shapeId="1026" r:id="rId6" name="OptionButton1"/>
      </mc:Fallback>
    </mc:AlternateContent>
    <mc:AlternateContent xmlns:mc="http://schemas.openxmlformats.org/markup-compatibility/2006">
      <mc:Choice Requires="x14">
        <control shapeId="1027" r:id="rId8" name="OptionButton2">
          <controlPr autoLine="0" linkedCell="I4" r:id="rId9">
            <anchor moveWithCells="1">
              <from>
                <xdr:col>2</xdr:col>
                <xdr:colOff>800100</xdr:colOff>
                <xdr:row>8</xdr:row>
                <xdr:rowOff>95250</xdr:rowOff>
              </from>
              <to>
                <xdr:col>3</xdr:col>
                <xdr:colOff>1076325</xdr:colOff>
                <xdr:row>9</xdr:row>
                <xdr:rowOff>142875</xdr:rowOff>
              </to>
            </anchor>
          </controlPr>
        </control>
      </mc:Choice>
      <mc:Fallback>
        <control shapeId="1027" r:id="rId8" name="OptionButton2"/>
      </mc:Fallback>
    </mc:AlternateContent>
    <mc:AlternateContent xmlns:mc="http://schemas.openxmlformats.org/markup-compatibility/2006">
      <mc:Choice Requires="x14">
        <control shapeId="1028" r:id="rId10" name="OptionButton3">
          <controlPr autoLine="0" linkedCell="I5" r:id="rId11">
            <anchor moveWithCells="1">
              <from>
                <xdr:col>2</xdr:col>
                <xdr:colOff>800100</xdr:colOff>
                <xdr:row>9</xdr:row>
                <xdr:rowOff>114300</xdr:rowOff>
              </from>
              <to>
                <xdr:col>3</xdr:col>
                <xdr:colOff>1076325</xdr:colOff>
                <xdr:row>10</xdr:row>
                <xdr:rowOff>161925</xdr:rowOff>
              </to>
            </anchor>
          </controlPr>
        </control>
      </mc:Choice>
      <mc:Fallback>
        <control shapeId="1028" r:id="rId10" name="OptionButton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k</vt:lpstr>
      <vt:lpstr>tm</vt:lpstr>
      <vt:lpstr>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diaz</dc:creator>
  <cp:lastModifiedBy>luis diaz</cp:lastModifiedBy>
  <dcterms:created xsi:type="dcterms:W3CDTF">2015-10-19T23:40:24Z</dcterms:created>
  <dcterms:modified xsi:type="dcterms:W3CDTF">2025-06-07T23:45:04Z</dcterms:modified>
</cp:coreProperties>
</file>