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PHARMEX\"/>
    </mc:Choice>
  </mc:AlternateContent>
  <xr:revisionPtr revIDLastSave="0" documentId="13_ncr:1_{E8CCD1A2-7212-4AFF-831D-C1ACC813F9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合作跟踪表!$AI$3:$AM$18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L19" i="1"/>
  <c r="P19" i="1"/>
  <c r="S19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P3" i="1" l="1"/>
  <c r="AP4" i="1" s="1"/>
  <c r="AP5" i="1" s="1"/>
  <c r="AO4" i="1"/>
  <c r="AP6" i="1" l="1"/>
  <c r="AP7" i="1"/>
  <c r="AP8" i="1" s="1"/>
  <c r="AM3" i="1"/>
  <c r="AL3" i="1"/>
  <c r="AK3" i="1"/>
  <c r="B6" i="1" l="1"/>
  <c r="B8" i="1"/>
  <c r="B10" i="1"/>
  <c r="B12" i="1"/>
  <c r="T19" i="1"/>
  <c r="B16" i="1" s="1"/>
  <c r="N19" i="1"/>
  <c r="B14" i="1" s="1"/>
  <c r="I19" i="1"/>
  <c r="G19" i="1"/>
  <c r="B4" i="1"/>
  <c r="B18" i="1" l="1"/>
</calcChain>
</file>

<file path=xl/sharedStrings.xml><?xml version="1.0" encoding="utf-8"?>
<sst xmlns="http://schemas.openxmlformats.org/spreadsheetml/2006/main" count="245" uniqueCount="156">
  <si>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</si>
  <si>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</si>
  <si>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</si>
  <si>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</si>
  <si>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</si>
  <si>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</si>
  <si>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</si>
  <si>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</si>
  <si>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</si>
  <si>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</si>
  <si>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</si>
  <si>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</si>
  <si>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</si>
  <si>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</si>
  <si>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</si>
  <si>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</si>
  <si>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</si>
  <si>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</si>
  <si>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</si>
  <si>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</si>
  <si>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</si>
  <si>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</si>
  <si>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</si>
  <si>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</si>
  <si>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</si>
  <si>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</si>
  <si>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</si>
  <si>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</si>
  <si>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</si>
  <si>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</si>
  <si>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</si>
  <si>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</si>
  <si>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</si>
  <si>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</si>
  <si>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</si>
  <si>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</si>
  <si>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</si>
  <si>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</si>
  <si>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</si>
  <si>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</si>
  <si>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</si>
  <si>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汇总</t>
  </si>
  <si>
    <t>Estado</t>
  </si>
  <si>
    <t>=REDONDEAR(ALEATORIO.ENTRE(4;7);0)</t>
  </si>
  <si>
    <t>https://www.xiaohongshu.com/discovery/item/5ee9ebb7000000000101ff82</t>
  </si>
  <si>
    <t>https://www.xiaohongshu.com/discovery/item/5eeb57bb000000000100725b</t>
  </si>
  <si>
    <t>https://www.xiaohongshu.com/discovery/item/5eeb85b800000000010009af</t>
  </si>
  <si>
    <t>https://www.xiaohongshu.com/discovery/item/5eeb63d40000000001000fdb</t>
  </si>
  <si>
    <t>https://www.xiaohongshu.com/discovery/item/5eec3c6f000000000100102d</t>
  </si>
  <si>
    <t>https://www.xiaohongshu.com/discovery/item/5eef4e08000000000101d656</t>
  </si>
  <si>
    <t>https://www.xiaohongshu.com/discovery/item/5ef0af4900000000010078e9</t>
  </si>
  <si>
    <t>https://www.xiaohongshu.com/discovery/item/5ef1ec8e0000000001002e52</t>
  </si>
  <si>
    <t>https://www.xiaohongshu.com/discovery/item/5ef35c8800000000010058e9</t>
  </si>
  <si>
    <t>https://www.xiaohongshu.com/discovery/item/5ef47a210000000001007672</t>
  </si>
  <si>
    <t>https://www.xiaohongshu.com/discovery/item/5ef613860000000001000fe5</t>
  </si>
  <si>
    <t>https://www.xiaohongshu.com/discovery/item/5efc349d000000000101d336</t>
  </si>
  <si>
    <t>https://www.xiaohongshu.com/discovery/item/5ef9b4be0000000001001ef0</t>
  </si>
  <si>
    <t>https://www.xiaohongshu.com/discovery/item/5ef5620e000000000101c01c</t>
  </si>
  <si>
    <t>https://www.xiaohongshu.com/discovery/item/5ef89d990000000001005220</t>
  </si>
  <si>
    <t>https://www.xiaohongshu.com/discovery/item/5efac30400000000010037b3</t>
  </si>
  <si>
    <t>游儿</t>
  </si>
  <si>
    <t>yxy-96</t>
  </si>
  <si>
    <t>15915894801</t>
  </si>
  <si>
    <t>https://www.xiaohongshu.com/user/profile/56a8e00c5e87e75f53591882?xhsshare=CopyLink&amp;appuid=56a8e00c5e87e75f53591882&amp;apptime=1580706419</t>
  </si>
  <si>
    <t>12000</t>
  </si>
  <si>
    <t>Awn-o=ω=m</t>
  </si>
  <si>
    <t>761263408</t>
  </si>
  <si>
    <t>15986043416</t>
  </si>
  <si>
    <t>https://www.xiaohongshu.com/user/profile/5bf56ff52a46670001db7022?xhsshare=CopyLink&amp;appuid=5bf56ff52a46670001db7022&amp;apptime=1580706394</t>
  </si>
  <si>
    <t>23000</t>
  </si>
  <si>
    <t>溺安</t>
  </si>
  <si>
    <t xml:space="preserve">anyan_zy </t>
  </si>
  <si>
    <t>13416182288</t>
  </si>
  <si>
    <t xml:space="preserve">https://www.xiaohongshu.com/user/profile/5bea794204bbf000012a5087?xhsshare=CopyLink&amp;appuid=5bea794204bbf000012a5087&amp;apptime=1566978710 </t>
  </si>
  <si>
    <t>13000</t>
  </si>
  <si>
    <t>希宝贝er</t>
  </si>
  <si>
    <t>w791282676</t>
  </si>
  <si>
    <t>13060916587</t>
  </si>
  <si>
    <t>https://www.xiaohongshu.com/user/profile/53f2f867b4c4d679eab37c36?xhsshare=CopyLink&amp;appuid=53f2f867b4c4d679eab37c36&amp;apptime=1580706647</t>
  </si>
  <si>
    <t>11000</t>
  </si>
  <si>
    <t>SEVEN</t>
  </si>
  <si>
    <t>13829395694</t>
  </si>
  <si>
    <t>https://www.xiaohongshu.com/user/profile/5d4cf5ba000000001000da0a?xhsshare=CopyLink&amp;appuid=5d4cf5ba000000001000da0a&amp;apptime=1580706647</t>
  </si>
  <si>
    <t>八九</t>
  </si>
  <si>
    <t>ww5103399</t>
  </si>
  <si>
    <t>15014882658</t>
  </si>
  <si>
    <t>https://www.xiaohongshu.com/user/profile/5d45a3800000000010038b09?xhsshare=CopyLink&amp;appuid=5d45a3800000000010038b09&amp;apptime=1573150668</t>
  </si>
  <si>
    <t>啃面包的泰迪</t>
  </si>
  <si>
    <t>17625426371</t>
  </si>
  <si>
    <t>https://www.xiaohongshu.com/user/profile/5bbc8916995b09000120ace9?xhsshare=CopyLink&amp;appuid=5bbf04876cc8c10001959fea&amp;apptime=1572446218</t>
  </si>
  <si>
    <t>U</t>
  </si>
  <si>
    <t>Yxy4902</t>
  </si>
  <si>
    <t>13827812038</t>
  </si>
  <si>
    <t>https://www.xiaohongshu.com/user/profile/5c7a5bbb0000000012006edc?xhsshare=CopyLink&amp;appuid=5c7a5bbb0000000012006edc&amp;apptime=1580707504</t>
  </si>
  <si>
    <t>17000</t>
  </si>
  <si>
    <t>水晶</t>
  </si>
  <si>
    <t>13680362760</t>
  </si>
  <si>
    <t>https://www.xiaohongshu.com/user/profile/5c1737750000000007003d2f?xhsshare=CopyLink&amp;appuid=5c1737750000000007003d2f&amp;apptime=1580710373</t>
  </si>
  <si>
    <t></t>
  </si>
  <si>
    <t>Giraffa_m</t>
  </si>
  <si>
    <t>15603069412</t>
  </si>
  <si>
    <t>https://www.xiaohongshu.com/user/profile/59deeecfde5fb476ad840339?xhsshare=CopyLink&amp;appuid=59deeecfde5fb476ad840339&amp;apptime=1580710510</t>
  </si>
  <si>
    <t>夏至</t>
  </si>
  <si>
    <t>mohaubing</t>
  </si>
  <si>
    <t>13480366952</t>
  </si>
  <si>
    <t>https://www.xiaohongshu.com/user/profile/5b42240711be1059a582cc92?xhsshare=CopyLink&amp;appuid=5b644f034eacab6a78c9576d&amp;apptime=1580710579</t>
  </si>
  <si>
    <t>35000</t>
  </si>
  <si>
    <t>鱼瑕</t>
  </si>
  <si>
    <t>W18927005189</t>
  </si>
  <si>
    <t>13825314859</t>
  </si>
  <si>
    <t>https://www.xiaohongshu.com/user/profile/5d5e75780000000001020ff0?xhsshare=CopyLink&amp;appuid=5d5e75780000000001020ff0&amp;apptime=1580725179</t>
  </si>
  <si>
    <t>12044</t>
  </si>
  <si>
    <t>晓晓木子</t>
  </si>
  <si>
    <t>FB6827</t>
  </si>
  <si>
    <t>18376057161</t>
  </si>
  <si>
    <t>https://www.xiaohongshu.com/user/profile/58ac61996a6a696ccbd6b1a7?xhsshare=CopyLink&amp;appuid=58ac61996a6a696ccbd6b1a7&amp;apptime=1580725328</t>
  </si>
  <si>
    <t>10400</t>
  </si>
  <si>
    <t>茵哦®</t>
  </si>
  <si>
    <t>932250541</t>
  </si>
  <si>
    <t>15813653056</t>
  </si>
  <si>
    <t>https://www.xiaohongshu.com/user/profile/5d2d38d40000000010015687?xhsshare=CopyLink&amp;appuid=5d2d38d40000000010015687&amp;apptime=1580795946</t>
  </si>
  <si>
    <t>Mary酱</t>
  </si>
  <si>
    <t>13059546443</t>
  </si>
  <si>
    <t>15019812052</t>
  </si>
  <si>
    <t>https://www.xiaohongshu.com/user/profile/5cfd0338000000001702b648?xhsshare=CopyLink&amp;appuid=5cfd0338000000001702b648&amp;apptime=1580810779</t>
  </si>
  <si>
    <t>7439</t>
  </si>
  <si>
    <t>ぴ安之若素</t>
  </si>
  <si>
    <t>yan18826155976</t>
  </si>
  <si>
    <t>13267679660</t>
  </si>
  <si>
    <t>https://www.xiaohongshu.com/user/profile/5b929bf02045fe00017757ac?xhsshare=CopyLink&amp;appuid=5b929bf02045fe00017757ac&amp;apptime=1580706511</t>
  </si>
  <si>
    <t>https://www.xiaohongshu.com/discovery/item/5e5f5fb40000000001008d23?xhsshare=SinaWeibo&amp;appuid=56a8e00c5e87e75f53591882&amp;apptime=1583309025</t>
  </si>
  <si>
    <t>https://m.oasis.weibo.cn/v1/h5/share?sid=4478784894237930</t>
  </si>
  <si>
    <t>https://www.xiaohongshu.com/discovery/item/5e57b9c50000000001009f7d?xhsshare=SinaWeibo&amp;appuid=5bf56ff52a46670001db7022&amp;apptime=1582807999</t>
  </si>
  <si>
    <t>https://www.xiaohongshu.com/discovery/item/5e57236c000000000100208c?xhsshare=CopyLink&amp;appuid=5bea794204bbf000012a5087&amp;apptime=1582769060</t>
  </si>
  <si>
    <t>https://www.xiaohongshu.com/discovery/item/5e56223c00000000010095c9?xhsshare=CopyLink&amp;appuid=53f2f867b4c4d679eab37c36&amp;apptime=1582704981</t>
  </si>
  <si>
    <t>http://community.kaola.com/idea/12750053.html?shareTo=fz&amp;shareOs=android&amp;datid=__da_230bb323_5691a97408c33c80</t>
  </si>
  <si>
    <t>https://m.weibo.cn/1871038553/4476245347630249</t>
  </si>
  <si>
    <t xml:space="preserve">https://www.xiaohongshu.com/discovery/item/5e579a4c000000000100b050?xhsshare=CopyLink&amp;appuid=5d4cf5ba000000001000da0a&amp;apptime=1582808682
</t>
  </si>
  <si>
    <t>https://www.xiaohongshu.com/discovery/item/5e57287f000000000100301d?xhsshare=CopyLink&amp;appuid=5d45a3800000000010038b09&amp;apptime=1582770326</t>
  </si>
  <si>
    <t>https://www.xiaohongshu.com/discovery/item/5e578d8400000000010015a3?xhsshare=SinaWeibo&amp;appuid=5bbc8916995b09000120ace9&amp;apptime=1582796742</t>
  </si>
  <si>
    <t>https://show.meitu.com/detail?feed_id=6638732849833575425&amp;lang=cn</t>
  </si>
  <si>
    <t>https://www.xiaohongshu.com/discovery/item/5e6201ab00000000010013e8?xhsshare=CopyLink&amp;appuid=5c7a5bbb0000000012006edc&amp;apptime=1583483863</t>
  </si>
  <si>
    <t>https://show.meitu.com/detail?feed_id=6641613313141376001&amp;root_id=1048396293&amp;stat_gid=1491058677&amp;stat_uid=1048396293</t>
  </si>
  <si>
    <t>https://www.xiaohongshu.com/discovery/item/5e57a4ff0000000001002755?xhsshare=SinaWeibo&amp;appuid=5c1737750000000007003d2f&amp;apptime=1582802810</t>
  </si>
  <si>
    <t>https://m.weibo.cn/2795699714/4476661704149697</t>
  </si>
  <si>
    <t>https://www.xiaohongshu.com/discovery/item/5e5ba22f00000000010005ce?xhsshare=SinaWeibo&amp;appuid=59deeecfde5fb476ad840339&amp;apptime=1583063800</t>
  </si>
  <si>
    <t>https://www.xiaohongshu.com/discovery/item/5e57aa70000000000100a81d?xhsshare=CopyLink&amp;appuid=5b42240711be1059a582cc92&amp;apptime=1582803580</t>
  </si>
  <si>
    <t>https://www.xiaohongshu.com/discovery/item/5e54e4ac00000000010083a5?xhsshare=CopyLink&amp;appuid=5d5e75780000000001020ff0&amp;apptime=1582622424</t>
  </si>
  <si>
    <t>http://t.cn/A67P4jZB</t>
  </si>
  <si>
    <t>https://www.xiaohongshu.com/discovery/item/5e5a5b15000000000100360b?xhsshare=CopyLink&amp;appuid=58ac61996a6a696ccbd6b1a7&amp;apptime=1582980802</t>
  </si>
  <si>
    <t>https://www.xiaohongshu.com/discovery/item/5e5e1f700000000001008192?xhsshare=CopyLink&amp;appuid=5d2d38d40000000010015687&amp;apptime=1583228555</t>
  </si>
  <si>
    <t xml:space="preserve"> https://m.oasis.weibo.cn/v1/h5/share?sid=4478448816886050</t>
  </si>
  <si>
    <t xml:space="preserve">https://www.xiaohongshu.com/discovery/item/5e5b665e000000000100ac61?xhsshare=CopyLink&amp;appuid=5cfd0338000000001702b648&amp;apptime=1583056443
</t>
  </si>
  <si>
    <t>https://m.oasis.weibo.cn/v1/h5/share?lfid=lz_qqfx&amp;luicode=10001122</t>
  </si>
  <si>
    <t>https://www.xiaohongshu.com/discovery/item/5e5cb49700000000010098df?xhsshare=CopyLink&amp;appuid=5b929bf02045fe00017757ac&amp;apptime=1583134234</t>
  </si>
  <si>
    <t>https://m.oasis.weibo.cn/v1/h5/share?sid=4478056376894625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</si>
</sst>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u/>
      <sz val="11"/>
      <name val="Microsoft YaHei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64">
    <xf numFmtId="0" fontId="0" fillId="2" borderId="0" xfId="0">
      <alignment vertical="center"/>
    </xf>
    <xf numFmtId="0" fontId="0" fillId="2" borderId="0" xfId="0" applyAlignment="1"/>
    <xf numFmtId="0" fontId="0" fillId="4" borderId="0" xfId="9" applyFont="1" applyFill="1" applyAlignment="1"/>
    <xf numFmtId="0" fontId="2" fillId="5" borderId="0" xfId="8" applyFont="1" applyFill="1" applyBorder="1" applyAlignment="1">
      <alignment horizontal="center"/>
    </xf>
    <xf numFmtId="0" fontId="3" fillId="4" borderId="0" xfId="9" applyFont="1" applyFill="1" applyAlignment="1"/>
    <xf numFmtId="0" fontId="4" fillId="6" borderId="1" xfId="5" applyFont="1" applyFill="1" applyAlignment="1"/>
    <xf numFmtId="168" fontId="4" fillId="6" borderId="1" xfId="5" applyNumberFormat="1" applyFont="1" applyFill="1" applyAlignment="1">
      <alignment horizontal="center"/>
    </xf>
    <xf numFmtId="169" fontId="4" fillId="6" borderId="1" xfId="5" applyNumberFormat="1" applyFont="1" applyFill="1" applyAlignment="1"/>
    <xf numFmtId="170" fontId="4" fillId="6" borderId="1" xfId="5" applyNumberFormat="1" applyFont="1" applyFill="1" applyAlignment="1"/>
    <xf numFmtId="0" fontId="0" fillId="2" borderId="0" xfId="0" applyFont="1" applyAlignment="1"/>
    <xf numFmtId="0" fontId="0" fillId="2" borderId="0" xfId="0" applyFont="1" applyAlignment="1">
      <alignment horizontal="center"/>
    </xf>
    <xf numFmtId="167" fontId="5" fillId="5" borderId="0" xfId="3" applyNumberFormat="1" applyFont="1" applyFill="1" applyAlignment="1">
      <alignment horizontal="center"/>
    </xf>
    <xf numFmtId="0" fontId="6" fillId="5" borderId="0" xfId="6" applyFont="1" applyFill="1" applyBorder="1" applyAlignment="1">
      <alignment horizontal="center" wrapText="1"/>
    </xf>
    <xf numFmtId="168" fontId="6" fillId="5" borderId="0" xfId="6" applyNumberFormat="1" applyFont="1" applyFill="1" applyBorder="1" applyAlignment="1">
      <alignment horizontal="center" wrapText="1"/>
    </xf>
    <xf numFmtId="166" fontId="7" fillId="7" borderId="0" xfId="6" applyNumberFormat="1" applyFont="1" applyFill="1" applyBorder="1" applyAlignment="1">
      <alignment horizontal="center" wrapText="1"/>
    </xf>
    <xf numFmtId="0" fontId="7" fillId="7" borderId="0" xfId="6" applyFont="1" applyFill="1" applyBorder="1" applyAlignment="1">
      <alignment horizontal="center" wrapText="1"/>
    </xf>
    <xf numFmtId="169" fontId="7" fillId="7" borderId="0" xfId="6" applyNumberFormat="1" applyFont="1" applyFill="1" applyBorder="1" applyAlignment="1">
      <alignment horizontal="center" wrapText="1"/>
    </xf>
    <xf numFmtId="169" fontId="6" fillId="5" borderId="0" xfId="6" applyNumberFormat="1" applyFon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0" fontId="6" fillId="5" borderId="0" xfId="6" applyNumberFormat="1" applyFont="1" applyFill="1" applyBorder="1" applyAlignment="1">
      <alignment horizontal="center" wrapText="1"/>
    </xf>
    <xf numFmtId="0" fontId="7" fillId="7" borderId="0" xfId="6" applyNumberFormat="1" applyFont="1" applyFill="1" applyBorder="1" applyAlignment="1">
      <alignment horizontal="center"/>
    </xf>
    <xf numFmtId="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8" fillId="2" borderId="0" xfId="0" applyFont="1" applyAlignment="1"/>
    <xf numFmtId="164" fontId="17" fillId="9" borderId="0" xfId="4" applyNumberFormat="1" applyFont="1" applyFill="1" applyBorder="1" applyAlignment="1" applyProtection="1">
      <alignment horizontal="left"/>
    </xf>
    <xf numFmtId="164" fontId="17" fillId="9" borderId="0" xfId="1" applyFont="1" applyFill="1" applyAlignment="1">
      <alignment horizontal="left"/>
    </xf>
    <xf numFmtId="170" fontId="17" fillId="9" borderId="0" xfId="1" applyNumberFormat="1" applyFont="1" applyFill="1" applyAlignment="1">
      <alignment horizontal="center"/>
    </xf>
    <xf numFmtId="0" fontId="17" fillId="2" borderId="0" xfId="0" applyFont="1" applyAlignment="1">
      <alignment horizontal="center"/>
    </xf>
    <xf numFmtId="165" fontId="5" fillId="5" borderId="0" xfId="2" applyFont="1" applyFill="1" applyAlignment="1">
      <alignment horizontal="center"/>
    </xf>
    <xf numFmtId="169" fontId="17" fillId="2" borderId="0" xfId="0" applyNumberFormat="1" applyFont="1" applyAlignment="1">
      <alignment horizontal="center"/>
    </xf>
    <xf numFmtId="170" fontId="17" fillId="2" borderId="0" xfId="0" applyNumberFormat="1" applyFont="1" applyAlignment="1">
      <alignment horizontal="center"/>
    </xf>
    <xf numFmtId="169" fontId="5" fillId="5" borderId="0" xfId="2" applyNumberFormat="1" applyFont="1" applyFill="1" applyAlignment="1">
      <alignment horizontal="center"/>
    </xf>
    <xf numFmtId="0" fontId="2" fillId="5" borderId="0" xfId="11" applyFont="1" applyFill="1" applyAlignment="1">
      <alignment horizontal="center"/>
    </xf>
    <xf numFmtId="0" fontId="9" fillId="10" borderId="0" xfId="0" applyFont="1" applyFill="1" applyAlignment="1"/>
    <xf numFmtId="0" fontId="18" fillId="2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horizontal="left"/>
    </xf>
    <xf numFmtId="170" fontId="9" fillId="10" borderId="0" xfId="0" applyNumberFormat="1" applyFont="1" applyFill="1" applyBorder="1" applyAlignment="1">
      <alignment horizontal="left"/>
    </xf>
    <xf numFmtId="168" fontId="0" fillId="2" borderId="0" xfId="0" applyNumberFormat="1" applyFont="1" applyAlignment="1">
      <alignment horizontal="center"/>
    </xf>
    <xf numFmtId="166" fontId="0" fillId="2" borderId="0" xfId="0" applyNumberFormat="1" applyFont="1" applyAlignment="1">
      <alignment horizontal="center"/>
    </xf>
    <xf numFmtId="169" fontId="0" fillId="2" borderId="0" xfId="0" applyNumberFormat="1" applyFont="1" applyAlignment="1"/>
    <xf numFmtId="164" fontId="0" fillId="2" borderId="0" xfId="0" applyNumberFormat="1" applyFont="1" applyAlignment="1">
      <alignment horizontal="left"/>
    </xf>
    <xf numFmtId="170" fontId="0" fillId="2" borderId="0" xfId="0" applyNumberFormat="1" applyFont="1" applyAlignment="1">
      <alignment horizontal="left"/>
    </xf>
    <xf numFmtId="170" fontId="0" fillId="2" borderId="0" xfId="0" applyNumberFormat="1" applyFont="1" applyAlignment="1"/>
    <xf numFmtId="9" fontId="17" fillId="9" borderId="0" xfId="1" applyNumberFormat="1" applyFont="1" applyFill="1" applyAlignment="1">
      <alignment horizontal="center"/>
    </xf>
    <xf numFmtId="3" fontId="4" fillId="6" borderId="1" xfId="5" applyNumberFormat="1" applyFont="1" applyFill="1" applyAlignment="1"/>
    <xf numFmtId="3" fontId="6" fillId="5" borderId="0" xfId="6" applyNumberFormat="1" applyFont="1" applyFill="1" applyBorder="1" applyAlignment="1">
      <alignment horizontal="center" wrapText="1"/>
    </xf>
    <xf numFmtId="3" fontId="9" fillId="10" borderId="0" xfId="0" applyNumberFormat="1" applyFont="1" applyFill="1" applyBorder="1" applyAlignment="1">
      <alignment horizontal="center"/>
    </xf>
    <xf numFmtId="3" fontId="0" fillId="2" borderId="0" xfId="0" applyNumberFormat="1" applyFont="1" applyAlignment="1">
      <alignment horizontal="center"/>
    </xf>
    <xf numFmtId="0" fontId="0" fillId="2" borderId="0" xfId="0" quotePrefix="1" applyFont="1" applyAlignment="1"/>
    <xf numFmtId="0" fontId="17" fillId="0" borderId="0" xfId="0" applyFont="1" applyFill="1">
      <alignment vertical="center"/>
    </xf>
    <xf numFmtId="0" fontId="19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0" fontId="17" fillId="2" borderId="0" xfId="0" applyFont="1" applyAlignment="1">
      <alignment horizontal="center" vertical="center"/>
    </xf>
    <xf numFmtId="169" fontId="17" fillId="2" borderId="0" xfId="0" applyNumberFormat="1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164" fontId="17" fillId="9" borderId="0" xfId="1" applyFont="1" applyFill="1" applyAlignment="1">
      <alignment horizontal="left" vertical="center"/>
    </xf>
    <xf numFmtId="170" fontId="17" fillId="9" borderId="0" xfId="1" applyNumberFormat="1" applyFont="1" applyFill="1" applyAlignment="1">
      <alignment horizontal="center" vertic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numFmt numFmtId="169" formatCode="\¥#,##0;\¥\-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family val="2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numFmt numFmtId="164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64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11"/>
        <color auto="1"/>
        <name val="Microsoft YaHei UI"/>
        <family val="2"/>
        <scheme val="none"/>
      </font>
      <numFmt numFmtId="170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8"/>
      <tableStyleElement type="headerRow" dxfId="67"/>
      <tableStyleElement type="totalRow" dxfId="66"/>
      <tableStyleElement type="firstTotalCell" dxfId="65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9" totalsRowCount="1" headerRowDxfId="62" dataDxfId="61" totalsRowDxfId="60">
  <autoFilter ref="D2:AG18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COUNTA(合作跟踪表!$F$3:$F$18)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COUNTA(合作跟踪表!$L$3:$L$18)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>
      <totalsRowFormula>COUNTIF(合作跟踪表!$P$3:$P$18,"是")</totalsRowFormula>
    </tableColumn>
    <tableColumn id="14" xr3:uid="{00000000-0010-0000-0000-00000E000000}" name="交稿速度评分" dataDxfId="33" totalsRowDxfId="16"/>
    <tableColumn id="15" xr3:uid="{00000000-0010-0000-0000-00000F000000}" name="图文质量评分" dataDxfId="32" totalsRowDxfId="15"/>
    <tableColumn id="16" xr3:uid="{00000000-0010-0000-0000-000010000000}" name="是否发布" totalsRowFunction="custom" dataDxfId="31" totalsRowDxfId="14">
      <totalsRowFormula>COUNTIF(合作跟踪表!$S$3:$S$18,"是")</totalsRowFormula>
    </tableColumn>
    <tableColumn id="17" xr3:uid="{00000000-0010-0000-0000-000011000000}" name="结算金额" totalsRowFunction="custom" dataDxfId="30" totalsRowDxfId="13">
      <totalsRowFormula>SUM(tbl邀请[结算金额])</totalsRowFormula>
    </tableColumn>
    <tableColumn id="18" xr3:uid="{00000000-0010-0000-0000-000012000000}" name="链接" dataDxfId="36" totalsRowDxfId="12" dataCellStyle="Hipervínculo"/>
    <tableColumn id="19" xr3:uid="{00000000-0010-0000-0000-000013000000}" name="链接2" dataDxfId="35" totalsRowDxfId="11" dataCellStyle="Hipervínculo"/>
    <tableColumn id="20" xr3:uid="{00000000-0010-0000-0000-000014000000}" name="链接3" dataDxfId="34" totalsRowDxfId="10" dataCellStyle="电话"/>
    <tableColumn id="21" xr3:uid="{00000000-0010-0000-0000-000015000000}" name="标题" dataDxfId="42" totalsRowDxfId="9" dataCellStyle="电话"/>
    <tableColumn id="22" xr3:uid="{00000000-0010-0000-0000-000016000000}" name="发布日期" dataDxfId="41" totalsRowDxfId="8" dataCellStyle="电话"/>
    <tableColumn id="23" xr3:uid="{00000000-0010-0000-0000-000017000000}" name="赞" dataDxfId="40" totalsRowDxfId="7" dataCellStyle="电话"/>
    <tableColumn id="24" xr3:uid="{00000000-0010-0000-0000-000018000000}" name="藏" dataDxfId="39" totalsRowDxfId="6" dataCellStyle="电话"/>
    <tableColumn id="25" xr3:uid="{00000000-0010-0000-0000-000019000000}" name="总评论" dataDxfId="38" totalsRowDxfId="5" dataCellStyle="电话"/>
    <tableColumn id="26" xr3:uid="{00000000-0010-0000-0000-00001A000000}" name="博主回复" dataDxfId="37" totalsRowDxfId="4"/>
    <tableColumn id="27" xr3:uid="{00000000-0010-0000-0000-00001B000000}" name="原版视频" dataDxfId="46" totalsRowDxfId="3"/>
    <tableColumn id="28" xr3:uid="{00000000-0010-0000-0000-00001C000000}" name="是否收录" dataDxfId="45" totalsRowDxfId="2"/>
    <tableColumn id="29" xr3:uid="{00000000-0010-0000-0000-00001D000000}" name="合作形式" dataDxfId="44" totalsRowDxfId="1"/>
    <tableColumn id="30" xr3:uid="{00000000-0010-0000-0000-00001E000000}" name="评价" dataDxfId="43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discovery/item/6034c794000000000102cede?xhsshare=CopyLink&amp;appuid=5e5b1776000000000100769d&amp;apptime=1614072197" TargetMode="External"/><Relationship Id="rId2" Type="http://schemas.openxmlformats.org/officeDocument/2006/relationships/hyperlink" Target="https://m.weibo.cn/7311053917/4608545033553649%0a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9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P3" sqref="P3"/>
    </sheetView>
  </sheetViews>
  <sheetFormatPr baseColWidth="10" defaultColWidth="9.33203125" defaultRowHeight="30.75" customHeight="1" x14ac:dyDescent="0.4"/>
  <cols>
    <col min="1" max="1" width="1.77734375" style="2" customWidth="1"/>
    <col min="2" max="2" width="20.88671875" style="34" customWidth="1"/>
    <col min="3" max="3" width="1.77734375" style="4" customWidth="1"/>
    <col min="4" max="4" width="11" style="9" customWidth="1"/>
    <col min="5" max="5" width="11" style="10" customWidth="1"/>
    <col min="6" max="6" width="13.33203125" style="10" customWidth="1"/>
    <col min="7" max="7" width="11.77734375" style="10" customWidth="1"/>
    <col min="8" max="8" width="8.6640625" style="53" customWidth="1"/>
    <col min="9" max="9" width="8.6640625" style="43" customWidth="1"/>
    <col min="10" max="10" width="13.33203125" style="10" customWidth="1"/>
    <col min="11" max="11" width="8.33203125" style="10" customWidth="1"/>
    <col min="12" max="12" width="13.33203125" style="44" customWidth="1"/>
    <col min="13" max="13" width="13.6640625" style="9" customWidth="1"/>
    <col min="14" max="14" width="8.6640625" style="45" customWidth="1"/>
    <col min="15" max="15" width="10.21875" style="45" customWidth="1"/>
    <col min="16" max="18" width="8.109375" style="9" customWidth="1"/>
    <col min="19" max="19" width="9.33203125" style="1" customWidth="1"/>
    <col min="20" max="20" width="8.109375" style="46" customWidth="1"/>
    <col min="21" max="23" width="7.5546875" style="46" customWidth="1"/>
    <col min="24" max="25" width="9" style="46" customWidth="1"/>
    <col min="26" max="26" width="7.77734375" style="46" customWidth="1"/>
    <col min="27" max="28" width="7.77734375" style="47" customWidth="1"/>
    <col min="29" max="29" width="8.33203125" style="48" customWidth="1"/>
    <col min="30" max="30" width="9.33203125" style="9"/>
    <col min="31" max="31" width="9.33203125" style="10"/>
    <col min="32" max="32" width="9.33203125" style="9" customWidth="1"/>
    <col min="33" max="33" width="9.33203125" style="10" customWidth="1"/>
    <col min="34" max="34" width="9.33203125" style="9"/>
    <col min="35" max="39" width="9.33203125" style="9" customWidth="1"/>
    <col min="40" max="16384" width="9.33203125" style="9"/>
  </cols>
  <sheetData>
    <row r="1" spans="2:49" ht="51" customHeight="1" x14ac:dyDescent="0.75">
      <c r="B1" s="3" t="s">
        <v>0</v>
      </c>
      <c r="D1" s="5" t="s">
        <v>1</v>
      </c>
      <c r="E1" s="5"/>
      <c r="F1" s="5"/>
      <c r="G1" s="5"/>
      <c r="H1" s="50"/>
      <c r="I1" s="6"/>
      <c r="J1" s="5"/>
      <c r="K1" s="5"/>
      <c r="L1" s="5"/>
      <c r="M1" s="5"/>
      <c r="N1" s="7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8"/>
      <c r="AA1" s="8"/>
      <c r="AB1" s="8"/>
      <c r="AC1" s="9"/>
      <c r="AI1" s="54" t="s">
        <v>43</v>
      </c>
    </row>
    <row r="2" spans="2:49" ht="30.75" customHeight="1" x14ac:dyDescent="0.5">
      <c r="B2" s="11">
        <v>44271</v>
      </c>
      <c r="D2" s="12" t="s">
        <v>2</v>
      </c>
      <c r="E2" s="12" t="s">
        <v>3</v>
      </c>
      <c r="F2" s="12" t="s">
        <v>4</v>
      </c>
      <c r="G2" s="12" t="s">
        <v>5</v>
      </c>
      <c r="H2" s="51" t="s">
        <v>6</v>
      </c>
      <c r="I2" s="13" t="s">
        <v>7</v>
      </c>
      <c r="J2" s="12" t="s">
        <v>8</v>
      </c>
      <c r="K2" s="12" t="s">
        <v>9</v>
      </c>
      <c r="L2" s="14" t="s">
        <v>10</v>
      </c>
      <c r="M2" s="15" t="s">
        <v>11</v>
      </c>
      <c r="N2" s="16" t="s">
        <v>12</v>
      </c>
      <c r="O2" s="17" t="s">
        <v>13</v>
      </c>
      <c r="P2" s="12" t="s">
        <v>14</v>
      </c>
      <c r="Q2" s="18" t="s">
        <v>15</v>
      </c>
      <c r="R2" s="18" t="s">
        <v>16</v>
      </c>
      <c r="S2" s="19" t="s">
        <v>17</v>
      </c>
      <c r="T2" s="19" t="s">
        <v>18</v>
      </c>
      <c r="U2" s="20" t="s">
        <v>19</v>
      </c>
      <c r="V2" s="20" t="s">
        <v>20</v>
      </c>
      <c r="W2" s="20" t="s">
        <v>21</v>
      </c>
      <c r="X2" s="21" t="s">
        <v>22</v>
      </c>
      <c r="Y2" s="21" t="s">
        <v>23</v>
      </c>
      <c r="Z2" s="22" t="s">
        <v>24</v>
      </c>
      <c r="AA2" s="22" t="s">
        <v>25</v>
      </c>
      <c r="AB2" s="22" t="s">
        <v>26</v>
      </c>
      <c r="AC2" s="23" t="s">
        <v>27</v>
      </c>
      <c r="AD2" s="24" t="s">
        <v>28</v>
      </c>
      <c r="AE2" s="24" t="s">
        <v>29</v>
      </c>
      <c r="AF2" s="9" t="s">
        <v>30</v>
      </c>
      <c r="AG2" s="10" t="s">
        <v>31</v>
      </c>
      <c r="AK2" s="25" t="s">
        <v>42</v>
      </c>
    </row>
    <row r="3" spans="2:49" ht="20.25" customHeight="1" x14ac:dyDescent="0.4">
      <c r="B3" s="3" t="s">
        <v>32</v>
      </c>
      <c r="D3" s="55" t="s">
        <v>60</v>
      </c>
      <c r="E3" s="55" t="s">
        <v>61</v>
      </c>
      <c r="F3" s="55" t="s">
        <v>62</v>
      </c>
      <c r="G3" s="56" t="s">
        <v>63</v>
      </c>
      <c r="H3" s="57" t="s">
        <v>64</v>
      </c>
      <c r="I3" s="57">
        <v>350</v>
      </c>
      <c r="J3" s="57" t="s">
        <v>62</v>
      </c>
      <c r="K3" s="58" t="s">
        <v>33</v>
      </c>
      <c r="L3" s="59"/>
      <c r="M3" s="59"/>
      <c r="N3" s="59"/>
      <c r="O3" s="60"/>
      <c r="P3" s="61"/>
      <c r="Q3" s="59">
        <v>7</v>
      </c>
      <c r="R3" s="59">
        <v>7</v>
      </c>
      <c r="S3" s="59" t="s">
        <v>33</v>
      </c>
      <c r="T3" s="60">
        <v>350</v>
      </c>
      <c r="U3" s="61" t="s">
        <v>130</v>
      </c>
      <c r="V3" s="61" t="s">
        <v>131</v>
      </c>
      <c r="W3" s="62"/>
      <c r="X3" s="63"/>
      <c r="Y3" s="63"/>
      <c r="Z3" s="63">
        <v>178</v>
      </c>
      <c r="AA3" s="63">
        <v>91</v>
      </c>
      <c r="AB3" s="63">
        <v>23</v>
      </c>
      <c r="AC3" s="59" t="s">
        <v>33</v>
      </c>
      <c r="AD3" s="1"/>
      <c r="AE3" s="29" t="s">
        <v>33</v>
      </c>
      <c r="AF3" s="29"/>
      <c r="AG3" s="31"/>
      <c r="AI3" s="9" t="str">
        <f>MID(tbl邀请[[#This Row],[链接]],1,67)</f>
        <v>https://www.xiaohongshu.com/discovery/item/5e5f5fb40000000001008d23</v>
      </c>
      <c r="AJ3" s="9" t="s">
        <v>44</v>
      </c>
      <c r="AK3" s="9" t="str">
        <f>VLOOKUP(AJ3,[1]Sheet1!$A$2:$H$1417,3,FALSE)</f>
        <v>Babe??</v>
      </c>
      <c r="AL3" s="9" t="str">
        <f>VLOOKUP(AJ3,[1]Sheet1!$A$2:$H$1417,5,FALSE)</f>
        <v>https://www.xiaohongshu.com/user/profile/5c80f79f000000001100003b</v>
      </c>
      <c r="AM3" s="9" t="str">
        <f>VLOOKUP(AJ3,[1]Sheet1!$A$2:$H$1417,7,FALSE)</f>
        <v>1万</v>
      </c>
      <c r="AO3" s="9">
        <v>8000</v>
      </c>
      <c r="AP3" s="9">
        <f>2*50000</f>
        <v>100000</v>
      </c>
    </row>
    <row r="4" spans="2:49" ht="20.25" customHeight="1" x14ac:dyDescent="0.5">
      <c r="B4" s="30">
        <f ca="1">婚礼日期-TODAY()</f>
        <v>-9</v>
      </c>
      <c r="D4" s="55" t="s">
        <v>65</v>
      </c>
      <c r="E4" s="55" t="s">
        <v>66</v>
      </c>
      <c r="F4" s="55" t="s">
        <v>67</v>
      </c>
      <c r="G4" s="56" t="s">
        <v>68</v>
      </c>
      <c r="H4" s="57" t="s">
        <v>69</v>
      </c>
      <c r="I4" s="57">
        <v>500</v>
      </c>
      <c r="J4" s="57" t="s">
        <v>67</v>
      </c>
      <c r="K4" s="61" t="s">
        <v>33</v>
      </c>
      <c r="L4" s="59"/>
      <c r="M4" s="59"/>
      <c r="N4" s="59"/>
      <c r="O4" s="60"/>
      <c r="P4" s="61"/>
      <c r="Q4" s="59">
        <v>10</v>
      </c>
      <c r="R4" s="59">
        <v>9</v>
      </c>
      <c r="S4" s="59" t="s">
        <v>33</v>
      </c>
      <c r="T4" s="60">
        <v>500</v>
      </c>
      <c r="U4" s="61" t="s">
        <v>132</v>
      </c>
      <c r="V4" s="61"/>
      <c r="W4" s="62"/>
      <c r="X4" s="63"/>
      <c r="Y4" s="63"/>
      <c r="Z4" s="63">
        <v>3</v>
      </c>
      <c r="AA4" s="63">
        <v>1</v>
      </c>
      <c r="AB4" s="63">
        <v>0</v>
      </c>
      <c r="AC4" s="59" t="s">
        <v>33</v>
      </c>
      <c r="AD4" s="1"/>
      <c r="AE4" s="29" t="s">
        <v>33</v>
      </c>
      <c r="AF4" s="29"/>
      <c r="AG4" s="31"/>
      <c r="AH4" s="26"/>
      <c r="AI4" s="9" t="str">
        <f>MID(tbl邀请[[#This Row],[链接]],1,67)</f>
        <v>https://www.xiaohongshu.com/discovery/item/5e57b9c50000000001009f7d</v>
      </c>
      <c r="AJ4" s="27" t="s">
        <v>45</v>
      </c>
      <c r="AK4" s="9" t="str">
        <f>VLOOKUP(AJ4,[1]Sheet1!$A$2:$H$1417,3,FALSE)</f>
        <v>菜菜菜酱</v>
      </c>
      <c r="AL4" s="9" t="str">
        <f>VLOOKUP(AJ4,[1]Sheet1!$A$2:$H$1417,5,FALSE)</f>
        <v>https://www.xiaohongshu.com/user/profile/5ac344874eacab602aa19889</v>
      </c>
      <c r="AM4" s="9">
        <f>VLOOKUP(AJ4,[1]Sheet1!$A$2:$H$1417,7,FALSE)</f>
        <v>7980</v>
      </c>
      <c r="AN4" s="26"/>
      <c r="AO4" s="27">
        <f>AO3/12</f>
        <v>666.66666666666663</v>
      </c>
      <c r="AP4" s="28">
        <f>AP3+AO3</f>
        <v>108000</v>
      </c>
      <c r="AQ4" s="28"/>
      <c r="AR4" s="32"/>
      <c r="AS4" s="29"/>
      <c r="AT4" s="29"/>
      <c r="AU4" s="29"/>
      <c r="AV4" s="29"/>
      <c r="AW4" s="29"/>
    </row>
    <row r="5" spans="2:49" ht="20.25" customHeight="1" x14ac:dyDescent="0.4">
      <c r="B5" s="3" t="s">
        <v>34</v>
      </c>
      <c r="D5" s="55" t="s">
        <v>70</v>
      </c>
      <c r="E5" s="55" t="s">
        <v>71</v>
      </c>
      <c r="F5" s="55" t="s">
        <v>72</v>
      </c>
      <c r="G5" s="56" t="s">
        <v>73</v>
      </c>
      <c r="H5" s="57" t="s">
        <v>74</v>
      </c>
      <c r="I5" s="57">
        <v>400</v>
      </c>
      <c r="J5" s="57" t="s">
        <v>72</v>
      </c>
      <c r="K5" s="61" t="s">
        <v>33</v>
      </c>
      <c r="L5" s="59"/>
      <c r="M5" s="59"/>
      <c r="N5" s="59"/>
      <c r="O5" s="60"/>
      <c r="P5" s="61"/>
      <c r="Q5" s="59">
        <v>10</v>
      </c>
      <c r="R5" s="59">
        <v>9</v>
      </c>
      <c r="S5" s="59" t="s">
        <v>33</v>
      </c>
      <c r="T5" s="60">
        <v>400</v>
      </c>
      <c r="U5" s="61" t="s">
        <v>133</v>
      </c>
      <c r="V5" s="61"/>
      <c r="W5" s="62"/>
      <c r="X5" s="63"/>
      <c r="Y5" s="63"/>
      <c r="Z5" s="63">
        <v>181</v>
      </c>
      <c r="AA5" s="63">
        <v>77</v>
      </c>
      <c r="AB5" s="63">
        <v>21</v>
      </c>
      <c r="AC5" s="59" t="s">
        <v>33</v>
      </c>
      <c r="AD5" s="1"/>
      <c r="AE5" s="29" t="s">
        <v>33</v>
      </c>
      <c r="AF5" s="29"/>
      <c r="AG5" s="31"/>
      <c r="AH5" s="26"/>
      <c r="AI5" s="9" t="str">
        <f>MID(tbl邀请[[#This Row],[链接]],1,67)</f>
        <v>https://www.xiaohongshu.com/discovery/item/5e57236c000000000100208c</v>
      </c>
      <c r="AJ5" s="27" t="s">
        <v>46</v>
      </c>
      <c r="AK5" s="9" t="str">
        <f>VLOOKUP(AJ5,[1]Sheet1!$A$2:$H$1417,3,FALSE)</f>
        <v>怦然心动??</v>
      </c>
      <c r="AL5" s="9" t="str">
        <f>VLOOKUP(AJ5,[1]Sheet1!$A$2:$H$1417,5,FALSE)</f>
        <v>https://www.xiaohongshu.com/user/profile/5cf4cc0c000000001103ab75</v>
      </c>
      <c r="AM5" s="9">
        <f>VLOOKUP(AJ5,[1]Sheet1!$A$2:$H$1417,7,FALSE)</f>
        <v>7035</v>
      </c>
      <c r="AN5" s="26"/>
      <c r="AO5" s="27"/>
      <c r="AP5" s="28">
        <f>AP4/12</f>
        <v>9000</v>
      </c>
      <c r="AQ5" s="28"/>
      <c r="AR5" s="32"/>
      <c r="AS5" s="29"/>
      <c r="AT5" s="29"/>
      <c r="AU5" s="29"/>
      <c r="AV5" s="29"/>
      <c r="AW5" s="29"/>
    </row>
    <row r="6" spans="2:49" ht="20.25" customHeight="1" x14ac:dyDescent="0.5">
      <c r="B6" s="30">
        <f>tbl邀请[[#Totals],[小红书昵称]]</f>
        <v>16</v>
      </c>
      <c r="D6" s="55" t="s">
        <v>75</v>
      </c>
      <c r="E6" s="55" t="s">
        <v>76</v>
      </c>
      <c r="F6" s="55" t="s">
        <v>77</v>
      </c>
      <c r="G6" s="56" t="s">
        <v>78</v>
      </c>
      <c r="H6" s="57" t="s">
        <v>79</v>
      </c>
      <c r="I6" s="57">
        <v>200</v>
      </c>
      <c r="J6" s="57" t="s">
        <v>77</v>
      </c>
      <c r="K6" s="61" t="s">
        <v>33</v>
      </c>
      <c r="L6" s="59"/>
      <c r="M6" s="59"/>
      <c r="N6" s="59"/>
      <c r="O6" s="60"/>
      <c r="P6" s="61"/>
      <c r="Q6" s="59">
        <v>10</v>
      </c>
      <c r="R6" s="59">
        <v>6</v>
      </c>
      <c r="S6" s="59" t="s">
        <v>33</v>
      </c>
      <c r="T6" s="60">
        <v>200</v>
      </c>
      <c r="U6" s="61" t="s">
        <v>134</v>
      </c>
      <c r="V6" s="61" t="s">
        <v>135</v>
      </c>
      <c r="W6" s="62" t="s">
        <v>136</v>
      </c>
      <c r="X6" s="63"/>
      <c r="Y6" s="63"/>
      <c r="Z6" s="63">
        <v>138</v>
      </c>
      <c r="AA6" s="63">
        <v>177</v>
      </c>
      <c r="AB6" s="63">
        <v>24</v>
      </c>
      <c r="AC6" s="59" t="s">
        <v>33</v>
      </c>
      <c r="AD6" s="1"/>
      <c r="AE6" s="29" t="s">
        <v>33</v>
      </c>
      <c r="AF6" s="29"/>
      <c r="AG6" s="31"/>
      <c r="AH6" s="26"/>
      <c r="AI6" s="9" t="str">
        <f>MID(tbl邀请[[#This Row],[链接]],1,67)</f>
        <v>https://www.xiaohongshu.com/discovery/item/5e56223c00000000010095c9</v>
      </c>
      <c r="AJ6" s="27" t="s">
        <v>47</v>
      </c>
      <c r="AK6" s="9" t="str">
        <f>VLOOKUP(AJ6,[1]Sheet1!$A$2:$H$1417,3,FALSE)</f>
        <v>是我是我</v>
      </c>
      <c r="AL6" s="9" t="str">
        <f>VLOOKUP(AJ6,[1]Sheet1!$A$2:$H$1417,5,FALSE)</f>
        <v>https://www.xiaohongshu.com/user/profile/5655cd0682718c07209b525b</v>
      </c>
      <c r="AM6" s="9" t="str">
        <f>VLOOKUP(AJ6,[1]Sheet1!$A$2:$H$1417,7,FALSE)</f>
        <v>1.1万</v>
      </c>
      <c r="AN6" s="26"/>
      <c r="AO6" s="27"/>
      <c r="AP6" s="49">
        <f>AP4/AP3-1</f>
        <v>8.0000000000000071E-2</v>
      </c>
      <c r="AQ6" s="28"/>
      <c r="AR6" s="32"/>
      <c r="AS6" s="29"/>
      <c r="AT6" s="29"/>
      <c r="AU6" s="29"/>
      <c r="AV6" s="29"/>
      <c r="AW6" s="29"/>
    </row>
    <row r="7" spans="2:49" ht="20.25" customHeight="1" x14ac:dyDescent="0.4">
      <c r="B7" s="3" t="s">
        <v>35</v>
      </c>
      <c r="D7" s="55" t="s">
        <v>80</v>
      </c>
      <c r="E7" s="55" t="s">
        <v>80</v>
      </c>
      <c r="F7" s="55" t="s">
        <v>81</v>
      </c>
      <c r="G7" s="56" t="s">
        <v>82</v>
      </c>
      <c r="H7" s="57" t="s">
        <v>64</v>
      </c>
      <c r="I7" s="57">
        <v>300</v>
      </c>
      <c r="J7" s="57" t="s">
        <v>81</v>
      </c>
      <c r="K7" s="61" t="s">
        <v>33</v>
      </c>
      <c r="L7" s="59"/>
      <c r="M7" s="59"/>
      <c r="N7" s="59"/>
      <c r="O7" s="60"/>
      <c r="P7" s="61"/>
      <c r="Q7" s="59">
        <v>10</v>
      </c>
      <c r="R7" s="59">
        <v>8</v>
      </c>
      <c r="S7" s="59" t="s">
        <v>33</v>
      </c>
      <c r="T7" s="60">
        <v>300</v>
      </c>
      <c r="U7" s="61" t="s">
        <v>137</v>
      </c>
      <c r="V7" s="61"/>
      <c r="W7" s="62"/>
      <c r="X7" s="63"/>
      <c r="Y7" s="63"/>
      <c r="Z7" s="63"/>
      <c r="AA7" s="63"/>
      <c r="AB7" s="63"/>
      <c r="AC7" s="59" t="s">
        <v>33</v>
      </c>
      <c r="AD7" s="29"/>
      <c r="AE7" s="29" t="s">
        <v>33</v>
      </c>
      <c r="AF7" s="29"/>
      <c r="AG7" s="31"/>
      <c r="AH7" s="26"/>
      <c r="AI7" s="9" t="str">
        <f>MID(tbl邀请[[#This Row],[链接]],1,67)</f>
        <v>https://www.xiaohongshu.com/discovery/item/5e579a4c000000000100b050</v>
      </c>
      <c r="AJ7" s="27" t="s">
        <v>48</v>
      </c>
      <c r="AK7" s="9" t="str">
        <f>VLOOKUP(AJ7,[1]Sheet1!$A$2:$H$1417,3,FALSE)</f>
        <v>小蘑菇??</v>
      </c>
      <c r="AL7" s="9" t="str">
        <f>VLOOKUP(AJ7,[1]Sheet1!$A$2:$H$1417,5,FALSE)</f>
        <v>https://www.xiaohongshu.com/user/profile/5a35135c4eacab3d829d65aa</v>
      </c>
      <c r="AM7" s="9" t="str">
        <f>VLOOKUP(AJ7,[1]Sheet1!$A$2:$H$1417,7,FALSE)</f>
        <v>2.6万</v>
      </c>
      <c r="AN7" s="26"/>
      <c r="AO7" s="27"/>
      <c r="AP7" s="28">
        <f>AP3/12</f>
        <v>8333.3333333333339</v>
      </c>
      <c r="AQ7" s="28"/>
      <c r="AR7" s="32"/>
      <c r="AS7" s="29"/>
      <c r="AT7" s="29"/>
      <c r="AU7" s="29"/>
      <c r="AV7" s="29"/>
      <c r="AW7" s="29"/>
    </row>
    <row r="8" spans="2:49" ht="20.25" customHeight="1" x14ac:dyDescent="0.5">
      <c r="B8" s="30">
        <f>tbl邀请[[#Totals],[拍单日期]]</f>
        <v>0</v>
      </c>
      <c r="D8" s="55" t="s">
        <v>83</v>
      </c>
      <c r="E8" s="55" t="s">
        <v>84</v>
      </c>
      <c r="F8" s="55" t="s">
        <v>85</v>
      </c>
      <c r="G8" s="56" t="s">
        <v>86</v>
      </c>
      <c r="H8" s="57" t="s">
        <v>74</v>
      </c>
      <c r="I8" s="57">
        <v>400</v>
      </c>
      <c r="J8" s="57" t="s">
        <v>85</v>
      </c>
      <c r="K8" s="61" t="s">
        <v>33</v>
      </c>
      <c r="L8" s="59"/>
      <c r="M8" s="59"/>
      <c r="N8" s="59"/>
      <c r="O8" s="60"/>
      <c r="P8" s="61"/>
      <c r="Q8" s="59">
        <v>10</v>
      </c>
      <c r="R8" s="59">
        <v>9</v>
      </c>
      <c r="S8" s="59" t="s">
        <v>33</v>
      </c>
      <c r="T8" s="60">
        <v>400</v>
      </c>
      <c r="U8" s="61" t="s">
        <v>138</v>
      </c>
      <c r="V8" s="61"/>
      <c r="W8" s="62"/>
      <c r="X8" s="63"/>
      <c r="Y8" s="63"/>
      <c r="Z8" s="63"/>
      <c r="AA8" s="63"/>
      <c r="AB8" s="63"/>
      <c r="AC8" s="59" t="s">
        <v>33</v>
      </c>
      <c r="AD8" s="29"/>
      <c r="AE8" s="29" t="s">
        <v>33</v>
      </c>
      <c r="AF8" s="29"/>
      <c r="AG8" s="31"/>
      <c r="AH8" s="26"/>
      <c r="AI8" s="9" t="str">
        <f>MID(tbl邀请[[#This Row],[链接]],1,67)</f>
        <v>https://www.xiaohongshu.com/discovery/item/5e57287f000000000100301d</v>
      </c>
      <c r="AJ8" s="27" t="s">
        <v>49</v>
      </c>
      <c r="AK8" s="9" t="str">
        <f>VLOOKUP(AJ8,[1]Sheet1!$A$2:$H$1417,3,FALSE)</f>
        <v>渔遇上鱼</v>
      </c>
      <c r="AL8" s="9" t="str">
        <f>VLOOKUP(AJ8,[1]Sheet1!$A$2:$H$1417,5,FALSE)</f>
        <v>https://www.xiaohongshu.com/user/profile/5b35df5a11be104015291290</v>
      </c>
      <c r="AM8" s="9" t="str">
        <f>VLOOKUP(AJ8,[1]Sheet1!$A$2:$H$1417,7,FALSE)</f>
        <v>1.6万</v>
      </c>
      <c r="AN8" s="26"/>
      <c r="AO8" s="27"/>
      <c r="AP8" s="28">
        <f>AP7/7.7</f>
        <v>1082.2510822510824</v>
      </c>
      <c r="AQ8" s="28"/>
      <c r="AR8" s="32"/>
      <c r="AS8" s="29"/>
      <c r="AT8" s="29"/>
      <c r="AU8" s="29"/>
      <c r="AV8" s="29"/>
      <c r="AW8" s="29"/>
    </row>
    <row r="9" spans="2:49" ht="20.25" customHeight="1" x14ac:dyDescent="0.4">
      <c r="B9" s="3" t="s">
        <v>36</v>
      </c>
      <c r="D9" s="55" t="s">
        <v>87</v>
      </c>
      <c r="E9" s="55" t="s">
        <v>88</v>
      </c>
      <c r="F9" s="55" t="s">
        <v>88</v>
      </c>
      <c r="G9" s="56" t="s">
        <v>89</v>
      </c>
      <c r="H9" s="57" t="s">
        <v>64</v>
      </c>
      <c r="I9" s="57">
        <v>300</v>
      </c>
      <c r="J9" s="57" t="s">
        <v>88</v>
      </c>
      <c r="K9" s="61" t="s">
        <v>33</v>
      </c>
      <c r="L9" s="59"/>
      <c r="M9" s="59"/>
      <c r="N9" s="59"/>
      <c r="O9" s="60"/>
      <c r="P9" s="61"/>
      <c r="Q9" s="59">
        <v>10</v>
      </c>
      <c r="R9" s="59">
        <v>7</v>
      </c>
      <c r="S9" s="59" t="s">
        <v>33</v>
      </c>
      <c r="T9" s="60">
        <v>300</v>
      </c>
      <c r="U9" s="61" t="s">
        <v>139</v>
      </c>
      <c r="V9" s="61" t="s">
        <v>140</v>
      </c>
      <c r="W9" s="62"/>
      <c r="X9" s="63"/>
      <c r="Y9" s="63"/>
      <c r="Z9" s="63">
        <v>76</v>
      </c>
      <c r="AA9" s="63">
        <v>64</v>
      </c>
      <c r="AB9" s="63">
        <v>25</v>
      </c>
      <c r="AC9" s="59" t="s">
        <v>33</v>
      </c>
      <c r="AD9" s="29"/>
      <c r="AE9" s="29" t="s">
        <v>33</v>
      </c>
      <c r="AF9" s="29"/>
      <c r="AG9" s="31"/>
      <c r="AH9" s="26"/>
      <c r="AI9" s="9" t="str">
        <f>MID(tbl邀请[[#This Row],[链接]],1,67)</f>
        <v>https://www.xiaohongshu.com/discovery/item/5e578d8400000000010015a3</v>
      </c>
      <c r="AJ9" s="27" t="s">
        <v>50</v>
      </c>
      <c r="AK9" s="9" t="str">
        <f>VLOOKUP(AJ9,[1]Sheet1!$A$2:$H$1417,3,FALSE)</f>
        <v>故渊</v>
      </c>
      <c r="AL9" s="9" t="str">
        <f>VLOOKUP(AJ9,[1]Sheet1!$A$2:$H$1417,5,FALSE)</f>
        <v>https://www.xiaohongshu.com/user/profile/5c68d2120000000010037410</v>
      </c>
      <c r="AM9" s="9" t="str">
        <f>VLOOKUP(AJ9,[1]Sheet1!$A$2:$H$1417,7,FALSE)</f>
        <v>2.1万</v>
      </c>
      <c r="AN9" s="26"/>
      <c r="AO9" s="27"/>
      <c r="AP9" s="28"/>
      <c r="AQ9" s="28"/>
      <c r="AR9" s="32"/>
      <c r="AS9" s="29"/>
      <c r="AT9" s="29"/>
      <c r="AU9" s="29"/>
      <c r="AV9" s="29"/>
      <c r="AW9" s="29"/>
    </row>
    <row r="10" spans="2:49" ht="20.25" customHeight="1" x14ac:dyDescent="0.5">
      <c r="B10" s="30">
        <f>tbl邀请[[#Totals],[是否交稿]]</f>
        <v>0</v>
      </c>
      <c r="D10" s="55" t="s">
        <v>90</v>
      </c>
      <c r="E10" s="55" t="s">
        <v>91</v>
      </c>
      <c r="F10" s="55" t="s">
        <v>92</v>
      </c>
      <c r="G10" s="56" t="s">
        <v>93</v>
      </c>
      <c r="H10" s="57" t="s">
        <v>94</v>
      </c>
      <c r="I10" s="57">
        <v>300</v>
      </c>
      <c r="J10" s="57" t="s">
        <v>92</v>
      </c>
      <c r="K10" s="61" t="s">
        <v>33</v>
      </c>
      <c r="L10" s="59"/>
      <c r="M10" s="59"/>
      <c r="N10" s="59"/>
      <c r="O10" s="60"/>
      <c r="P10" s="61"/>
      <c r="Q10" s="59">
        <v>10</v>
      </c>
      <c r="R10" s="59">
        <v>8</v>
      </c>
      <c r="S10" s="59" t="s">
        <v>33</v>
      </c>
      <c r="T10" s="60">
        <v>300</v>
      </c>
      <c r="U10" s="61" t="s">
        <v>141</v>
      </c>
      <c r="V10" s="61" t="s">
        <v>142</v>
      </c>
      <c r="W10" s="62"/>
      <c r="X10" s="63"/>
      <c r="Y10" s="63"/>
      <c r="Z10" s="63"/>
      <c r="AA10" s="63"/>
      <c r="AB10" s="63"/>
      <c r="AC10" s="59" t="s">
        <v>33</v>
      </c>
      <c r="AD10" s="29"/>
      <c r="AE10" s="29" t="s">
        <v>33</v>
      </c>
      <c r="AF10" s="29"/>
      <c r="AG10" s="31"/>
      <c r="AH10" s="26"/>
      <c r="AI10" s="9" t="str">
        <f>MID(tbl邀请[[#This Row],[链接]],1,67)</f>
        <v>https://www.xiaohongshu.com/discovery/item/5e6201ab00000000010013e8</v>
      </c>
      <c r="AJ10" s="27" t="s">
        <v>51</v>
      </c>
      <c r="AK10" s="9" t="str">
        <f>VLOOKUP(AJ10,[1]Sheet1!$A$2:$H$1417,3,FALSE)</f>
        <v>不那么酷女孩</v>
      </c>
      <c r="AL10" s="9" t="str">
        <f>VLOOKUP(AJ10,[1]Sheet1!$A$2:$H$1417,5,FALSE)</f>
        <v>https://www.xiaohongshu.com/user/profile/59b1ff9650c4b47c58e31b20</v>
      </c>
      <c r="AM10" s="9">
        <f>VLOOKUP(AJ10,[1]Sheet1!$A$2:$H$1417,7,FALSE)</f>
        <v>6390</v>
      </c>
      <c r="AN10" s="26"/>
      <c r="AO10" s="27"/>
      <c r="AP10" s="28"/>
      <c r="AQ10" s="28"/>
      <c r="AR10" s="32"/>
      <c r="AS10" s="29"/>
      <c r="AT10" s="29"/>
      <c r="AU10" s="29"/>
      <c r="AV10" s="29"/>
      <c r="AW10" s="29"/>
    </row>
    <row r="11" spans="2:49" ht="20.25" customHeight="1" x14ac:dyDescent="0.4">
      <c r="B11" s="3" t="s">
        <v>37</v>
      </c>
      <c r="D11" s="55" t="s">
        <v>95</v>
      </c>
      <c r="E11" s="55" t="s">
        <v>96</v>
      </c>
      <c r="F11" s="55" t="s">
        <v>96</v>
      </c>
      <c r="G11" s="56" t="s">
        <v>97</v>
      </c>
      <c r="H11" s="57" t="s">
        <v>74</v>
      </c>
      <c r="I11" s="57">
        <v>450</v>
      </c>
      <c r="J11" s="57" t="s">
        <v>96</v>
      </c>
      <c r="K11" s="61" t="s">
        <v>33</v>
      </c>
      <c r="L11" s="59"/>
      <c r="M11" s="59"/>
      <c r="N11" s="59"/>
      <c r="O11" s="60"/>
      <c r="P11" s="61"/>
      <c r="Q11" s="59">
        <v>10</v>
      </c>
      <c r="R11" s="59">
        <v>8</v>
      </c>
      <c r="S11" s="59" t="s">
        <v>33</v>
      </c>
      <c r="T11" s="60">
        <v>450</v>
      </c>
      <c r="U11" s="61" t="s">
        <v>143</v>
      </c>
      <c r="V11" s="61" t="s">
        <v>144</v>
      </c>
      <c r="W11" s="62"/>
      <c r="X11" s="63"/>
      <c r="Y11" s="63"/>
      <c r="Z11" s="63">
        <v>9</v>
      </c>
      <c r="AA11" s="63">
        <v>8</v>
      </c>
      <c r="AB11" s="63">
        <v>0</v>
      </c>
      <c r="AC11" s="59" t="s">
        <v>33</v>
      </c>
      <c r="AD11" s="1"/>
      <c r="AE11" s="29" t="s">
        <v>33</v>
      </c>
      <c r="AF11" s="29"/>
      <c r="AG11" s="31"/>
      <c r="AH11" s="26"/>
      <c r="AI11" s="9" t="str">
        <f>MID(tbl邀请[[#This Row],[链接]],1,67)</f>
        <v>https://www.xiaohongshu.com/discovery/item/5e57a4ff0000000001002755</v>
      </c>
      <c r="AJ11" s="27" t="s">
        <v>52</v>
      </c>
      <c r="AK11" s="9" t="str">
        <f>VLOOKUP(AJ11,[1]Sheet1!$A$2:$H$1417,3,FALSE)</f>
        <v>小bye姐姐</v>
      </c>
      <c r="AL11" s="9" t="str">
        <f>VLOOKUP(AJ11,[1]Sheet1!$A$2:$H$1417,5,FALSE)</f>
        <v>https://www.xiaohongshu.com/user/profile/5672623b4476081fb011f51e</v>
      </c>
      <c r="AM11" s="9" t="str">
        <f>VLOOKUP(AJ11,[1]Sheet1!$A$2:$H$1417,7,FALSE)</f>
        <v>2万</v>
      </c>
      <c r="AN11" s="26"/>
      <c r="AO11" s="27"/>
      <c r="AP11" s="28"/>
      <c r="AQ11" s="28"/>
      <c r="AR11" s="32"/>
      <c r="AS11" s="29"/>
      <c r="AT11" s="29"/>
      <c r="AU11" s="29"/>
      <c r="AV11" s="29"/>
      <c r="AW11" s="29"/>
    </row>
    <row r="12" spans="2:49" ht="20.25" customHeight="1" x14ac:dyDescent="0.5">
      <c r="B12" s="30">
        <f>tbl邀请[[#Totals],[是否发布]]</f>
        <v>16</v>
      </c>
      <c r="D12" s="55" t="s">
        <v>98</v>
      </c>
      <c r="E12" s="55" t="s">
        <v>99</v>
      </c>
      <c r="F12" s="55" t="s">
        <v>100</v>
      </c>
      <c r="G12" s="56" t="s">
        <v>101</v>
      </c>
      <c r="H12" s="57" t="s">
        <v>79</v>
      </c>
      <c r="I12" s="57">
        <v>200</v>
      </c>
      <c r="J12" s="57" t="s">
        <v>100</v>
      </c>
      <c r="K12" s="61" t="s">
        <v>33</v>
      </c>
      <c r="L12" s="59"/>
      <c r="M12" s="59"/>
      <c r="N12" s="59"/>
      <c r="O12" s="60"/>
      <c r="P12" s="61"/>
      <c r="Q12" s="59">
        <v>10</v>
      </c>
      <c r="R12" s="59">
        <v>7</v>
      </c>
      <c r="S12" s="59" t="s">
        <v>33</v>
      </c>
      <c r="T12" s="60">
        <v>200</v>
      </c>
      <c r="U12" s="61" t="s">
        <v>145</v>
      </c>
      <c r="V12" s="61"/>
      <c r="W12" s="62"/>
      <c r="X12" s="63"/>
      <c r="Y12" s="63"/>
      <c r="Z12" s="63"/>
      <c r="AA12" s="63"/>
      <c r="AB12" s="63"/>
      <c r="AC12" s="59" t="s">
        <v>33</v>
      </c>
      <c r="AD12" s="29"/>
      <c r="AE12" s="29" t="s">
        <v>33</v>
      </c>
      <c r="AF12" s="29"/>
      <c r="AG12" s="31"/>
      <c r="AH12" s="26"/>
      <c r="AI12" s="9" t="str">
        <f>MID(tbl邀请[[#This Row],[链接]],1,67)</f>
        <v>https://www.xiaohongshu.com/discovery/item/5e5ba22f00000000010005ce</v>
      </c>
      <c r="AJ12" s="27" t="s">
        <v>53</v>
      </c>
      <c r="AK12" s="9" t="str">
        <f>VLOOKUP(AJ12,[1]Sheet1!$A$2:$H$1417,3,FALSE)</f>
        <v>雪大丁</v>
      </c>
      <c r="AL12" s="9" t="str">
        <f>VLOOKUP(AJ12,[1]Sheet1!$A$2:$H$1417,5,FALSE)</f>
        <v>https://www.xiaohongshu.com/user/profile/5b17ccea11be100868f9a963</v>
      </c>
      <c r="AM12" s="9" t="str">
        <f>VLOOKUP(AJ12,[1]Sheet1!$A$2:$H$1417,7,FALSE)</f>
        <v>1.6万</v>
      </c>
      <c r="AN12" s="26"/>
      <c r="AO12" s="27"/>
      <c r="AP12" s="28"/>
      <c r="AQ12" s="28"/>
      <c r="AR12" s="32"/>
      <c r="AS12" s="29"/>
      <c r="AT12" s="29"/>
      <c r="AU12" s="29"/>
      <c r="AV12" s="29"/>
      <c r="AW12" s="29"/>
    </row>
    <row r="13" spans="2:49" ht="20.25" customHeight="1" x14ac:dyDescent="0.4">
      <c r="B13" s="3" t="s">
        <v>38</v>
      </c>
      <c r="D13" s="55" t="s">
        <v>102</v>
      </c>
      <c r="E13" s="55" t="s">
        <v>103</v>
      </c>
      <c r="F13" s="55" t="s">
        <v>104</v>
      </c>
      <c r="G13" s="56" t="s">
        <v>105</v>
      </c>
      <c r="H13" s="57" t="s">
        <v>106</v>
      </c>
      <c r="I13" s="57">
        <v>1000</v>
      </c>
      <c r="J13" s="57" t="s">
        <v>104</v>
      </c>
      <c r="K13" s="61" t="s">
        <v>33</v>
      </c>
      <c r="L13" s="59"/>
      <c r="M13" s="59"/>
      <c r="N13" s="59"/>
      <c r="O13" s="60"/>
      <c r="P13" s="61"/>
      <c r="Q13" s="59">
        <v>10</v>
      </c>
      <c r="R13" s="59">
        <v>7</v>
      </c>
      <c r="S13" s="59" t="s">
        <v>33</v>
      </c>
      <c r="T13" s="60">
        <v>1000</v>
      </c>
      <c r="U13" s="61" t="s">
        <v>146</v>
      </c>
      <c r="V13" s="61"/>
      <c r="W13" s="62"/>
      <c r="X13" s="63"/>
      <c r="Y13" s="63"/>
      <c r="Z13" s="63"/>
      <c r="AA13" s="63"/>
      <c r="AB13" s="63"/>
      <c r="AC13" s="59" t="s">
        <v>33</v>
      </c>
      <c r="AD13" s="29"/>
      <c r="AE13" s="29" t="s">
        <v>33</v>
      </c>
      <c r="AF13" s="29"/>
      <c r="AG13" s="31"/>
      <c r="AH13" s="26"/>
      <c r="AI13" s="9" t="str">
        <f>MID(tbl邀请[[#This Row],[链接]],1,67)</f>
        <v>https://www.xiaohongshu.com/discovery/item/5e57aa70000000000100a81d</v>
      </c>
      <c r="AJ13" s="27" t="s">
        <v>54</v>
      </c>
      <c r="AK13" s="9" t="str">
        <f>VLOOKUP(AJ13,[1]Sheet1!$A$2:$H$1417,3,FALSE)</f>
        <v>Karen125-</v>
      </c>
      <c r="AL13" s="9" t="str">
        <f>VLOOKUP(AJ13,[1]Sheet1!$A$2:$H$1417,5,FALSE)</f>
        <v>https://www.xiaohongshu.com/user/profile/5e96e6b90000000001007284</v>
      </c>
      <c r="AM13" s="9" t="str">
        <f>VLOOKUP(AJ13,[1]Sheet1!$A$2:$H$1417,7,FALSE)</f>
        <v>1万</v>
      </c>
      <c r="AN13" s="26"/>
      <c r="AO13" s="27"/>
      <c r="AP13" s="28"/>
      <c r="AQ13" s="28"/>
      <c r="AR13" s="32"/>
      <c r="AS13" s="29"/>
      <c r="AT13" s="29"/>
      <c r="AU13" s="29"/>
      <c r="AV13" s="29"/>
      <c r="AW13" s="29"/>
    </row>
    <row r="14" spans="2:49" ht="20.25" customHeight="1" x14ac:dyDescent="0.5">
      <c r="B14" s="33">
        <f>tbl邀请[[#Totals],[拍单金额]]</f>
        <v>0</v>
      </c>
      <c r="D14" s="55" t="s">
        <v>107</v>
      </c>
      <c r="E14" s="55" t="s">
        <v>108</v>
      </c>
      <c r="F14" s="55" t="s">
        <v>109</v>
      </c>
      <c r="G14" s="56" t="s">
        <v>110</v>
      </c>
      <c r="H14" s="57" t="s">
        <v>111</v>
      </c>
      <c r="I14" s="57">
        <v>300</v>
      </c>
      <c r="J14" s="57" t="s">
        <v>109</v>
      </c>
      <c r="K14" s="61" t="s">
        <v>33</v>
      </c>
      <c r="L14" s="59"/>
      <c r="M14" s="59"/>
      <c r="N14" s="59"/>
      <c r="O14" s="60"/>
      <c r="P14" s="61"/>
      <c r="Q14" s="59">
        <v>10</v>
      </c>
      <c r="R14" s="59">
        <v>8</v>
      </c>
      <c r="S14" s="59" t="s">
        <v>33</v>
      </c>
      <c r="T14" s="60">
        <v>300</v>
      </c>
      <c r="U14" s="61" t="s">
        <v>147</v>
      </c>
      <c r="V14" s="61" t="s">
        <v>148</v>
      </c>
      <c r="W14" s="62"/>
      <c r="X14" s="63"/>
      <c r="Y14" s="63"/>
      <c r="Z14" s="63"/>
      <c r="AA14" s="63"/>
      <c r="AB14" s="63"/>
      <c r="AC14" s="59" t="s">
        <v>33</v>
      </c>
      <c r="AD14" s="29"/>
      <c r="AE14" s="29" t="s">
        <v>33</v>
      </c>
      <c r="AF14" s="29"/>
      <c r="AG14" s="31"/>
      <c r="AH14" s="26"/>
      <c r="AI14" s="9" t="str">
        <f>MID(tbl邀请[[#This Row],[链接]],1,67)</f>
        <v>https://www.xiaohongshu.com/discovery/item/5e54e4ac00000000010083a5</v>
      </c>
      <c r="AJ14" s="27" t="s">
        <v>55</v>
      </c>
      <c r="AK14" s="9" t="str">
        <f>VLOOKUP(AJ14,[1]Sheet1!$A$2:$H$1417,3,FALSE)</f>
        <v>王很甜</v>
      </c>
      <c r="AL14" s="9" t="str">
        <f>VLOOKUP(AJ14,[1]Sheet1!$A$2:$H$1417,5,FALSE)</f>
        <v>https://www.xiaohongshu.com/user/profile/5c9f67910000000012038c66</v>
      </c>
      <c r="AM14" s="9">
        <f>VLOOKUP(AJ14,[1]Sheet1!$A$2:$H$1417,7,FALSE)</f>
        <v>5411</v>
      </c>
      <c r="AN14" s="26"/>
      <c r="AO14" s="27"/>
      <c r="AP14" s="28"/>
      <c r="AQ14" s="28"/>
      <c r="AR14" s="32"/>
      <c r="AS14" s="29"/>
      <c r="AT14" s="29"/>
      <c r="AU14" s="29"/>
      <c r="AV14" s="29"/>
      <c r="AW14" s="29"/>
    </row>
    <row r="15" spans="2:49" ht="20.25" customHeight="1" x14ac:dyDescent="0.4">
      <c r="B15" s="3" t="s">
        <v>39</v>
      </c>
      <c r="D15" s="55" t="s">
        <v>112</v>
      </c>
      <c r="E15" s="55" t="s">
        <v>113</v>
      </c>
      <c r="F15" s="55" t="s">
        <v>114</v>
      </c>
      <c r="G15" s="56" t="s">
        <v>115</v>
      </c>
      <c r="H15" s="57" t="s">
        <v>116</v>
      </c>
      <c r="I15" s="57">
        <v>350</v>
      </c>
      <c r="J15" s="57" t="s">
        <v>114</v>
      </c>
      <c r="K15" s="61" t="s">
        <v>33</v>
      </c>
      <c r="L15" s="59"/>
      <c r="M15" s="59"/>
      <c r="N15" s="59"/>
      <c r="O15" s="60"/>
      <c r="P15" s="61"/>
      <c r="Q15" s="59">
        <v>10</v>
      </c>
      <c r="R15" s="59">
        <v>8</v>
      </c>
      <c r="S15" s="59" t="s">
        <v>33</v>
      </c>
      <c r="T15" s="60">
        <v>350</v>
      </c>
      <c r="U15" s="61" t="s">
        <v>149</v>
      </c>
      <c r="V15" s="61"/>
      <c r="W15" s="62"/>
      <c r="X15" s="63"/>
      <c r="Y15" s="63"/>
      <c r="Z15" s="63"/>
      <c r="AA15" s="63"/>
      <c r="AB15" s="63"/>
      <c r="AC15" s="59" t="s">
        <v>33</v>
      </c>
      <c r="AD15" s="29"/>
      <c r="AE15" s="29" t="s">
        <v>33</v>
      </c>
      <c r="AF15" s="29"/>
      <c r="AG15" s="31"/>
      <c r="AH15" s="26"/>
      <c r="AI15" s="9" t="str">
        <f>MID(tbl邀请[[#This Row],[链接]],1,67)</f>
        <v>https://www.xiaohongshu.com/discovery/item/5e5a5b15000000000100360b</v>
      </c>
      <c r="AJ15" s="27" t="s">
        <v>56</v>
      </c>
      <c r="AK15" s="9" t="str">
        <f>VLOOKUP(AJ15,[1]Sheet1!$A$2:$H$1417,3,FALSE)</f>
        <v>是个小狮子呐</v>
      </c>
      <c r="AL15" s="9" t="str">
        <f>VLOOKUP(AJ15,[1]Sheet1!$A$2:$H$1417,5,FALSE)</f>
        <v>https://www.xiaohongshu.com/user/profile/5b3faa9be8ac2b079c1dd0a7</v>
      </c>
      <c r="AM15" s="9">
        <f>VLOOKUP(AJ15,[1]Sheet1!$A$2:$H$1417,7,FALSE)</f>
        <v>6486</v>
      </c>
      <c r="AN15" s="26"/>
      <c r="AO15" s="27"/>
      <c r="AP15" s="28"/>
      <c r="AQ15" s="28"/>
      <c r="AR15" s="32"/>
      <c r="AS15" s="29"/>
      <c r="AT15" s="29"/>
      <c r="AU15" s="29"/>
      <c r="AV15" s="29"/>
      <c r="AW15" s="29"/>
    </row>
    <row r="16" spans="2:49" ht="20.25" customHeight="1" x14ac:dyDescent="0.5">
      <c r="B16" s="33">
        <f>tbl邀请[[#Totals],[结算金额]]</f>
        <v>5850</v>
      </c>
      <c r="D16" s="55" t="s">
        <v>117</v>
      </c>
      <c r="E16" s="55" t="s">
        <v>118</v>
      </c>
      <c r="F16" s="55" t="s">
        <v>119</v>
      </c>
      <c r="G16" s="56" t="s">
        <v>120</v>
      </c>
      <c r="H16" s="57" t="s">
        <v>64</v>
      </c>
      <c r="I16" s="57">
        <v>300</v>
      </c>
      <c r="J16" s="57" t="s">
        <v>119</v>
      </c>
      <c r="K16" s="61" t="s">
        <v>33</v>
      </c>
      <c r="L16" s="59"/>
      <c r="M16" s="59"/>
      <c r="N16" s="59"/>
      <c r="O16" s="60"/>
      <c r="P16" s="61"/>
      <c r="Q16" s="59">
        <v>9</v>
      </c>
      <c r="R16" s="59">
        <v>8</v>
      </c>
      <c r="S16" s="59" t="s">
        <v>33</v>
      </c>
      <c r="T16" s="60">
        <v>300</v>
      </c>
      <c r="U16" s="61" t="s">
        <v>150</v>
      </c>
      <c r="V16" s="61" t="s">
        <v>151</v>
      </c>
      <c r="W16" s="62"/>
      <c r="X16" s="63"/>
      <c r="Y16" s="63"/>
      <c r="Z16" s="63"/>
      <c r="AA16" s="63"/>
      <c r="AB16" s="63"/>
      <c r="AC16" s="59" t="s">
        <v>33</v>
      </c>
      <c r="AD16" s="29"/>
      <c r="AE16" s="29" t="s">
        <v>33</v>
      </c>
      <c r="AF16" s="29"/>
      <c r="AG16" s="31"/>
      <c r="AH16" s="26"/>
      <c r="AI16" s="9" t="str">
        <f>MID(tbl邀请[[#This Row],[链接]],1,67)</f>
        <v>https://www.xiaohongshu.com/discovery/item/5e5e1f700000000001008192</v>
      </c>
      <c r="AJ16" s="27" t="s">
        <v>57</v>
      </c>
      <c r="AK16" s="9" t="str">
        <f>VLOOKUP(AJ16,[1]Sheet1!$A$2:$H$1417,3,FALSE)</f>
        <v>葡萄汁??</v>
      </c>
      <c r="AL16" s="9" t="str">
        <f>VLOOKUP(AJ16,[1]Sheet1!$A$2:$H$1417,5,FALSE)</f>
        <v>https://www.xiaohongshu.com/user/profile/59f2ef7d4eacab5cb1e14a11</v>
      </c>
      <c r="AM16" s="9" t="str">
        <f>VLOOKUP(AJ16,[1]Sheet1!$A$2:$H$1417,7,FALSE)</f>
        <v>1.5万</v>
      </c>
      <c r="AN16" s="26"/>
      <c r="AO16" s="27"/>
      <c r="AP16" s="28"/>
      <c r="AQ16" s="28"/>
      <c r="AR16" s="32"/>
      <c r="AS16" s="29"/>
      <c r="AT16" s="29"/>
      <c r="AU16" s="29"/>
      <c r="AV16" s="29"/>
      <c r="AW16" s="29"/>
    </row>
    <row r="17" spans="2:49" ht="20.25" customHeight="1" x14ac:dyDescent="0.4">
      <c r="B17" s="3" t="s">
        <v>40</v>
      </c>
      <c r="D17" s="55" t="s">
        <v>121</v>
      </c>
      <c r="E17" s="55" t="s">
        <v>122</v>
      </c>
      <c r="F17" s="55" t="s">
        <v>123</v>
      </c>
      <c r="G17" s="56" t="s">
        <v>124</v>
      </c>
      <c r="H17" s="57" t="s">
        <v>125</v>
      </c>
      <c r="I17" s="57">
        <v>200</v>
      </c>
      <c r="J17" s="57" t="s">
        <v>123</v>
      </c>
      <c r="K17" s="61" t="s">
        <v>33</v>
      </c>
      <c r="L17" s="59"/>
      <c r="M17" s="59"/>
      <c r="N17" s="59"/>
      <c r="O17" s="60"/>
      <c r="P17" s="61"/>
      <c r="Q17" s="59">
        <v>10</v>
      </c>
      <c r="R17" s="59">
        <v>8</v>
      </c>
      <c r="S17" s="59" t="s">
        <v>33</v>
      </c>
      <c r="T17" s="60">
        <v>200</v>
      </c>
      <c r="U17" s="61" t="s">
        <v>152</v>
      </c>
      <c r="V17" s="61" t="s">
        <v>153</v>
      </c>
      <c r="W17" s="62"/>
      <c r="X17" s="63"/>
      <c r="Y17" s="63"/>
      <c r="Z17" s="63">
        <v>2</v>
      </c>
      <c r="AA17" s="63">
        <v>1</v>
      </c>
      <c r="AB17" s="63">
        <v>0</v>
      </c>
      <c r="AC17" s="59" t="s">
        <v>33</v>
      </c>
      <c r="AD17" s="29"/>
      <c r="AE17" s="29" t="s">
        <v>33</v>
      </c>
      <c r="AF17" s="29"/>
      <c r="AG17" s="31"/>
      <c r="AH17" s="26"/>
      <c r="AI17" s="9" t="str">
        <f>MID(tbl邀请[[#This Row],[链接]],1,67)</f>
        <v>https://www.xiaohongshu.com/discovery/item/5e5b665e000000000100ac61</v>
      </c>
      <c r="AJ17" s="27" t="s">
        <v>58</v>
      </c>
      <c r="AK17" s="9" t="str">
        <f>VLOOKUP(AJ17,[1]Sheet1!$A$2:$H$1417,3,FALSE)</f>
        <v>Zoe十元??</v>
      </c>
      <c r="AL17" s="9" t="str">
        <f>VLOOKUP(AJ17,[1]Sheet1!$A$2:$H$1417,5,FALSE)</f>
        <v>https://www.xiaohongshu.com/user/profile/5692f1e9aed75809930cdbe0</v>
      </c>
      <c r="AM17" s="9" t="str">
        <f>VLOOKUP(AJ17,[1]Sheet1!$A$2:$H$1417,7,FALSE)</f>
        <v>2.1万</v>
      </c>
      <c r="AN17" s="26"/>
      <c r="AO17" s="27"/>
      <c r="AP17" s="28"/>
      <c r="AQ17" s="28"/>
      <c r="AR17" s="32"/>
      <c r="AS17" s="29"/>
      <c r="AT17" s="29"/>
      <c r="AU17" s="29"/>
      <c r="AV17" s="29"/>
      <c r="AW17" s="29"/>
    </row>
    <row r="18" spans="2:49" ht="20.25" customHeight="1" x14ac:dyDescent="0.5">
      <c r="B18" s="33">
        <f>tbl邀请[[#Totals],[笔记报价]]-B16</f>
        <v>0</v>
      </c>
      <c r="D18" s="55" t="s">
        <v>126</v>
      </c>
      <c r="E18" s="55" t="s">
        <v>127</v>
      </c>
      <c r="F18" s="55" t="s">
        <v>128</v>
      </c>
      <c r="G18" s="56" t="s">
        <v>129</v>
      </c>
      <c r="H18" s="57" t="s">
        <v>74</v>
      </c>
      <c r="I18" s="57">
        <v>300</v>
      </c>
      <c r="J18" s="57" t="s">
        <v>128</v>
      </c>
      <c r="K18" s="61" t="s">
        <v>33</v>
      </c>
      <c r="L18" s="59"/>
      <c r="M18" s="59"/>
      <c r="N18" s="59"/>
      <c r="O18" s="60"/>
      <c r="P18" s="61"/>
      <c r="Q18" s="59">
        <v>9</v>
      </c>
      <c r="R18" s="59">
        <v>7</v>
      </c>
      <c r="S18" s="59" t="s">
        <v>33</v>
      </c>
      <c r="T18" s="60">
        <v>300</v>
      </c>
      <c r="U18" s="61" t="s">
        <v>154</v>
      </c>
      <c r="V18" s="61" t="s">
        <v>155</v>
      </c>
      <c r="W18" s="62"/>
      <c r="X18" s="63"/>
      <c r="Y18" s="63"/>
      <c r="Z18" s="63"/>
      <c r="AA18" s="63"/>
      <c r="AB18" s="63"/>
      <c r="AC18" s="59" t="s">
        <v>33</v>
      </c>
      <c r="AD18" s="29"/>
      <c r="AE18" s="29" t="s">
        <v>33</v>
      </c>
      <c r="AF18" s="29"/>
      <c r="AG18" s="31"/>
      <c r="AH18" s="26"/>
      <c r="AI18" s="9" t="str">
        <f>MID(tbl邀请[[#This Row],[链接]],1,67)</f>
        <v>https://www.xiaohongshu.com/discovery/item/5e5cb49700000000010098df</v>
      </c>
      <c r="AJ18" s="27" t="s">
        <v>59</v>
      </c>
      <c r="AK18" s="9" t="str">
        <f>VLOOKUP(AJ18,[1]Sheet1!$A$2:$H$1417,3,FALSE)</f>
        <v>Aurora</v>
      </c>
      <c r="AL18" s="9" t="str">
        <f>VLOOKUP(AJ18,[1]Sheet1!$A$2:$H$1417,5,FALSE)</f>
        <v>https://www.xiaohongshu.com/user/profile/5aa4a1f1e8ac2b12aa85fa15</v>
      </c>
      <c r="AM18" s="9" t="str">
        <f>VLOOKUP(AJ18,[1]Sheet1!$A$2:$H$1417,7,FALSE)</f>
        <v>1.6万</v>
      </c>
      <c r="AN18" s="26"/>
      <c r="AO18" s="27"/>
      <c r="AP18" s="28"/>
      <c r="AQ18" s="28"/>
      <c r="AR18" s="32"/>
      <c r="AS18" s="29"/>
      <c r="AT18" s="29"/>
      <c r="AU18" s="29"/>
      <c r="AV18" s="29"/>
      <c r="AW18" s="29"/>
    </row>
    <row r="19" spans="2:49" ht="30.75" customHeight="1" x14ac:dyDescent="0.4">
      <c r="D19" s="35" t="s">
        <v>41</v>
      </c>
      <c r="E19" s="36"/>
      <c r="F19" s="1">
        <f>COUNTA(合作跟踪表!$F$3:$F$18)</f>
        <v>16</v>
      </c>
      <c r="G19" s="37">
        <f>SUBTOTAL(109,tbl邀请[小红书链接])</f>
        <v>0</v>
      </c>
      <c r="H19" s="52"/>
      <c r="I19" s="38">
        <f>SUM(tbl邀请[笔记报价])</f>
        <v>5850</v>
      </c>
      <c r="J19" s="39"/>
      <c r="K19" s="39"/>
      <c r="L19" s="1">
        <f>COUNTA(合作跟踪表!$L$3:$L$18)</f>
        <v>0</v>
      </c>
      <c r="M19" s="40"/>
      <c r="N19" s="38">
        <f>SUM(tbl邀请[拍单金额])</f>
        <v>0</v>
      </c>
      <c r="O19" s="37"/>
      <c r="P19" s="1">
        <f>COUNTIF(合作跟踪表!$P$3:$P$18,"是")</f>
        <v>0</v>
      </c>
      <c r="Q19" s="37"/>
      <c r="R19" s="37"/>
      <c r="S19" s="1">
        <f>COUNTIF(合作跟踪表!$S$3:$S$18,"是")</f>
        <v>16</v>
      </c>
      <c r="T19" s="38">
        <f>SUM(tbl邀请[结算金额])</f>
        <v>5850</v>
      </c>
      <c r="U19" s="41"/>
      <c r="V19" s="41"/>
      <c r="W19" s="41"/>
      <c r="X19" s="41"/>
      <c r="Y19" s="41"/>
      <c r="Z19" s="42"/>
      <c r="AA19" s="42"/>
      <c r="AB19" s="42"/>
      <c r="AC19" s="25"/>
      <c r="AD19" s="25"/>
      <c r="AE19" s="36"/>
      <c r="AF19" s="25"/>
      <c r="AG19" s="36"/>
    </row>
  </sheetData>
  <autoFilter ref="AI3:AM18" xr:uid="{2336B5E4-4A8E-4D6E-ACCD-BE65478C0308}"/>
  <phoneticPr fontId="3" type="noConversion"/>
  <conditionalFormatting sqref="X4:AD18">
    <cfRule type="duplicateValues" dxfId="64" priority="232"/>
  </conditionalFormatting>
  <conditionalFormatting sqref="F3:F18">
    <cfRule type="duplicateValues" dxfId="63" priority="233"/>
  </conditionalFormatting>
  <dataValidations count="7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N3:N18 K3:K18 S3:S18" xr:uid="{00000000-0002-0000-0000-000000000000}">
      <formula1>"是,否"</formula1>
    </dataValidation>
    <dataValidation type="list" allowBlank="1" showInputMessage="1" showErrorMessage="1" sqref="AE3:AE18 AC3:AC18" xr:uid="{00000000-0002-0000-0000-000002000000}">
      <formula1>"是"</formula1>
    </dataValidation>
    <dataValidation type="list" allowBlank="1" showInputMessage="1" showErrorMessage="1" sqref="AF3:AF18" xr:uid="{00000000-0002-0000-0000-000005000000}">
      <formula1>"视频,图文"</formula1>
    </dataValidation>
    <dataValidation errorStyle="information" allowBlank="1" showInputMessage="1" showErrorMessage="1" errorTitle="请下拉选择" error="请下拉选择" prompt="输入支付金额" sqref="O3:O18 T3:T18" xr:uid="{00000000-0002-0000-0000-000009000000}"/>
    <dataValidation type="list" allowBlank="1" showInputMessage="1" showErrorMessage="1" sqref="AD3:AD18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L3:M18 Q3:R18" xr:uid="{00000000-0002-0000-0000-00000B000000}">
      <formula1>0</formula1>
      <formula2>10</formula2>
    </dataValidation>
  </dataValidations>
  <hyperlinks>
    <hyperlink ref="G3" r:id="rId1" display="https://www.xiaohongshu.com/user/profile/5e5b1776000000000100769d?xhsshare=CopyLink&amp;appuid=5e5b1776000000000100769d&amp;apptime=1603978256" xr:uid="{391F158F-E41A-432B-B13E-043483C82F3F}"/>
    <hyperlink ref="V3" r:id="rId2" display="https://m.weibo.cn/7311053917/4608545033553649" xr:uid="{EC5E33A8-3EC2-450A-8AD5-AC05D4E24EEF}"/>
    <hyperlink ref="U3" r:id="rId3" display="https://www.xiaohongshu.com/discovery/item/6034c794000000000102cede?xhsshare=CopyLink&amp;appuid=5e5b1776000000000100769d&amp;apptime=1614072197" xr:uid="{9EBF610A-B4AD-4AD2-8B5E-40827B9EBEC9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2021-03-25T07:19:06Z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