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5"/>
  <workbookPr/>
  <xr:revisionPtr revIDLastSave="332" documentId="11_0B1D56BE9CDCCE836B02CE7A5FB0D4A9BBFD1C62" xr6:coauthVersionLast="47" xr6:coauthVersionMax="47" xr10:uidLastSave="{3CDD15DA-8F20-485E-87DB-8380B2307DEA}"/>
  <bookViews>
    <workbookView xWindow="240" yWindow="105" windowWidth="14805" windowHeight="8010" firstSheet="1" xr2:uid="{00000000-000D-0000-FFFF-FFFF00000000}"/>
  </bookViews>
  <sheets>
    <sheet name="Capital Costs" sheetId="1" r:id="rId1"/>
    <sheet name="Operating Cos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I43" i="1"/>
  <c r="I37" i="1"/>
  <c r="I38" i="1"/>
  <c r="I39" i="1"/>
  <c r="I40" i="1"/>
  <c r="I41" i="1"/>
  <c r="I42" i="1"/>
  <c r="I36" i="1"/>
  <c r="I33" i="1"/>
  <c r="I27" i="1"/>
  <c r="I28" i="1"/>
  <c r="I29" i="1"/>
  <c r="I30" i="1"/>
  <c r="I31" i="1"/>
  <c r="I32" i="1"/>
  <c r="I26" i="1"/>
  <c r="B25" i="2"/>
  <c r="F16" i="2"/>
  <c r="G16" i="2"/>
  <c r="E11" i="2"/>
  <c r="I22" i="2"/>
  <c r="H22" i="2"/>
  <c r="G22" i="2"/>
  <c r="C4" i="2"/>
  <c r="F22" i="2"/>
  <c r="E25" i="2" s="1"/>
  <c r="B19" i="2"/>
  <c r="F3" i="2"/>
  <c r="B16" i="2" s="1"/>
  <c r="E22" i="2" s="1"/>
  <c r="D42" i="1"/>
  <c r="D40" i="1"/>
  <c r="D39" i="1"/>
  <c r="D38" i="1"/>
  <c r="D37" i="1"/>
  <c r="D36" i="1"/>
  <c r="D27" i="1"/>
  <c r="D28" i="1"/>
  <c r="D29" i="1"/>
  <c r="D30" i="1"/>
  <c r="D32" i="1"/>
  <c r="D26" i="1"/>
  <c r="Y4" i="1"/>
  <c r="X7" i="1" s="1"/>
  <c r="S12" i="1"/>
  <c r="R15" i="1" s="1"/>
  <c r="B30" i="1" s="1"/>
  <c r="S4" i="1"/>
  <c r="R7" i="1" s="1"/>
  <c r="B29" i="1" s="1"/>
  <c r="M12" i="1"/>
  <c r="L15" i="1"/>
  <c r="B28" i="1" s="1"/>
  <c r="E12" i="1"/>
  <c r="D15" i="1" s="1"/>
  <c r="B32" i="1" s="1"/>
  <c r="M4" i="1"/>
  <c r="E4" i="1"/>
  <c r="L7" i="1"/>
  <c r="B27" i="1" s="1"/>
  <c r="D7" i="1"/>
  <c r="B31" i="1" l="1"/>
  <c r="D31" i="1" s="1"/>
  <c r="D41" i="1"/>
  <c r="D43" i="1" s="1"/>
  <c r="B22" i="2"/>
  <c r="B20" i="1"/>
  <c r="D20" i="1" s="1"/>
  <c r="G20" i="1" s="1"/>
  <c r="K20" i="1" s="1"/>
  <c r="B26" i="1"/>
  <c r="B33" i="1" s="1"/>
  <c r="D33" i="1" s="1"/>
</calcChain>
</file>

<file path=xl/sharedStrings.xml><?xml version="1.0" encoding="utf-8"?>
<sst xmlns="http://schemas.openxmlformats.org/spreadsheetml/2006/main" count="121" uniqueCount="69">
  <si>
    <t>C = a + bS^n</t>
  </si>
  <si>
    <t>CSTR (Reactor, Agitated)</t>
  </si>
  <si>
    <t>PFR (Reactor, Agitated)</t>
  </si>
  <si>
    <t>Heat Exchanger 2 (U-Shell and Tube, S too low)</t>
  </si>
  <si>
    <t>Pump 2 (Single-stage Centrifugal, S too low)</t>
  </si>
  <si>
    <t>V (m3)</t>
  </si>
  <si>
    <t>S</t>
  </si>
  <si>
    <t>a</t>
  </si>
  <si>
    <t>b</t>
  </si>
  <si>
    <t>n</t>
  </si>
  <si>
    <t>A (m2)</t>
  </si>
  <si>
    <t>Q (L/s)</t>
  </si>
  <si>
    <t>Lang Factor</t>
  </si>
  <si>
    <t>C</t>
  </si>
  <si>
    <t>Impeller (Propeller, S too low)</t>
  </si>
  <si>
    <t>Heat Exchanger 1 (U-Shell and Tube, S too low)</t>
  </si>
  <si>
    <t>Pump 1 (Single-stage Centrifugal, S too low)</t>
  </si>
  <si>
    <t>Power (kW)</t>
  </si>
  <si>
    <t>Total Capital Costs ($)</t>
  </si>
  <si>
    <t>Total Capital Costs ($) (UK)</t>
  </si>
  <si>
    <t>Total Capital Costs (£)</t>
  </si>
  <si>
    <t>Material Factor (SS)</t>
  </si>
  <si>
    <t>Location Factor (UK)</t>
  </si>
  <si>
    <t>Installed Costs ($)</t>
  </si>
  <si>
    <t>Installed Costs (Material and Location Factor) ($)</t>
  </si>
  <si>
    <t>Inflation Rate</t>
  </si>
  <si>
    <t>Installed Costs (Inflation) ($)</t>
  </si>
  <si>
    <t>CSTR</t>
  </si>
  <si>
    <t>PFR</t>
  </si>
  <si>
    <t>Inflation calculator | Bank of England</t>
  </si>
  <si>
    <t>HE1</t>
  </si>
  <si>
    <t>HE2</t>
  </si>
  <si>
    <t>P1</t>
  </si>
  <si>
    <t>P2</t>
  </si>
  <si>
    <t>Impeller</t>
  </si>
  <si>
    <t>Total</t>
  </si>
  <si>
    <t>Purchasing Costs (Material and Location Factor) ($)</t>
  </si>
  <si>
    <t>Purchasing Costs (Inflation) ($)</t>
  </si>
  <si>
    <t>Water Price ($/ton)</t>
  </si>
  <si>
    <t>Electricity Price (£/kWh)</t>
  </si>
  <si>
    <t>Mass of Water from Stream Table (kg/hour)</t>
  </si>
  <si>
    <t>Total Mass of Water Needed (kg/hour)</t>
  </si>
  <si>
    <t>Specific Enthalpy of Steam at 300C</t>
  </si>
  <si>
    <t>Boiler Efficiency (from S&amp;T)</t>
  </si>
  <si>
    <t>Average Price of Electricity Per kWh in the UK (2025)</t>
  </si>
  <si>
    <t>Operating Days</t>
  </si>
  <si>
    <t>Hours in Day</t>
  </si>
  <si>
    <t>Mass of Steam Needed (kg/hour)</t>
  </si>
  <si>
    <t>Water Costs ($/Mlb)</t>
  </si>
  <si>
    <t>Price of Fuel ($/MMBtu)</t>
  </si>
  <si>
    <t>S&amp;T</t>
  </si>
  <si>
    <t>Water Costs ($/hour)</t>
  </si>
  <si>
    <t>MMBtu/Mlb to KJ conversion</t>
  </si>
  <si>
    <t>Heating Rate (MMBtu/Mlb)</t>
  </si>
  <si>
    <t>Mlb to KG</t>
  </si>
  <si>
    <t>Thermal Energy Conversions</t>
  </si>
  <si>
    <t>Water Costs for HP Steam ($/hour)</t>
  </si>
  <si>
    <t>Total Water Costs ($/hour)</t>
  </si>
  <si>
    <t>Water Costs ($/year)</t>
  </si>
  <si>
    <t>HP Steam Costs ($/year)</t>
  </si>
  <si>
    <t>Impeller Costs ($/year)</t>
  </si>
  <si>
    <t>Pump Costs ($/year)</t>
  </si>
  <si>
    <t>Pump Costs 2($/year)</t>
  </si>
  <si>
    <t>HP Steam Costs ($/hour)</t>
  </si>
  <si>
    <t>Total ($/year)</t>
  </si>
  <si>
    <t>Impeller Power (W)</t>
  </si>
  <si>
    <t>Pump 1 Power (W)</t>
  </si>
  <si>
    <t>Pump 2 Power (W)</t>
  </si>
  <si>
    <t>Total 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</si>
</sst>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1" fillId="0" borderId="0" xfId="1"/>
    <xf numFmtId="0" fontId="1" fillId="0" borderId="0" xfId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nkofengland.co.uk/monetary-policy/inflation/inflation-calculato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nkofengland.co.uk/monetary-policy/inflation/inflation-calculator" TargetMode="External"/><Relationship Id="rId2" Type="http://schemas.openxmlformats.org/officeDocument/2006/relationships/hyperlink" Target="https://energyguide.org.uk/average-cost-electricity-kwh-uk/" TargetMode="External"/><Relationship Id="rId1" Type="http://schemas.openxmlformats.org/officeDocument/2006/relationships/hyperlink" Target="https://portfoliomanager.energystar.gov/pdf/reference/Thermal%20Convers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43"/>
  <sheetViews>
    <sheetView tabSelected="1" topLeftCell="D11" workbookViewId="0">
      <selection activeCell="K35" sqref="K35"/>
    </sheetView>
  </sheetViews>
  <sheetFormatPr defaultRowHeight="15"/>
  <cols>
    <col min="2" max="2" width="19.85546875" bestFit="1" customWidth="1"/>
    <col min="3" max="3" width="9.5703125" customWidth="1"/>
    <col min="4" max="4" width="48.140625" customWidth="1"/>
    <col min="7" max="7" width="20" customWidth="1"/>
    <col min="9" max="9" width="29.28515625" customWidth="1"/>
    <col min="11" max="11" width="20.42578125" customWidth="1"/>
    <col min="12" max="12" width="12.85546875" customWidth="1"/>
    <col min="18" max="18" width="12.85546875" customWidth="1"/>
  </cols>
  <sheetData>
    <row r="2" spans="2:28">
      <c r="B2" t="s">
        <v>0</v>
      </c>
      <c r="D2" s="6" t="s">
        <v>1</v>
      </c>
      <c r="E2" s="6"/>
      <c r="F2" s="6"/>
      <c r="G2" s="6"/>
      <c r="H2" s="6"/>
      <c r="L2" s="6" t="s">
        <v>2</v>
      </c>
      <c r="M2" s="6"/>
      <c r="N2" s="6"/>
      <c r="O2" s="6"/>
      <c r="P2" s="6"/>
      <c r="R2" s="5" t="s">
        <v>3</v>
      </c>
      <c r="S2" s="5"/>
      <c r="T2" s="5"/>
      <c r="U2" s="5"/>
      <c r="V2" s="5"/>
      <c r="X2" s="5" t="s">
        <v>4</v>
      </c>
      <c r="Y2" s="5"/>
      <c r="Z2" s="5"/>
      <c r="AA2" s="5"/>
      <c r="AB2" s="5"/>
    </row>
    <row r="3" spans="2:28">
      <c r="D3" t="s">
        <v>5</v>
      </c>
      <c r="E3" t="s">
        <v>6</v>
      </c>
      <c r="F3" t="s">
        <v>7</v>
      </c>
      <c r="G3" t="s">
        <v>8</v>
      </c>
      <c r="H3" t="s">
        <v>9</v>
      </c>
      <c r="L3" t="s">
        <v>5</v>
      </c>
      <c r="M3" t="s">
        <v>6</v>
      </c>
      <c r="N3" t="s">
        <v>7</v>
      </c>
      <c r="O3" t="s">
        <v>8</v>
      </c>
      <c r="P3" t="s">
        <v>9</v>
      </c>
      <c r="R3" t="s">
        <v>10</v>
      </c>
      <c r="S3" t="s">
        <v>6</v>
      </c>
      <c r="T3" t="s">
        <v>7</v>
      </c>
      <c r="U3" t="s">
        <v>8</v>
      </c>
      <c r="V3" t="s">
        <v>9</v>
      </c>
      <c r="X3" t="s">
        <v>11</v>
      </c>
      <c r="Y3" t="s">
        <v>6</v>
      </c>
      <c r="Z3" t="s">
        <v>7</v>
      </c>
      <c r="AA3" t="s">
        <v>8</v>
      </c>
      <c r="AB3" t="s">
        <v>9</v>
      </c>
    </row>
    <row r="4" spans="2:28">
      <c r="B4" t="s">
        <v>12</v>
      </c>
      <c r="D4">
        <v>0.64400000000000002</v>
      </c>
      <c r="E4">
        <f>D4</f>
        <v>0.64400000000000002</v>
      </c>
      <c r="F4">
        <v>14000</v>
      </c>
      <c r="G4">
        <v>15400</v>
      </c>
      <c r="H4">
        <v>0.7</v>
      </c>
      <c r="L4">
        <v>4.71</v>
      </c>
      <c r="M4">
        <f>L4</f>
        <v>4.71</v>
      </c>
      <c r="N4">
        <v>14000</v>
      </c>
      <c r="O4">
        <v>15400</v>
      </c>
      <c r="P4">
        <v>0.7</v>
      </c>
      <c r="R4">
        <v>0.01</v>
      </c>
      <c r="S4">
        <f>R4</f>
        <v>0.01</v>
      </c>
      <c r="T4">
        <v>10000</v>
      </c>
      <c r="U4">
        <v>88</v>
      </c>
      <c r="V4">
        <v>1</v>
      </c>
      <c r="X4">
        <v>2.9700000000000001E-2</v>
      </c>
      <c r="Y4">
        <f>X4</f>
        <v>2.9700000000000001E-2</v>
      </c>
      <c r="Z4">
        <v>3300</v>
      </c>
      <c r="AA4">
        <v>48</v>
      </c>
      <c r="AB4">
        <v>1.2</v>
      </c>
    </row>
    <row r="5" spans="2:28">
      <c r="B5">
        <v>3.63</v>
      </c>
    </row>
    <row r="6" spans="2:28">
      <c r="D6" t="s">
        <v>13</v>
      </c>
      <c r="L6" t="s">
        <v>13</v>
      </c>
      <c r="R6" t="s">
        <v>13</v>
      </c>
      <c r="X6" t="s">
        <v>13</v>
      </c>
    </row>
    <row r="7" spans="2:28">
      <c r="D7">
        <f>F4+(G4*E4^H4)</f>
        <v>25317.24787241669</v>
      </c>
      <c r="L7">
        <f>N4+(O4*M4^P4)</f>
        <v>59565.417700430618</v>
      </c>
      <c r="R7">
        <f>T4+(U4*S4^V4)</f>
        <v>10000.879999999999</v>
      </c>
      <c r="X7">
        <f>Z4+(AA4*Y4^AB4)</f>
        <v>3300.7055844102147</v>
      </c>
    </row>
    <row r="10" spans="2:28" ht="15" customHeight="1">
      <c r="D10" s="6" t="s">
        <v>14</v>
      </c>
      <c r="E10" s="6"/>
      <c r="F10" s="6"/>
      <c r="G10" s="6"/>
      <c r="H10" s="6"/>
      <c r="I10" s="1"/>
      <c r="L10" s="5" t="s">
        <v>15</v>
      </c>
      <c r="M10" s="5"/>
      <c r="N10" s="5"/>
      <c r="O10" s="5"/>
      <c r="P10" s="5"/>
      <c r="R10" s="5" t="s">
        <v>16</v>
      </c>
      <c r="S10" s="5"/>
      <c r="T10" s="5"/>
      <c r="U10" s="5"/>
      <c r="V10" s="5"/>
    </row>
    <row r="11" spans="2:28">
      <c r="D11" t="s">
        <v>17</v>
      </c>
      <c r="E11" t="s">
        <v>6</v>
      </c>
      <c r="F11" t="s">
        <v>7</v>
      </c>
      <c r="G11" t="s">
        <v>8</v>
      </c>
      <c r="H11" t="s">
        <v>9</v>
      </c>
      <c r="L11" t="s">
        <v>10</v>
      </c>
      <c r="M11" t="s">
        <v>6</v>
      </c>
      <c r="N11" t="s">
        <v>7</v>
      </c>
      <c r="O11" t="s">
        <v>8</v>
      </c>
      <c r="P11" t="s">
        <v>9</v>
      </c>
      <c r="R11" t="s">
        <v>11</v>
      </c>
      <c r="S11" t="s">
        <v>6</v>
      </c>
      <c r="T11" t="s">
        <v>7</v>
      </c>
      <c r="U11" t="s">
        <v>8</v>
      </c>
      <c r="V11" t="s">
        <v>9</v>
      </c>
    </row>
    <row r="12" spans="2:28">
      <c r="D12">
        <v>5.0000000000000002E-5</v>
      </c>
      <c r="E12">
        <f>D12</f>
        <v>5.0000000000000002E-5</v>
      </c>
      <c r="F12">
        <v>4300</v>
      </c>
      <c r="G12">
        <v>1920</v>
      </c>
      <c r="H12">
        <v>0.8</v>
      </c>
      <c r="L12">
        <v>1.375</v>
      </c>
      <c r="M12">
        <f>L12</f>
        <v>1.375</v>
      </c>
      <c r="N12">
        <v>10000</v>
      </c>
      <c r="O12">
        <v>88</v>
      </c>
      <c r="P12">
        <v>1</v>
      </c>
      <c r="R12">
        <v>4.4999999999999998E-2</v>
      </c>
      <c r="S12">
        <f>R12</f>
        <v>4.4999999999999998E-2</v>
      </c>
      <c r="T12">
        <v>3300</v>
      </c>
      <c r="U12">
        <v>48</v>
      </c>
      <c r="V12">
        <v>1.2</v>
      </c>
    </row>
    <row r="14" spans="2:28">
      <c r="D14" t="s">
        <v>13</v>
      </c>
      <c r="L14" t="s">
        <v>13</v>
      </c>
      <c r="R14" t="s">
        <v>13</v>
      </c>
    </row>
    <row r="15" spans="2:28">
      <c r="D15">
        <f>F12+(G12*E12^H12)</f>
        <v>4300.6957884771309</v>
      </c>
      <c r="L15">
        <f>N12+(O12*M12^P12)</f>
        <v>10121</v>
      </c>
      <c r="R15">
        <f>T12+(U12*S12^V12)</f>
        <v>3301.1617060574872</v>
      </c>
    </row>
    <row r="19" spans="1:11" ht="15.75" customHeight="1">
      <c r="B19" t="s">
        <v>18</v>
      </c>
      <c r="D19" s="2" t="s">
        <v>19</v>
      </c>
      <c r="G19" t="s">
        <v>20</v>
      </c>
      <c r="I19" t="s">
        <v>21</v>
      </c>
      <c r="K19" t="s">
        <v>20</v>
      </c>
    </row>
    <row r="20" spans="1:11">
      <c r="B20">
        <f>D7+D15+L7+L15+R7+R15+X7</f>
        <v>115907.10865179215</v>
      </c>
      <c r="D20">
        <f>B20*B23</f>
        <v>118225.25082482799</v>
      </c>
      <c r="G20">
        <f>0.77*D20</f>
        <v>91033.443135117559</v>
      </c>
      <c r="I20">
        <v>1.3</v>
      </c>
      <c r="K20">
        <f>I20*G20</f>
        <v>118343.47607565283</v>
      </c>
    </row>
    <row r="22" spans="1:11">
      <c r="B22" s="2" t="s">
        <v>22</v>
      </c>
    </row>
    <row r="23" spans="1:11">
      <c r="B23">
        <v>1.02</v>
      </c>
    </row>
    <row r="25" spans="1:11" ht="14.25" customHeight="1">
      <c r="B25" t="s">
        <v>23</v>
      </c>
      <c r="D25" s="2" t="s">
        <v>24</v>
      </c>
      <c r="G25" t="s">
        <v>25</v>
      </c>
      <c r="I25" t="s">
        <v>26</v>
      </c>
    </row>
    <row r="26" spans="1:11">
      <c r="A26" t="s">
        <v>27</v>
      </c>
      <c r="B26">
        <f>D7*B5</f>
        <v>91901.609776872589</v>
      </c>
      <c r="D26">
        <f>B26*$I$20*$B$23</f>
        <v>121861.53456413306</v>
      </c>
      <c r="G26">
        <v>1.8169999999999999</v>
      </c>
      <c r="I26">
        <f>D26*$G$26</f>
        <v>221422.40830302978</v>
      </c>
    </row>
    <row r="27" spans="1:11" ht="29.25">
      <c r="A27" t="s">
        <v>28</v>
      </c>
      <c r="B27">
        <f>L7*B5</f>
        <v>216222.46625256314</v>
      </c>
      <c r="D27">
        <f t="shared" ref="D27:D33" si="0">B27*$I$20*$B$23</f>
        <v>286710.99025089876</v>
      </c>
      <c r="G27" s="4" t="s">
        <v>29</v>
      </c>
      <c r="I27">
        <f t="shared" ref="I27:I32" si="1">D27*$G$26</f>
        <v>520953.86928588303</v>
      </c>
    </row>
    <row r="28" spans="1:11">
      <c r="A28" t="s">
        <v>30</v>
      </c>
      <c r="B28">
        <f>L15*B5</f>
        <v>36739.229999999996</v>
      </c>
      <c r="D28">
        <f t="shared" si="0"/>
        <v>48716.218979999998</v>
      </c>
      <c r="I28">
        <f t="shared" si="1"/>
        <v>88517.369886659988</v>
      </c>
    </row>
    <row r="29" spans="1:11">
      <c r="A29" t="s">
        <v>31</v>
      </c>
      <c r="B29">
        <f>R7*B5</f>
        <v>36303.194399999993</v>
      </c>
      <c r="D29">
        <f t="shared" si="0"/>
        <v>48138.035774399992</v>
      </c>
      <c r="I29">
        <f t="shared" si="1"/>
        <v>87466.811002084782</v>
      </c>
    </row>
    <row r="30" spans="1:11">
      <c r="A30" t="s">
        <v>32</v>
      </c>
      <c r="B30">
        <f>R15*B5</f>
        <v>11983.216992988679</v>
      </c>
      <c r="D30">
        <f t="shared" si="0"/>
        <v>15889.745732702988</v>
      </c>
      <c r="I30">
        <f t="shared" si="1"/>
        <v>28871.667996321328</v>
      </c>
    </row>
    <row r="31" spans="1:11">
      <c r="A31" t="s">
        <v>33</v>
      </c>
      <c r="B31">
        <f>X7*B5</f>
        <v>11981.561271409078</v>
      </c>
      <c r="D31">
        <f t="shared" si="0"/>
        <v>15887.55024588844</v>
      </c>
      <c r="I31">
        <f t="shared" si="1"/>
        <v>28867.678796779295</v>
      </c>
    </row>
    <row r="32" spans="1:11">
      <c r="A32" t="s">
        <v>34</v>
      </c>
      <c r="B32">
        <f>D15*B5</f>
        <v>15611.525712171984</v>
      </c>
      <c r="D32">
        <f t="shared" si="0"/>
        <v>20700.88309434005</v>
      </c>
      <c r="I32">
        <f t="shared" si="1"/>
        <v>37613.504582415866</v>
      </c>
    </row>
    <row r="33" spans="1:11">
      <c r="A33" t="s">
        <v>35</v>
      </c>
      <c r="B33">
        <f>SUM(B26:B32)</f>
        <v>420742.80440600542</v>
      </c>
      <c r="D33">
        <f t="shared" si="0"/>
        <v>557904.9586423632</v>
      </c>
      <c r="I33">
        <f>SUM(I26:I32)</f>
        <v>1013713.309853174</v>
      </c>
    </row>
    <row r="34" spans="1:11">
      <c r="K34">
        <f>I33+I43</f>
        <v>1292973.1748265002</v>
      </c>
    </row>
    <row r="35" spans="1:11" ht="14.25" customHeight="1">
      <c r="D35" s="2" t="s">
        <v>36</v>
      </c>
      <c r="I35" t="s">
        <v>37</v>
      </c>
    </row>
    <row r="36" spans="1:11">
      <c r="A36" t="s">
        <v>27</v>
      </c>
      <c r="C36" t="s">
        <v>27</v>
      </c>
      <c r="D36">
        <f>D7*B23*I20</f>
        <v>33570.670678824536</v>
      </c>
      <c r="I36">
        <f>D36*$G$26</f>
        <v>60997.908623424177</v>
      </c>
    </row>
    <row r="37" spans="1:11">
      <c r="A37" t="s">
        <v>28</v>
      </c>
      <c r="C37" t="s">
        <v>28</v>
      </c>
      <c r="D37">
        <f>L7*B23*I20</f>
        <v>78983.74387077101</v>
      </c>
      <c r="I37">
        <f t="shared" ref="I37:I42" si="2">D37*$G$26</f>
        <v>143513.46261319093</v>
      </c>
    </row>
    <row r="38" spans="1:11">
      <c r="A38" t="s">
        <v>30</v>
      </c>
      <c r="C38" t="s">
        <v>30</v>
      </c>
      <c r="D38">
        <f>L15*I20*B23</f>
        <v>13420.446000000002</v>
      </c>
      <c r="I38">
        <f t="shared" si="2"/>
        <v>24384.950382000003</v>
      </c>
    </row>
    <row r="39" spans="1:11">
      <c r="A39" t="s">
        <v>31</v>
      </c>
      <c r="C39" t="s">
        <v>31</v>
      </c>
      <c r="D39">
        <f>R7*I20*B23</f>
        <v>13261.166880000001</v>
      </c>
      <c r="I39">
        <f t="shared" si="2"/>
        <v>24095.54022096</v>
      </c>
    </row>
    <row r="40" spans="1:11">
      <c r="A40" t="s">
        <v>32</v>
      </c>
      <c r="C40" t="s">
        <v>32</v>
      </c>
      <c r="D40">
        <f>R15*I20*B23</f>
        <v>4377.3404222322288</v>
      </c>
      <c r="I40">
        <f t="shared" si="2"/>
        <v>7953.6275471959598</v>
      </c>
    </row>
    <row r="41" spans="1:11">
      <c r="A41" t="s">
        <v>33</v>
      </c>
      <c r="C41" t="s">
        <v>33</v>
      </c>
      <c r="D41">
        <f>X7*I20*B23</f>
        <v>4376.7356049279451</v>
      </c>
      <c r="I41">
        <f t="shared" si="2"/>
        <v>7952.528594154076</v>
      </c>
    </row>
    <row r="42" spans="1:11">
      <c r="A42" t="s">
        <v>34</v>
      </c>
      <c r="C42" t="s">
        <v>34</v>
      </c>
      <c r="D42">
        <f>D15*I20*B23</f>
        <v>5702.7226155206763</v>
      </c>
      <c r="I42">
        <f t="shared" si="2"/>
        <v>10361.846992401068</v>
      </c>
    </row>
    <row r="43" spans="1:11">
      <c r="A43" t="s">
        <v>35</v>
      </c>
      <c r="C43" t="s">
        <v>35</v>
      </c>
      <c r="D43">
        <f>SUM(D36:D42)</f>
        <v>153692.82607227637</v>
      </c>
      <c r="I43">
        <f>SUM(I36:I42)</f>
        <v>279259.86497332621</v>
      </c>
    </row>
  </sheetData>
  <mergeCells count="7">
    <mergeCell ref="X2:AB2"/>
    <mergeCell ref="D2:H2"/>
    <mergeCell ref="L2:P2"/>
    <mergeCell ref="D10:H10"/>
    <mergeCell ref="L10:P10"/>
    <mergeCell ref="R2:V2"/>
    <mergeCell ref="R10:V10"/>
  </mergeCells>
  <hyperlinks>
    <hyperlink ref="G27" r:id="rId1" xr:uid="{CFD1BB7F-A7A5-4944-A036-5CDF696B84E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BFA7-B669-4830-BF08-1625FA29A26F}">
  <dimension ref="B2:I34"/>
  <sheetViews>
    <sheetView workbookViewId="0">
      <selection activeCell="C14" sqref="B11:C14"/>
    </sheetView>
  </sheetViews>
  <sheetFormatPr defaultRowHeight="15"/>
  <cols>
    <col min="2" max="2" width="30.28515625" customWidth="1"/>
    <col min="3" max="3" width="21.28515625" bestFit="1" customWidth="1"/>
    <col min="4" max="5" width="36.5703125" bestFit="1" customWidth="1"/>
    <col min="6" max="6" width="32.85546875" customWidth="1"/>
    <col min="7" max="7" width="20.42578125" bestFit="1" customWidth="1"/>
    <col min="8" max="8" width="30.7109375" bestFit="1" customWidth="1"/>
    <col min="9" max="9" width="24" bestFit="1" customWidth="1"/>
  </cols>
  <sheetData>
    <row r="2" spans="2:9" ht="15.75" customHeight="1">
      <c r="B2" t="s">
        <v>38</v>
      </c>
      <c r="C2" t="s">
        <v>39</v>
      </c>
      <c r="E2" s="2" t="s">
        <v>40</v>
      </c>
      <c r="F2" t="s">
        <v>41</v>
      </c>
      <c r="H2" t="s">
        <v>42</v>
      </c>
      <c r="I2" t="s">
        <v>43</v>
      </c>
    </row>
    <row r="3" spans="2:9" ht="13.5" customHeight="1">
      <c r="B3">
        <v>0.5</v>
      </c>
      <c r="C3">
        <v>0.245</v>
      </c>
      <c r="D3" s="4" t="s">
        <v>44</v>
      </c>
      <c r="E3">
        <v>16.100000000000001</v>
      </c>
      <c r="F3">
        <f>SUM(E3:E5)</f>
        <v>142.67000000000002</v>
      </c>
      <c r="H3">
        <v>3025</v>
      </c>
      <c r="I3">
        <v>0.85</v>
      </c>
    </row>
    <row r="4" spans="2:9">
      <c r="C4">
        <f>C3*1.3</f>
        <v>0.31850000000000001</v>
      </c>
      <c r="E4">
        <v>6.87</v>
      </c>
    </row>
    <row r="5" spans="2:9">
      <c r="B5" t="s">
        <v>45</v>
      </c>
      <c r="C5" t="s">
        <v>46</v>
      </c>
      <c r="E5">
        <v>119.7</v>
      </c>
    </row>
    <row r="6" spans="2:9">
      <c r="B6">
        <v>330</v>
      </c>
      <c r="C6">
        <v>24</v>
      </c>
    </row>
    <row r="7" spans="2:9">
      <c r="E7" t="s">
        <v>47</v>
      </c>
    </row>
    <row r="8" spans="2:9">
      <c r="E8">
        <v>887.5</v>
      </c>
    </row>
    <row r="10" spans="2:9">
      <c r="E10" t="s">
        <v>48</v>
      </c>
      <c r="F10" t="s">
        <v>49</v>
      </c>
    </row>
    <row r="11" spans="2:9">
      <c r="B11" t="s">
        <v>25</v>
      </c>
      <c r="E11">
        <f>E8*2.205*B3/1000</f>
        <v>0.97846875</v>
      </c>
      <c r="F11">
        <v>6</v>
      </c>
    </row>
    <row r="12" spans="2:9">
      <c r="B12">
        <v>1.8169999999999999</v>
      </c>
      <c r="F12" t="s">
        <v>50</v>
      </c>
    </row>
    <row r="13" spans="2:9" ht="29.25">
      <c r="B13" s="4" t="s">
        <v>29</v>
      </c>
    </row>
    <row r="15" spans="2:9" ht="15" customHeight="1">
      <c r="B15" s="2" t="s">
        <v>51</v>
      </c>
      <c r="E15" t="s">
        <v>52</v>
      </c>
      <c r="F15" t="s">
        <v>53</v>
      </c>
      <c r="G15" t="s">
        <v>54</v>
      </c>
    </row>
    <row r="16" spans="2:9">
      <c r="B16">
        <f>F3*B3/1000</f>
        <v>7.133500000000001E-2</v>
      </c>
      <c r="E16">
        <v>1006</v>
      </c>
      <c r="F16">
        <f>H3/(E16*G16)</f>
        <v>6.6232560583634756E-6</v>
      </c>
      <c r="G16">
        <f>454000</f>
        <v>454000</v>
      </c>
    </row>
    <row r="17" spans="2:9">
      <c r="E17" s="3" t="s">
        <v>55</v>
      </c>
    </row>
    <row r="18" spans="2:9" ht="14.25" customHeight="1">
      <c r="B18" s="2" t="s">
        <v>56</v>
      </c>
    </row>
    <row r="19" spans="2:9">
      <c r="B19">
        <f>B3*E8/1000</f>
        <v>0.44374999999999998</v>
      </c>
    </row>
    <row r="21" spans="2:9">
      <c r="B21" t="s">
        <v>57</v>
      </c>
      <c r="E21" t="s">
        <v>58</v>
      </c>
      <c r="F21" s="2" t="s">
        <v>59</v>
      </c>
      <c r="G21" t="s">
        <v>60</v>
      </c>
      <c r="H21" t="s">
        <v>61</v>
      </c>
      <c r="I21" t="s">
        <v>62</v>
      </c>
    </row>
    <row r="22" spans="2:9">
      <c r="B22">
        <f>B19+B16</f>
        <v>0.51508500000000002</v>
      </c>
      <c r="E22">
        <f>B16*C6*B6</f>
        <v>564.97320000000002</v>
      </c>
      <c r="F22">
        <f>(B25*24*365)</f>
        <v>8571.7958009863851</v>
      </c>
      <c r="G22">
        <f>B30*C4*C6*B6/1000</f>
        <v>0.12463222516526613</v>
      </c>
      <c r="H22">
        <f>C30*C4*B6*C6/1000</f>
        <v>12.752798377743614</v>
      </c>
      <c r="I22">
        <f>D30*B6*C6*C4/1000</f>
        <v>7.4879146051111123</v>
      </c>
    </row>
    <row r="24" spans="2:9">
      <c r="B24" t="s">
        <v>63</v>
      </c>
      <c r="E24" t="s">
        <v>64</v>
      </c>
    </row>
    <row r="25" spans="2:9">
      <c r="B25">
        <f>F11*(F16/I3)+E11</f>
        <v>0.97851550239570606</v>
      </c>
      <c r="E25">
        <f>SUM(E22:I22)</f>
        <v>9157.1343461944052</v>
      </c>
    </row>
    <row r="29" spans="2:9">
      <c r="B29" t="s">
        <v>65</v>
      </c>
      <c r="C29" t="s">
        <v>66</v>
      </c>
      <c r="D29" t="s">
        <v>67</v>
      </c>
    </row>
    <row r="30" spans="2:9">
      <c r="B30">
        <v>4.9407824384054881E-2</v>
      </c>
      <c r="C30">
        <v>5.0555786981842026</v>
      </c>
      <c r="D30">
        <v>2.9684262583095919</v>
      </c>
    </row>
    <row r="34" spans="2:2">
      <c r="B34" t="s">
        <v>68</v>
      </c>
    </row>
  </sheetData>
  <hyperlinks>
    <hyperlink ref="E17" r:id="rId1" xr:uid="{289C0920-0778-4680-8E06-FFBDB5CFC136}"/>
    <hyperlink ref="D3" r:id="rId2" xr:uid="{F54BF7CB-3FF5-4100-9A15-62169A664B56}"/>
    <hyperlink ref="B13" r:id="rId3" xr:uid="{B01E4377-4F72-4159-B6EE-409BA2A7D16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Gus MacDonald</cp:lastModifiedBy>
  <cp:revision/>
  <dcterms:created xsi:type="dcterms:W3CDTF">2025-03-12T13:44:00Z</dcterms:created>
  <dcterms:modified xsi:type="dcterms:W3CDTF">2025-03-22T15:02:05Z</dcterms:modified>
  <cp:category/>
  <cp:contentStatus/>
</cp:coreProperties>
</file>