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367" documentId="11_0B1D56BE9CDCCE836B02CE7A5FB0D4A9BBFD1C62" xr6:coauthVersionLast="47" xr6:coauthVersionMax="47" xr10:uidLastSave="{F472BE5D-96EC-4450-ABFC-30A83F286072}"/>
  <bookViews>
    <workbookView xWindow="240" yWindow="105" windowWidth="14805" windowHeight="8010" activeTab="3" xr2:uid="{00000000-000D-0000-FFFF-FFFF00000000}"/>
  </bookViews>
  <sheets>
    <sheet name="Heat Exchanger 1 - Heater" sheetId="3" r:id="rId1"/>
    <sheet name="Heat Exchanger 2 - Cooler" sheetId="4" r:id="rId2"/>
    <sheet name="Pump 1 - Reciprocating" sheetId="6" r:id="rId3"/>
    <sheet name="Pump 2 - Reciprocating" sheetId="7" r:id="rId4"/>
    <sheet name="Important Numbers for Report" sheetId="5" r:id="rId5"/>
    <sheet name="Data" sheetId="1" r:id="rId6"/>
    <sheet name="References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E20" i="1"/>
  <c r="F20" i="1"/>
  <c r="B3" i="6"/>
  <c r="B3" i="7"/>
  <c r="H3" i="7" s="1"/>
  <c r="F16" i="1"/>
  <c r="E16" i="1"/>
  <c r="D3" i="6"/>
  <c r="H3" i="6" s="1"/>
  <c r="N9" i="4"/>
  <c r="B3" i="3"/>
  <c r="P11" i="5"/>
  <c r="N11" i="5"/>
  <c r="L11" i="5"/>
  <c r="K11" i="5"/>
  <c r="J11" i="5"/>
  <c r="H11" i="5"/>
  <c r="G11" i="5"/>
  <c r="D11" i="5"/>
  <c r="C11" i="5"/>
  <c r="L4" i="5"/>
  <c r="K4" i="5"/>
  <c r="H4" i="5"/>
  <c r="G4" i="5"/>
  <c r="D4" i="5"/>
  <c r="C4" i="5"/>
  <c r="Q9" i="4"/>
  <c r="F26" i="4"/>
  <c r="F25" i="4"/>
  <c r="F24" i="4"/>
  <c r="F23" i="4"/>
  <c r="F22" i="4"/>
  <c r="F21" i="4"/>
  <c r="F20" i="4"/>
  <c r="F19" i="4"/>
  <c r="F18" i="4"/>
  <c r="F17" i="4"/>
  <c r="F16" i="4"/>
  <c r="B13" i="4"/>
  <c r="B12" i="4"/>
  <c r="B11" i="4"/>
  <c r="B10" i="4"/>
  <c r="L9" i="4"/>
  <c r="B9" i="4"/>
  <c r="B8" i="4"/>
  <c r="B7" i="4"/>
  <c r="B6" i="4"/>
  <c r="B5" i="4"/>
  <c r="B4" i="4"/>
  <c r="M3" i="4"/>
  <c r="B3" i="4"/>
  <c r="O3" i="4" s="1"/>
  <c r="L9" i="3"/>
  <c r="F17" i="3"/>
  <c r="B4" i="3" s="1"/>
  <c r="F18" i="3"/>
  <c r="B5" i="3" s="1"/>
  <c r="F19" i="3"/>
  <c r="B6" i="3" s="1"/>
  <c r="F20" i="3"/>
  <c r="B7" i="3" s="1"/>
  <c r="F21" i="3"/>
  <c r="B8" i="3" s="1"/>
  <c r="F22" i="3"/>
  <c r="B9" i="3" s="1"/>
  <c r="F23" i="3"/>
  <c r="B10" i="3" s="1"/>
  <c r="F24" i="3"/>
  <c r="B11" i="3" s="1"/>
  <c r="F25" i="3"/>
  <c r="B12" i="3" s="1"/>
  <c r="F26" i="3"/>
  <c r="B13" i="3" s="1"/>
  <c r="F16" i="3"/>
  <c r="O3" i="3"/>
  <c r="M3" i="3"/>
  <c r="S3" i="3" s="1"/>
  <c r="S3" i="4" l="1"/>
  <c r="Q3" i="4"/>
  <c r="L12" i="4" s="1"/>
  <c r="L13" i="4" s="1"/>
  <c r="Q3" i="3"/>
  <c r="L12" i="3" l="1"/>
  <c r="L13" i="3" s="1"/>
  <c r="J4" i="5"/>
  <c r="U3" i="3"/>
  <c r="N4" i="5" s="1"/>
  <c r="O9" i="3"/>
  <c r="O9" i="4"/>
  <c r="N13" i="4" s="1"/>
  <c r="Q11" i="5" s="1"/>
  <c r="U3" i="4"/>
  <c r="P4" i="5" l="1"/>
  <c r="N9" i="3"/>
  <c r="N13" i="3" s="1"/>
  <c r="Q4" i="5" s="1"/>
</calcChain>
</file>

<file path=xl/sharedStrings.xml><?xml version="1.0" encoding="utf-8"?>
<sst xmlns="http://schemas.openxmlformats.org/spreadsheetml/2006/main" count="219" uniqueCount="86">
  <si>
    <t>Q (J)</t>
  </si>
  <si>
    <t>U (W/m2K)</t>
  </si>
  <si>
    <t>Cold</t>
  </si>
  <si>
    <t>Hot</t>
  </si>
  <si>
    <t>dTlm</t>
  </si>
  <si>
    <t>Qt</t>
  </si>
  <si>
    <t>A (m2)</t>
  </si>
  <si>
    <t>m (Water) (kg/s)</t>
  </si>
  <si>
    <t>m (Water) (kg/hour)</t>
  </si>
  <si>
    <t>PET</t>
  </si>
  <si>
    <t>Heater</t>
  </si>
  <si>
    <t>Steam/Organic solvent</t>
  </si>
  <si>
    <t>Tin</t>
  </si>
  <si>
    <t>EG</t>
  </si>
  <si>
    <t>Cooler</t>
  </si>
  <si>
    <t>Water/organic solvent</t>
  </si>
  <si>
    <t>Tout</t>
  </si>
  <si>
    <t>DEG</t>
  </si>
  <si>
    <t>H20</t>
  </si>
  <si>
    <t>ACETALDYHYDE</t>
  </si>
  <si>
    <t>BHET</t>
  </si>
  <si>
    <t>D (m)</t>
  </si>
  <si>
    <t>L (m)</t>
  </si>
  <si>
    <t>SA for One Pipe (m2)</t>
  </si>
  <si>
    <t>V pipes (m3)</t>
  </si>
  <si>
    <t>V (Water) (m3)</t>
  </si>
  <si>
    <t>Specific Volume of Steam at 300C (m3/kg)</t>
  </si>
  <si>
    <t>BHET DIMER</t>
  </si>
  <si>
    <t>IMPURITIES</t>
  </si>
  <si>
    <t>ZINC ACETATE</t>
  </si>
  <si>
    <t>Number of Tubes Required</t>
  </si>
  <si>
    <t>KTiO</t>
  </si>
  <si>
    <t>Vtotal (m3)</t>
  </si>
  <si>
    <t>Absorbent</t>
  </si>
  <si>
    <t>Mass Flow (kg/hour)</t>
  </si>
  <si>
    <t>Specific Heat Capacities (J/kgC)</t>
  </si>
  <si>
    <t>Mass Flow (kg/s)</t>
  </si>
  <si>
    <t>Specific Volume of Water at 20C (m3/kg)</t>
  </si>
  <si>
    <t>dP (Pa)</t>
  </si>
  <si>
    <t>Qp (m3/s)</t>
  </si>
  <si>
    <t>Efficiency (Taken from S&amp;T page 624)</t>
  </si>
  <si>
    <t>Power (W)</t>
  </si>
  <si>
    <t xml:space="preserve">Typical Head (m) </t>
  </si>
  <si>
    <t>50-200</t>
  </si>
  <si>
    <t>Operating Pressure (Pa)</t>
  </si>
  <si>
    <t>NOTE</t>
  </si>
  <si>
    <t>Qp too low for any pump lol</t>
  </si>
  <si>
    <t>Heat Exchange Area (m2)</t>
  </si>
  <si>
    <t>Mass Flowrate of Steam (kg/hour)</t>
  </si>
  <si>
    <t>Number of Tubes</t>
  </si>
  <si>
    <t>Total Volume of Heat Exchanger</t>
  </si>
  <si>
    <t>Mass Flowrate of Water (kg/hour)</t>
  </si>
  <si>
    <t>Molar Flow (kmol/hour)</t>
  </si>
  <si>
    <t>Temperature 1 (◦C)</t>
  </si>
  <si>
    <t>Densities at STP (kg/m3)</t>
  </si>
  <si>
    <t>Pressure (kPa)</t>
  </si>
  <si>
    <t>Molar Flow (kmole/hour)</t>
  </si>
  <si>
    <t xml:space="preserve">H2O </t>
  </si>
  <si>
    <t>Temperature 2 (◦C)</t>
  </si>
  <si>
    <t>ACET</t>
  </si>
  <si>
    <t xml:space="preserve">BHET </t>
  </si>
  <si>
    <t>Assumed for now</t>
  </si>
  <si>
    <t>Cold T1</t>
  </si>
  <si>
    <t>DIBHET</t>
  </si>
  <si>
    <t>Cold T2</t>
  </si>
  <si>
    <t>Zinc Acetate</t>
  </si>
  <si>
    <t>Impurities (mainly LDPE/HDPE)</t>
  </si>
  <si>
    <t>Total Volumetric Flowrate (m3/s)</t>
  </si>
  <si>
    <t>Total Volumetric Flowrate (m3/h)</t>
  </si>
  <si>
    <t>Mass Flow Pump 2</t>
  </si>
  <si>
    <t>Total Volumetric Flowrate 2 (m3/s)</t>
  </si>
  <si>
    <t>Total Volumetric Flowrate 2 (m3/h)</t>
  </si>
  <si>
    <t>Polyethylene Terephthalate Polyester (PET, PETP)</t>
  </si>
  <si>
    <t>Ethylene Glycol Heat-Transfer Fluid Properties</t>
  </si>
  <si>
    <t>Diethylene glycol (Ethylene glycol), C 4 H 10 O 3</t>
  </si>
  <si>
    <t>Specific heat capacity - Energy Education</t>
  </si>
  <si>
    <t>Acetaldehyde</t>
  </si>
  <si>
    <t>Standard diameter and length</t>
  </si>
  <si>
    <t>https://www.thechemicalengineer.com/features/getting-started-part-1-shell-and-tube-heat-exchangers/</t>
  </si>
  <si>
    <t>D = 1inch = 0.0254m</t>
  </si>
  <si>
    <t>L = 6.1m</t>
  </si>
  <si>
    <t>2.4&lt;L&lt;12m</t>
  </si>
  <si>
    <t>Specific Volumes of Steam (m3/kg)</t>
  </si>
  <si>
    <t>Steam Table</t>
  </si>
  <si>
    <t>Design Equations</t>
  </si>
  <si>
    <t>https://www.pdhonline.com/courses/m371/m371content.pdf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</si>
</sst>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/>
    <xf numFmtId="11" fontId="2" fillId="0" borderId="0" xfId="0" applyNumberFormat="1" applyFont="1" applyBorder="1" applyAlignment="1"/>
    <xf numFmtId="0" fontId="2" fillId="0" borderId="0" xfId="0" applyFont="1" applyBorder="1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2" borderId="0" xfId="0" applyFill="1"/>
    <xf numFmtId="0" fontId="0" fillId="0" borderId="0" xfId="0" applyNumberFormat="1"/>
    <xf numFmtId="11" fontId="0" fillId="0" borderId="0" xfId="0" applyNumberFormat="1" applyAlignment="1">
      <alignment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dhonline.com/courses/m371/m371content.pdf" TargetMode="External"/><Relationship Id="rId3" Type="http://schemas.openxmlformats.org/officeDocument/2006/relationships/hyperlink" Target="https://www.matweb.com/search/datasheet.aspx?matguid=4f3bef5f67984f4abc5529c0e93278bf&amp;ckck=1" TargetMode="External"/><Relationship Id="rId7" Type="http://schemas.openxmlformats.org/officeDocument/2006/relationships/hyperlink" Target="https://www.alphagroup.co.th/wp-content/uploads/2019/08/Steam-Table.pdf" TargetMode="External"/><Relationship Id="rId2" Type="http://schemas.openxmlformats.org/officeDocument/2006/relationships/hyperlink" Target="https://www.engineeringtoolbox.com/ethylene-glycol-d_146.html" TargetMode="External"/><Relationship Id="rId1" Type="http://schemas.openxmlformats.org/officeDocument/2006/relationships/hyperlink" Target="https://www.azom.com/article.aspx?ArticleID=2047" TargetMode="External"/><Relationship Id="rId6" Type="http://schemas.openxmlformats.org/officeDocument/2006/relationships/hyperlink" Target="https://www.thechemicalengineer.com/features/getting-started-part-1-shell-and-tube-heat-exchangers/" TargetMode="External"/><Relationship Id="rId5" Type="http://schemas.openxmlformats.org/officeDocument/2006/relationships/hyperlink" Target="https://www.chembk.com/en/chem/Acetaldehyde" TargetMode="External"/><Relationship Id="rId4" Type="http://schemas.openxmlformats.org/officeDocument/2006/relationships/hyperlink" Target="https://energyeducation.ca/encyclopedia/Specific_heat_capa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32E1-770E-4204-AB8E-B194CEB8B6A6}">
  <dimension ref="A2:U26"/>
  <sheetViews>
    <sheetView topLeftCell="C1" workbookViewId="0">
      <selection activeCell="K5" sqref="K5"/>
    </sheetView>
  </sheetViews>
  <sheetFormatPr defaultRowHeight="15"/>
  <cols>
    <col min="1" max="1" width="15.42578125" customWidth="1"/>
    <col min="2" max="2" width="18.140625" customWidth="1"/>
    <col min="4" max="4" width="27.42578125" customWidth="1"/>
    <col min="5" max="5" width="10.140625" bestFit="1" customWidth="1"/>
    <col min="6" max="6" width="20.28515625" bestFit="1" customWidth="1"/>
    <col min="12" max="12" width="24" customWidth="1"/>
    <col min="14" max="14" width="13.140625" customWidth="1"/>
    <col min="15" max="15" width="13.7109375" bestFit="1" customWidth="1"/>
    <col min="17" max="17" width="36.5703125" bestFit="1" customWidth="1"/>
    <col min="19" max="19" width="17.5703125" bestFit="1" customWidth="1"/>
    <col min="21" max="21" width="20.42578125" customWidth="1"/>
  </cols>
  <sheetData>
    <row r="2" spans="1:21" ht="15.75" customHeight="1">
      <c r="B2" t="s">
        <v>0</v>
      </c>
      <c r="E2" t="s">
        <v>1</v>
      </c>
      <c r="I2" t="s">
        <v>2</v>
      </c>
      <c r="K2" t="s">
        <v>3</v>
      </c>
      <c r="M2" t="s">
        <v>4</v>
      </c>
      <c r="O2" t="s">
        <v>5</v>
      </c>
      <c r="Q2" t="s">
        <v>6</v>
      </c>
      <c r="S2" t="s">
        <v>7</v>
      </c>
      <c r="U2" s="6" t="s">
        <v>8</v>
      </c>
    </row>
    <row r="3" spans="1:21">
      <c r="A3" s="1" t="s">
        <v>9</v>
      </c>
      <c r="B3">
        <f>F16*D16*($I$4-$I$3)</f>
        <v>0.55226745888888895</v>
      </c>
      <c r="D3" t="s">
        <v>10</v>
      </c>
      <c r="E3">
        <v>750</v>
      </c>
      <c r="F3" t="s">
        <v>11</v>
      </c>
      <c r="H3" t="s">
        <v>12</v>
      </c>
      <c r="I3">
        <v>110</v>
      </c>
      <c r="J3" t="s">
        <v>12</v>
      </c>
      <c r="K3">
        <v>300</v>
      </c>
      <c r="M3">
        <f>((K3-I4)-(K4-I3))/LN((K3-I4)/(K4-I3))</f>
        <v>14.426950408889635</v>
      </c>
      <c r="O3">
        <f>SUM(B3:B13)</f>
        <v>14881.7876608311</v>
      </c>
      <c r="Q3">
        <f>O3/(E3*M3)</f>
        <v>1.3753692211729145</v>
      </c>
      <c r="S3">
        <f>O3/(D19*M3)</f>
        <v>0.24654084987564195</v>
      </c>
      <c r="U3">
        <f>S3*3600</f>
        <v>887.547059552311</v>
      </c>
    </row>
    <row r="4" spans="1:21">
      <c r="A4" s="1" t="s">
        <v>13</v>
      </c>
      <c r="B4">
        <f t="shared" ref="B4:B13" si="0">F17*D17*($I$4-$I$3)</f>
        <v>2.8821463825000002</v>
      </c>
      <c r="D4" t="s">
        <v>14</v>
      </c>
      <c r="E4">
        <v>500</v>
      </c>
      <c r="F4" t="s">
        <v>15</v>
      </c>
      <c r="H4" t="s">
        <v>16</v>
      </c>
      <c r="I4">
        <v>280</v>
      </c>
      <c r="J4" t="s">
        <v>16</v>
      </c>
      <c r="K4">
        <v>120</v>
      </c>
    </row>
    <row r="5" spans="1:21">
      <c r="A5" s="1" t="s">
        <v>17</v>
      </c>
      <c r="B5">
        <f t="shared" si="0"/>
        <v>0.29263053218333335</v>
      </c>
    </row>
    <row r="6" spans="1:21">
      <c r="A6" s="1" t="s">
        <v>18</v>
      </c>
      <c r="B6">
        <f t="shared" si="0"/>
        <v>7.8027020844444447E-5</v>
      </c>
    </row>
    <row r="7" spans="1:21">
      <c r="A7" s="1" t="s">
        <v>19</v>
      </c>
      <c r="B7">
        <f t="shared" si="0"/>
        <v>3.0967442249999994E-7</v>
      </c>
    </row>
    <row r="8" spans="1:21" ht="17.25" customHeight="1">
      <c r="A8" s="1" t="s">
        <v>20</v>
      </c>
      <c r="B8">
        <f t="shared" si="0"/>
        <v>14878.019284999998</v>
      </c>
      <c r="I8" t="s">
        <v>21</v>
      </c>
      <c r="J8" t="s">
        <v>22</v>
      </c>
      <c r="L8" s="6" t="s">
        <v>23</v>
      </c>
      <c r="N8" s="6" t="s">
        <v>24</v>
      </c>
      <c r="O8" t="s">
        <v>25</v>
      </c>
      <c r="Q8" s="6" t="s">
        <v>26</v>
      </c>
    </row>
    <row r="9" spans="1:21">
      <c r="A9" s="1" t="s">
        <v>27</v>
      </c>
      <c r="B9">
        <f t="shared" si="0"/>
        <v>4.1253120833333337E-2</v>
      </c>
      <c r="I9">
        <v>2.5399999999999999E-2</v>
      </c>
      <c r="J9">
        <v>6.1</v>
      </c>
      <c r="L9" s="7">
        <f>3.14*I9*J9</f>
        <v>0.48651159999999993</v>
      </c>
      <c r="N9">
        <f>3.14*I9^2*J9*L13</f>
        <v>3.7072183919999994E-2</v>
      </c>
      <c r="O9">
        <f>Q9*S3</f>
        <v>5.3992446122765585E-3</v>
      </c>
      <c r="Q9">
        <v>2.1899999999999999E-2</v>
      </c>
    </row>
    <row r="10" spans="1:21">
      <c r="A10" s="1" t="s">
        <v>28</v>
      </c>
      <c r="B10">
        <f t="shared" si="0"/>
        <v>0</v>
      </c>
    </row>
    <row r="11" spans="1:21">
      <c r="A11" s="1" t="s">
        <v>29</v>
      </c>
      <c r="B11">
        <f t="shared" si="0"/>
        <v>0</v>
      </c>
      <c r="L11" t="s">
        <v>30</v>
      </c>
    </row>
    <row r="12" spans="1:21">
      <c r="A12" s="1" t="s">
        <v>31</v>
      </c>
      <c r="B12">
        <f t="shared" si="0"/>
        <v>0</v>
      </c>
      <c r="L12">
        <f>Q3/L9</f>
        <v>2.8270019074014159</v>
      </c>
      <c r="N12" t="s">
        <v>32</v>
      </c>
    </row>
    <row r="13" spans="1:21">
      <c r="A13" s="1" t="s">
        <v>33</v>
      </c>
      <c r="B13">
        <f t="shared" si="0"/>
        <v>0</v>
      </c>
      <c r="L13" s="8">
        <f>ROUNDUP(L12,0)</f>
        <v>3</v>
      </c>
      <c r="N13">
        <f>N9+O9</f>
        <v>4.2471428532276555E-2</v>
      </c>
    </row>
    <row r="15" spans="1:21" ht="17.25" customHeight="1">
      <c r="B15" t="s">
        <v>34</v>
      </c>
      <c r="D15" s="6" t="s">
        <v>35</v>
      </c>
      <c r="F15" t="s">
        <v>36</v>
      </c>
    </row>
    <row r="16" spans="1:21">
      <c r="A16" s="1" t="s">
        <v>9</v>
      </c>
      <c r="B16" s="1">
        <v>8.996212E-3</v>
      </c>
      <c r="D16">
        <v>1300</v>
      </c>
      <c r="F16">
        <f>B16/3600</f>
        <v>2.4989477777777777E-6</v>
      </c>
    </row>
    <row r="17" spans="1:6">
      <c r="A17" s="1" t="s">
        <v>13</v>
      </c>
      <c r="B17" s="1">
        <v>9.2475285000000004E-2</v>
      </c>
      <c r="D17">
        <v>660</v>
      </c>
      <c r="F17">
        <f t="shared" ref="F17:F26" si="1">B17/3600</f>
        <v>2.5687579166666669E-5</v>
      </c>
    </row>
    <row r="18" spans="1:6">
      <c r="A18" s="1" t="s">
        <v>17</v>
      </c>
      <c r="B18" s="1">
        <v>4.0213380000000002E-3</v>
      </c>
      <c r="D18">
        <v>1541</v>
      </c>
      <c r="F18">
        <f t="shared" si="1"/>
        <v>1.1170383333333334E-6</v>
      </c>
    </row>
    <row r="19" spans="1:6">
      <c r="A19" s="1" t="s">
        <v>18</v>
      </c>
      <c r="B19" s="2">
        <v>3.9491799999999999E-7</v>
      </c>
      <c r="D19">
        <v>4184</v>
      </c>
      <c r="F19">
        <f t="shared" si="1"/>
        <v>1.0969944444444444E-10</v>
      </c>
    </row>
    <row r="20" spans="1:6">
      <c r="A20" s="1" t="s">
        <v>19</v>
      </c>
      <c r="B20" s="2">
        <v>4.6509299999999999E-8</v>
      </c>
      <c r="D20">
        <v>141</v>
      </c>
      <c r="F20">
        <f t="shared" si="1"/>
        <v>1.2919249999999999E-11</v>
      </c>
    </row>
    <row r="21" spans="1:6">
      <c r="A21" s="1" t="s">
        <v>20</v>
      </c>
      <c r="B21" s="1">
        <v>210.0426252</v>
      </c>
      <c r="D21">
        <v>1500</v>
      </c>
      <c r="F21">
        <f t="shared" si="1"/>
        <v>5.8345173666666666E-2</v>
      </c>
    </row>
    <row r="22" spans="1:6">
      <c r="A22" s="1" t="s">
        <v>27</v>
      </c>
      <c r="B22" s="1">
        <v>5.8239700000000001E-4</v>
      </c>
      <c r="D22">
        <v>1500</v>
      </c>
      <c r="F22">
        <f t="shared" si="1"/>
        <v>1.6177694444444445E-7</v>
      </c>
    </row>
    <row r="23" spans="1:6">
      <c r="A23" s="1" t="s">
        <v>28</v>
      </c>
      <c r="B23" s="1">
        <v>0</v>
      </c>
      <c r="F23">
        <f t="shared" si="1"/>
        <v>0</v>
      </c>
    </row>
    <row r="24" spans="1:6">
      <c r="A24" s="1" t="s">
        <v>29</v>
      </c>
      <c r="B24" s="1">
        <v>0</v>
      </c>
      <c r="F24">
        <f t="shared" si="1"/>
        <v>0</v>
      </c>
    </row>
    <row r="25" spans="1:6">
      <c r="A25" s="1" t="s">
        <v>31</v>
      </c>
      <c r="B25" s="1">
        <v>0</v>
      </c>
      <c r="F25">
        <f t="shared" si="1"/>
        <v>0</v>
      </c>
    </row>
    <row r="26" spans="1:6">
      <c r="A26" s="1" t="s">
        <v>33</v>
      </c>
      <c r="B26" s="1">
        <v>0</v>
      </c>
      <c r="F26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93F3-9F05-4E17-94EB-1FB6E16C3878}">
  <dimension ref="A2:U26"/>
  <sheetViews>
    <sheetView topLeftCell="D1" workbookViewId="0">
      <selection activeCell="Q3" sqref="Q3"/>
    </sheetView>
  </sheetViews>
  <sheetFormatPr defaultRowHeight="15"/>
  <cols>
    <col min="1" max="1" width="15.42578125" customWidth="1"/>
    <col min="2" max="2" width="18.140625" customWidth="1"/>
    <col min="4" max="4" width="27.42578125" customWidth="1"/>
    <col min="5" max="5" width="10.140625" bestFit="1" customWidth="1"/>
    <col min="6" max="6" width="20.28515625" bestFit="1" customWidth="1"/>
    <col min="12" max="12" width="24" customWidth="1"/>
    <col min="14" max="14" width="13.140625" customWidth="1"/>
    <col min="15" max="15" width="13.7109375" bestFit="1" customWidth="1"/>
    <col min="17" max="17" width="36.5703125" bestFit="1" customWidth="1"/>
    <col min="19" max="19" width="17.5703125" bestFit="1" customWidth="1"/>
    <col min="21" max="21" width="20.42578125" customWidth="1"/>
  </cols>
  <sheetData>
    <row r="2" spans="1:21" ht="15.75" customHeight="1">
      <c r="B2" t="s">
        <v>0</v>
      </c>
      <c r="E2" t="s">
        <v>1</v>
      </c>
      <c r="I2" t="s">
        <v>2</v>
      </c>
      <c r="K2" t="s">
        <v>3</v>
      </c>
      <c r="M2" t="s">
        <v>4</v>
      </c>
      <c r="O2" t="s">
        <v>5</v>
      </c>
      <c r="Q2" t="s">
        <v>6</v>
      </c>
      <c r="S2" t="s">
        <v>7</v>
      </c>
      <c r="U2" s="6" t="s">
        <v>8</v>
      </c>
    </row>
    <row r="3" spans="1:21">
      <c r="A3" s="1" t="s">
        <v>9</v>
      </c>
      <c r="B3">
        <f>F16*D16*($I$4-$I$3)</f>
        <v>6.4972642222222224E-2</v>
      </c>
      <c r="D3" t="s">
        <v>10</v>
      </c>
      <c r="E3">
        <v>750</v>
      </c>
      <c r="F3" t="s">
        <v>11</v>
      </c>
      <c r="H3" t="s">
        <v>12</v>
      </c>
      <c r="I3">
        <v>20</v>
      </c>
      <c r="J3" t="s">
        <v>12</v>
      </c>
      <c r="K3">
        <v>280</v>
      </c>
      <c r="M3">
        <f>((K3-I4)-(K4-I3))/LN((K3-I4)/(K4-I3))</f>
        <v>219.39259790988314</v>
      </c>
      <c r="O3">
        <f>SUM(B3:B13)</f>
        <v>1750.7985483330706</v>
      </c>
      <c r="Q3">
        <f>O3/(E3*M3)</f>
        <v>1.0640277232156039E-2</v>
      </c>
      <c r="S3">
        <f>O3/(D19*M3)</f>
        <v>1.9073154694352365E-3</v>
      </c>
      <c r="U3">
        <f>S3*3600</f>
        <v>6.8663356899668511</v>
      </c>
    </row>
    <row r="4" spans="1:21">
      <c r="A4" s="1" t="s">
        <v>13</v>
      </c>
      <c r="B4">
        <f t="shared" ref="B4:B13" si="0">F17*D17*($I$4-$I$3)</f>
        <v>0.33907604499999999</v>
      </c>
      <c r="D4" t="s">
        <v>14</v>
      </c>
      <c r="E4">
        <v>500</v>
      </c>
      <c r="F4" t="s">
        <v>15</v>
      </c>
      <c r="H4" t="s">
        <v>16</v>
      </c>
      <c r="I4">
        <v>40</v>
      </c>
      <c r="J4" t="s">
        <v>16</v>
      </c>
      <c r="K4">
        <v>220</v>
      </c>
    </row>
    <row r="5" spans="1:21">
      <c r="A5" s="1" t="s">
        <v>17</v>
      </c>
      <c r="B5">
        <f t="shared" si="0"/>
        <v>3.4427121433333333E-2</v>
      </c>
    </row>
    <row r="6" spans="1:21">
      <c r="A6" s="1" t="s">
        <v>18</v>
      </c>
      <c r="B6">
        <f t="shared" si="0"/>
        <v>9.1796495111111103E-6</v>
      </c>
    </row>
    <row r="7" spans="1:21">
      <c r="A7" s="1" t="s">
        <v>19</v>
      </c>
      <c r="B7">
        <f t="shared" si="0"/>
        <v>3.6432284999999993E-8</v>
      </c>
    </row>
    <row r="8" spans="1:21" ht="17.25" customHeight="1">
      <c r="A8" s="1" t="s">
        <v>20</v>
      </c>
      <c r="B8">
        <f t="shared" si="0"/>
        <v>1750.3552099999999</v>
      </c>
      <c r="I8" t="s">
        <v>21</v>
      </c>
      <c r="J8" t="s">
        <v>22</v>
      </c>
      <c r="L8" s="6" t="s">
        <v>23</v>
      </c>
      <c r="N8" s="6" t="s">
        <v>24</v>
      </c>
      <c r="O8" t="s">
        <v>25</v>
      </c>
      <c r="Q8" s="6" t="s">
        <v>37</v>
      </c>
    </row>
    <row r="9" spans="1:21" ht="13.5" customHeight="1">
      <c r="A9" s="1" t="s">
        <v>27</v>
      </c>
      <c r="B9">
        <f t="shared" si="0"/>
        <v>4.8533083333333338E-3</v>
      </c>
      <c r="I9">
        <v>2.5399999999999999E-2</v>
      </c>
      <c r="J9">
        <v>6.1</v>
      </c>
      <c r="L9" s="7">
        <f>3.14*I9*J9</f>
        <v>0.48651159999999993</v>
      </c>
      <c r="N9" s="6">
        <f>3.14*I9^2*J9*L13</f>
        <v>1.2357394639999998E-2</v>
      </c>
      <c r="O9">
        <f>Q9*S3</f>
        <v>1.9111377449250865E-6</v>
      </c>
      <c r="Q9">
        <f>1/998</f>
        <v>1.002004008016032E-3</v>
      </c>
    </row>
    <row r="10" spans="1:21">
      <c r="A10" s="1" t="s">
        <v>28</v>
      </c>
      <c r="B10">
        <f t="shared" si="0"/>
        <v>0</v>
      </c>
    </row>
    <row r="11" spans="1:21">
      <c r="A11" s="1" t="s">
        <v>29</v>
      </c>
      <c r="B11">
        <f t="shared" si="0"/>
        <v>0</v>
      </c>
      <c r="L11" t="s">
        <v>30</v>
      </c>
    </row>
    <row r="12" spans="1:21">
      <c r="A12" s="1" t="s">
        <v>31</v>
      </c>
      <c r="B12">
        <f t="shared" si="0"/>
        <v>0</v>
      </c>
      <c r="L12">
        <f>Q3/L9</f>
        <v>2.1870551970715683E-2</v>
      </c>
      <c r="N12" t="s">
        <v>32</v>
      </c>
    </row>
    <row r="13" spans="1:21">
      <c r="A13" s="1" t="s">
        <v>33</v>
      </c>
      <c r="B13">
        <f t="shared" si="0"/>
        <v>0</v>
      </c>
      <c r="L13" s="8">
        <f>ROUNDUP(L12,0)</f>
        <v>1</v>
      </c>
      <c r="N13">
        <f>N9+O9</f>
        <v>1.2359305777744923E-2</v>
      </c>
    </row>
    <row r="15" spans="1:21" ht="17.25" customHeight="1">
      <c r="B15" t="s">
        <v>34</v>
      </c>
      <c r="D15" s="6" t="s">
        <v>35</v>
      </c>
      <c r="F15" t="s">
        <v>36</v>
      </c>
    </row>
    <row r="16" spans="1:21">
      <c r="A16" s="1" t="s">
        <v>9</v>
      </c>
      <c r="B16" s="1">
        <v>8.996212E-3</v>
      </c>
      <c r="D16">
        <v>1300</v>
      </c>
      <c r="F16">
        <f>B16/3600</f>
        <v>2.4989477777777777E-6</v>
      </c>
    </row>
    <row r="17" spans="1:6">
      <c r="A17" s="1" t="s">
        <v>13</v>
      </c>
      <c r="B17" s="1">
        <v>9.2475285000000004E-2</v>
      </c>
      <c r="D17">
        <v>660</v>
      </c>
      <c r="F17">
        <f t="shared" ref="F17:F26" si="1">B17/3600</f>
        <v>2.5687579166666669E-5</v>
      </c>
    </row>
    <row r="18" spans="1:6">
      <c r="A18" s="1" t="s">
        <v>17</v>
      </c>
      <c r="B18" s="1">
        <v>4.0213380000000002E-3</v>
      </c>
      <c r="D18">
        <v>1541</v>
      </c>
      <c r="F18">
        <f t="shared" si="1"/>
        <v>1.1170383333333334E-6</v>
      </c>
    </row>
    <row r="19" spans="1:6">
      <c r="A19" s="1" t="s">
        <v>18</v>
      </c>
      <c r="B19" s="2">
        <v>3.9491799999999999E-7</v>
      </c>
      <c r="D19">
        <v>4184</v>
      </c>
      <c r="F19">
        <f t="shared" si="1"/>
        <v>1.0969944444444444E-10</v>
      </c>
    </row>
    <row r="20" spans="1:6">
      <c r="A20" s="1" t="s">
        <v>19</v>
      </c>
      <c r="B20" s="2">
        <v>4.6509299999999999E-8</v>
      </c>
      <c r="D20">
        <v>141</v>
      </c>
      <c r="F20">
        <f t="shared" si="1"/>
        <v>1.2919249999999999E-11</v>
      </c>
    </row>
    <row r="21" spans="1:6">
      <c r="A21" s="1" t="s">
        <v>20</v>
      </c>
      <c r="B21" s="1">
        <v>210.0426252</v>
      </c>
      <c r="D21">
        <v>1500</v>
      </c>
      <c r="F21">
        <f t="shared" si="1"/>
        <v>5.8345173666666666E-2</v>
      </c>
    </row>
    <row r="22" spans="1:6">
      <c r="A22" s="1" t="s">
        <v>27</v>
      </c>
      <c r="B22" s="1">
        <v>5.8239700000000001E-4</v>
      </c>
      <c r="D22">
        <v>1500</v>
      </c>
      <c r="F22">
        <f t="shared" si="1"/>
        <v>1.6177694444444445E-7</v>
      </c>
    </row>
    <row r="23" spans="1:6">
      <c r="A23" s="1" t="s">
        <v>28</v>
      </c>
      <c r="B23" s="1">
        <v>0</v>
      </c>
      <c r="F23">
        <f t="shared" si="1"/>
        <v>0</v>
      </c>
    </row>
    <row r="24" spans="1:6">
      <c r="A24" s="1" t="s">
        <v>29</v>
      </c>
      <c r="B24" s="1">
        <v>0</v>
      </c>
      <c r="F24">
        <f t="shared" si="1"/>
        <v>0</v>
      </c>
    </row>
    <row r="25" spans="1:6">
      <c r="A25" s="1" t="s">
        <v>31</v>
      </c>
      <c r="B25" s="1">
        <v>0</v>
      </c>
      <c r="F25">
        <f t="shared" si="1"/>
        <v>0</v>
      </c>
    </row>
    <row r="26" spans="1:6">
      <c r="A26" s="1" t="s">
        <v>33</v>
      </c>
      <c r="B26" s="1">
        <v>0</v>
      </c>
      <c r="F26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235B-500F-46C8-838B-E66C14348AD5}">
  <dimension ref="B2:J11"/>
  <sheetViews>
    <sheetView workbookViewId="0">
      <selection activeCell="D3" sqref="D3"/>
    </sheetView>
  </sheetViews>
  <sheetFormatPr defaultRowHeight="15"/>
  <cols>
    <col min="2" max="2" width="24" bestFit="1" customWidth="1"/>
    <col min="4" max="4" width="9.42578125" bestFit="1" customWidth="1"/>
    <col min="6" max="6" width="32.28515625" bestFit="1" customWidth="1"/>
    <col min="8" max="8" width="9.5703125" bestFit="1" customWidth="1"/>
    <col min="10" max="10" width="15.5703125" bestFit="1" customWidth="1"/>
  </cols>
  <sheetData>
    <row r="2" spans="2:10">
      <c r="B2" t="s">
        <v>38</v>
      </c>
      <c r="D2" t="s">
        <v>39</v>
      </c>
      <c r="F2" t="s">
        <v>40</v>
      </c>
      <c r="H2" t="s">
        <v>41</v>
      </c>
      <c r="J2" t="s">
        <v>42</v>
      </c>
    </row>
    <row r="3" spans="2:10">
      <c r="B3">
        <f>101325-B6</f>
        <v>101321</v>
      </c>
      <c r="D3">
        <f>Data!E16</f>
        <v>4.4906986985578336E-5</v>
      </c>
      <c r="F3">
        <v>90</v>
      </c>
      <c r="H3">
        <f>((B3*D3)/F3)*100</f>
        <v>5.0555786981842026</v>
      </c>
      <c r="J3" t="s">
        <v>43</v>
      </c>
    </row>
    <row r="5" spans="2:10">
      <c r="B5" t="s">
        <v>44</v>
      </c>
    </row>
    <row r="6" spans="2:10">
      <c r="B6">
        <v>4</v>
      </c>
    </row>
    <row r="10" spans="2:10">
      <c r="B10" t="s">
        <v>45</v>
      </c>
    </row>
    <row r="11" spans="2:10">
      <c r="B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C07F-1F48-4A1D-A7F8-96877F04B9B7}">
  <dimension ref="B2:J11"/>
  <sheetViews>
    <sheetView tabSelected="1" workbookViewId="0">
      <selection activeCell="H3" sqref="H3"/>
    </sheetView>
  </sheetViews>
  <sheetFormatPr defaultRowHeight="15"/>
  <cols>
    <col min="2" max="2" width="24" bestFit="1" customWidth="1"/>
    <col min="4" max="4" width="9.42578125" bestFit="1" customWidth="1"/>
    <col min="6" max="6" width="32.28515625" bestFit="1" customWidth="1"/>
    <col min="8" max="8" width="9.5703125" bestFit="1" customWidth="1"/>
    <col min="10" max="10" width="15.5703125" bestFit="1" customWidth="1"/>
  </cols>
  <sheetData>
    <row r="2" spans="2:10">
      <c r="B2" t="s">
        <v>38</v>
      </c>
      <c r="D2" t="s">
        <v>39</v>
      </c>
      <c r="F2" t="s">
        <v>40</v>
      </c>
      <c r="H2" t="s">
        <v>41</v>
      </c>
      <c r="J2" t="s">
        <v>42</v>
      </c>
    </row>
    <row r="3" spans="2:10">
      <c r="B3">
        <f>101325-B6</f>
        <v>101321</v>
      </c>
      <c r="D3">
        <f>Data!E20</f>
        <v>2.636752136752137E-5</v>
      </c>
      <c r="F3">
        <v>90</v>
      </c>
      <c r="H3">
        <f>((B3*D3)/F3)*100</f>
        <v>2.9684262583095919</v>
      </c>
      <c r="J3" t="s">
        <v>43</v>
      </c>
    </row>
    <row r="5" spans="2:10">
      <c r="B5" t="s">
        <v>44</v>
      </c>
    </row>
    <row r="6" spans="2:10">
      <c r="B6">
        <v>4</v>
      </c>
    </row>
    <row r="10" spans="2:10">
      <c r="B10" t="s">
        <v>45</v>
      </c>
    </row>
    <row r="11" spans="2:10">
      <c r="B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D308-FDE0-4A97-9A2E-9350F5479B9C}">
  <dimension ref="B2:Q11"/>
  <sheetViews>
    <sheetView workbookViewId="0">
      <selection activeCell="J15" sqref="J15"/>
    </sheetView>
  </sheetViews>
  <sheetFormatPr defaultRowHeight="15"/>
  <cols>
    <col min="10" max="10" width="22.28515625" bestFit="1" customWidth="1"/>
    <col min="14" max="14" width="29.42578125" bestFit="1" customWidth="1"/>
    <col min="16" max="16" width="15.42578125" bestFit="1" customWidth="1"/>
    <col min="17" max="17" width="27.85546875" bestFit="1" customWidth="1"/>
  </cols>
  <sheetData>
    <row r="2" spans="2:17">
      <c r="B2" s="11" t="s">
        <v>10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2:17">
      <c r="B3" t="s">
        <v>2</v>
      </c>
      <c r="C3" t="s">
        <v>12</v>
      </c>
      <c r="D3" t="s">
        <v>16</v>
      </c>
      <c r="F3" t="s">
        <v>3</v>
      </c>
      <c r="G3" t="s">
        <v>12</v>
      </c>
      <c r="H3" t="s">
        <v>16</v>
      </c>
      <c r="J3" t="s">
        <v>47</v>
      </c>
      <c r="K3" t="s">
        <v>21</v>
      </c>
      <c r="L3" t="s">
        <v>22</v>
      </c>
      <c r="N3" t="s">
        <v>48</v>
      </c>
      <c r="P3" t="s">
        <v>49</v>
      </c>
      <c r="Q3" t="s">
        <v>50</v>
      </c>
    </row>
    <row r="4" spans="2:17">
      <c r="C4">
        <f>'Heat Exchanger 1 - Heater'!I3</f>
        <v>110</v>
      </c>
      <c r="D4">
        <f>'Heat Exchanger 1 - Heater'!I4</f>
        <v>280</v>
      </c>
      <c r="G4">
        <f>'Heat Exchanger 1 - Heater'!K3</f>
        <v>300</v>
      </c>
      <c r="H4">
        <f>'Heat Exchanger 1 - Heater'!K4</f>
        <v>120</v>
      </c>
      <c r="J4">
        <f>'Heat Exchanger 1 - Heater'!Q3</f>
        <v>1.3753692211729145</v>
      </c>
      <c r="K4">
        <f>'Heat Exchanger 1 - Heater'!I9</f>
        <v>2.5399999999999999E-2</v>
      </c>
      <c r="L4">
        <f>'Heat Exchanger 1 - Heater'!J9</f>
        <v>6.1</v>
      </c>
      <c r="N4">
        <f>'Heat Exchanger 1 - Heater'!U3</f>
        <v>887.547059552311</v>
      </c>
      <c r="P4">
        <f>'Heat Exchanger 1 - Heater'!L13</f>
        <v>3</v>
      </c>
      <c r="Q4">
        <f>'Heat Exchanger 1 - Heater'!N13</f>
        <v>4.2471428532276555E-2</v>
      </c>
    </row>
    <row r="9" spans="2:17">
      <c r="B9" s="12" t="s">
        <v>14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2:17">
      <c r="B10" t="s">
        <v>2</v>
      </c>
      <c r="C10" t="s">
        <v>12</v>
      </c>
      <c r="D10" t="s">
        <v>16</v>
      </c>
      <c r="F10" t="s">
        <v>3</v>
      </c>
      <c r="G10" t="s">
        <v>12</v>
      </c>
      <c r="H10" t="s">
        <v>16</v>
      </c>
      <c r="J10" t="s">
        <v>47</v>
      </c>
      <c r="K10" t="s">
        <v>21</v>
      </c>
      <c r="L10" t="s">
        <v>22</v>
      </c>
      <c r="N10" t="s">
        <v>51</v>
      </c>
      <c r="P10" t="s">
        <v>49</v>
      </c>
      <c r="Q10" t="s">
        <v>50</v>
      </c>
    </row>
    <row r="11" spans="2:17">
      <c r="C11">
        <f>'Heat Exchanger 2 - Cooler'!I3</f>
        <v>20</v>
      </c>
      <c r="D11">
        <f>'Heat Exchanger 2 - Cooler'!I4</f>
        <v>40</v>
      </c>
      <c r="G11">
        <f>'Heat Exchanger 2 - Cooler'!K3</f>
        <v>280</v>
      </c>
      <c r="H11">
        <f>'Heat Exchanger 2 - Cooler'!K4</f>
        <v>220</v>
      </c>
      <c r="J11">
        <f>'Heat Exchanger 2 - Cooler'!Q3</f>
        <v>1.0640277232156039E-2</v>
      </c>
      <c r="K11">
        <f>'Heat Exchanger 2 - Cooler'!I9</f>
        <v>2.5399999999999999E-2</v>
      </c>
      <c r="L11">
        <f>'Heat Exchanger 2 - Cooler'!J9</f>
        <v>6.1</v>
      </c>
      <c r="N11">
        <f>'Heat Exchanger 2 - Cooler'!U3</f>
        <v>6.8663356899668511</v>
      </c>
      <c r="P11">
        <f>'Heat Exchanger 2 - Cooler'!L13</f>
        <v>1</v>
      </c>
      <c r="Q11">
        <f>'Heat Exchanger 2 - Cooler'!N13</f>
        <v>1.2359305777744923E-2</v>
      </c>
    </row>
  </sheetData>
  <mergeCells count="2">
    <mergeCell ref="B2:Q2"/>
    <mergeCell ref="B9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"/>
  <sheetViews>
    <sheetView workbookViewId="0">
      <selection activeCell="E21" sqref="E21"/>
    </sheetView>
  </sheetViews>
  <sheetFormatPr defaultRowHeight="15"/>
  <cols>
    <col min="2" max="2" width="14.7109375" bestFit="1" customWidth="1"/>
    <col min="3" max="3" width="20.7109375" bestFit="1" customWidth="1"/>
    <col min="4" max="4" width="12.28515625" customWidth="1"/>
    <col min="5" max="5" width="36.5703125" bestFit="1" customWidth="1"/>
    <col min="6" max="6" width="29.5703125" customWidth="1"/>
    <col min="8" max="8" width="27.42578125" bestFit="1" customWidth="1"/>
    <col min="11" max="11" width="28.140625" bestFit="1" customWidth="1"/>
    <col min="12" max="12" width="15.5703125" bestFit="1" customWidth="1"/>
  </cols>
  <sheetData>
    <row r="2" spans="2:12">
      <c r="C2" t="s">
        <v>52</v>
      </c>
      <c r="E2" s="1" t="s">
        <v>53</v>
      </c>
      <c r="F2" s="1">
        <v>108</v>
      </c>
      <c r="H2" s="1" t="s">
        <v>54</v>
      </c>
      <c r="I2" s="1"/>
      <c r="K2" t="s">
        <v>35</v>
      </c>
    </row>
    <row r="3" spans="2:12">
      <c r="B3" s="1" t="s">
        <v>9</v>
      </c>
      <c r="C3" s="2">
        <v>9.3109199999999996E-7</v>
      </c>
      <c r="D3" s="2"/>
      <c r="E3" s="1" t="s">
        <v>55</v>
      </c>
      <c r="F3" s="1">
        <v>101.3</v>
      </c>
      <c r="H3" s="1" t="s">
        <v>9</v>
      </c>
      <c r="I3" s="1">
        <v>1300</v>
      </c>
      <c r="K3">
        <v>1.3</v>
      </c>
    </row>
    <row r="4" spans="2:12">
      <c r="B4" s="1" t="s">
        <v>13</v>
      </c>
      <c r="C4" s="1">
        <v>1.491537E-3</v>
      </c>
      <c r="D4" s="1"/>
      <c r="E4" s="1" t="s">
        <v>34</v>
      </c>
      <c r="F4" s="1">
        <v>210.14870089999999</v>
      </c>
      <c r="H4" s="1" t="s">
        <v>13</v>
      </c>
      <c r="I4" s="1">
        <v>1115</v>
      </c>
      <c r="K4">
        <v>0.66</v>
      </c>
    </row>
    <row r="5" spans="2:12">
      <c r="B5" s="1" t="s">
        <v>17</v>
      </c>
      <c r="C5" s="2">
        <v>3.79372E-5</v>
      </c>
      <c r="D5" s="2"/>
      <c r="E5" s="1" t="s">
        <v>56</v>
      </c>
      <c r="F5" s="1">
        <v>0.82847104400000005</v>
      </c>
      <c r="H5" s="1" t="s">
        <v>17</v>
      </c>
      <c r="I5" s="1">
        <v>1118</v>
      </c>
      <c r="K5">
        <v>1.5409999999999999</v>
      </c>
    </row>
    <row r="6" spans="2:12">
      <c r="B6" s="1" t="s">
        <v>18</v>
      </c>
      <c r="C6" s="2">
        <v>2.1939900000000001E-8</v>
      </c>
      <c r="D6" s="2"/>
      <c r="H6" s="1" t="s">
        <v>57</v>
      </c>
      <c r="I6" s="1">
        <v>998</v>
      </c>
      <c r="K6">
        <v>4.1840000000000002</v>
      </c>
    </row>
    <row r="7" spans="2:12">
      <c r="B7" s="1" t="s">
        <v>19</v>
      </c>
      <c r="C7" s="2">
        <v>1.05703E-9</v>
      </c>
      <c r="D7" s="2"/>
      <c r="E7" t="s">
        <v>58</v>
      </c>
      <c r="F7">
        <v>280</v>
      </c>
      <c r="H7" s="1" t="s">
        <v>59</v>
      </c>
      <c r="I7" s="1">
        <v>788</v>
      </c>
      <c r="K7">
        <v>1.41</v>
      </c>
    </row>
    <row r="8" spans="2:12">
      <c r="B8" s="1" t="s">
        <v>20</v>
      </c>
      <c r="C8" s="1">
        <v>0.82693946900000004</v>
      </c>
      <c r="D8" s="1"/>
      <c r="H8" s="1" t="s">
        <v>60</v>
      </c>
      <c r="I8" s="1">
        <v>1300</v>
      </c>
      <c r="K8">
        <v>1.5</v>
      </c>
      <c r="L8" t="s">
        <v>61</v>
      </c>
    </row>
    <row r="9" spans="2:12">
      <c r="B9" s="1" t="s">
        <v>27</v>
      </c>
      <c r="C9" s="2">
        <v>1.1464500000000001E-6</v>
      </c>
      <c r="D9" s="2"/>
      <c r="E9" t="s">
        <v>62</v>
      </c>
      <c r="H9" s="1" t="s">
        <v>63</v>
      </c>
      <c r="I9" s="1">
        <v>1300</v>
      </c>
      <c r="K9">
        <v>1.5</v>
      </c>
      <c r="L9" t="s">
        <v>61</v>
      </c>
    </row>
    <row r="10" spans="2:12">
      <c r="B10" s="1" t="s">
        <v>28</v>
      </c>
      <c r="C10" s="1">
        <v>0</v>
      </c>
      <c r="D10" s="1"/>
      <c r="E10" t="s">
        <v>64</v>
      </c>
      <c r="H10" s="3" t="s">
        <v>65</v>
      </c>
      <c r="I10" s="1">
        <v>1740</v>
      </c>
    </row>
    <row r="11" spans="2:12" ht="16.5" customHeight="1">
      <c r="B11" s="1" t="s">
        <v>29</v>
      </c>
      <c r="C11" s="1">
        <v>0</v>
      </c>
      <c r="D11" s="1"/>
      <c r="H11" s="1" t="s">
        <v>66</v>
      </c>
      <c r="I11" s="1">
        <v>940</v>
      </c>
    </row>
    <row r="12" spans="2:12" ht="15" customHeight="1">
      <c r="B12" s="1" t="s">
        <v>31</v>
      </c>
      <c r="C12" s="1">
        <v>0</v>
      </c>
      <c r="D12" s="1"/>
      <c r="H12" s="3" t="s">
        <v>31</v>
      </c>
      <c r="I12" s="1">
        <v>3100</v>
      </c>
    </row>
    <row r="13" spans="2:12" ht="16.5" customHeight="1">
      <c r="B13" s="1" t="s">
        <v>33</v>
      </c>
      <c r="C13" s="1">
        <v>0</v>
      </c>
      <c r="D13" s="1"/>
    </row>
    <row r="15" spans="2:12">
      <c r="C15" t="s">
        <v>34</v>
      </c>
      <c r="E15" t="s">
        <v>67</v>
      </c>
      <c r="F15" t="s">
        <v>68</v>
      </c>
      <c r="H15" t="s">
        <v>69</v>
      </c>
    </row>
    <row r="16" spans="2:12">
      <c r="B16" s="1" t="s">
        <v>9</v>
      </c>
      <c r="C16" s="1">
        <v>8.996212E-3</v>
      </c>
      <c r="E16" s="10">
        <f>((C16/I3)+(C17/I4)+(C18/I5)+(C19/I6)+(C20/I7)+(C21/I8)+(C22/I9)+(C23/I11)+(C24/I10)+(C25/I12))/3600</f>
        <v>4.4906986985578336E-5</v>
      </c>
      <c r="F16" s="9">
        <f>E16*3600</f>
        <v>0.161665153148082</v>
      </c>
      <c r="H16">
        <v>123.4</v>
      </c>
    </row>
    <row r="17" spans="2:6">
      <c r="B17" s="1" t="s">
        <v>13</v>
      </c>
      <c r="C17" s="1">
        <v>9.2475285000000004E-2</v>
      </c>
    </row>
    <row r="18" spans="2:6">
      <c r="B18" s="1" t="s">
        <v>17</v>
      </c>
      <c r="C18" s="1">
        <v>4.0213380000000002E-3</v>
      </c>
    </row>
    <row r="19" spans="2:6" ht="13.5" customHeight="1">
      <c r="B19" s="1" t="s">
        <v>18</v>
      </c>
      <c r="C19" s="2">
        <v>3.9491799999999999E-7</v>
      </c>
      <c r="E19" s="6" t="s">
        <v>70</v>
      </c>
      <c r="F19" s="6" t="s">
        <v>71</v>
      </c>
    </row>
    <row r="20" spans="2:6">
      <c r="B20" s="1" t="s">
        <v>19</v>
      </c>
      <c r="C20" s="2">
        <v>4.6509299999999999E-8</v>
      </c>
      <c r="E20" s="9">
        <f>F20/3600</f>
        <v>2.636752136752137E-5</v>
      </c>
      <c r="F20">
        <f>H16/I3</f>
        <v>9.4923076923076929E-2</v>
      </c>
    </row>
    <row r="21" spans="2:6">
      <c r="B21" s="1" t="s">
        <v>20</v>
      </c>
      <c r="C21" s="1">
        <v>210.0426252</v>
      </c>
    </row>
    <row r="22" spans="2:6">
      <c r="B22" s="1" t="s">
        <v>27</v>
      </c>
      <c r="C22" s="1">
        <v>5.8239700000000001E-4</v>
      </c>
    </row>
    <row r="23" spans="2:6">
      <c r="B23" s="1" t="s">
        <v>28</v>
      </c>
      <c r="C23" s="1">
        <v>0</v>
      </c>
    </row>
    <row r="24" spans="2:6">
      <c r="B24" s="1" t="s">
        <v>29</v>
      </c>
      <c r="C24" s="1">
        <v>0</v>
      </c>
    </row>
    <row r="25" spans="2:6">
      <c r="B25" s="1" t="s">
        <v>31</v>
      </c>
      <c r="C25" s="1">
        <v>0</v>
      </c>
    </row>
    <row r="26" spans="2:6">
      <c r="B26" s="1" t="s">
        <v>33</v>
      </c>
      <c r="C2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C311-52FB-4BA2-B8D6-901A3B0A9DCB}">
  <dimension ref="B2:C23"/>
  <sheetViews>
    <sheetView workbookViewId="0">
      <selection activeCell="I26" sqref="I26"/>
    </sheetView>
  </sheetViews>
  <sheetFormatPr defaultRowHeight="15"/>
  <cols>
    <col min="2" max="2" width="32.5703125" customWidth="1"/>
    <col min="3" max="3" width="46.28515625" customWidth="1"/>
  </cols>
  <sheetData>
    <row r="2" spans="2:3">
      <c r="B2" t="s">
        <v>35</v>
      </c>
    </row>
    <row r="3" spans="2:3" ht="15" customHeight="1">
      <c r="B3" s="1" t="s">
        <v>9</v>
      </c>
      <c r="C3" s="5" t="s">
        <v>72</v>
      </c>
    </row>
    <row r="4" spans="2:3">
      <c r="B4" s="1" t="s">
        <v>13</v>
      </c>
      <c r="C4" s="4" t="s">
        <v>73</v>
      </c>
    </row>
    <row r="5" spans="2:3">
      <c r="B5" s="1" t="s">
        <v>17</v>
      </c>
      <c r="C5" s="4" t="s">
        <v>74</v>
      </c>
    </row>
    <row r="6" spans="2:3">
      <c r="B6" s="1" t="s">
        <v>57</v>
      </c>
      <c r="C6" s="4" t="s">
        <v>75</v>
      </c>
    </row>
    <row r="7" spans="2:3">
      <c r="B7" s="1" t="s">
        <v>59</v>
      </c>
      <c r="C7" s="4" t="s">
        <v>76</v>
      </c>
    </row>
    <row r="8" spans="2:3">
      <c r="B8" s="1" t="s">
        <v>60</v>
      </c>
    </row>
    <row r="9" spans="2:3">
      <c r="B9" s="1" t="s">
        <v>60</v>
      </c>
    </row>
    <row r="10" spans="2:3">
      <c r="B10" s="3" t="s">
        <v>65</v>
      </c>
    </row>
    <row r="11" spans="2:3">
      <c r="B11" s="1" t="s">
        <v>66</v>
      </c>
    </row>
    <row r="12" spans="2:3">
      <c r="B12" s="3" t="s">
        <v>31</v>
      </c>
    </row>
    <row r="15" spans="2:3">
      <c r="B15" t="s">
        <v>77</v>
      </c>
      <c r="C15" s="4" t="s">
        <v>78</v>
      </c>
    </row>
    <row r="16" spans="2:3">
      <c r="B16" t="s">
        <v>79</v>
      </c>
    </row>
    <row r="17" spans="2:3">
      <c r="B17" t="s">
        <v>80</v>
      </c>
      <c r="C17" t="s">
        <v>81</v>
      </c>
    </row>
    <row r="19" spans="2:3" ht="15.75" customHeight="1">
      <c r="B19" s="6" t="s">
        <v>82</v>
      </c>
    </row>
    <row r="20" spans="2:3">
      <c r="B20" s="4" t="s">
        <v>83</v>
      </c>
    </row>
    <row r="22" spans="2:3">
      <c r="B22" t="s">
        <v>84</v>
      </c>
    </row>
    <row r="23" spans="2:3">
      <c r="B23" s="4" t="s">
        <v>85</v>
      </c>
    </row>
  </sheetData>
  <hyperlinks>
    <hyperlink ref="C3" r:id="rId1" xr:uid="{AD31A1F0-A9A8-4BFA-AAD2-B55CD1EBF9EB}"/>
    <hyperlink ref="C4" r:id="rId2" xr:uid="{E266D9F0-AF4B-43DD-9D68-2118560F94AF}"/>
    <hyperlink ref="C5" r:id="rId3" xr:uid="{D68EEB05-79A0-4279-817D-9270C27ABDE4}"/>
    <hyperlink ref="C6" r:id="rId4" xr:uid="{7135627D-ABDE-4187-A6FE-66DBB97E4144}"/>
    <hyperlink ref="C7" r:id="rId5" xr:uid="{C205DE82-F949-47AA-8A03-1FF11FB1B73A}"/>
    <hyperlink ref="C15" r:id="rId6" xr:uid="{418A9264-1A93-4965-9F01-689CBAB08FFB}"/>
    <hyperlink ref="B20" r:id="rId7" xr:uid="{16D97170-5BEC-4A53-81FA-0C4E17BA9601}"/>
    <hyperlink ref="B23" r:id="rId8" xr:uid="{D896F6D1-F05D-4F72-BD22-602666FEF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 MacDonald</cp:lastModifiedBy>
  <cp:revision/>
  <dcterms:created xsi:type="dcterms:W3CDTF">2025-03-03T15:17:33Z</dcterms:created>
  <dcterms:modified xsi:type="dcterms:W3CDTF">2025-03-18T15:06:06Z</dcterms:modified>
  <cp:category/>
  <cp:contentStatus/>
</cp:coreProperties>
</file>