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/>
  <mc:AlternateContent xmlns:mc="http://schemas.openxmlformats.org/markup-compatibility/2006">
    <mc:Choice Requires="x15">
      <x15ac:absPath xmlns:x15ac="http://schemas.microsoft.com/office/spreadsheetml/2010/11/ac" url="https://d.docs.live.net/C0B19DEEABD71509/CP407/Phase 2/Individual Work/"/>
    </mc:Choice>
  </mc:AlternateContent>
  <xr:revisionPtr revIDLastSave="844" documentId="11_0B1D56BE9CDCCE836B02CE7A5FB0D4A9BBFD1C62" xr6:coauthVersionLast="47" xr6:coauthVersionMax="47" xr10:uidLastSave="{83A3CF5B-65ED-4877-9989-B2929BF84847}"/>
  <bookViews>
    <workbookView xWindow="-120" yWindow="-120" windowWidth="29040" windowHeight="15840" firstSheet="1" activeTab="2" xr2:uid="{00000000-000D-0000-FFFF-FFFF00000000}"/>
  </bookViews>
  <sheets>
    <sheet name="CSTR Size" sheetId="3" r:id="rId1"/>
    <sheet name="Impeller" sheetId="5" r:id="rId2"/>
    <sheet name="Heat Jacket CSTR" sheetId="2" r:id="rId3"/>
    <sheet name="PFR Size" sheetId="6" r:id="rId4"/>
    <sheet name="Heat Jacket PFR" sheetId="7" r:id="rId5"/>
    <sheet name="Rough Working for Matlab" sheetId="1" r:id="rId6"/>
    <sheet name="References" sheetId="4" r:id="rId7"/>
  </sheets>
  <definedNames>
    <definedName name="CIQWBGuid" hidden="1">"c2706472-5b8a-44cf-ba06-040ec8832223"</definedName>
    <definedName name="CIQWBInfo" hidden="1">"{ ""CIQVersion"":""9.51.3510.3078"" }"</definedName>
  </definedNames>
  <calcPr calcId="191028" iterate="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13" i="1" s="1"/>
  <c r="G13" i="1"/>
  <c r="H13" i="1"/>
  <c r="I13" i="1"/>
  <c r="F13" i="1"/>
  <c r="G8" i="1"/>
  <c r="H8" i="1"/>
  <c r="I8" i="1"/>
  <c r="F8" i="1"/>
  <c r="O8" i="1"/>
  <c r="S8" i="1" s="1"/>
  <c r="W8" i="1" s="1"/>
  <c r="M8" i="1"/>
  <c r="G9" i="3"/>
  <c r="G6" i="3"/>
  <c r="N6" i="7"/>
  <c r="N3" i="7"/>
  <c r="L6" i="7"/>
  <c r="L3" i="7"/>
  <c r="J4" i="7"/>
  <c r="G3" i="7"/>
  <c r="I4" i="7"/>
  <c r="I5" i="7"/>
  <c r="I6" i="7"/>
  <c r="I7" i="7"/>
  <c r="I8" i="7"/>
  <c r="I9" i="7"/>
  <c r="I10" i="7"/>
  <c r="I11" i="7"/>
  <c r="I12" i="7"/>
  <c r="I3" i="7"/>
  <c r="J3" i="7" s="1"/>
  <c r="B4" i="7"/>
  <c r="B5" i="7" s="1"/>
  <c r="B6" i="7" s="1"/>
  <c r="B7" i="7" s="1"/>
  <c r="B8" i="7" s="1"/>
  <c r="B9" i="7" s="1"/>
  <c r="B10" i="7" s="1"/>
  <c r="B11" i="7" s="1"/>
  <c r="B12" i="7" s="1"/>
  <c r="D9" i="6"/>
  <c r="C9" i="6"/>
  <c r="B9" i="6"/>
  <c r="L9" i="6"/>
  <c r="F6" i="6"/>
  <c r="I6" i="6"/>
  <c r="L6" i="6"/>
  <c r="C3" i="6"/>
  <c r="Q4" i="5"/>
  <c r="Q5" i="5"/>
  <c r="Q6" i="5"/>
  <c r="Q7" i="5"/>
  <c r="Q8" i="5"/>
  <c r="Q9" i="5"/>
  <c r="Q3" i="5"/>
  <c r="L9" i="5"/>
  <c r="I6" i="5" s="1"/>
  <c r="C6" i="5"/>
  <c r="C12" i="3"/>
  <c r="I3" i="3"/>
  <c r="M3" i="3" s="1"/>
  <c r="K4" i="3"/>
  <c r="I4" i="3" s="1"/>
  <c r="M4" i="3" s="1"/>
  <c r="J9" i="2"/>
  <c r="J8" i="2"/>
  <c r="J7" i="2"/>
  <c r="J6" i="2"/>
  <c r="J5" i="2"/>
  <c r="I4" i="2"/>
  <c r="I5" i="2" s="1"/>
  <c r="I6" i="2" s="1"/>
  <c r="I7" i="2" s="1"/>
  <c r="I8" i="2" s="1"/>
  <c r="I9" i="2" s="1"/>
  <c r="I10" i="2" s="1"/>
  <c r="I11" i="2" s="1"/>
  <c r="I12" i="2" s="1"/>
  <c r="N8" i="1"/>
  <c r="R8" i="1"/>
  <c r="V8" i="1" s="1"/>
  <c r="Q8" i="1"/>
  <c r="U8" i="1" s="1"/>
  <c r="L8" i="1"/>
  <c r="P8" i="1" s="1"/>
  <c r="T8" i="1" s="1"/>
  <c r="D3" i="1"/>
  <c r="X8" i="1" l="1"/>
  <c r="C15" i="3"/>
  <c r="F3" i="5"/>
  <c r="K5" i="3"/>
  <c r="I5" i="3" s="1"/>
  <c r="M5" i="3" s="1"/>
  <c r="K6" i="3" l="1"/>
  <c r="I6" i="3" s="1"/>
  <c r="M6" i="3" s="1"/>
  <c r="K7" i="3" l="1"/>
  <c r="I7" i="3" s="1"/>
  <c r="M7" i="3" s="1"/>
  <c r="K8" i="3" l="1"/>
  <c r="I8" i="3" s="1"/>
  <c r="M8" i="3" s="1"/>
  <c r="K9" i="3" l="1"/>
  <c r="I9" i="3" s="1"/>
  <c r="M9" i="3" s="1"/>
  <c r="K10" i="3" l="1"/>
  <c r="I10" i="3" s="1"/>
  <c r="M10" i="3" s="1"/>
  <c r="K11" i="3" l="1"/>
  <c r="C4" i="3" l="1"/>
  <c r="I11" i="3"/>
  <c r="K12" i="3"/>
  <c r="I12" i="3" s="1"/>
  <c r="M12" i="3" s="1"/>
  <c r="C5" i="3" l="1"/>
  <c r="M11" i="3"/>
  <c r="K13" i="3"/>
  <c r="I13" i="3" s="1"/>
  <c r="M13" i="3" s="1"/>
  <c r="K14" i="3" l="1"/>
  <c r="I14" i="3" s="1"/>
  <c r="M14" i="3" s="1"/>
  <c r="K15" i="3" l="1"/>
  <c r="I15" i="3" s="1"/>
  <c r="M15" i="3" s="1"/>
  <c r="K16" i="3" l="1"/>
  <c r="I16" i="3" s="1"/>
  <c r="M16" i="3" s="1"/>
  <c r="K17" i="3" l="1"/>
  <c r="I17" i="3" s="1"/>
  <c r="M17" i="3" s="1"/>
  <c r="K18" i="3" l="1"/>
  <c r="I18" i="3" s="1"/>
  <c r="M18" i="3" s="1"/>
  <c r="K19" i="3" l="1"/>
  <c r="I19" i="3" s="1"/>
  <c r="M19" i="3" s="1"/>
  <c r="K20" i="3" l="1"/>
  <c r="I20" i="3" s="1"/>
  <c r="M20" i="3" s="1"/>
  <c r="K21" i="3" l="1"/>
  <c r="I21" i="3" s="1"/>
  <c r="M21" i="3" s="1"/>
  <c r="K22" i="3" l="1"/>
  <c r="I22" i="3" s="1"/>
  <c r="M22" i="3" s="1"/>
  <c r="K23" i="3" l="1"/>
  <c r="I23" i="3" s="1"/>
  <c r="M23" i="3" s="1"/>
  <c r="K24" i="3" l="1"/>
  <c r="I24" i="3" s="1"/>
  <c r="M24" i="3" s="1"/>
  <c r="K25" i="3" l="1"/>
  <c r="I25" i="3" s="1"/>
  <c r="M25" i="3" s="1"/>
  <c r="K26" i="3" l="1"/>
  <c r="I26" i="3" s="1"/>
  <c r="M26" i="3" s="1"/>
  <c r="K27" i="3" l="1"/>
  <c r="I27" i="3" s="1"/>
  <c r="M27" i="3" s="1"/>
  <c r="K28" i="3" l="1"/>
  <c r="I28" i="3" s="1"/>
  <c r="M28" i="3" s="1"/>
  <c r="K29" i="3" l="1"/>
  <c r="I29" i="3" s="1"/>
  <c r="M29" i="3" s="1"/>
  <c r="K30" i="3" l="1"/>
  <c r="I30" i="3" s="1"/>
  <c r="M30" i="3" s="1"/>
  <c r="K31" i="3" l="1"/>
  <c r="I31" i="3" s="1"/>
  <c r="M31" i="3" s="1"/>
  <c r="K32" i="3" l="1"/>
  <c r="K33" i="3" l="1"/>
  <c r="I32" i="3"/>
  <c r="M32" i="3" s="1"/>
  <c r="K34" i="3" l="1"/>
  <c r="I33" i="3"/>
  <c r="M33" i="3" s="1"/>
  <c r="K35" i="3" l="1"/>
  <c r="I34" i="3"/>
  <c r="M34" i="3" s="1"/>
  <c r="K36" i="3" l="1"/>
  <c r="I35" i="3"/>
  <c r="M35" i="3" s="1"/>
  <c r="K37" i="3" l="1"/>
  <c r="I36" i="3"/>
  <c r="M36" i="3" s="1"/>
  <c r="K38" i="3" l="1"/>
  <c r="I37" i="3"/>
  <c r="M37" i="3" s="1"/>
  <c r="K39" i="3" l="1"/>
  <c r="I38" i="3"/>
  <c r="M38" i="3" s="1"/>
  <c r="K40" i="3" l="1"/>
  <c r="I39" i="3"/>
  <c r="M39" i="3" s="1"/>
  <c r="K41" i="3" l="1"/>
  <c r="I40" i="3"/>
  <c r="M40" i="3" s="1"/>
  <c r="K42" i="3" l="1"/>
  <c r="I41" i="3"/>
  <c r="M41" i="3" s="1"/>
  <c r="K43" i="3" l="1"/>
  <c r="I42" i="3"/>
  <c r="M42" i="3" s="1"/>
  <c r="K44" i="3" l="1"/>
  <c r="I43" i="3"/>
  <c r="M43" i="3" s="1"/>
  <c r="K45" i="3" l="1"/>
  <c r="I44" i="3"/>
  <c r="M44" i="3" s="1"/>
  <c r="K46" i="3" l="1"/>
  <c r="I45" i="3"/>
  <c r="M45" i="3" s="1"/>
  <c r="K47" i="3" l="1"/>
  <c r="I46" i="3"/>
  <c r="M46" i="3" s="1"/>
  <c r="K48" i="3" l="1"/>
  <c r="I47" i="3"/>
  <c r="M47" i="3" s="1"/>
  <c r="K49" i="3" l="1"/>
  <c r="I48" i="3"/>
  <c r="M48" i="3" s="1"/>
  <c r="K50" i="3" l="1"/>
  <c r="I49" i="3"/>
  <c r="M49" i="3" s="1"/>
  <c r="K51" i="3" l="1"/>
  <c r="I50" i="3"/>
  <c r="M50" i="3" s="1"/>
  <c r="K52" i="3" l="1"/>
  <c r="I51" i="3"/>
  <c r="M51" i="3" s="1"/>
  <c r="K53" i="3" l="1"/>
  <c r="I52" i="3"/>
  <c r="M52" i="3" s="1"/>
  <c r="K54" i="3" l="1"/>
  <c r="I53" i="3"/>
  <c r="M53" i="3" s="1"/>
  <c r="K55" i="3" l="1"/>
  <c r="I54" i="3"/>
  <c r="M54" i="3" s="1"/>
  <c r="K56" i="3" l="1"/>
  <c r="I55" i="3"/>
  <c r="M55" i="3" s="1"/>
  <c r="K57" i="3" l="1"/>
  <c r="I56" i="3"/>
  <c r="M56" i="3" s="1"/>
  <c r="K58" i="3" l="1"/>
  <c r="I57" i="3"/>
  <c r="M57" i="3" s="1"/>
  <c r="K59" i="3" l="1"/>
  <c r="I58" i="3"/>
  <c r="M58" i="3" s="1"/>
  <c r="K60" i="3" l="1"/>
  <c r="I59" i="3"/>
  <c r="M59" i="3" s="1"/>
  <c r="K61" i="3" l="1"/>
  <c r="I60" i="3"/>
  <c r="M60" i="3" s="1"/>
  <c r="K62" i="3" l="1"/>
  <c r="I61" i="3"/>
  <c r="M61" i="3" s="1"/>
  <c r="K63" i="3" l="1"/>
  <c r="I62" i="3"/>
  <c r="M62" i="3" s="1"/>
  <c r="I63" i="3" l="1"/>
  <c r="M63" i="3" s="1"/>
  <c r="K64" i="3"/>
  <c r="I64" i="3" l="1"/>
  <c r="M64" i="3" s="1"/>
  <c r="K65" i="3"/>
  <c r="I65" i="3" l="1"/>
  <c r="M65" i="3" s="1"/>
  <c r="K66" i="3"/>
  <c r="I66" i="3" l="1"/>
  <c r="M66" i="3" s="1"/>
  <c r="K67" i="3"/>
  <c r="I67" i="3" l="1"/>
  <c r="M67" i="3" s="1"/>
  <c r="K68" i="3"/>
  <c r="I68" i="3" l="1"/>
  <c r="M68" i="3" s="1"/>
  <c r="K69" i="3"/>
  <c r="I69" i="3" l="1"/>
  <c r="M69" i="3" s="1"/>
  <c r="K70" i="3"/>
  <c r="I70" i="3" l="1"/>
  <c r="M70" i="3" s="1"/>
  <c r="K71" i="3"/>
  <c r="I71" i="3" l="1"/>
  <c r="M71" i="3" s="1"/>
  <c r="K72" i="3"/>
  <c r="I72" i="3" s="1"/>
  <c r="M72" i="3" s="1"/>
  <c r="J3" i="3"/>
  <c r="O3" i="3"/>
  <c r="P3" i="3"/>
  <c r="R3" i="3"/>
  <c r="J4" i="3"/>
  <c r="O4" i="3"/>
  <c r="P4" i="3"/>
  <c r="R4" i="3"/>
  <c r="J5" i="3"/>
  <c r="O5" i="3"/>
  <c r="P5" i="3"/>
  <c r="R5" i="3"/>
  <c r="J6" i="3"/>
  <c r="O6" i="3"/>
  <c r="P6" i="3"/>
  <c r="R6" i="3"/>
  <c r="T6" i="3"/>
  <c r="J7" i="3"/>
  <c r="O7" i="3"/>
  <c r="P7" i="3"/>
  <c r="R7" i="3"/>
  <c r="J8" i="3"/>
  <c r="O8" i="3"/>
  <c r="P8" i="3"/>
  <c r="R8" i="3"/>
  <c r="C9" i="3"/>
  <c r="J9" i="3"/>
  <c r="O9" i="3"/>
  <c r="P9" i="3"/>
  <c r="R9" i="3"/>
  <c r="J10" i="3"/>
  <c r="O10" i="3"/>
  <c r="P10" i="3"/>
  <c r="R10" i="3"/>
  <c r="J11" i="3"/>
  <c r="O11" i="3"/>
  <c r="P11" i="3"/>
  <c r="R11" i="3"/>
  <c r="J12" i="3"/>
  <c r="O12" i="3"/>
  <c r="P12" i="3"/>
  <c r="R12" i="3"/>
  <c r="C13" i="3"/>
  <c r="J13" i="3"/>
  <c r="O13" i="3"/>
  <c r="P13" i="3"/>
  <c r="R13" i="3"/>
  <c r="J14" i="3"/>
  <c r="O14" i="3"/>
  <c r="P14" i="3"/>
  <c r="R14" i="3"/>
  <c r="J15" i="3"/>
  <c r="O15" i="3"/>
  <c r="P15" i="3"/>
  <c r="R15" i="3"/>
  <c r="C16" i="3"/>
  <c r="E16" i="3"/>
  <c r="F16" i="3"/>
  <c r="G16" i="3"/>
  <c r="J16" i="3"/>
  <c r="O16" i="3"/>
  <c r="P16" i="3"/>
  <c r="R16" i="3"/>
  <c r="J17" i="3"/>
  <c r="O17" i="3"/>
  <c r="P17" i="3"/>
  <c r="R17" i="3"/>
  <c r="J18" i="3"/>
  <c r="O18" i="3"/>
  <c r="P18" i="3"/>
  <c r="R18" i="3"/>
  <c r="J19" i="3"/>
  <c r="O19" i="3"/>
  <c r="P19" i="3"/>
  <c r="R19" i="3"/>
  <c r="C20" i="3"/>
  <c r="F20" i="3"/>
  <c r="J20" i="3"/>
  <c r="O20" i="3"/>
  <c r="P20" i="3"/>
  <c r="R20" i="3"/>
  <c r="C21" i="3"/>
  <c r="F21" i="3"/>
  <c r="J21" i="3"/>
  <c r="O21" i="3"/>
  <c r="P21" i="3"/>
  <c r="R21" i="3"/>
  <c r="C22" i="3"/>
  <c r="F22" i="3"/>
  <c r="J22" i="3"/>
  <c r="O22" i="3"/>
  <c r="P22" i="3"/>
  <c r="R22" i="3"/>
  <c r="J23" i="3"/>
  <c r="O23" i="3"/>
  <c r="P23" i="3"/>
  <c r="R23" i="3"/>
  <c r="J24" i="3"/>
  <c r="O24" i="3"/>
  <c r="P24" i="3"/>
  <c r="R24" i="3"/>
  <c r="C25" i="3"/>
  <c r="F25" i="3"/>
  <c r="J25" i="3"/>
  <c r="O25" i="3"/>
  <c r="P25" i="3"/>
  <c r="R25" i="3"/>
  <c r="J26" i="3"/>
  <c r="O26" i="3"/>
  <c r="P26" i="3"/>
  <c r="R26" i="3"/>
  <c r="J27" i="3"/>
  <c r="O27" i="3"/>
  <c r="P27" i="3"/>
  <c r="R27" i="3"/>
  <c r="J28" i="3"/>
  <c r="O28" i="3"/>
  <c r="P28" i="3"/>
  <c r="R28" i="3"/>
  <c r="C29" i="3"/>
  <c r="J29" i="3"/>
  <c r="O29" i="3"/>
  <c r="P29" i="3"/>
  <c r="R29" i="3"/>
  <c r="J30" i="3"/>
  <c r="O30" i="3"/>
  <c r="P30" i="3"/>
  <c r="R30" i="3"/>
  <c r="J31" i="3"/>
  <c r="O31" i="3"/>
  <c r="P31" i="3"/>
  <c r="R31" i="3"/>
  <c r="J32" i="3"/>
  <c r="O32" i="3"/>
  <c r="P32" i="3"/>
  <c r="R32" i="3"/>
  <c r="J33" i="3"/>
  <c r="O33" i="3"/>
  <c r="P33" i="3"/>
  <c r="R33" i="3"/>
  <c r="J34" i="3"/>
  <c r="O34" i="3"/>
  <c r="P34" i="3"/>
  <c r="R34" i="3"/>
  <c r="J35" i="3"/>
  <c r="O35" i="3"/>
  <c r="P35" i="3"/>
  <c r="R35" i="3"/>
  <c r="J36" i="3"/>
  <c r="O36" i="3"/>
  <c r="P36" i="3"/>
  <c r="R36" i="3"/>
  <c r="J37" i="3"/>
  <c r="O37" i="3"/>
  <c r="P37" i="3"/>
  <c r="R37" i="3"/>
  <c r="J38" i="3"/>
  <c r="O38" i="3"/>
  <c r="P38" i="3"/>
  <c r="R38" i="3"/>
  <c r="J39" i="3"/>
  <c r="O39" i="3"/>
  <c r="P39" i="3"/>
  <c r="R39" i="3"/>
  <c r="J40" i="3"/>
  <c r="O40" i="3"/>
  <c r="P40" i="3"/>
  <c r="R40" i="3"/>
  <c r="J41" i="3"/>
  <c r="O41" i="3"/>
  <c r="P41" i="3"/>
  <c r="R41" i="3"/>
  <c r="J42" i="3"/>
  <c r="O42" i="3"/>
  <c r="P42" i="3"/>
  <c r="R42" i="3"/>
  <c r="J43" i="3"/>
  <c r="O43" i="3"/>
  <c r="P43" i="3"/>
  <c r="R43" i="3"/>
  <c r="J44" i="3"/>
  <c r="O44" i="3"/>
  <c r="P44" i="3"/>
  <c r="R44" i="3"/>
  <c r="J45" i="3"/>
  <c r="O45" i="3"/>
  <c r="P45" i="3"/>
  <c r="R45" i="3"/>
  <c r="J46" i="3"/>
  <c r="O46" i="3"/>
  <c r="P46" i="3"/>
  <c r="R46" i="3"/>
  <c r="J47" i="3"/>
  <c r="O47" i="3"/>
  <c r="P47" i="3"/>
  <c r="R47" i="3"/>
  <c r="J48" i="3"/>
  <c r="O48" i="3"/>
  <c r="P48" i="3"/>
  <c r="R48" i="3"/>
  <c r="J49" i="3"/>
  <c r="O49" i="3"/>
  <c r="P49" i="3"/>
  <c r="R49" i="3"/>
  <c r="J50" i="3"/>
  <c r="O50" i="3"/>
  <c r="P50" i="3"/>
  <c r="R50" i="3"/>
  <c r="J51" i="3"/>
  <c r="O51" i="3"/>
  <c r="P51" i="3"/>
  <c r="R51" i="3"/>
  <c r="J52" i="3"/>
  <c r="O52" i="3"/>
  <c r="P52" i="3"/>
  <c r="R52" i="3"/>
  <c r="J53" i="3"/>
  <c r="O53" i="3"/>
  <c r="P53" i="3"/>
  <c r="R53" i="3"/>
  <c r="J54" i="3"/>
  <c r="O54" i="3"/>
  <c r="P54" i="3"/>
  <c r="R54" i="3"/>
  <c r="J55" i="3"/>
  <c r="O55" i="3"/>
  <c r="P55" i="3"/>
  <c r="R55" i="3"/>
  <c r="J56" i="3"/>
  <c r="O56" i="3"/>
  <c r="P56" i="3"/>
  <c r="R56" i="3"/>
  <c r="J57" i="3"/>
  <c r="O57" i="3"/>
  <c r="P57" i="3"/>
  <c r="R57" i="3"/>
  <c r="J58" i="3"/>
  <c r="O58" i="3"/>
  <c r="P58" i="3"/>
  <c r="R58" i="3"/>
  <c r="J59" i="3"/>
  <c r="O59" i="3"/>
  <c r="P59" i="3"/>
  <c r="R59" i="3"/>
  <c r="J60" i="3"/>
  <c r="O60" i="3"/>
  <c r="P60" i="3"/>
  <c r="R60" i="3"/>
  <c r="J61" i="3"/>
  <c r="O61" i="3"/>
  <c r="P61" i="3"/>
  <c r="R61" i="3"/>
  <c r="J62" i="3"/>
  <c r="O62" i="3"/>
  <c r="P62" i="3"/>
  <c r="R62" i="3"/>
  <c r="J63" i="3"/>
  <c r="O63" i="3"/>
  <c r="P63" i="3"/>
  <c r="R63" i="3"/>
  <c r="J64" i="3"/>
  <c r="O64" i="3"/>
  <c r="P64" i="3"/>
  <c r="R64" i="3"/>
  <c r="J65" i="3"/>
  <c r="O65" i="3"/>
  <c r="P65" i="3"/>
  <c r="R65" i="3"/>
  <c r="J66" i="3"/>
  <c r="O66" i="3"/>
  <c r="P66" i="3"/>
  <c r="R66" i="3"/>
  <c r="J67" i="3"/>
  <c r="O67" i="3"/>
  <c r="P67" i="3"/>
  <c r="R67" i="3"/>
  <c r="J68" i="3"/>
  <c r="O68" i="3"/>
  <c r="P68" i="3"/>
  <c r="R68" i="3"/>
  <c r="J69" i="3"/>
  <c r="O69" i="3"/>
  <c r="P69" i="3"/>
  <c r="R69" i="3"/>
  <c r="J70" i="3"/>
  <c r="O70" i="3"/>
  <c r="P70" i="3"/>
  <c r="R70" i="3"/>
  <c r="J71" i="3"/>
  <c r="O71" i="3"/>
  <c r="P71" i="3"/>
  <c r="R71" i="3"/>
  <c r="J72" i="3"/>
  <c r="O72" i="3"/>
  <c r="P72" i="3"/>
  <c r="R72" i="3"/>
  <c r="N3" i="2"/>
  <c r="O3" i="2"/>
  <c r="Q3" i="2"/>
  <c r="R3" i="2"/>
  <c r="S3" i="2"/>
  <c r="T3" i="2"/>
  <c r="N4" i="2"/>
  <c r="O4" i="2"/>
  <c r="N5" i="2"/>
  <c r="N6" i="2"/>
  <c r="N7" i="2"/>
  <c r="N8" i="2"/>
  <c r="N9" i="2"/>
  <c r="N10" i="2"/>
  <c r="B11" i="2"/>
  <c r="N11" i="2"/>
  <c r="N12" i="2"/>
  <c r="B3" i="5"/>
  <c r="C3" i="5"/>
  <c r="D3" i="5"/>
  <c r="E3" i="5"/>
  <c r="G3" i="5"/>
  <c r="B9" i="5"/>
  <c r="D9" i="5"/>
  <c r="B15" i="5"/>
</calcChain>
</file>

<file path=xl/sharedStrings.xml><?xml version="1.0" encoding="utf-8"?>
<sst xmlns="http://schemas.openxmlformats.org/spreadsheetml/2006/main" count="205" uniqueCount="129">
  <si>
    <t>Optimising Surface Area to Volume Ratio</t>
  </si>
  <si>
    <t>Vcstr (m3)</t>
  </si>
  <si>
    <t>Design Pressure (Pa)</t>
  </si>
  <si>
    <t>D (only cylinder) (m)</t>
  </si>
  <si>
    <t>D (m)</t>
  </si>
  <si>
    <t>H (m)</t>
  </si>
  <si>
    <t>SA (only cylinder) (m2)</t>
  </si>
  <si>
    <t>Vhead (m3)</t>
  </si>
  <si>
    <t>Vcyl (m3)</t>
  </si>
  <si>
    <t>SA (m2)</t>
  </si>
  <si>
    <t>Maximum Allowable Stress for Stainless Steel 316 (PSI)</t>
  </si>
  <si>
    <t xml:space="preserve">For Cylinder Only </t>
  </si>
  <si>
    <t>For Cylinder + Hemisphere Head</t>
  </si>
  <si>
    <t>Microsoft Word - 10_60_6.doc</t>
  </si>
  <si>
    <t>∞</t>
  </si>
  <si>
    <t>Dopt (m)</t>
  </si>
  <si>
    <t>Metal Density (kg/m3)</t>
  </si>
  <si>
    <t>Design Pressure (PSI)</t>
  </si>
  <si>
    <t>Minimum Thickness using Barrows Formula (inch)</t>
  </si>
  <si>
    <t>Barlow's Formula - Calculate Internal, Allowable and Bursting Pressure</t>
  </si>
  <si>
    <t>Converges at:</t>
  </si>
  <si>
    <t>Atmosperhic pressure (PSI)</t>
  </si>
  <si>
    <t>Chosen Approximation</t>
  </si>
  <si>
    <t>H (inch)</t>
  </si>
  <si>
    <t>tmin (pressure) (m)</t>
  </si>
  <si>
    <t>Vessel Diameter (m) (outside case)</t>
  </si>
  <si>
    <t>tmin (outside) (m)</t>
  </si>
  <si>
    <t>D (inch)</t>
  </si>
  <si>
    <t>Volume of SS 316 Needed  (Full) (m3)</t>
  </si>
  <si>
    <t>Outside Case</t>
  </si>
  <si>
    <t>Head</t>
  </si>
  <si>
    <t>Cylinder</t>
  </si>
  <si>
    <t>Total</t>
  </si>
  <si>
    <t>Volume of SS 316 Needed (m3)</t>
  </si>
  <si>
    <t>Shell Mass (kg)</t>
  </si>
  <si>
    <t>Impeller Diameter (Da) (m)</t>
  </si>
  <si>
    <t>Impeller Height from Bottom (C) (m)</t>
  </si>
  <si>
    <t>Impeller Length (L) (m)</t>
  </si>
  <si>
    <t>Impeller Width (m)</t>
  </si>
  <si>
    <t>Liquid Height (m)</t>
  </si>
  <si>
    <t>Number of Stirrer</t>
  </si>
  <si>
    <t>Density (kg/m3)</t>
  </si>
  <si>
    <t>Viscosity (mPa/s)</t>
  </si>
  <si>
    <t>Mass Flow (kg/hour)</t>
  </si>
  <si>
    <t>Mass Frac</t>
  </si>
  <si>
    <t>PET</t>
  </si>
  <si>
    <t>EG</t>
  </si>
  <si>
    <t>Monoethylene-Glycol-MEG-Technical-Product-Brochure-PDF.pdf</t>
  </si>
  <si>
    <t>RPM</t>
  </si>
  <si>
    <t>RPS</t>
  </si>
  <si>
    <t>Viscosity (mPas)</t>
  </si>
  <si>
    <t>DEG</t>
  </si>
  <si>
    <t>Diethylene glycol (Ethylene glycol), C 4 H 10 O 3</t>
  </si>
  <si>
    <t>H2O</t>
  </si>
  <si>
    <t>https://wiki.anton-paar.com/en/water/</t>
  </si>
  <si>
    <t>H20</t>
  </si>
  <si>
    <t>ACET</t>
  </si>
  <si>
    <t>Acetaldehyde_(data_page)</t>
  </si>
  <si>
    <t>ACETALDYHYDE</t>
  </si>
  <si>
    <t>Reynolds Number</t>
  </si>
  <si>
    <t>D/Dt</t>
  </si>
  <si>
    <t>g</t>
  </si>
  <si>
    <t>BHET</t>
  </si>
  <si>
    <t>US7030264B1 - Bis-β-hydroxyethyl terephthalate - Google Patents</t>
  </si>
  <si>
    <t>Needs to be turbulent flow</t>
  </si>
  <si>
    <t>DIBHET</t>
  </si>
  <si>
    <t>BHET DIMER</t>
  </si>
  <si>
    <t>Power Number (From S&amp;T Figure 10.58)</t>
  </si>
  <si>
    <t>Power (W) (From S&amp;T page 616)</t>
  </si>
  <si>
    <t>Backed by S&amp;T Table 10.15</t>
  </si>
  <si>
    <t>Heat of Formation</t>
  </si>
  <si>
    <t>(kj/mol)</t>
  </si>
  <si>
    <t>Heat of Reaction</t>
  </si>
  <si>
    <t>Rate</t>
  </si>
  <si>
    <t>Q</t>
  </si>
  <si>
    <t>Qt</t>
  </si>
  <si>
    <t>mw (kg/min)</t>
  </si>
  <si>
    <t>mw (kg/hour)</t>
  </si>
  <si>
    <t>Vw (m3/hour)</t>
  </si>
  <si>
    <t>Vw (l/hour)</t>
  </si>
  <si>
    <t>Enthalpy and free energy changes in some simple polymerization processes</t>
  </si>
  <si>
    <t>Ethylene Glycol Enthalpy of Formation</t>
  </si>
  <si>
    <t>https://atct.anl.gov/Thermochemical%20Data/version%201.118/species/?species_number=986</t>
  </si>
  <si>
    <t>Acetaldehyde</t>
  </si>
  <si>
    <t>Guessed</t>
  </si>
  <si>
    <t>Assumed to be same as EG</t>
  </si>
  <si>
    <t>Volume (m3)</t>
  </si>
  <si>
    <t>Cp (water)</t>
  </si>
  <si>
    <t>rho (water)</t>
  </si>
  <si>
    <t>T1</t>
  </si>
  <si>
    <t>T2</t>
  </si>
  <si>
    <t>Residence Time (min)</t>
  </si>
  <si>
    <t>Residence Time (hours)</t>
  </si>
  <si>
    <t>L (m)</t>
  </si>
  <si>
    <t>Design Pressure (Torr) (From PFR source)</t>
  </si>
  <si>
    <t>Maximum Allowable Stress (PSI)</t>
  </si>
  <si>
    <t>Minimum Thickness (inch)</t>
  </si>
  <si>
    <t>Overall Diameter (m)</t>
  </si>
  <si>
    <t>Outer Volume (m3)</t>
  </si>
  <si>
    <t>Volume of Stainless Steel Required (m3)</t>
  </si>
  <si>
    <t>Minimum Thickness (m)</t>
  </si>
  <si>
    <t>V (m3)</t>
  </si>
  <si>
    <t>Vw (L/hour)</t>
  </si>
  <si>
    <t>Taken from Heat Jacket CSTR</t>
  </si>
  <si>
    <t>T1 (C)</t>
  </si>
  <si>
    <t>T2 (C)</t>
  </si>
  <si>
    <t>Concentration (mol/kg)</t>
  </si>
  <si>
    <t>Flowrate (mol/min) (L)</t>
  </si>
  <si>
    <t>Flowrate (mol/min) (V)</t>
  </si>
  <si>
    <t>MW (g/mol)</t>
  </si>
  <si>
    <t>Input Flow (L/hour)</t>
  </si>
  <si>
    <t>Volume Required (L)</t>
  </si>
  <si>
    <t>Output Flowrate (kg/min)</t>
  </si>
  <si>
    <t xml:space="preserve">BHET </t>
  </si>
  <si>
    <t xml:space="preserve">PET </t>
  </si>
  <si>
    <t>Water</t>
  </si>
  <si>
    <t>Acid</t>
  </si>
  <si>
    <t>Vinyl</t>
  </si>
  <si>
    <t>DP</t>
  </si>
  <si>
    <t>Concentration (mol/m3)</t>
  </si>
  <si>
    <t>Flowrate (g/min)</t>
  </si>
  <si>
    <t>Flowrate (kg/min)</t>
  </si>
  <si>
    <t>Q (m3/min)</t>
  </si>
  <si>
    <t>Total EG Removed (mol)</t>
  </si>
  <si>
    <t>Concentration (mol/L)</t>
  </si>
  <si>
    <t>admin,+EHEI-02-02-2022-5-Klarasita.pdf</t>
  </si>
  <si>
    <t>https://www.google.com/url?sa=t&amp;rct=j&amp;q=&amp;esrc=s&amp;source=web&amp;cd=&amp;ved=2ahUKEwj875WnnfCLAxVSWkEAHQRHJ5wQFnoECBUQAQ&amp;url=https%3A%2F%2Frevues.imist.ma%2Findex.php%2Fehei-jst%2Farticle%2Fdownload%2F36095%2F19060%2F98926&amp;usg=AOvVaw3cl5YLWi-iqaxZHWlipsZG&amp;opi=89978449</t>
  </si>
  <si>
    <t>Jacketed vessel heat transfer coefficient</t>
  </si>
  <si>
    <t>Appendix B: Heat‐Exchanger Design - Chemical Process Design - Wiley Online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</si>
</sst>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333333"/>
      <name val="Aptos Narrow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1" fillId="0" borderId="0" xfId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2" borderId="0" xfId="0" applyFill="1"/>
    <xf numFmtId="0" fontId="3" fillId="0" borderId="0" xfId="0" applyFont="1"/>
    <xf numFmtId="11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barlow-d_1003.html" TargetMode="External"/><Relationship Id="rId1" Type="http://schemas.openxmlformats.org/officeDocument/2006/relationships/hyperlink" Target="https://www.provan.ca/images/pdf/Alloy-SST-316-vs-316L-Guid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tweb.com/search/datasheet.aspx?matguid=4f3bef5f67984f4abc5529c0e93278bf&amp;ckck=1" TargetMode="External"/><Relationship Id="rId2" Type="http://schemas.openxmlformats.org/officeDocument/2006/relationships/hyperlink" Target="https://www.meglobal.biz/wp-content/uploads/2019/01/Monoethylene-Glycol-MEG-Technical-Product-Brochure-PDF.pdf" TargetMode="External"/><Relationship Id="rId1" Type="http://schemas.openxmlformats.org/officeDocument/2006/relationships/hyperlink" Target="https://wiki.anton-paar.com/en/water/" TargetMode="External"/><Relationship Id="rId5" Type="http://schemas.openxmlformats.org/officeDocument/2006/relationships/hyperlink" Target="https://patents.google.com/patent/US7030264B1/en" TargetMode="External"/><Relationship Id="rId4" Type="http://schemas.openxmlformats.org/officeDocument/2006/relationships/hyperlink" Target="https://www.chemeurope.com/en/encyclopedia/Acetaldehyde_%28data_page%29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ebbook.nist.gov/cgi/cbook.cgi?ID=C75070&amp;Mask=1EFF" TargetMode="External"/><Relationship Id="rId2" Type="http://schemas.openxmlformats.org/officeDocument/2006/relationships/hyperlink" Target="https://atct.anl.gov/Thermochemical%20Data/version%201.122/species/?species_number=338" TargetMode="External"/><Relationship Id="rId1" Type="http://schemas.openxmlformats.org/officeDocument/2006/relationships/hyperlink" Target="https://atct.anl.gov/Thermochemical%20Data/version%201.118/species/?species_number=986" TargetMode="External"/><Relationship Id="rId4" Type="http://schemas.openxmlformats.org/officeDocument/2006/relationships/hyperlink" Target="https://onlinelibrary.wiley.com/doi/epdf/10.1002/pol.1963.10001061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library.wiley.com/doi/pdf/10.1002/9783527621583.app2" TargetMode="External"/><Relationship Id="rId2" Type="http://schemas.openxmlformats.org/officeDocument/2006/relationships/hyperlink" Target="https://www.google.com/url?sa=t&amp;rct=j&amp;q=&amp;esrc=s&amp;source=web&amp;cd=&amp;ved=2ahUKEwj875WnnfCLAxVSWkEAHQRHJ5wQFnoECBUQAQ&amp;url=https%3A%2F%2Frevues.imist.ma%2Findex.php%2Fehei-jst%2Farticle%2Fdownload%2F36095%2F19060%2F98926&amp;usg=AOvVaw3cl5YLWi-iqaxZHWlipsZG&amp;opi=89978449" TargetMode="External"/><Relationship Id="rId1" Type="http://schemas.openxmlformats.org/officeDocument/2006/relationships/hyperlink" Target="../../../Downloads/admin,+EHEI-02-02-2022-5-Klarasit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1BF0-4BF5-4B81-AC58-40A1D72AE083}">
  <sheetPr>
    <tabColor theme="4" tint="0.79998168889431442"/>
  </sheetPr>
  <dimension ref="B2:U72"/>
  <sheetViews>
    <sheetView workbookViewId="0">
      <selection activeCell="G16" sqref="G16"/>
    </sheetView>
  </sheetViews>
  <sheetFormatPr defaultRowHeight="15"/>
  <cols>
    <col min="3" max="3" width="34.5703125" customWidth="1"/>
    <col min="4" max="4" width="28.5703125" bestFit="1" customWidth="1"/>
    <col min="5" max="5" width="19.140625" customWidth="1"/>
    <col min="6" max="6" width="38.85546875" customWidth="1"/>
    <col min="7" max="7" width="25" customWidth="1"/>
    <col min="8" max="8" width="18.5703125" bestFit="1" customWidth="1"/>
    <col min="9" max="9" width="21.28515625" customWidth="1"/>
    <col min="10" max="10" width="14.5703125" customWidth="1"/>
    <col min="13" max="13" width="20" bestFit="1" customWidth="1"/>
    <col min="15" max="15" width="10.7109375" bestFit="1" customWidth="1"/>
    <col min="20" max="20" width="36.5703125" bestFit="1" customWidth="1"/>
    <col min="21" max="21" width="62.42578125" customWidth="1"/>
  </cols>
  <sheetData>
    <row r="2" spans="2:21" ht="15.75" customHeight="1">
      <c r="C2" s="12" t="s">
        <v>0</v>
      </c>
      <c r="D2" s="12"/>
      <c r="E2" s="10"/>
      <c r="F2" t="s">
        <v>1</v>
      </c>
      <c r="G2" t="s">
        <v>2</v>
      </c>
      <c r="I2" t="s">
        <v>3</v>
      </c>
      <c r="J2" t="s">
        <v>4</v>
      </c>
      <c r="K2" t="s">
        <v>5</v>
      </c>
      <c r="M2" t="s">
        <v>6</v>
      </c>
      <c r="O2" t="s">
        <v>7</v>
      </c>
      <c r="P2" t="s">
        <v>8</v>
      </c>
      <c r="R2" t="s">
        <v>9</v>
      </c>
      <c r="T2" s="13" t="s">
        <v>10</v>
      </c>
      <c r="U2" s="13"/>
    </row>
    <row r="3" spans="2:21">
      <c r="C3" t="s">
        <v>11</v>
      </c>
      <c r="D3" t="s">
        <v>12</v>
      </c>
      <c r="F3">
        <v>0.64400000000000002</v>
      </c>
      <c r="G3">
        <v>4</v>
      </c>
      <c r="I3">
        <f>SQRT((4*$F$3)/(3.14*K3))</f>
        <v>2.8642314250163086</v>
      </c>
      <c r="J3" t="e">
        <f ca="1">SQRT((4*P3)/(3.14*K3))</f>
        <v>#NUM!</v>
      </c>
      <c r="K3">
        <v>0.1</v>
      </c>
      <c r="M3">
        <f>(3.14*I3^2)/2 + (3.14*I3*K3)</f>
        <v>13.779368667455119</v>
      </c>
      <c r="O3" t="e">
        <f ca="1">(3.14*J3^3)/12</f>
        <v>#NUM!</v>
      </c>
      <c r="P3" t="e">
        <f t="shared" ref="P3:P66" ca="1" si="0">$F$3-O3</f>
        <v>#NUM!</v>
      </c>
      <c r="R3" t="e">
        <f ca="1">(3.14*J3^2)/4 + (3.14*J3) + (3.14*J3^2)/2</f>
        <v>#NUM!</v>
      </c>
      <c r="T3">
        <v>20000</v>
      </c>
      <c r="U3" s="1" t="s">
        <v>13</v>
      </c>
    </row>
    <row r="4" spans="2:21">
      <c r="C4" s="11">
        <f>K11</f>
        <v>0.89999999999999991</v>
      </c>
      <c r="D4" s="6" t="s">
        <v>14</v>
      </c>
      <c r="I4">
        <f t="shared" ref="I4:I67" si="1">SQRT((4*$F$3)/(3.14*K4))</f>
        <v>2.02531746351664</v>
      </c>
      <c r="J4" t="e">
        <f t="shared" ref="J4:J67" ca="1" si="2">SQRT((4*P4)/(3.14*K4))</f>
        <v>#NUM!</v>
      </c>
      <c r="K4">
        <f>K3+0.1</f>
        <v>0.2</v>
      </c>
      <c r="M4">
        <f t="shared" ref="M4:M67" si="3">(3.14*I4^2)/2 + (3.14*I4*K4)</f>
        <v>7.7118993670884484</v>
      </c>
      <c r="O4" t="e">
        <f t="shared" ref="O4:O67" ca="1" si="4">(3.14*J4^3)/12</f>
        <v>#NUM!</v>
      </c>
      <c r="P4" t="e">
        <f t="shared" ca="1" si="0"/>
        <v>#NUM!</v>
      </c>
      <c r="R4" t="e">
        <f t="shared" ref="R4:R67" ca="1" si="5">(3.14*J4^2)/4 + (3.14*J4) + (3.14*J4^2)/2</f>
        <v>#NUM!</v>
      </c>
    </row>
    <row r="5" spans="2:21">
      <c r="B5" t="s">
        <v>15</v>
      </c>
      <c r="C5" s="11">
        <f>I11</f>
        <v>0.95474380833876971</v>
      </c>
      <c r="D5" s="11">
        <v>0</v>
      </c>
      <c r="F5" t="s">
        <v>16</v>
      </c>
      <c r="G5" t="s">
        <v>17</v>
      </c>
      <c r="I5">
        <f t="shared" si="1"/>
        <v>1.6536647842545511</v>
      </c>
      <c r="J5" t="e">
        <f t="shared" ca="1" si="2"/>
        <v>#NUM!</v>
      </c>
      <c r="K5">
        <f t="shared" ref="K5:K72" si="6">K4+0.1</f>
        <v>0.30000000000000004</v>
      </c>
      <c r="M5">
        <f t="shared" si="3"/>
        <v>5.8510855601011196</v>
      </c>
      <c r="O5" t="e">
        <f t="shared" ca="1" si="4"/>
        <v>#NUM!</v>
      </c>
      <c r="P5" t="e">
        <f t="shared" ca="1" si="0"/>
        <v>#NUM!</v>
      </c>
      <c r="R5" t="e">
        <f t="shared" ca="1" si="5"/>
        <v>#NUM!</v>
      </c>
      <c r="T5" s="12" t="s">
        <v>18</v>
      </c>
      <c r="U5" s="12"/>
    </row>
    <row r="6" spans="2:21" ht="15" customHeight="1">
      <c r="F6">
        <v>8000</v>
      </c>
      <c r="G6">
        <f>G3/6895</f>
        <v>5.80130529369108E-4</v>
      </c>
      <c r="I6">
        <f t="shared" si="1"/>
        <v>1.4321157125081543</v>
      </c>
      <c r="J6" t="e">
        <f t="shared" ca="1" si="2"/>
        <v>#NUM!</v>
      </c>
      <c r="K6">
        <f t="shared" si="6"/>
        <v>0.4</v>
      </c>
      <c r="M6">
        <f t="shared" si="3"/>
        <v>5.0187373349102415</v>
      </c>
      <c r="O6" t="e">
        <f t="shared" ca="1" si="4"/>
        <v>#NUM!</v>
      </c>
      <c r="P6" t="e">
        <f t="shared" ca="1" si="0"/>
        <v>#NUM!</v>
      </c>
      <c r="R6" t="e">
        <f t="shared" ca="1" si="5"/>
        <v>#NUM!</v>
      </c>
      <c r="T6">
        <f ca="1">(G6*C16)/(2*T3)</f>
        <v>1.9391288921641042E-7</v>
      </c>
      <c r="U6" s="3" t="s">
        <v>19</v>
      </c>
    </row>
    <row r="7" spans="2:21" ht="17.25" customHeight="1">
      <c r="C7" t="s">
        <v>20</v>
      </c>
      <c r="I7">
        <f t="shared" si="1"/>
        <v>1.2809232339255117</v>
      </c>
      <c r="J7" t="e">
        <f t="shared" ca="1" si="2"/>
        <v>#NUM!</v>
      </c>
      <c r="K7">
        <f t="shared" si="6"/>
        <v>0.5</v>
      </c>
      <c r="M7">
        <f t="shared" si="3"/>
        <v>4.5870494772630535</v>
      </c>
      <c r="O7" t="e">
        <f t="shared" ca="1" si="4"/>
        <v>#NUM!</v>
      </c>
      <c r="P7" t="e">
        <f t="shared" ca="1" si="0"/>
        <v>#NUM!</v>
      </c>
      <c r="R7" t="e">
        <f t="shared" ca="1" si="5"/>
        <v>#NUM!</v>
      </c>
    </row>
    <row r="8" spans="2:21" ht="15.75" customHeight="1">
      <c r="B8" t="s">
        <v>5</v>
      </c>
      <c r="C8">
        <v>7</v>
      </c>
      <c r="G8" s="5" t="s">
        <v>21</v>
      </c>
      <c r="I8">
        <f t="shared" si="1"/>
        <v>1.1693175827557825</v>
      </c>
      <c r="J8">
        <f t="shared" ca="1" si="2"/>
        <v>0.9466084124850197</v>
      </c>
      <c r="K8">
        <f t="shared" si="6"/>
        <v>0.6</v>
      </c>
      <c r="M8">
        <f t="shared" si="3"/>
        <v>4.3496609925785616</v>
      </c>
      <c r="O8">
        <f t="shared" ca="1" si="4"/>
        <v>0.22195221381733002</v>
      </c>
      <c r="P8">
        <f t="shared" ca="1" si="0"/>
        <v>0.42204778618267003</v>
      </c>
      <c r="R8">
        <f ca="1">(3.14*J8^2)/4 + (3.14*J8) + (3.14*J8^2)/2</f>
        <v>5.0825893461163103</v>
      </c>
    </row>
    <row r="9" spans="2:21">
      <c r="B9" t="s">
        <v>4</v>
      </c>
      <c r="C9">
        <f ca="1">J72</f>
        <v>0.33960613948365509</v>
      </c>
      <c r="G9">
        <f>101325/6895</f>
        <v>14.695431472081218</v>
      </c>
      <c r="I9">
        <f t="shared" si="1"/>
        <v>1.0825777211327572</v>
      </c>
      <c r="J9">
        <f t="shared" ca="1" si="2"/>
        <v>0.90499622435759342</v>
      </c>
      <c r="K9">
        <f t="shared" si="6"/>
        <v>0.7</v>
      </c>
      <c r="M9">
        <f t="shared" si="3"/>
        <v>4.2195058310498004</v>
      </c>
      <c r="O9">
        <f t="shared" ca="1" si="4"/>
        <v>0.19394951772722599</v>
      </c>
      <c r="P9">
        <f t="shared" ca="1" si="0"/>
        <v>0.450050482272774</v>
      </c>
      <c r="R9">
        <f t="shared" ca="1" si="5"/>
        <v>4.7704759256518745</v>
      </c>
    </row>
    <row r="10" spans="2:21">
      <c r="I10">
        <f t="shared" si="1"/>
        <v>1.0126587317583202</v>
      </c>
      <c r="J10">
        <f t="shared" ca="1" si="2"/>
        <v>0.86783766605057788</v>
      </c>
      <c r="K10">
        <f t="shared" si="6"/>
        <v>0.79999999999999993</v>
      </c>
      <c r="M10">
        <f t="shared" si="3"/>
        <v>4.1537987341769007</v>
      </c>
      <c r="O10">
        <f t="shared" ca="1" si="4"/>
        <v>0.17102668922108019</v>
      </c>
      <c r="P10">
        <f t="shared" ca="1" si="0"/>
        <v>0.4729733107789198</v>
      </c>
      <c r="R10">
        <f t="shared" ca="1" si="5"/>
        <v>4.4986601868197642</v>
      </c>
    </row>
    <row r="11" spans="2:21">
      <c r="C11" s="5" t="s">
        <v>22</v>
      </c>
      <c r="I11">
        <f t="shared" si="1"/>
        <v>0.95474380833876971</v>
      </c>
      <c r="J11">
        <f t="shared" ca="1" si="2"/>
        <v>0.83446287619333215</v>
      </c>
      <c r="K11">
        <f t="shared" si="6"/>
        <v>0.89999999999999991</v>
      </c>
      <c r="M11">
        <f t="shared" si="3"/>
        <v>4.129217113476475</v>
      </c>
      <c r="O11">
        <f t="shared" ca="1" si="4"/>
        <v>0.15204406188226458</v>
      </c>
      <c r="P11">
        <f t="shared" ca="1" si="0"/>
        <v>0.49195593811773541</v>
      </c>
      <c r="R11">
        <f t="shared" ca="1" si="5"/>
        <v>4.260066558306181</v>
      </c>
    </row>
    <row r="12" spans="2:21">
      <c r="B12" t="s">
        <v>5</v>
      </c>
      <c r="C12">
        <f>C8</f>
        <v>7</v>
      </c>
      <c r="I12">
        <f t="shared" si="1"/>
        <v>0.90574950488813166</v>
      </c>
      <c r="J12">
        <f t="shared" ca="1" si="2"/>
        <v>0.80432225208436436</v>
      </c>
      <c r="K12">
        <f t="shared" si="6"/>
        <v>0.99999999999999989</v>
      </c>
      <c r="M12">
        <f t="shared" si="3"/>
        <v>4.132053445348733</v>
      </c>
      <c r="O12">
        <f t="shared" ca="1" si="4"/>
        <v>0.13615658611951989</v>
      </c>
      <c r="P12">
        <f t="shared" ca="1" si="0"/>
        <v>0.50784341388048015</v>
      </c>
      <c r="R12">
        <f t="shared" ca="1" si="5"/>
        <v>4.0491021131863443</v>
      </c>
    </row>
    <row r="13" spans="2:21">
      <c r="B13" t="s">
        <v>4</v>
      </c>
      <c r="C13" s="7">
        <f ca="1">C9</f>
        <v>0.33960613948365509</v>
      </c>
      <c r="I13">
        <f t="shared" si="1"/>
        <v>0.86359826813855123</v>
      </c>
      <c r="J13">
        <f t="shared" ca="1" si="2"/>
        <v>0.77696301634615683</v>
      </c>
      <c r="K13">
        <f t="shared" si="6"/>
        <v>1.0999999999999999</v>
      </c>
      <c r="M13">
        <f t="shared" si="3"/>
        <v>4.1537775090596467</v>
      </c>
      <c r="O13">
        <f t="shared" ca="1" si="4"/>
        <v>0.12272963490734824</v>
      </c>
      <c r="P13">
        <f t="shared" ca="1" si="0"/>
        <v>0.52127036509265179</v>
      </c>
      <c r="R13">
        <f t="shared" ca="1" si="5"/>
        <v>3.8613103215796198</v>
      </c>
    </row>
    <row r="14" spans="2:21">
      <c r="I14">
        <f t="shared" si="1"/>
        <v>0.82683239212727566</v>
      </c>
      <c r="J14">
        <f t="shared" ca="1" si="2"/>
        <v>0.75201027831544476</v>
      </c>
      <c r="K14">
        <f t="shared" si="6"/>
        <v>1.2</v>
      </c>
      <c r="M14">
        <f t="shared" si="3"/>
        <v>4.1888377868689082</v>
      </c>
      <c r="O14">
        <f t="shared" ca="1" si="4"/>
        <v>0.1112806699120676</v>
      </c>
      <c r="P14">
        <f t="shared" ca="1" si="0"/>
        <v>0.53271933008793237</v>
      </c>
      <c r="R14">
        <f t="shared" ca="1" si="5"/>
        <v>3.6931105991303279</v>
      </c>
    </row>
    <row r="15" spans="2:21" ht="14.25" customHeight="1">
      <c r="B15" t="s">
        <v>23</v>
      </c>
      <c r="C15">
        <f>C12*39.37</f>
        <v>275.58999999999997</v>
      </c>
      <c r="E15" s="5" t="s">
        <v>24</v>
      </c>
      <c r="F15" t="s">
        <v>25</v>
      </c>
      <c r="G15" t="s">
        <v>26</v>
      </c>
      <c r="I15">
        <f t="shared" si="1"/>
        <v>0.79439486674550708</v>
      </c>
      <c r="J15">
        <f t="shared" ca="1" si="2"/>
        <v>0.72915190767868143</v>
      </c>
      <c r="K15">
        <f t="shared" si="6"/>
        <v>1.3</v>
      </c>
      <c r="M15">
        <f t="shared" si="3"/>
        <v>4.2334890768243909</v>
      </c>
      <c r="O15">
        <f t="shared" ca="1" si="4"/>
        <v>0.1014384141868746</v>
      </c>
      <c r="P15">
        <f t="shared" ca="1" si="0"/>
        <v>0.54256158581312541</v>
      </c>
      <c r="R15">
        <f t="shared" ca="1" si="5"/>
        <v>3.5416021881413489</v>
      </c>
    </row>
    <row r="16" spans="2:21">
      <c r="B16" t="s">
        <v>27</v>
      </c>
      <c r="C16">
        <f ca="1">C13*39.37</f>
        <v>13.370293711471501</v>
      </c>
      <c r="E16">
        <f ca="1">T6/39.37</f>
        <v>4.9253972368912986E-9</v>
      </c>
      <c r="F16">
        <f ca="1">E16+G16</f>
        <v>1.2373429252477336E-4</v>
      </c>
      <c r="G16">
        <f ca="1">(C16*G9)/(2*39.7*T3)</f>
        <v>1.2372936712753645E-4</v>
      </c>
      <c r="I16">
        <f t="shared" si="1"/>
        <v>0.76549804777445163</v>
      </c>
      <c r="J16">
        <f t="shared" ca="1" si="2"/>
        <v>0.70812651786318515</v>
      </c>
      <c r="K16">
        <f t="shared" si="6"/>
        <v>1.4000000000000001</v>
      </c>
      <c r="M16">
        <f t="shared" si="3"/>
        <v>4.2851294180164894</v>
      </c>
      <c r="O16">
        <f t="shared" ca="1" si="4"/>
        <v>9.2913961334157094E-2</v>
      </c>
      <c r="P16">
        <f t="shared" ca="1" si="0"/>
        <v>0.55108603866584294</v>
      </c>
      <c r="R16">
        <f t="shared" ca="1" si="5"/>
        <v>3.4044159203743503</v>
      </c>
    </row>
    <row r="17" spans="2:18">
      <c r="I17">
        <f t="shared" si="1"/>
        <v>0.73954137391814001</v>
      </c>
      <c r="J17">
        <f t="shared" ca="1" si="2"/>
        <v>0.68871393272926029</v>
      </c>
      <c r="K17">
        <f>K16+0.1</f>
        <v>1.5000000000000002</v>
      </c>
      <c r="M17">
        <f t="shared" si="3"/>
        <v>4.3419065378211066</v>
      </c>
      <c r="O17">
        <f t="shared" ca="1" si="4"/>
        <v>8.5480097463061774E-2</v>
      </c>
      <c r="P17">
        <f t="shared" ca="1" si="0"/>
        <v>0.55851990253693828</v>
      </c>
      <c r="R17">
        <f t="shared" ca="1" si="5"/>
        <v>3.279601553843754</v>
      </c>
    </row>
    <row r="18" spans="2:18">
      <c r="I18">
        <f t="shared" si="1"/>
        <v>0.71605785625407714</v>
      </c>
      <c r="J18">
        <f t="shared" ca="1" si="2"/>
        <v>0.670727614005591</v>
      </c>
      <c r="K18">
        <f t="shared" si="6"/>
        <v>1.6000000000000003</v>
      </c>
      <c r="M18">
        <f t="shared" si="3"/>
        <v>4.4024746698204842</v>
      </c>
      <c r="O18">
        <f t="shared" ca="1" si="4"/>
        <v>7.8956331569820903E-2</v>
      </c>
      <c r="P18">
        <f t="shared" ca="1" si="0"/>
        <v>0.56504366843017917</v>
      </c>
      <c r="R18">
        <f t="shared" ca="1" si="5"/>
        <v>3.1655415862841418</v>
      </c>
    </row>
    <row r="19" spans="2:18" ht="13.5" customHeight="1">
      <c r="C19" s="5" t="s">
        <v>28</v>
      </c>
      <c r="E19" t="s">
        <v>29</v>
      </c>
      <c r="F19" s="5" t="s">
        <v>28</v>
      </c>
      <c r="I19">
        <f t="shared" si="1"/>
        <v>0.69467815891503704</v>
      </c>
      <c r="J19">
        <f t="shared" ca="1" si="2"/>
        <v>0.65400862870733967</v>
      </c>
      <c r="K19">
        <f t="shared" si="6"/>
        <v>1.7000000000000004</v>
      </c>
      <c r="M19">
        <f t="shared" si="3"/>
        <v>4.4658390711119988</v>
      </c>
      <c r="O19">
        <f t="shared" ca="1" si="4"/>
        <v>7.319793626763238E-2</v>
      </c>
      <c r="P19">
        <f t="shared" ca="1" si="0"/>
        <v>0.57080206373236764</v>
      </c>
      <c r="R19">
        <f t="shared" ca="1" si="5"/>
        <v>3.0608848536687541</v>
      </c>
    </row>
    <row r="20" spans="2:18">
      <c r="B20" t="s">
        <v>30</v>
      </c>
      <c r="C20">
        <f ca="1">(3.14*(C13+E16)^3)/12</f>
        <v>1.0248847233346067E-2</v>
      </c>
      <c r="E20" t="s">
        <v>30</v>
      </c>
      <c r="F20">
        <f ca="1">(3.14*(C13+G16)^3)/12</f>
        <v>1.0260052816158494E-2</v>
      </c>
      <c r="I20">
        <f t="shared" si="1"/>
        <v>0.67510582117221341</v>
      </c>
      <c r="J20">
        <f t="shared" ca="1" si="2"/>
        <v>0.63842082426379043</v>
      </c>
      <c r="K20">
        <f>K19+0.1</f>
        <v>1.8000000000000005</v>
      </c>
      <c r="M20">
        <f t="shared" si="3"/>
        <v>4.5312536568209065</v>
      </c>
      <c r="O20">
        <f t="shared" ca="1" si="4"/>
        <v>6.808783666978159E-2</v>
      </c>
      <c r="P20">
        <f t="shared" ca="1" si="0"/>
        <v>0.57591216333021844</v>
      </c>
      <c r="R20">
        <f t="shared" ca="1" si="5"/>
        <v>2.9644949937386653</v>
      </c>
    </row>
    <row r="21" spans="2:18">
      <c r="B21" t="s">
        <v>31</v>
      </c>
      <c r="C21">
        <f ca="1">(3.14*(C13+E16)^2*C12)/4</f>
        <v>0.63375117159549976</v>
      </c>
      <c r="E21" t="s">
        <v>31</v>
      </c>
      <c r="F21">
        <f ca="1">(3.14*(C13+G16)^2*C12)/4</f>
        <v>0.6342130289225878</v>
      </c>
      <c r="I21">
        <f t="shared" si="1"/>
        <v>0.65709975434524126</v>
      </c>
      <c r="J21">
        <f t="shared" ca="1" si="2"/>
        <v>0.62384695168133386</v>
      </c>
      <c r="K21">
        <f t="shared" si="6"/>
        <v>1.9000000000000006</v>
      </c>
      <c r="M21">
        <f t="shared" si="3"/>
        <v>4.5981518712658156</v>
      </c>
      <c r="O21">
        <f t="shared" ca="1" si="4"/>
        <v>6.353054397939896E-2</v>
      </c>
      <c r="P21">
        <f t="shared" ca="1" si="0"/>
        <v>0.58046945602060107</v>
      </c>
      <c r="R21">
        <f t="shared" ca="1" si="5"/>
        <v>2.8754101483119165</v>
      </c>
    </row>
    <row r="22" spans="2:18">
      <c r="B22" t="s">
        <v>32</v>
      </c>
      <c r="C22">
        <f ca="1">C21+C20</f>
        <v>0.64400001882884583</v>
      </c>
      <c r="E22" t="s">
        <v>32</v>
      </c>
      <c r="F22">
        <f ca="1">F21+F20</f>
        <v>0.64447308173874629</v>
      </c>
      <c r="I22">
        <f t="shared" si="1"/>
        <v>0.64046161696275572</v>
      </c>
      <c r="J22">
        <f t="shared" ca="1" si="2"/>
        <v>0.61018553480501247</v>
      </c>
      <c r="K22">
        <f t="shared" si="6"/>
        <v>2.0000000000000004</v>
      </c>
      <c r="M22">
        <f t="shared" si="3"/>
        <v>4.6660989545261069</v>
      </c>
      <c r="O22">
        <f t="shared" ca="1" si="4"/>
        <v>5.9447572590111804E-2</v>
      </c>
      <c r="P22">
        <f t="shared" ca="1" si="0"/>
        <v>0.58455242740988822</v>
      </c>
      <c r="R22">
        <f t="shared" ca="1" si="5"/>
        <v>2.7928112204025717</v>
      </c>
    </row>
    <row r="23" spans="2:18">
      <c r="I23">
        <f t="shared" si="1"/>
        <v>0.62502653871468883</v>
      </c>
      <c r="J23">
        <f t="shared" ca="1" si="2"/>
        <v>0.59734832887105949</v>
      </c>
      <c r="K23">
        <f t="shared" si="6"/>
        <v>2.1000000000000005</v>
      </c>
      <c r="M23">
        <f t="shared" si="3"/>
        <v>4.7347583296179927</v>
      </c>
      <c r="O23">
        <f t="shared" ca="1" si="4"/>
        <v>5.5773944630679216E-2</v>
      </c>
      <c r="P23">
        <f t="shared" ca="1" si="0"/>
        <v>0.58822605536932082</v>
      </c>
      <c r="R23">
        <f t="shared" ca="1" si="5"/>
        <v>2.7159966888970137</v>
      </c>
    </row>
    <row r="24" spans="2:18" ht="14.25" customHeight="1">
      <c r="C24" t="s">
        <v>33</v>
      </c>
      <c r="F24" t="s">
        <v>33</v>
      </c>
      <c r="I24">
        <f t="shared" si="1"/>
        <v>0.61065619162172791</v>
      </c>
      <c r="J24">
        <f t="shared" ca="1" si="2"/>
        <v>0.58525824648791747</v>
      </c>
      <c r="K24">
        <f t="shared" si="6"/>
        <v>2.2000000000000006</v>
      </c>
      <c r="M24">
        <f t="shared" si="3"/>
        <v>4.8038675171774425</v>
      </c>
      <c r="O24">
        <f t="shared" ca="1" si="4"/>
        <v>5.245549955319237E-2</v>
      </c>
      <c r="P24">
        <f t="shared" ca="1" si="0"/>
        <v>0.59154450044680762</v>
      </c>
      <c r="R24">
        <f t="shared" ca="1" si="5"/>
        <v>2.6443624854904346</v>
      </c>
    </row>
    <row r="25" spans="2:18">
      <c r="C25">
        <f ca="1">C22-F3</f>
        <v>1.8828845815832551E-8</v>
      </c>
      <c r="F25">
        <f ca="1">F22-F3</f>
        <v>4.7308173874627268E-4</v>
      </c>
      <c r="I25">
        <f t="shared" si="1"/>
        <v>0.59723353731113582</v>
      </c>
      <c r="J25">
        <f t="shared" ca="1" si="2"/>
        <v>0.5738476561214203</v>
      </c>
      <c r="K25">
        <f t="shared" si="6"/>
        <v>2.3000000000000007</v>
      </c>
      <c r="M25">
        <f t="shared" si="3"/>
        <v>4.8732206064610244</v>
      </c>
      <c r="O25">
        <f t="shared" ca="1" si="4"/>
        <v>4.9446805386715358E-2</v>
      </c>
      <c r="P25">
        <f t="shared" ca="1" si="0"/>
        <v>0.59455319461328471</v>
      </c>
      <c r="R25">
        <f t="shared" ca="1" si="5"/>
        <v>2.5773858071081528</v>
      </c>
    </row>
    <row r="26" spans="2:18">
      <c r="I26">
        <f t="shared" si="1"/>
        <v>0.58465879137789101</v>
      </c>
      <c r="J26">
        <f t="shared" ca="1" si="2"/>
        <v>0.56305697889814277</v>
      </c>
      <c r="K26">
        <f t="shared" si="6"/>
        <v>2.4000000000000008</v>
      </c>
      <c r="M26">
        <f t="shared" si="3"/>
        <v>4.9426553184904538</v>
      </c>
      <c r="O26">
        <f t="shared" ca="1" si="4"/>
        <v>4.6709523760557418E-2</v>
      </c>
      <c r="P26">
        <f t="shared" ca="1" si="0"/>
        <v>0.59729047623944265</v>
      </c>
      <c r="R26">
        <f t="shared" ca="1" si="5"/>
        <v>2.514612009039471</v>
      </c>
    </row>
    <row r="27" spans="2:18">
      <c r="I27">
        <f t="shared" si="1"/>
        <v>0.57284628500326162</v>
      </c>
      <c r="J27">
        <f t="shared" ca="1" si="2"/>
        <v>0.55283352551826304</v>
      </c>
      <c r="K27">
        <f t="shared" si="6"/>
        <v>2.5000000000000009</v>
      </c>
      <c r="M27">
        <f t="shared" si="3"/>
        <v>5.0120433372756059</v>
      </c>
      <c r="O27">
        <f t="shared" ca="1" si="4"/>
        <v>4.4211120136231595E-2</v>
      </c>
      <c r="P27">
        <f t="shared" ca="1" si="0"/>
        <v>0.59978887986376839</v>
      </c>
      <c r="R27">
        <f t="shared" ca="1" si="5"/>
        <v>2.455643925963868</v>
      </c>
    </row>
    <row r="28" spans="2:18">
      <c r="C28" t="s">
        <v>34</v>
      </c>
      <c r="I28">
        <f t="shared" si="1"/>
        <v>0.56172199721553173</v>
      </c>
      <c r="J28">
        <f t="shared" ca="1" si="2"/>
        <v>0.54313052740506407</v>
      </c>
      <c r="K28">
        <f t="shared" si="6"/>
        <v>2.600000000000001</v>
      </c>
      <c r="M28">
        <f t="shared" si="3"/>
        <v>5.0812830006522178</v>
      </c>
      <c r="O28">
        <f t="shared" ca="1" si="4"/>
        <v>4.1923838839622078E-2</v>
      </c>
      <c r="P28">
        <f t="shared" ca="1" si="0"/>
        <v>0.60207616116037799</v>
      </c>
      <c r="R28">
        <f t="shared" ca="1" si="5"/>
        <v>2.4001331189292596</v>
      </c>
    </row>
    <row r="29" spans="2:18">
      <c r="C29">
        <f ca="1">F25*F6</f>
        <v>3.7846539099701815</v>
      </c>
      <c r="I29">
        <f t="shared" si="1"/>
        <v>0.551221594751517</v>
      </c>
      <c r="J29">
        <f t="shared" ca="1" si="2"/>
        <v>0.53390632577183872</v>
      </c>
      <c r="K29">
        <f t="shared" si="6"/>
        <v>2.7000000000000011</v>
      </c>
      <c r="M29">
        <f t="shared" si="3"/>
        <v>5.1502937173404</v>
      </c>
      <c r="O29">
        <f t="shared" ca="1" si="4"/>
        <v>3.9823882820077545E-2</v>
      </c>
      <c r="P29">
        <f t="shared" ca="1" si="0"/>
        <v>0.60417611717992248</v>
      </c>
      <c r="R29">
        <f t="shared" ca="1" si="5"/>
        <v>2.3477726597901536</v>
      </c>
    </row>
    <row r="30" spans="2:18">
      <c r="I30">
        <f t="shared" si="1"/>
        <v>0.54128886056637848</v>
      </c>
      <c r="J30">
        <f t="shared" ca="1" si="2"/>
        <v>0.52512368971344814</v>
      </c>
      <c r="K30">
        <f t="shared" si="6"/>
        <v>2.8000000000000012</v>
      </c>
      <c r="M30">
        <f t="shared" si="3"/>
        <v>5.2190116620996019</v>
      </c>
      <c r="O30">
        <f t="shared" ca="1" si="4"/>
        <v>3.7890752882811664E-2</v>
      </c>
      <c r="P30">
        <f t="shared" ca="1" si="0"/>
        <v>0.60610924711718839</v>
      </c>
      <c r="R30">
        <f t="shared" ca="1" si="5"/>
        <v>2.2982911504686432</v>
      </c>
    </row>
    <row r="31" spans="2:18">
      <c r="I31">
        <f t="shared" si="1"/>
        <v>0.53187442308574251</v>
      </c>
      <c r="J31">
        <f t="shared" ca="1" si="2"/>
        <v>0.51674924022661906</v>
      </c>
      <c r="K31">
        <f t="shared" si="6"/>
        <v>2.9000000000000012</v>
      </c>
      <c r="M31">
        <f t="shared" si="3"/>
        <v>5.2873864276532565</v>
      </c>
      <c r="O31">
        <f t="shared" ca="1" si="4"/>
        <v>3.610671203394486E-2</v>
      </c>
      <c r="P31">
        <f t="shared" ca="1" si="0"/>
        <v>0.60789328796605513</v>
      </c>
      <c r="R31">
        <f t="shared" ca="1" si="5"/>
        <v>2.2514477397937096</v>
      </c>
    </row>
    <row r="32" spans="2:18">
      <c r="I32">
        <f t="shared" si="1"/>
        <v>0.52293472046553291</v>
      </c>
      <c r="J32">
        <f t="shared" ca="1" si="2"/>
        <v>0.50875296160773509</v>
      </c>
      <c r="K32">
        <f t="shared" si="6"/>
        <v>3.0000000000000013</v>
      </c>
      <c r="M32">
        <f t="shared" si="3"/>
        <v>5.3553784001186555</v>
      </c>
      <c r="O32">
        <f t="shared" ca="1" si="4"/>
        <v>3.4456348650368597E-2</v>
      </c>
      <c r="P32">
        <f t="shared" ca="1" si="0"/>
        <v>0.6095436513496314</v>
      </c>
      <c r="R32">
        <f t="shared" ca="1" si="5"/>
        <v>2.2070279507979191</v>
      </c>
    </row>
    <row r="33" spans="9:18">
      <c r="I33">
        <f t="shared" si="1"/>
        <v>0.51443115016463392</v>
      </c>
      <c r="J33">
        <f t="shared" ca="1" si="2"/>
        <v>0.50110778525607458</v>
      </c>
      <c r="K33">
        <f t="shared" si="6"/>
        <v>3.1000000000000014</v>
      </c>
      <c r="M33">
        <f t="shared" si="3"/>
        <v>5.4229566866702905</v>
      </c>
      <c r="O33">
        <f t="shared" ca="1" si="4"/>
        <v>3.2926218216921717E-2</v>
      </c>
      <c r="P33">
        <f t="shared" ca="1" si="0"/>
        <v>0.61107378178307825</v>
      </c>
      <c r="R33">
        <f t="shared" ca="1" si="5"/>
        <v>2.1648401700102786</v>
      </c>
    </row>
    <row r="34" spans="9:18">
      <c r="I34">
        <f t="shared" si="1"/>
        <v>0.50632936587916</v>
      </c>
      <c r="J34">
        <f t="shared" ca="1" si="2"/>
        <v>0.49378923374228689</v>
      </c>
      <c r="K34">
        <f t="shared" si="6"/>
        <v>3.2000000000000015</v>
      </c>
      <c r="M34">
        <f t="shared" si="3"/>
        <v>5.4900974683538024</v>
      </c>
      <c r="O34">
        <f t="shared" ca="1" si="4"/>
        <v>3.150454791219507E-2</v>
      </c>
      <c r="P34">
        <f t="shared" ca="1" si="0"/>
        <v>0.61249545208780498</v>
      </c>
      <c r="R34">
        <f t="shared" ca="1" si="5"/>
        <v>2.124712680283098</v>
      </c>
    </row>
    <row r="35" spans="9:18">
      <c r="I35">
        <f t="shared" si="1"/>
        <v>0.49859869258148704</v>
      </c>
      <c r="J35">
        <f t="shared" ca="1" si="2"/>
        <v>0.48677511525282741</v>
      </c>
      <c r="K35">
        <f t="shared" si="6"/>
        <v>3.3000000000000016</v>
      </c>
      <c r="M35">
        <f t="shared" si="3"/>
        <v>5.5567826828324014</v>
      </c>
      <c r="O35">
        <f t="shared" ca="1" si="4"/>
        <v>3.0180991765430182E-2</v>
      </c>
      <c r="P35">
        <f t="shared" ca="1" si="0"/>
        <v>0.61381900823456981</v>
      </c>
      <c r="R35">
        <f t="shared" ca="1" si="5"/>
        <v>2.0864911421071231</v>
      </c>
    </row>
    <row r="36" spans="9:18">
      <c r="I36">
        <f t="shared" si="1"/>
        <v>0.49121163691100872</v>
      </c>
      <c r="J36">
        <f t="shared" ca="1" si="2"/>
        <v>0.48004526031848044</v>
      </c>
      <c r="K36">
        <f t="shared" si="6"/>
        <v>3.4000000000000017</v>
      </c>
      <c r="M36">
        <f t="shared" si="3"/>
        <v>5.6229989650736965</v>
      </c>
      <c r="O36">
        <f t="shared" ca="1" si="4"/>
        <v>2.8946426734139361E-2</v>
      </c>
      <c r="P36">
        <f t="shared" ca="1" si="0"/>
        <v>0.61505357326586063</v>
      </c>
      <c r="R36">
        <f t="shared" ca="1" si="5"/>
        <v>2.0500364467522583</v>
      </c>
    </row>
    <row r="37" spans="9:18">
      <c r="I37">
        <f t="shared" si="1"/>
        <v>0.48414347507593097</v>
      </c>
      <c r="J37">
        <f t="shared" ca="1" si="2"/>
        <v>0.47358129417690953</v>
      </c>
      <c r="K37">
        <f t="shared" si="6"/>
        <v>3.5000000000000018</v>
      </c>
      <c r="M37">
        <f t="shared" si="3"/>
        <v>5.6887367910844837</v>
      </c>
      <c r="O37">
        <f t="shared" ca="1" si="4"/>
        <v>2.7792782071224958E-2</v>
      </c>
      <c r="P37">
        <f t="shared" ca="1" si="0"/>
        <v>0.61620721792877509</v>
      </c>
      <c r="R37">
        <f t="shared" ca="1" si="5"/>
        <v>2.0152228790830176</v>
      </c>
    </row>
    <row r="38" spans="9:18">
      <c r="I38">
        <f t="shared" si="1"/>
        <v>0.47737190416938469</v>
      </c>
      <c r="J38">
        <f t="shared" ca="1" si="2"/>
        <v>0.46736643928090038</v>
      </c>
      <c r="K38">
        <f t="shared" si="6"/>
        <v>3.6000000000000019</v>
      </c>
      <c r="M38">
        <f t="shared" si="3"/>
        <v>5.7539897825085049</v>
      </c>
      <c r="O38">
        <f t="shared" ca="1" si="4"/>
        <v>2.6712895912179901E-2</v>
      </c>
      <c r="P38">
        <f t="shared" ca="1" si="0"/>
        <v>0.61728710408782006</v>
      </c>
      <c r="R38">
        <f t="shared" ca="1" si="5"/>
        <v>1.9819365394152106</v>
      </c>
    </row>
    <row r="39" spans="9:18">
      <c r="I39">
        <f t="shared" si="1"/>
        <v>0.47087674568086141</v>
      </c>
      <c r="J39">
        <f t="shared" ca="1" si="2"/>
        <v>0.4613853434041148</v>
      </c>
      <c r="K39">
        <f t="shared" si="6"/>
        <v>3.700000000000002</v>
      </c>
      <c r="M39">
        <f t="shared" si="3"/>
        <v>5.8187541394283588</v>
      </c>
      <c r="O39">
        <f t="shared" ca="1" si="4"/>
        <v>2.5700394228427532E-2</v>
      </c>
      <c r="P39">
        <f t="shared" ca="1" si="0"/>
        <v>0.6182996057715725</v>
      </c>
      <c r="R39">
        <f t="shared" ca="1" si="5"/>
        <v>1.9500739829685736</v>
      </c>
    </row>
    <row r="40" spans="9:18">
      <c r="I40">
        <f t="shared" si="1"/>
        <v>0.46463969221353463</v>
      </c>
      <c r="J40">
        <f t="shared" ca="1" si="2"/>
        <v>0.4556239295602667</v>
      </c>
      <c r="K40">
        <f t="shared" si="6"/>
        <v>3.800000000000002</v>
      </c>
      <c r="M40">
        <f t="shared" si="3"/>
        <v>5.8830281759129512</v>
      </c>
      <c r="O40">
        <f t="shared" ca="1" si="4"/>
        <v>2.4749588244378031E-2</v>
      </c>
      <c r="P40">
        <f t="shared" ca="1" si="0"/>
        <v>0.61925041175562201</v>
      </c>
      <c r="R40">
        <f t="shared" ca="1" si="5"/>
        <v>1.9195410428368338</v>
      </c>
    </row>
    <row r="41" spans="9:18">
      <c r="I41">
        <f t="shared" si="1"/>
        <v>0.45864409015837526</v>
      </c>
      <c r="J41">
        <f t="shared" ca="1" si="2"/>
        <v>0.45006926457522028</v>
      </c>
      <c r="K41">
        <f t="shared" si="6"/>
        <v>3.9000000000000021</v>
      </c>
      <c r="M41">
        <f t="shared" si="3"/>
        <v>5.9468119383358768</v>
      </c>
      <c r="O41">
        <f t="shared" ca="1" si="4"/>
        <v>2.3855387164871029E-2</v>
      </c>
      <c r="P41">
        <f t="shared" ca="1" si="0"/>
        <v>0.62014461283512901</v>
      </c>
      <c r="R41">
        <f t="shared" ca="1" si="5"/>
        <v>1.8902518083316755</v>
      </c>
    </row>
    <row r="42" spans="9:18">
      <c r="I42">
        <f t="shared" si="1"/>
        <v>0.45287475244406566</v>
      </c>
      <c r="J42">
        <f t="shared" ca="1" si="2"/>
        <v>0.44470944366250065</v>
      </c>
      <c r="K42">
        <f t="shared" si="6"/>
        <v>4.0000000000000018</v>
      </c>
      <c r="M42">
        <f t="shared" si="3"/>
        <v>6.0101068906974673</v>
      </c>
      <c r="O42">
        <f t="shared" ca="1" si="4"/>
        <v>2.301322365260176E-2</v>
      </c>
      <c r="P42">
        <f t="shared" ca="1" si="0"/>
        <v>0.62098677634739829</v>
      </c>
      <c r="R42">
        <f t="shared" ca="1" si="5"/>
        <v>1.8621277353608008</v>
      </c>
    </row>
    <row r="43" spans="9:18">
      <c r="I43">
        <f t="shared" si="1"/>
        <v>0.44731779656435977</v>
      </c>
      <c r="J43">
        <f t="shared" ca="1" si="2"/>
        <v>0.43953348877306936</v>
      </c>
      <c r="K43">
        <f t="shared" si="6"/>
        <v>4.1000000000000014</v>
      </c>
      <c r="M43">
        <f t="shared" si="3"/>
        <v>6.0729156544329843</v>
      </c>
      <c r="O43">
        <f t="shared" ca="1" si="4"/>
        <v>2.2218989966885965E-2</v>
      </c>
      <c r="P43">
        <f t="shared" ca="1" si="0"/>
        <v>0.62178101003311403</v>
      </c>
      <c r="R43">
        <f t="shared" ca="1" si="5"/>
        <v>1.8350968694058138</v>
      </c>
    </row>
    <row r="44" spans="9:18">
      <c r="I44">
        <f t="shared" si="1"/>
        <v>0.44196050394671266</v>
      </c>
      <c r="J44">
        <f t="shared" ca="1" si="2"/>
        <v>0.43453125883735905</v>
      </c>
      <c r="K44">
        <f t="shared" si="6"/>
        <v>4.2000000000000011</v>
      </c>
      <c r="M44">
        <f t="shared" si="3"/>
        <v>6.1352417927159149</v>
      </c>
      <c r="O44">
        <f t="shared" ca="1" si="4"/>
        <v>2.146898305234644E-2</v>
      </c>
      <c r="P44">
        <f t="shared" ca="1" si="0"/>
        <v>0.62253101694765356</v>
      </c>
      <c r="R44">
        <f t="shared" ca="1" si="5"/>
        <v>1.8090931648547741</v>
      </c>
    </row>
    <row r="45" spans="9:18">
      <c r="I45">
        <f t="shared" si="1"/>
        <v>0.43679119741670602</v>
      </c>
      <c r="J45">
        <f t="shared" ca="1" si="2"/>
        <v>0.42969337030528765</v>
      </c>
      <c r="K45">
        <f t="shared" si="6"/>
        <v>4.3000000000000007</v>
      </c>
      <c r="M45">
        <f t="shared" si="3"/>
        <v>6.1970896312412957</v>
      </c>
      <c r="O45">
        <f t="shared" ca="1" si="4"/>
        <v>2.0759857169187643E-2</v>
      </c>
      <c r="P45">
        <f t="shared" ca="1" si="0"/>
        <v>0.62324014283081242</v>
      </c>
      <c r="R45">
        <f t="shared" ca="1" si="5"/>
        <v>1.7840558870591698</v>
      </c>
    </row>
    <row r="46" spans="9:18">
      <c r="I46">
        <f t="shared" si="1"/>
        <v>0.43179913406927561</v>
      </c>
      <c r="J46">
        <f t="shared" ca="1" si="2"/>
        <v>0.42501112662932167</v>
      </c>
      <c r="K46">
        <f t="shared" si="6"/>
        <v>4.4000000000000004</v>
      </c>
      <c r="M46">
        <f t="shared" si="3"/>
        <v>6.2584641090283855</v>
      </c>
      <c r="O46">
        <f t="shared" ca="1" si="4"/>
        <v>2.0088582901362759E-2</v>
      </c>
      <c r="P46">
        <f t="shared" ca="1" si="0"/>
        <v>0.62391141709863729</v>
      </c>
      <c r="R46">
        <f t="shared" ca="1" si="5"/>
        <v>1.7599290856378682</v>
      </c>
    </row>
    <row r="47" spans="9:18">
      <c r="I47">
        <f t="shared" si="1"/>
        <v>0.42697441130850389</v>
      </c>
      <c r="J47">
        <f t="shared" ca="1" si="2"/>
        <v>0.42047645553544788</v>
      </c>
      <c r="K47">
        <f t="shared" si="6"/>
        <v>4.5</v>
      </c>
      <c r="M47">
        <f t="shared" si="3"/>
        <v>6.3193706540113821</v>
      </c>
      <c r="O47">
        <f t="shared" ca="1" si="4"/>
        <v>1.9452411577274037E-2</v>
      </c>
      <c r="P47">
        <f t="shared" ca="1" si="0"/>
        <v>0.62454758842272595</v>
      </c>
      <c r="R47">
        <f t="shared" ca="1" si="5"/>
        <v>1.7366611293297904</v>
      </c>
    </row>
    <row r="48" spans="9:18">
      <c r="I48">
        <f t="shared" si="1"/>
        <v>0.4223078841847332</v>
      </c>
      <c r="J48">
        <f t="shared" ca="1" si="2"/>
        <v>0.4160818530942525</v>
      </c>
      <c r="K48">
        <f t="shared" si="6"/>
        <v>4.5999999999999996</v>
      </c>
      <c r="M48">
        <f t="shared" si="3"/>
        <v>6.3798150791642856</v>
      </c>
      <c r="O48">
        <f t="shared" ca="1" si="4"/>
        <v>1.8848844299132642E-2</v>
      </c>
      <c r="P48">
        <f t="shared" ca="1" si="0"/>
        <v>0.62515115570086732</v>
      </c>
      <c r="R48">
        <f t="shared" ca="1" si="5"/>
        <v>1.7142042941730404</v>
      </c>
    </row>
    <row r="49" spans="9:18">
      <c r="I49">
        <f t="shared" si="1"/>
        <v>0.41779109245800633</v>
      </c>
      <c r="J49">
        <f t="shared" ca="1" si="2"/>
        <v>0.41182033374491994</v>
      </c>
      <c r="K49">
        <f t="shared" si="6"/>
        <v>4.6999999999999993</v>
      </c>
      <c r="M49">
        <f t="shared" si="3"/>
        <v>6.4398034956867463</v>
      </c>
      <c r="O49">
        <f t="shared" ca="1" si="4"/>
        <v>1.8275604909124991E-2</v>
      </c>
      <c r="P49">
        <f t="shared" ca="1" si="0"/>
        <v>0.62572439509087507</v>
      </c>
      <c r="R49">
        <f t="shared" ca="1" si="5"/>
        <v>1.6925143980170543</v>
      </c>
    </row>
    <row r="50" spans="9:18">
      <c r="I50">
        <f t="shared" si="1"/>
        <v>0.41341619606363789</v>
      </c>
      <c r="J50">
        <f t="shared" ca="1" si="2"/>
        <v>0.40768538554349798</v>
      </c>
      <c r="K50">
        <f t="shared" si="6"/>
        <v>4.7999999999999989</v>
      </c>
      <c r="M50">
        <f t="shared" si="3"/>
        <v>6.4993422404044834</v>
      </c>
      <c r="O50">
        <f t="shared" ca="1" si="4"/>
        <v>1.7730616328891984E-2</v>
      </c>
      <c r="P50">
        <f t="shared" ca="1" si="0"/>
        <v>0.62626938367110807</v>
      </c>
      <c r="R50">
        <f t="shared" ca="1" si="5"/>
        <v>1.6715504754010264</v>
      </c>
    </row>
    <row r="51" spans="9:18">
      <c r="I51">
        <f t="shared" si="1"/>
        <v>0.40917591785947277</v>
      </c>
      <c r="J51">
        <f t="shared" ca="1" si="2"/>
        <v>0.40367093000700055</v>
      </c>
      <c r="K51">
        <f t="shared" si="6"/>
        <v>4.8999999999999986</v>
      </c>
      <c r="M51">
        <f t="shared" si="3"/>
        <v>6.5584378150429892</v>
      </c>
      <c r="O51">
        <f t="shared" ca="1" si="4"/>
        <v>1.7211979798105143E-2</v>
      </c>
      <c r="P51">
        <f t="shared" ca="1" si="0"/>
        <v>0.62678802020189484</v>
      </c>
      <c r="R51">
        <f t="shared" ca="1" si="5"/>
        <v>1.6512744876925298</v>
      </c>
    </row>
    <row r="52" spans="9:18">
      <c r="I52">
        <f t="shared" si="1"/>
        <v>0.40506349270332814</v>
      </c>
      <c r="J52">
        <f t="shared" ca="1" si="2"/>
        <v>0.39977128600992029</v>
      </c>
      <c r="K52">
        <f t="shared" si="6"/>
        <v>4.9999999999999982</v>
      </c>
      <c r="M52">
        <f t="shared" si="3"/>
        <v>6.6170968354422497</v>
      </c>
      <c r="O52">
        <f t="shared" ca="1" si="4"/>
        <v>1.6717956611750091E-2</v>
      </c>
      <c r="P52">
        <f t="shared" ca="1" si="0"/>
        <v>0.62728204338824989</v>
      </c>
      <c r="R52">
        <f t="shared" ca="1" si="5"/>
        <v>1.6316510641040995</v>
      </c>
    </row>
    <row r="53" spans="9:18">
      <c r="I53">
        <f t="shared" si="1"/>
        <v>0.40107262204975042</v>
      </c>
      <c r="J53">
        <f t="shared" ca="1" si="2"/>
        <v>0.39598113726201367</v>
      </c>
      <c r="K53">
        <f t="shared" si="6"/>
        <v>5.0999999999999979</v>
      </c>
      <c r="M53">
        <f t="shared" si="3"/>
        <v>6.6753259891125438</v>
      </c>
      <c r="O53">
        <f t="shared" ca="1" si="4"/>
        <v>1.6246952016993877E-2</v>
      </c>
      <c r="P53">
        <f t="shared" ca="1" si="0"/>
        <v>0.62775304798300613</v>
      </c>
      <c r="R53">
        <f t="shared" ca="1" si="5"/>
        <v>1.6126472698162559</v>
      </c>
    </row>
    <row r="54" spans="9:18">
      <c r="I54">
        <f t="shared" si="1"/>
        <v>0.39719743337275365</v>
      </c>
      <c r="J54">
        <f t="shared" ca="1" si="2"/>
        <v>0.39229550295788229</v>
      </c>
      <c r="K54">
        <f t="shared" si="6"/>
        <v>5.1999999999999975</v>
      </c>
      <c r="M54">
        <f t="shared" si="3"/>
        <v>6.7331319998026276</v>
      </c>
      <c r="O54">
        <f t="shared" ca="1" si="4"/>
        <v>1.5797500981528836E-2</v>
      </c>
      <c r="P54">
        <f t="shared" ca="1" si="0"/>
        <v>0.62820249901847114</v>
      </c>
      <c r="R54">
        <f t="shared" ca="1" si="5"/>
        <v>1.5942323979522532</v>
      </c>
    </row>
    <row r="55" spans="9:18">
      <c r="I55">
        <f t="shared" si="1"/>
        <v>0.39343244381979747</v>
      </c>
      <c r="J55">
        <f t="shared" ca="1" si="2"/>
        <v>0.38870971124160286</v>
      </c>
      <c r="K55">
        <f t="shared" si="6"/>
        <v>5.2999999999999972</v>
      </c>
      <c r="M55">
        <f t="shared" si="3"/>
        <v>6.7905215979735942</v>
      </c>
      <c r="O55">
        <f t="shared" ca="1" si="4"/>
        <v>1.5368255587907526E-2</v>
      </c>
      <c r="P55">
        <f t="shared" ca="1" si="0"/>
        <v>0.62863174441209246</v>
      </c>
      <c r="R55">
        <f t="shared" ca="1" si="5"/>
        <v>1.5763777825884968</v>
      </c>
    </row>
    <row r="56" spans="9:18">
      <c r="I56">
        <f t="shared" si="1"/>
        <v>0.38977252758526093</v>
      </c>
      <c r="J56">
        <f t="shared" ca="1" si="2"/>
        <v>0.38521937517487237</v>
      </c>
      <c r="K56">
        <f t="shared" si="6"/>
        <v>5.3999999999999968</v>
      </c>
      <c r="M56">
        <f t="shared" si="3"/>
        <v>6.8475014962541998</v>
      </c>
      <c r="O56">
        <f t="shared" ca="1" si="4"/>
        <v>1.4957973844105528E-2</v>
      </c>
      <c r="P56">
        <f t="shared" ca="1" si="0"/>
        <v>0.62904202615589444</v>
      </c>
      <c r="R56">
        <f t="shared" ca="1" si="5"/>
        <v>1.5590566303579299</v>
      </c>
    </row>
    <row r="57" spans="9:18">
      <c r="I57">
        <f t="shared" si="1"/>
        <v>0.38621288656177838</v>
      </c>
      <c r="J57">
        <f t="shared" ca="1" si="2"/>
        <v>0.38182037093600296</v>
      </c>
      <c r="K57">
        <f t="shared" si="6"/>
        <v>5.4999999999999964</v>
      </c>
      <c r="M57">
        <f t="shared" si="3"/>
        <v>6.9040783691037273</v>
      </c>
      <c r="O57">
        <f t="shared" ca="1" si="4"/>
        <v>1.4565509730580834E-2</v>
      </c>
      <c r="P57">
        <f t="shared" ca="1" si="0"/>
        <v>0.62943449026941922</v>
      </c>
      <c r="R57">
        <f t="shared" ca="1" si="5"/>
        <v>1.5422438685223689</v>
      </c>
    </row>
    <row r="58" spans="9:18">
      <c r="I58">
        <f t="shared" si="1"/>
        <v>0.38274902388722604</v>
      </c>
      <c r="J58">
        <f t="shared" ca="1" si="2"/>
        <v>0.37850881801059599</v>
      </c>
      <c r="K58">
        <f t="shared" si="6"/>
        <v>5.5999999999999961</v>
      </c>
      <c r="M58">
        <f t="shared" si="3"/>
        <v>6.9602588360329785</v>
      </c>
      <c r="O58">
        <f t="shared" ca="1" si="4"/>
        <v>1.4189804329422189E-2</v>
      </c>
      <c r="P58">
        <f t="shared" ca="1" si="0"/>
        <v>0.62981019567057783</v>
      </c>
      <c r="R58">
        <f t="shared" ca="1" si="5"/>
        <v>1.5259160076625098</v>
      </c>
    </row>
    <row r="59" spans="9:18">
      <c r="I59">
        <f t="shared" si="1"/>
        <v>0.3793767200556622</v>
      </c>
      <c r="J59">
        <f t="shared" ca="1" si="2"/>
        <v>0.37528106116365761</v>
      </c>
      <c r="K59">
        <f t="shared" si="6"/>
        <v>5.6999999999999957</v>
      </c>
      <c r="M59">
        <f t="shared" si="3"/>
        <v>7.0160494478369388</v>
      </c>
      <c r="O59">
        <f t="shared" ca="1" si="4"/>
        <v>1.3829877902593371E-2</v>
      </c>
      <c r="P59">
        <f t="shared" ca="1" si="0"/>
        <v>0.63017012209740664</v>
      </c>
      <c r="R59">
        <f t="shared" ca="1" si="5"/>
        <v>1.5100510173683099</v>
      </c>
    </row>
    <row r="60" spans="9:18">
      <c r="I60">
        <f t="shared" si="1"/>
        <v>0.37609201130361158</v>
      </c>
      <c r="J60">
        <f t="shared" ca="1" si="2"/>
        <v>0.37213365400797055</v>
      </c>
      <c r="K60">
        <f t="shared" si="6"/>
        <v>5.7999999999999954</v>
      </c>
      <c r="M60">
        <f t="shared" si="3"/>
        <v>7.0714566753786103</v>
      </c>
      <c r="O60">
        <f t="shared" ca="1" si="4"/>
        <v>1.3484822804440614E-2</v>
      </c>
      <c r="P60">
        <f t="shared" ca="1" si="0"/>
        <v>0.63051517719555938</v>
      </c>
      <c r="R60">
        <f t="shared" ca="1" si="5"/>
        <v>1.4946282135137654</v>
      </c>
    </row>
    <row r="61" spans="9:18">
      <c r="I61">
        <f t="shared" si="1"/>
        <v>0.37289117001992667</v>
      </c>
      <c r="J61">
        <f t="shared" ca="1" si="2"/>
        <v>0.36906334400527729</v>
      </c>
      <c r="K61">
        <f t="shared" si="6"/>
        <v>5.899999999999995</v>
      </c>
      <c r="M61">
        <f t="shared" si="3"/>
        <v>7.1264869005349194</v>
      </c>
      <c r="O61">
        <f t="shared" ca="1" si="4"/>
        <v>1.3153797129072116E-2</v>
      </c>
      <c r="P61">
        <f t="shared" ca="1" si="0"/>
        <v>0.63084620287092785</v>
      </c>
      <c r="R61">
        <f t="shared" ca="1" si="5"/>
        <v>1.479628155873653</v>
      </c>
    </row>
    <row r="62" spans="9:18">
      <c r="I62">
        <f t="shared" si="1"/>
        <v>0.36977068695907023</v>
      </c>
      <c r="J62">
        <f t="shared" ca="1" si="2"/>
        <v>0.36606705875573653</v>
      </c>
      <c r="K62">
        <f t="shared" si="6"/>
        <v>5.9999999999999947</v>
      </c>
      <c r="M62">
        <f t="shared" si="3"/>
        <v>7.1811464089755441</v>
      </c>
      <c r="O62">
        <f t="shared" ca="1" si="4"/>
        <v>1.2836019006383063E-2</v>
      </c>
      <c r="P62">
        <f t="shared" ca="1" si="0"/>
        <v>0.63116398099361692</v>
      </c>
      <c r="R62">
        <f t="shared" ca="1" si="5"/>
        <v>1.4650325549898213</v>
      </c>
    </row>
    <row r="63" spans="9:18">
      <c r="I63">
        <f t="shared" si="1"/>
        <v>0.36672725506484083</v>
      </c>
      <c r="J63">
        <f t="shared" ca="1" si="2"/>
        <v>0.36314189344759484</v>
      </c>
      <c r="K63">
        <f t="shared" si="6"/>
        <v>6.0999999999999943</v>
      </c>
      <c r="M63">
        <f t="shared" si="3"/>
        <v>7.2354413844955614</v>
      </c>
      <c r="O63">
        <f t="shared" ca="1" si="4"/>
        <v>1.2530761471751868E-2</v>
      </c>
      <c r="P63">
        <f t="shared" ca="1" si="0"/>
        <v>0.6314692385282481</v>
      </c>
      <c r="R63">
        <f t="shared" ca="1" si="5"/>
        <v>1.4508241873245866</v>
      </c>
    </row>
    <row r="64" spans="9:18">
      <c r="I64">
        <f t="shared" si="1"/>
        <v>0.36375775473500804</v>
      </c>
      <c r="J64">
        <f t="shared" ca="1" si="2"/>
        <v>0.3602850993534058</v>
      </c>
      <c r="K64">
        <f t="shared" si="6"/>
        <v>6.199999999999994</v>
      </c>
      <c r="M64">
        <f t="shared" si="3"/>
        <v>7.2893779046650007</v>
      </c>
      <c r="O64">
        <f t="shared" ca="1" si="4"/>
        <v>1.2237347844073619E-2</v>
      </c>
      <c r="P64">
        <f t="shared" ca="1" si="0"/>
        <v>0.63176265215592642</v>
      </c>
      <c r="R64">
        <f t="shared" ca="1" si="5"/>
        <v>1.4369868178515943</v>
      </c>
    </row>
    <row r="65" spans="9:18">
      <c r="I65">
        <f t="shared" si="1"/>
        <v>0.36085924037758588</v>
      </c>
      <c r="J65">
        <f t="shared" ca="1" si="2"/>
        <v>0.35749407327172672</v>
      </c>
      <c r="K65">
        <f t="shared" si="6"/>
        <v>6.2999999999999936</v>
      </c>
      <c r="M65">
        <f t="shared" si="3"/>
        <v>7.3429619375938415</v>
      </c>
      <c r="O65">
        <f t="shared" ca="1" si="4"/>
        <v>1.1955147555077412E-2</v>
      </c>
      <c r="P65">
        <f t="shared" ca="1" si="0"/>
        <v>0.63204485244492259</v>
      </c>
      <c r="R65">
        <f t="shared" ca="1" si="5"/>
        <v>1.4235051293327092</v>
      </c>
    </row>
    <row r="66" spans="9:18">
      <c r="I66">
        <f t="shared" si="1"/>
        <v>0.35802892812703879</v>
      </c>
      <c r="J66">
        <f t="shared" ca="1" si="2"/>
        <v>0.35476634782426397</v>
      </c>
      <c r="K66">
        <f t="shared" si="6"/>
        <v>6.3999999999999932</v>
      </c>
      <c r="M66">
        <f t="shared" si="3"/>
        <v>7.3961993396409644</v>
      </c>
      <c r="O66">
        <f t="shared" ca="1" si="4"/>
        <v>1.1683572380001693E-2</v>
      </c>
      <c r="P66">
        <f t="shared" ca="1" si="0"/>
        <v>0.63231642761999829</v>
      </c>
      <c r="R66">
        <f t="shared" ca="1" si="5"/>
        <v>1.4103646576150635</v>
      </c>
    </row>
    <row r="67" spans="9:18">
      <c r="I67">
        <f t="shared" si="1"/>
        <v>0.35526418460396841</v>
      </c>
      <c r="J67">
        <f t="shared" ca="1" si="2"/>
        <v>0.35209958252814166</v>
      </c>
      <c r="K67">
        <f t="shared" si="6"/>
        <v>6.4999999999999929</v>
      </c>
      <c r="M67">
        <f t="shared" si="3"/>
        <v>7.4490958539208334</v>
      </c>
      <c r="O67">
        <f t="shared" ca="1" si="4"/>
        <v>1.1422073025852053E-2</v>
      </c>
      <c r="P67">
        <f t="shared" ref="P67:P72" ca="1" si="7">$F$3-O67</f>
        <v>0.63257792697414794</v>
      </c>
      <c r="R67">
        <f t="shared" ca="1" si="5"/>
        <v>1.3975517323572029</v>
      </c>
    </row>
    <row r="68" spans="9:18">
      <c r="I68">
        <f t="shared" ref="I68:I72" si="8">SQRT((4*$F$3)/(3.14*K68))</f>
        <v>0.35256251661511651</v>
      </c>
      <c r="J68">
        <f t="shared" ref="J68:J72" ca="1" si="9">SQRT((4*P68)/(3.14*K68))</f>
        <v>0.34949155557150702</v>
      </c>
      <c r="K68">
        <f t="shared" si="6"/>
        <v>6.5999999999999925</v>
      </c>
      <c r="M68">
        <f t="shared" ref="M68:M72" si="10">(3.14*I68^2)/2 + (3.14*I68*K68)</f>
        <v>7.5016571094831814</v>
      </c>
      <c r="O68">
        <f t="shared" ref="O68:O72" ca="1" si="11">(3.14*J68^3)/12</f>
        <v>1.1170136038783383E-2</v>
      </c>
      <c r="P68">
        <f t="shared" ca="1" si="7"/>
        <v>0.63282986396121665</v>
      </c>
      <c r="R68">
        <f t="shared" ref="R68:R72" ca="1" si="12">(3.14*J68^2)/4 + (3.14*J68) + (3.14*J68^2)/2</f>
        <v>1.3850534226587219</v>
      </c>
    </row>
    <row r="69" spans="9:18">
      <c r="I69">
        <f t="shared" si="8"/>
        <v>0.34992156170211097</v>
      </c>
      <c r="J69">
        <f t="shared" ca="1" si="9"/>
        <v>0.346940156228216</v>
      </c>
      <c r="K69">
        <f t="shared" ref="K69" si="13">K68+0.1</f>
        <v>6.6999999999999922</v>
      </c>
      <c r="M69">
        <f t="shared" si="10"/>
        <v>7.5538886210591523</v>
      </c>
      <c r="O69">
        <f t="shared" ca="1" si="11"/>
        <v>1.0927280996756569E-2</v>
      </c>
      <c r="P69">
        <f t="shared" ca="1" si="7"/>
        <v>0.63307271900324347</v>
      </c>
      <c r="R69">
        <f t="shared" ca="1" si="12"/>
        <v>1.372857487125215</v>
      </c>
    </row>
    <row r="70" spans="9:18">
      <c r="I70">
        <f t="shared" si="8"/>
        <v>0.3473390794575188</v>
      </c>
      <c r="J70">
        <f t="shared" ca="1" si="9"/>
        <v>0.34444337785399104</v>
      </c>
      <c r="K70">
        <f t="shared" si="6"/>
        <v>6.7999999999999918</v>
      </c>
      <c r="M70">
        <f t="shared" si="10"/>
        <v>7.6057957892828147</v>
      </c>
      <c r="O70">
        <f t="shared" ca="1" si="11"/>
        <v>1.0693057957620546E-2</v>
      </c>
      <c r="P70">
        <f t="shared" ca="1" si="7"/>
        <v>0.63330694204237947</v>
      </c>
      <c r="R70">
        <f t="shared" ca="1" si="12"/>
        <v>1.3609523279508173</v>
      </c>
    </row>
    <row r="71" spans="9:18">
      <c r="I71">
        <f t="shared" si="8"/>
        <v>0.34481294353565695</v>
      </c>
      <c r="J71">
        <f t="shared" ca="1" si="9"/>
        <v>0.34199931141232964</v>
      </c>
      <c r="K71">
        <f t="shared" ref="K71" si="14">K70+0.1</f>
        <v>6.8999999999999915</v>
      </c>
      <c r="M71">
        <f t="shared" si="10"/>
        <v>7.657383901310201</v>
      </c>
      <c r="O71">
        <f t="shared" ca="1" si="11"/>
        <v>1.04670451362522E-2</v>
      </c>
      <c r="P71">
        <f t="shared" ca="1" si="7"/>
        <v>0.63353295486374783</v>
      </c>
      <c r="R71">
        <f t="shared" ca="1" si="12"/>
        <v>1.3493269486450405</v>
      </c>
    </row>
    <row r="72" spans="9:18">
      <c r="I72">
        <f t="shared" si="8"/>
        <v>0.34234113429341134</v>
      </c>
      <c r="J72">
        <f t="shared" ca="1" si="9"/>
        <v>0.33960613948365509</v>
      </c>
      <c r="K72">
        <f t="shared" si="6"/>
        <v>6.9999999999999911</v>
      </c>
      <c r="M72">
        <f t="shared" si="10"/>
        <v>7.7086581317691723</v>
      </c>
      <c r="O72">
        <f t="shared" ca="1" si="11"/>
        <v>1.024884678742089E-2</v>
      </c>
      <c r="P72">
        <f t="shared" ca="1" si="7"/>
        <v>0.63375115321257913</v>
      </c>
      <c r="R72">
        <f t="shared" ca="1" si="12"/>
        <v>1.3379709150697825</v>
      </c>
    </row>
  </sheetData>
  <mergeCells count="3">
    <mergeCell ref="C2:D2"/>
    <mergeCell ref="T2:U2"/>
    <mergeCell ref="T5:U5"/>
  </mergeCells>
  <hyperlinks>
    <hyperlink ref="U3" r:id="rId1" xr:uid="{39EED218-3E42-4D6B-8CC0-67D9542077F9}"/>
    <hyperlink ref="U6" r:id="rId2" xr:uid="{605883AE-8AA5-437B-81DC-2A2BD823FB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5E5B-416B-41C2-B405-CD091425A81F}">
  <sheetPr>
    <tabColor theme="4" tint="0.79998168889431442"/>
  </sheetPr>
  <dimension ref="B2:Q15"/>
  <sheetViews>
    <sheetView workbookViewId="0">
      <selection activeCell="B12" sqref="B12"/>
    </sheetView>
  </sheetViews>
  <sheetFormatPr defaultRowHeight="15"/>
  <cols>
    <col min="2" max="2" width="34.42578125" bestFit="1" customWidth="1"/>
    <col min="3" max="3" width="31.42578125" bestFit="1" customWidth="1"/>
    <col min="4" max="4" width="20.140625" bestFit="1" customWidth="1"/>
    <col min="5" max="5" width="16.7109375" bestFit="1" customWidth="1"/>
    <col min="6" max="6" width="15.42578125" bestFit="1" customWidth="1"/>
    <col min="7" max="7" width="15.5703125" bestFit="1" customWidth="1"/>
    <col min="9" max="9" width="15" bestFit="1" customWidth="1"/>
    <col min="10" max="10" width="11.85546875" bestFit="1" customWidth="1"/>
    <col min="12" max="12" width="15.42578125" customWidth="1"/>
    <col min="13" max="13" width="55.7109375" customWidth="1"/>
    <col min="15" max="15" width="11.85546875" customWidth="1"/>
    <col min="16" max="16" width="17.7109375" customWidth="1"/>
    <col min="17" max="17" width="9.5703125" bestFit="1" customWidth="1"/>
  </cols>
  <sheetData>
    <row r="2" spans="2:17" ht="14.25" customHeight="1"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I2" t="s">
        <v>41</v>
      </c>
      <c r="L2" s="5" t="s">
        <v>42</v>
      </c>
      <c r="P2" t="s">
        <v>43</v>
      </c>
      <c r="Q2" t="s">
        <v>44</v>
      </c>
    </row>
    <row r="3" spans="2:17">
      <c r="B3">
        <f ca="1">'CSTR Size'!C13*0.5</f>
        <v>0.16980306974182754</v>
      </c>
      <c r="C3">
        <f ca="1">'CSTR Size'!F16*(1/3)</f>
        <v>4.124476417492445E-5</v>
      </c>
      <c r="D3">
        <f ca="1">B3/4</f>
        <v>4.2450767435456886E-2</v>
      </c>
      <c r="E3">
        <f ca="1">B3/5</f>
        <v>3.3960613948365512E-2</v>
      </c>
      <c r="F3">
        <f>'CSTR Size'!C12/2</f>
        <v>3.5</v>
      </c>
      <c r="G3">
        <f ca="1">F3/(2*B3)</f>
        <v>10.306056319598579</v>
      </c>
      <c r="I3">
        <v>1000</v>
      </c>
      <c r="K3" t="s">
        <v>45</v>
      </c>
      <c r="L3">
        <v>0.6</v>
      </c>
      <c r="O3" s="8" t="s">
        <v>45</v>
      </c>
      <c r="P3" s="8">
        <v>8.996212E-3</v>
      </c>
      <c r="Q3">
        <f>P3/SUM($P$3:$P$9)</f>
        <v>4.2808791882175014E-5</v>
      </c>
    </row>
    <row r="4" spans="2:17" ht="14.25" customHeight="1">
      <c r="K4" t="s">
        <v>46</v>
      </c>
      <c r="L4">
        <v>10</v>
      </c>
      <c r="M4" s="3" t="s">
        <v>47</v>
      </c>
      <c r="O4" s="8" t="s">
        <v>46</v>
      </c>
      <c r="P4" s="8">
        <v>9.2475285000000004E-2</v>
      </c>
      <c r="Q4">
        <f t="shared" ref="Q4:Q9" si="0">P4/SUM($P$3:$P$9)</f>
        <v>4.4004690305317633E-4</v>
      </c>
    </row>
    <row r="5" spans="2:17">
      <c r="B5" t="s">
        <v>48</v>
      </c>
      <c r="C5" t="s">
        <v>49</v>
      </c>
      <c r="I5" t="s">
        <v>50</v>
      </c>
      <c r="K5" t="s">
        <v>51</v>
      </c>
      <c r="L5">
        <v>38.4</v>
      </c>
      <c r="M5" s="1" t="s">
        <v>52</v>
      </c>
      <c r="O5" s="8" t="s">
        <v>51</v>
      </c>
      <c r="P5" s="8">
        <v>4.0213380000000002E-3</v>
      </c>
      <c r="Q5">
        <f t="shared" si="0"/>
        <v>1.9135678608939176E-5</v>
      </c>
    </row>
    <row r="6" spans="2:17">
      <c r="B6">
        <v>60</v>
      </c>
      <c r="C6">
        <f>B6/60</f>
        <v>1</v>
      </c>
      <c r="I6">
        <f>(Q3*L3)+(L4*Q4)+(L5*Q5)+(L6*Q6)+(L7*Q7)+(L8*Q8)+(L9*Q9)</f>
        <v>0.68481961073199604</v>
      </c>
      <c r="K6" t="s">
        <v>53</v>
      </c>
      <c r="L6">
        <v>1</v>
      </c>
      <c r="M6" s="1" t="s">
        <v>54</v>
      </c>
      <c r="O6" s="8" t="s">
        <v>55</v>
      </c>
      <c r="P6" s="9">
        <v>3.9491799999999999E-7</v>
      </c>
      <c r="Q6">
        <f t="shared" si="0"/>
        <v>1.879231222266082E-9</v>
      </c>
    </row>
    <row r="7" spans="2:17">
      <c r="K7" t="s">
        <v>56</v>
      </c>
      <c r="L7">
        <v>0.23</v>
      </c>
      <c r="M7" s="1" t="s">
        <v>57</v>
      </c>
      <c r="O7" s="8" t="s">
        <v>58</v>
      </c>
      <c r="P7" s="9">
        <v>4.6509299999999999E-8</v>
      </c>
      <c r="Q7">
        <f t="shared" si="0"/>
        <v>2.2131614331516894E-10</v>
      </c>
    </row>
    <row r="8" spans="2:17" ht="13.5" customHeight="1">
      <c r="B8" t="s">
        <v>59</v>
      </c>
      <c r="D8" t="s">
        <v>60</v>
      </c>
      <c r="I8" t="s">
        <v>61</v>
      </c>
      <c r="K8" t="s">
        <v>62</v>
      </c>
      <c r="L8">
        <v>0.68</v>
      </c>
      <c r="M8" s="3" t="s">
        <v>63</v>
      </c>
      <c r="O8" s="8" t="s">
        <v>62</v>
      </c>
      <c r="P8" s="8">
        <v>210.0426252</v>
      </c>
      <c r="Q8">
        <f t="shared" si="0"/>
        <v>0.99949523516925676</v>
      </c>
    </row>
    <row r="9" spans="2:17">
      <c r="B9">
        <f ca="1">(D3^2*C6*I3)*1000/I6</f>
        <v>2631.4486729330615</v>
      </c>
      <c r="C9" t="s">
        <v>64</v>
      </c>
      <c r="D9">
        <f ca="1">B3/'CSTR Size'!C13</f>
        <v>0.5</v>
      </c>
      <c r="I9">
        <v>9.81</v>
      </c>
      <c r="K9" t="s">
        <v>65</v>
      </c>
      <c r="L9">
        <f>L8</f>
        <v>0.68</v>
      </c>
      <c r="O9" s="8" t="s">
        <v>66</v>
      </c>
      <c r="P9" s="8">
        <v>5.8239700000000001E-4</v>
      </c>
      <c r="Q9">
        <f t="shared" si="0"/>
        <v>2.7713566516443903E-6</v>
      </c>
    </row>
    <row r="11" spans="2:17">
      <c r="B11" t="s">
        <v>67</v>
      </c>
    </row>
    <row r="12" spans="2:17">
      <c r="B12">
        <v>0.35</v>
      </c>
    </row>
    <row r="14" spans="2:17">
      <c r="B14" t="s">
        <v>68</v>
      </c>
    </row>
    <row r="15" spans="2:17">
      <c r="B15">
        <f ca="1">B12*I3*B3^5*C6^3</f>
        <v>4.9407824384054881E-2</v>
      </c>
      <c r="C15" t="s">
        <v>69</v>
      </c>
    </row>
  </sheetData>
  <hyperlinks>
    <hyperlink ref="M6" r:id="rId1" xr:uid="{1CAE8490-B72A-479B-B00B-46B4BD4F3991}"/>
    <hyperlink ref="M4" r:id="rId2" xr:uid="{CE3D0FB0-585D-4B82-826D-F094E2B3529A}"/>
    <hyperlink ref="M5" r:id="rId3" xr:uid="{D275CBC8-1F7E-4B96-80EC-A8FE38439A7F}"/>
    <hyperlink ref="M7" r:id="rId4" location="google_vignette" xr:uid="{846E2EA6-6DD0-4624-8666-C19EB7B3663B}"/>
    <hyperlink ref="M8" r:id="rId5" xr:uid="{8A45B9C1-E968-4BD5-9C8E-345684A763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4D83-503E-4F59-B46E-060C427C96C6}">
  <sheetPr>
    <tabColor theme="4" tint="0.79998168889431442"/>
  </sheetPr>
  <dimension ref="A2:T14"/>
  <sheetViews>
    <sheetView tabSelected="1" workbookViewId="0">
      <selection activeCell="B11" sqref="B11"/>
    </sheetView>
  </sheetViews>
  <sheetFormatPr defaultRowHeight="15"/>
  <cols>
    <col min="2" max="2" width="16.28515625" bestFit="1" customWidth="1"/>
    <col min="3" max="3" width="36.5703125" bestFit="1" customWidth="1"/>
    <col min="4" max="4" width="10.140625" bestFit="1" customWidth="1"/>
    <col min="10" max="10" width="15.140625" bestFit="1" customWidth="1"/>
    <col min="17" max="17" width="19.28515625" bestFit="1" customWidth="1"/>
    <col min="18" max="18" width="12.140625" bestFit="1" customWidth="1"/>
    <col min="19" max="19" width="12.42578125" bestFit="1" customWidth="1"/>
    <col min="20" max="20" width="10.28515625" bestFit="1" customWidth="1"/>
  </cols>
  <sheetData>
    <row r="2" spans="1:20">
      <c r="B2" t="s">
        <v>70</v>
      </c>
      <c r="C2" t="s">
        <v>71</v>
      </c>
      <c r="J2" t="s">
        <v>72</v>
      </c>
      <c r="L2" t="s">
        <v>73</v>
      </c>
      <c r="N2" t="s">
        <v>74</v>
      </c>
      <c r="O2" t="s">
        <v>75</v>
      </c>
      <c r="Q2" t="s">
        <v>76</v>
      </c>
      <c r="R2" t="s">
        <v>77</v>
      </c>
      <c r="S2" t="s">
        <v>78</v>
      </c>
      <c r="T2" t="s">
        <v>79</v>
      </c>
    </row>
    <row r="3" spans="1:20" ht="13.5" customHeight="1">
      <c r="A3" t="s">
        <v>45</v>
      </c>
      <c r="B3">
        <v>-55.35</v>
      </c>
      <c r="C3" s="3" t="s">
        <v>80</v>
      </c>
      <c r="I3">
        <v>1</v>
      </c>
      <c r="L3">
        <v>0</v>
      </c>
      <c r="N3">
        <f t="shared" ref="N3:N4" ca="1" si="0">(J3*L3*$B$11)</f>
        <v>0</v>
      </c>
      <c r="O3">
        <f ca="1">SUM(N3:N12)</f>
        <v>-67.309917788808391</v>
      </c>
      <c r="Q3">
        <f ca="1">O4/(C11*(C14-B14))</f>
        <v>0.26838085242746568</v>
      </c>
      <c r="R3">
        <f ca="1">Q3*60</f>
        <v>16.102851145647939</v>
      </c>
      <c r="S3">
        <f ca="1">R3/D11</f>
        <v>1.6135121388424788E-2</v>
      </c>
      <c r="T3">
        <f ca="1">S3*1000</f>
        <v>16.135121388424789</v>
      </c>
    </row>
    <row r="4" spans="1:20">
      <c r="A4" t="s">
        <v>46</v>
      </c>
      <c r="B4" s="2">
        <v>-448.69</v>
      </c>
      <c r="C4" s="1" t="s">
        <v>81</v>
      </c>
      <c r="I4">
        <f>I3+1</f>
        <v>2</v>
      </c>
      <c r="L4">
        <v>0</v>
      </c>
      <c r="N4">
        <f t="shared" ca="1" si="0"/>
        <v>0</v>
      </c>
      <c r="O4">
        <f ca="1">-O3</f>
        <v>67.309917788808391</v>
      </c>
    </row>
    <row r="5" spans="1:20">
      <c r="A5" t="s">
        <v>53</v>
      </c>
      <c r="B5">
        <v>-285.83</v>
      </c>
      <c r="C5" s="1" t="s">
        <v>82</v>
      </c>
      <c r="I5">
        <f t="shared" ref="I5:I12" si="1">I4+1</f>
        <v>3</v>
      </c>
      <c r="J5">
        <f>(B3+B4)-(2*B7)</f>
        <v>-304.04000000000002</v>
      </c>
      <c r="L5">
        <v>0.34379999999999999</v>
      </c>
      <c r="N5">
        <f ca="1">(J5*L5*$B$11)</f>
        <v>-67.316647056159525</v>
      </c>
    </row>
    <row r="6" spans="1:20">
      <c r="A6" t="s">
        <v>56</v>
      </c>
      <c r="B6" s="2">
        <v>-170.7</v>
      </c>
      <c r="C6" s="1" t="s">
        <v>83</v>
      </c>
      <c r="I6">
        <f t="shared" si="1"/>
        <v>4</v>
      </c>
      <c r="J6">
        <f>B6-B7</f>
        <v>-70.699999999999989</v>
      </c>
      <c r="L6" s="4">
        <v>9.1600000000000004E-6</v>
      </c>
      <c r="N6" s="4">
        <f ca="1">(J6*L6*$B$11)</f>
        <v>-4.1706214019378643E-4</v>
      </c>
    </row>
    <row r="7" spans="1:20">
      <c r="A7" t="s">
        <v>62</v>
      </c>
      <c r="B7">
        <v>-100</v>
      </c>
      <c r="C7" t="s">
        <v>84</v>
      </c>
      <c r="I7">
        <f t="shared" si="1"/>
        <v>5</v>
      </c>
      <c r="J7">
        <f>B8-(B7+B4)</f>
        <v>100.00000000000006</v>
      </c>
      <c r="L7" s="4">
        <v>1.3E-7</v>
      </c>
      <c r="N7">
        <f t="shared" ref="N6:N12" ca="1" si="2">(J7*L7*$B$11)</f>
        <v>8.3720002447750005E-6</v>
      </c>
    </row>
    <row r="8" spans="1:20">
      <c r="A8" t="s">
        <v>51</v>
      </c>
      <c r="B8">
        <v>-448.69</v>
      </c>
      <c r="C8" t="s">
        <v>85</v>
      </c>
      <c r="I8">
        <f t="shared" si="1"/>
        <v>6</v>
      </c>
      <c r="J8">
        <f>B5-B4</f>
        <v>162.86000000000001</v>
      </c>
      <c r="L8" s="4">
        <v>7.2100000000000004E-5</v>
      </c>
      <c r="N8">
        <f t="shared" ca="1" si="2"/>
        <v>7.5619808850921873E-3</v>
      </c>
    </row>
    <row r="9" spans="1:20">
      <c r="I9">
        <f t="shared" si="1"/>
        <v>7</v>
      </c>
      <c r="J9">
        <f>B3+B5-B7</f>
        <v>-241.18</v>
      </c>
      <c r="L9" s="4">
        <v>2.7300000000000001E-6</v>
      </c>
      <c r="N9">
        <f t="shared" ca="1" si="2"/>
        <v>-4.2402339399731512E-4</v>
      </c>
    </row>
    <row r="10" spans="1:20">
      <c r="B10" t="s">
        <v>86</v>
      </c>
      <c r="C10" t="s">
        <v>87</v>
      </c>
      <c r="D10" t="s">
        <v>88</v>
      </c>
      <c r="I10">
        <f t="shared" si="1"/>
        <v>8</v>
      </c>
      <c r="L10">
        <v>1.5E-3</v>
      </c>
      <c r="N10">
        <f t="shared" ca="1" si="2"/>
        <v>0</v>
      </c>
    </row>
    <row r="11" spans="1:20">
      <c r="B11">
        <f ca="1">'CSTR Size'!C22</f>
        <v>0.64400001882884583</v>
      </c>
      <c r="C11">
        <v>4.18</v>
      </c>
      <c r="D11">
        <v>998</v>
      </c>
      <c r="I11">
        <f t="shared" si="1"/>
        <v>9</v>
      </c>
      <c r="L11" s="4">
        <v>6.1199999999999994E-14</v>
      </c>
      <c r="N11">
        <f t="shared" ca="1" si="2"/>
        <v>0</v>
      </c>
    </row>
    <row r="12" spans="1:20">
      <c r="I12">
        <f t="shared" si="1"/>
        <v>10</v>
      </c>
      <c r="L12">
        <v>0</v>
      </c>
      <c r="N12">
        <f t="shared" ca="1" si="2"/>
        <v>0</v>
      </c>
    </row>
    <row r="13" spans="1:20">
      <c r="B13" t="s">
        <v>89</v>
      </c>
      <c r="C13" t="s">
        <v>90</v>
      </c>
    </row>
    <row r="14" spans="1:20">
      <c r="B14">
        <v>20</v>
      </c>
      <c r="C14">
        <v>80</v>
      </c>
    </row>
  </sheetData>
  <hyperlinks>
    <hyperlink ref="C5" r:id="rId1" xr:uid="{AF12DF9D-BA3C-476E-B714-04976C97515D}"/>
    <hyperlink ref="C4" r:id="rId2" xr:uid="{65341D8C-83B0-4BC4-A06C-F5B26FC0B4B5}"/>
    <hyperlink ref="C6" r:id="rId3" xr:uid="{9D589FD8-B7E4-4599-B04D-684C797851F9}"/>
    <hyperlink ref="C3" r:id="rId4" xr:uid="{76A5E164-343D-4D94-B086-6684897D56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4D95-AE29-42D4-8DDF-21922E00AE14}">
  <sheetPr>
    <tabColor theme="5" tint="0.79998168889431442"/>
  </sheetPr>
  <dimension ref="B2:M9"/>
  <sheetViews>
    <sheetView workbookViewId="0">
      <selection activeCell="I3" sqref="I3"/>
    </sheetView>
  </sheetViews>
  <sheetFormatPr defaultRowHeight="15"/>
  <cols>
    <col min="2" max="2" width="19.28515625" bestFit="1" customWidth="1"/>
    <col min="3" max="3" width="20.85546875" bestFit="1" customWidth="1"/>
    <col min="4" max="4" width="35" bestFit="1" customWidth="1"/>
    <col min="5" max="5" width="11.85546875" bestFit="1" customWidth="1"/>
    <col min="9" max="9" width="37.140625" customWidth="1"/>
    <col min="12" max="12" width="29.28515625" customWidth="1"/>
  </cols>
  <sheetData>
    <row r="2" spans="2:13" ht="16.5" customHeight="1">
      <c r="B2" t="s">
        <v>91</v>
      </c>
      <c r="C2" t="s">
        <v>92</v>
      </c>
      <c r="E2" t="s">
        <v>86</v>
      </c>
      <c r="F2" t="s">
        <v>4</v>
      </c>
      <c r="G2" t="s">
        <v>93</v>
      </c>
      <c r="I2" s="5" t="s">
        <v>94</v>
      </c>
      <c r="L2" s="5" t="s">
        <v>95</v>
      </c>
      <c r="M2" s="5"/>
    </row>
    <row r="3" spans="2:13" ht="12.75" customHeight="1">
      <c r="B3">
        <v>2152</v>
      </c>
      <c r="C3">
        <f>B3/60</f>
        <v>35.866666666666667</v>
      </c>
      <c r="E3">
        <v>4.71</v>
      </c>
      <c r="F3">
        <v>1</v>
      </c>
      <c r="G3">
        <v>6</v>
      </c>
      <c r="I3">
        <v>2.5</v>
      </c>
      <c r="L3">
        <v>20000</v>
      </c>
      <c r="M3" s="1"/>
    </row>
    <row r="5" spans="2:13">
      <c r="F5" t="s">
        <v>27</v>
      </c>
      <c r="I5" t="s">
        <v>17</v>
      </c>
      <c r="L5" t="s">
        <v>96</v>
      </c>
    </row>
    <row r="6" spans="2:13">
      <c r="F6">
        <f>F3*39.37</f>
        <v>39.369999999999997</v>
      </c>
      <c r="I6">
        <f>I3*133.3</f>
        <v>333.25</v>
      </c>
      <c r="L6">
        <f>(F6*I6)/(2*L3)</f>
        <v>0.32800131249999998</v>
      </c>
    </row>
    <row r="8" spans="2:13">
      <c r="B8" t="s">
        <v>97</v>
      </c>
      <c r="C8" t="s">
        <v>98</v>
      </c>
      <c r="D8" t="s">
        <v>99</v>
      </c>
      <c r="L8" t="s">
        <v>100</v>
      </c>
    </row>
    <row r="9" spans="2:13">
      <c r="B9">
        <f>F3+L9</f>
        <v>1.0083312499999999</v>
      </c>
      <c r="C9">
        <f>(G3*3.14*B9^2)/4</f>
        <v>4.7888072948121083</v>
      </c>
      <c r="D9">
        <f>C9-E3</f>
        <v>7.8807294812108353E-2</v>
      </c>
      <c r="L9">
        <f>L6/39.37</f>
        <v>8.3312500000000001E-3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DC8E-A4B4-4F04-A278-486529F2EA65}">
  <sheetPr>
    <tabColor theme="5" tint="0.79998168889431442"/>
  </sheetPr>
  <dimension ref="B2:N20"/>
  <sheetViews>
    <sheetView topLeftCell="C1" workbookViewId="0">
      <selection activeCell="G33" sqref="G33"/>
    </sheetView>
  </sheetViews>
  <sheetFormatPr defaultRowHeight="15"/>
  <cols>
    <col min="2" max="2" width="6.7109375" customWidth="1"/>
    <col min="3" max="3" width="16.5703125" customWidth="1"/>
    <col min="4" max="4" width="12.7109375" customWidth="1"/>
    <col min="12" max="12" width="12.140625" bestFit="1" customWidth="1"/>
    <col min="14" max="14" width="12.42578125" bestFit="1" customWidth="1"/>
  </cols>
  <sheetData>
    <row r="2" spans="2:14">
      <c r="C2" t="s">
        <v>72</v>
      </c>
      <c r="E2" t="s">
        <v>73</v>
      </c>
      <c r="G2" t="s">
        <v>101</v>
      </c>
      <c r="I2" t="s">
        <v>74</v>
      </c>
      <c r="J2" t="s">
        <v>75</v>
      </c>
      <c r="L2" t="s">
        <v>76</v>
      </c>
      <c r="N2" t="s">
        <v>78</v>
      </c>
    </row>
    <row r="3" spans="2:14">
      <c r="B3">
        <v>1</v>
      </c>
      <c r="E3">
        <v>0</v>
      </c>
      <c r="G3">
        <f>'PFR Size'!C9</f>
        <v>4.7888072948121083</v>
      </c>
      <c r="I3">
        <f>$G$3*E3*C3</f>
        <v>0</v>
      </c>
      <c r="J3">
        <f>SUM(I3:I12)</f>
        <v>-500.51896878269321</v>
      </c>
      <c r="L3">
        <f>J4/(C17*(D20-C20))</f>
        <v>1.9956896681925569</v>
      </c>
      <c r="N3">
        <f>L3/D17</f>
        <v>1.999689046285127E-3</v>
      </c>
    </row>
    <row r="4" spans="2:14">
      <c r="B4">
        <f>B3+1</f>
        <v>2</v>
      </c>
      <c r="E4">
        <v>0</v>
      </c>
      <c r="I4">
        <f t="shared" ref="I4:I12" si="0">$G$3*E4*C4</f>
        <v>0</v>
      </c>
      <c r="J4">
        <f>-J3</f>
        <v>500.51896878269321</v>
      </c>
    </row>
    <row r="5" spans="2:14">
      <c r="B5">
        <f t="shared" ref="B5:B12" si="1">B4+1</f>
        <v>3</v>
      </c>
      <c r="C5">
        <v>-304.04000000000002</v>
      </c>
      <c r="E5">
        <v>0.34379999999999999</v>
      </c>
      <c r="I5">
        <f t="shared" si="0"/>
        <v>-500.56900785666477</v>
      </c>
      <c r="L5" t="s">
        <v>77</v>
      </c>
      <c r="N5" t="s">
        <v>102</v>
      </c>
    </row>
    <row r="6" spans="2:14">
      <c r="B6">
        <f t="shared" si="1"/>
        <v>4</v>
      </c>
      <c r="C6">
        <v>-70.699999999999989</v>
      </c>
      <c r="E6" s="4">
        <v>9.1600000000000004E-6</v>
      </c>
      <c r="I6">
        <f t="shared" si="0"/>
        <v>-3.1012890698078588E-3</v>
      </c>
      <c r="L6">
        <f>L3*60</f>
        <v>119.74138009155341</v>
      </c>
      <c r="N6">
        <f>N3*1000</f>
        <v>1.9996890462851271</v>
      </c>
    </row>
    <row r="7" spans="2:14">
      <c r="B7">
        <f t="shared" si="1"/>
        <v>5</v>
      </c>
      <c r="C7">
        <v>100.00000000000006</v>
      </c>
      <c r="E7" s="4">
        <v>1.3E-7</v>
      </c>
      <c r="I7">
        <f t="shared" si="0"/>
        <v>6.2254494832557448E-5</v>
      </c>
    </row>
    <row r="8" spans="2:14">
      <c r="B8">
        <f t="shared" si="1"/>
        <v>6</v>
      </c>
      <c r="C8">
        <v>162.86000000000001</v>
      </c>
      <c r="E8" s="4">
        <v>7.2100000000000004E-5</v>
      </c>
      <c r="I8">
        <f t="shared" si="0"/>
        <v>5.6231161749986512E-2</v>
      </c>
    </row>
    <row r="9" spans="2:14">
      <c r="B9">
        <f t="shared" si="1"/>
        <v>7</v>
      </c>
      <c r="C9">
        <v>-241.18</v>
      </c>
      <c r="E9" s="4">
        <v>2.7300000000000001E-6</v>
      </c>
      <c r="I9">
        <f t="shared" si="0"/>
        <v>-3.1530532033804013E-3</v>
      </c>
    </row>
    <row r="10" spans="2:14">
      <c r="B10">
        <f t="shared" si="1"/>
        <v>8</v>
      </c>
      <c r="E10">
        <v>1.5E-3</v>
      </c>
      <c r="I10">
        <f t="shared" si="0"/>
        <v>0</v>
      </c>
    </row>
    <row r="11" spans="2:14">
      <c r="B11">
        <f t="shared" si="1"/>
        <v>9</v>
      </c>
      <c r="E11" s="4">
        <v>6.1199999999999994E-14</v>
      </c>
      <c r="I11">
        <f t="shared" si="0"/>
        <v>0</v>
      </c>
    </row>
    <row r="12" spans="2:14">
      <c r="B12">
        <f t="shared" si="1"/>
        <v>10</v>
      </c>
      <c r="E12">
        <v>0</v>
      </c>
      <c r="I12">
        <f t="shared" si="0"/>
        <v>0</v>
      </c>
    </row>
    <row r="13" spans="2:14">
      <c r="B13" s="12" t="s">
        <v>103</v>
      </c>
      <c r="C13" s="12"/>
      <c r="D13" s="12"/>
      <c r="E13" s="12"/>
    </row>
    <row r="16" spans="2:14">
      <c r="C16" t="s">
        <v>87</v>
      </c>
      <c r="D16" t="s">
        <v>88</v>
      </c>
    </row>
    <row r="17" spans="3:4">
      <c r="C17">
        <v>4.18</v>
      </c>
      <c r="D17">
        <v>998</v>
      </c>
    </row>
    <row r="19" spans="3:4">
      <c r="C19" t="s">
        <v>104</v>
      </c>
      <c r="D19" t="s">
        <v>105</v>
      </c>
    </row>
    <row r="20" spans="3:4">
      <c r="C20">
        <v>20</v>
      </c>
      <c r="D20">
        <v>80</v>
      </c>
    </row>
  </sheetData>
  <mergeCells count="1">
    <mergeCell ref="B13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3"/>
  <sheetViews>
    <sheetView topLeftCell="B1" workbookViewId="0">
      <selection activeCell="K12" sqref="K12"/>
    </sheetView>
  </sheetViews>
  <sheetFormatPr defaultRowHeight="15"/>
  <cols>
    <col min="2" max="2" width="21.42578125" bestFit="1" customWidth="1"/>
    <col min="3" max="3" width="20.85546875" bestFit="1" customWidth="1"/>
    <col min="4" max="4" width="18.140625" bestFit="1" customWidth="1"/>
    <col min="6" max="6" width="22.140625" bestFit="1" customWidth="1"/>
    <col min="8" max="8" width="9.140625" customWidth="1"/>
    <col min="9" max="9" width="9.85546875" customWidth="1"/>
    <col min="10" max="10" width="9.42578125" customWidth="1"/>
    <col min="12" max="12" width="8.7109375" customWidth="1"/>
    <col min="13" max="13" width="8.140625" customWidth="1"/>
    <col min="20" max="20" width="9.42578125" customWidth="1"/>
    <col min="24" max="24" width="9" customWidth="1"/>
  </cols>
  <sheetData>
    <row r="1" spans="2:28">
      <c r="H1" s="12" t="s">
        <v>106</v>
      </c>
      <c r="I1" s="12"/>
      <c r="J1" s="12"/>
      <c r="L1" s="12" t="s">
        <v>107</v>
      </c>
      <c r="M1" s="12"/>
      <c r="N1" s="12"/>
      <c r="P1" s="12" t="s">
        <v>108</v>
      </c>
      <c r="Q1" s="12"/>
      <c r="R1" s="12"/>
      <c r="T1" s="12" t="s">
        <v>109</v>
      </c>
      <c r="U1" s="12"/>
      <c r="V1" s="12"/>
      <c r="X1" s="12" t="s">
        <v>41</v>
      </c>
      <c r="Y1" s="12"/>
      <c r="Z1" s="12"/>
    </row>
    <row r="2" spans="2:28">
      <c r="B2" t="s">
        <v>110</v>
      </c>
      <c r="C2" t="s">
        <v>92</v>
      </c>
      <c r="D2" t="s">
        <v>111</v>
      </c>
      <c r="F2" t="s">
        <v>112</v>
      </c>
      <c r="H2" t="s">
        <v>113</v>
      </c>
      <c r="I2" t="s">
        <v>46</v>
      </c>
      <c r="J2" t="s">
        <v>114</v>
      </c>
      <c r="K2" t="s">
        <v>115</v>
      </c>
      <c r="L2" t="s">
        <v>62</v>
      </c>
      <c r="M2" t="s">
        <v>46</v>
      </c>
      <c r="N2" t="s">
        <v>45</v>
      </c>
      <c r="O2" t="s">
        <v>115</v>
      </c>
      <c r="P2" t="s">
        <v>62</v>
      </c>
      <c r="Q2" t="s">
        <v>46</v>
      </c>
      <c r="R2" t="s">
        <v>45</v>
      </c>
      <c r="S2" t="s">
        <v>115</v>
      </c>
      <c r="T2" t="s">
        <v>62</v>
      </c>
      <c r="U2" t="s">
        <v>46</v>
      </c>
      <c r="V2" t="s">
        <v>45</v>
      </c>
      <c r="W2" t="s">
        <v>115</v>
      </c>
      <c r="X2" t="s">
        <v>62</v>
      </c>
      <c r="Y2" t="s">
        <v>46</v>
      </c>
      <c r="Z2" t="s">
        <v>45</v>
      </c>
      <c r="AA2" t="s">
        <v>115</v>
      </c>
      <c r="AB2" t="s">
        <v>116</v>
      </c>
    </row>
    <row r="3" spans="2:28">
      <c r="B3">
        <v>161</v>
      </c>
      <c r="C3">
        <v>2</v>
      </c>
      <c r="D3">
        <f>C3*B3</f>
        <v>322</v>
      </c>
      <c r="F3">
        <v>2.2999999999999998</v>
      </c>
      <c r="H3">
        <v>0.88739999999999997</v>
      </c>
      <c r="I3">
        <v>9.7999999999999997E-3</v>
      </c>
      <c r="J3">
        <v>3.49</v>
      </c>
      <c r="K3">
        <v>2.2899999999999999E-3</v>
      </c>
      <c r="L3">
        <v>2.04</v>
      </c>
      <c r="M3">
        <v>0.02</v>
      </c>
      <c r="N3">
        <v>8.032</v>
      </c>
      <c r="O3">
        <v>0.05</v>
      </c>
      <c r="P3">
        <v>0</v>
      </c>
      <c r="Q3">
        <v>9.9</v>
      </c>
      <c r="R3">
        <v>0</v>
      </c>
      <c r="S3">
        <v>0.02</v>
      </c>
      <c r="T3">
        <v>254</v>
      </c>
      <c r="U3">
        <v>62</v>
      </c>
      <c r="V3">
        <v>192</v>
      </c>
      <c r="W3">
        <v>18</v>
      </c>
      <c r="X3">
        <v>1300</v>
      </c>
      <c r="Y3">
        <v>1115</v>
      </c>
      <c r="Z3">
        <v>1300</v>
      </c>
      <c r="AA3">
        <v>998</v>
      </c>
      <c r="AB3">
        <v>10650</v>
      </c>
    </row>
    <row r="4" spans="2:28">
      <c r="H4" t="s">
        <v>116</v>
      </c>
      <c r="I4" t="s">
        <v>117</v>
      </c>
    </row>
    <row r="5" spans="2:28" ht="16.5" customHeight="1">
      <c r="B5" t="s">
        <v>118</v>
      </c>
      <c r="H5">
        <v>0.114</v>
      </c>
    </row>
    <row r="6" spans="2:28" ht="15.75" customHeight="1">
      <c r="B6">
        <v>8.76</v>
      </c>
      <c r="F6" s="13" t="s">
        <v>119</v>
      </c>
      <c r="G6" s="13"/>
      <c r="H6" s="13"/>
      <c r="I6" s="13"/>
      <c r="L6" s="13" t="s">
        <v>120</v>
      </c>
      <c r="M6" s="13"/>
      <c r="N6" s="13"/>
      <c r="P6" s="13" t="s">
        <v>121</v>
      </c>
      <c r="Q6" s="13"/>
      <c r="R6" s="13"/>
      <c r="T6" s="12" t="s">
        <v>122</v>
      </c>
      <c r="U6" s="12"/>
      <c r="V6" s="12"/>
    </row>
    <row r="7" spans="2:28">
      <c r="F7" t="s">
        <v>113</v>
      </c>
      <c r="G7" t="s">
        <v>46</v>
      </c>
      <c r="H7" t="s">
        <v>114</v>
      </c>
      <c r="I7" t="s">
        <v>115</v>
      </c>
      <c r="J7" t="s">
        <v>116</v>
      </c>
      <c r="K7" t="s">
        <v>117</v>
      </c>
      <c r="L7" t="s">
        <v>62</v>
      </c>
      <c r="M7" t="s">
        <v>46</v>
      </c>
      <c r="N7" t="s">
        <v>45</v>
      </c>
      <c r="O7" t="s">
        <v>115</v>
      </c>
      <c r="P7" t="s">
        <v>62</v>
      </c>
      <c r="Q7" t="s">
        <v>46</v>
      </c>
      <c r="R7" t="s">
        <v>45</v>
      </c>
      <c r="S7" t="s">
        <v>115</v>
      </c>
      <c r="T7" t="s">
        <v>62</v>
      </c>
      <c r="U7" t="s">
        <v>46</v>
      </c>
      <c r="V7" t="s">
        <v>45</v>
      </c>
      <c r="W7" t="s">
        <v>115</v>
      </c>
      <c r="X7" t="s">
        <v>32</v>
      </c>
    </row>
    <row r="8" spans="2:28">
      <c r="B8" t="s">
        <v>123</v>
      </c>
      <c r="F8">
        <f>H3*X3</f>
        <v>1153.6199999999999</v>
      </c>
      <c r="G8">
        <f>I3*Y3</f>
        <v>10.927</v>
      </c>
      <c r="H8">
        <f>J3*Z3</f>
        <v>4537</v>
      </c>
      <c r="I8">
        <f>K3*AA3</f>
        <v>2.2854199999999998</v>
      </c>
      <c r="J8">
        <f>H5*AB3</f>
        <v>1214.1000000000001</v>
      </c>
      <c r="L8">
        <f>L3*T3</f>
        <v>518.16</v>
      </c>
      <c r="M8">
        <f>(Q3*U3)+(M3*U3)</f>
        <v>615.04000000000008</v>
      </c>
      <c r="N8">
        <f>N3*V3</f>
        <v>1542.144</v>
      </c>
      <c r="O8">
        <f>(O3*W3)+(S3*W3)</f>
        <v>1.26</v>
      </c>
      <c r="P8">
        <f>L8/1000</f>
        <v>0.51815999999999995</v>
      </c>
      <c r="Q8">
        <f>M8/1000</f>
        <v>0.61504000000000003</v>
      </c>
      <c r="R8">
        <f>N8/1000</f>
        <v>1.542144</v>
      </c>
      <c r="S8">
        <f>O8/1000</f>
        <v>1.2600000000000001E-3</v>
      </c>
      <c r="T8">
        <f>P8/X3</f>
        <v>3.9858461538461534E-4</v>
      </c>
      <c r="U8">
        <f t="shared" ref="U8:V8" si="0">Q8/Y3</f>
        <v>5.5160538116591929E-4</v>
      </c>
      <c r="V8">
        <f t="shared" si="0"/>
        <v>1.1862646153846153E-3</v>
      </c>
      <c r="W8">
        <f>S8/AA3</f>
        <v>1.2625250501002004E-6</v>
      </c>
      <c r="X8">
        <f>V8+U8+T8+W8</f>
        <v>2.1377171369852503E-3</v>
      </c>
    </row>
    <row r="9" spans="2:28">
      <c r="B9">
        <v>3138</v>
      </c>
    </row>
    <row r="11" spans="2:28" ht="16.5" customHeight="1">
      <c r="F11" s="13" t="s">
        <v>124</v>
      </c>
      <c r="G11" s="13"/>
      <c r="H11" s="13"/>
      <c r="I11" s="13"/>
    </row>
    <row r="12" spans="2:28">
      <c r="F12" t="s">
        <v>113</v>
      </c>
      <c r="G12" t="s">
        <v>46</v>
      </c>
      <c r="H12" t="s">
        <v>114</v>
      </c>
      <c r="I12" t="s">
        <v>115</v>
      </c>
      <c r="J12" t="s">
        <v>116</v>
      </c>
    </row>
    <row r="13" spans="2:28">
      <c r="F13">
        <f>F8/1000</f>
        <v>1.1536199999999999</v>
      </c>
      <c r="G13">
        <f t="shared" ref="G13:I13" si="1">G8/1000</f>
        <v>1.0926999999999999E-2</v>
      </c>
      <c r="H13">
        <f t="shared" si="1"/>
        <v>4.5369999999999999</v>
      </c>
      <c r="I13">
        <f t="shared" si="1"/>
        <v>2.2854199999999998E-3</v>
      </c>
      <c r="J13">
        <f>J8/1000</f>
        <v>1.2141000000000002</v>
      </c>
    </row>
  </sheetData>
  <mergeCells count="10">
    <mergeCell ref="F11:I11"/>
    <mergeCell ref="F6:I6"/>
    <mergeCell ref="X1:Z1"/>
    <mergeCell ref="T6:V6"/>
    <mergeCell ref="H1:J1"/>
    <mergeCell ref="L1:N1"/>
    <mergeCell ref="T1:V1"/>
    <mergeCell ref="P1:R1"/>
    <mergeCell ref="L6:N6"/>
    <mergeCell ref="P6:R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D384-BE37-44EA-99AA-C8CE970B4A25}">
  <dimension ref="B2:B6"/>
  <sheetViews>
    <sheetView workbookViewId="0">
      <selection activeCell="B6" sqref="B6"/>
    </sheetView>
  </sheetViews>
  <sheetFormatPr defaultRowHeight="15"/>
  <cols>
    <col min="2" max="2" width="36.5703125" bestFit="1" customWidth="1"/>
  </cols>
  <sheetData>
    <row r="2" spans="2:2">
      <c r="B2" s="1" t="s">
        <v>125</v>
      </c>
    </row>
    <row r="3" spans="2:2">
      <c r="B3" s="1" t="s">
        <v>126</v>
      </c>
    </row>
    <row r="5" spans="2:2">
      <c r="B5" t="s">
        <v>127</v>
      </c>
    </row>
    <row r="6" spans="2:2" ht="45">
      <c r="B6" s="3" t="s">
        <v>128</v>
      </c>
    </row>
  </sheetData>
  <hyperlinks>
    <hyperlink ref="B2" r:id="rId1" xr:uid="{B8F6C4ED-5F37-4173-8FD6-B7298FE3405E}"/>
    <hyperlink ref="B3" r:id="rId2" display="https://www.google.com/url?sa=t&amp;rct=j&amp;q=&amp;esrc=s&amp;source=web&amp;cd=&amp;ved=2ahUKEwj875WnnfCLAxVSWkEAHQRHJ5wQFnoECBUQAQ&amp;url=https%3A%2F%2Frevues.imist.ma%2Findex.php%2Fehei-jst%2Farticle%2Fdownload%2F36095%2F19060%2F98926&amp;usg=AOvVaw3cl5YLWi-iqaxZHWlipsZG&amp;opi=89978449" xr:uid="{973FBAEF-0055-457B-A5D9-0EB72415E10E}"/>
    <hyperlink ref="B6" r:id="rId3" xr:uid="{B7303FA6-F76E-4310-A8EB-90B7AA939F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Gus MacDonald</cp:lastModifiedBy>
  <cp:revision/>
  <dcterms:created xsi:type="dcterms:W3CDTF">2025-02-26T14:48:07Z</dcterms:created>
  <dcterms:modified xsi:type="dcterms:W3CDTF">2025-03-25T10:45:26Z</dcterms:modified>
  <cp:category/>
  <cp:contentStatus/>
</cp:coreProperties>
</file>