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837f76582317f876/Grupo DMV_/Administrativo/01_Administrativo/00_Financeiro/02_Star Capital/05_Contratos Clientes Mútuo/"/>
    </mc:Choice>
  </mc:AlternateContent>
  <xr:revisionPtr revIDLastSave="6179" documentId="8_{3DD72339-2679-4AED-B6E1-A949ABA67A16}" xr6:coauthVersionLast="47" xr6:coauthVersionMax="47" xr10:uidLastSave="{9A3F7602-DA8A-47A5-AB39-B6387BB6AFD6}"/>
  <bookViews>
    <workbookView xWindow="-108" yWindow="-108" windowWidth="23256" windowHeight="12456" xr2:uid="{75067F2F-9D4D-468F-B7FA-80C252F3C91E}"/>
  </bookViews>
  <sheets>
    <sheet name="Clientes" sheetId="1" r:id="rId1"/>
    <sheet name="Solicitação de Resgate" sheetId="4" r:id="rId2"/>
    <sheet name="Clientes Mensais" sheetId="2" r:id="rId3"/>
    <sheet name="Cálculo Leandro" sheetId="8" r:id="rId4"/>
    <sheet name="Variáveis Contratos" sheetId="6" r:id="rId5"/>
    <sheet name="Faixa de Tributação" sheetId="5" r:id="rId6"/>
    <sheet name="Status Clientes" sheetId="3" r:id="rId7"/>
  </sheets>
  <definedNames>
    <definedName name="_xlnm._FilterDatabase" localSheetId="0" hidden="1">Clientes!$C$7:$T$84</definedName>
    <definedName name="_xlnm._FilterDatabase" localSheetId="2" hidden="1">'Clientes Mensais'!$B$2:$AF$21</definedName>
    <definedName name="_xlnm._FilterDatabase" localSheetId="4" hidden="1">'Variáveis Contratos'!$B$3:$I$46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84" i="1" l="1"/>
  <c r="Q83" i="1"/>
  <c r="Q82" i="1"/>
  <c r="J6" i="4"/>
  <c r="J7" i="4"/>
  <c r="H60" i="1"/>
  <c r="Q81" i="1"/>
  <c r="Q80" i="1"/>
  <c r="Q79" i="1"/>
  <c r="Q78" i="1" l="1"/>
  <c r="H77" i="1"/>
  <c r="Q77" i="1" s="1"/>
  <c r="Q73" i="1"/>
  <c r="Q71" i="1" l="1"/>
  <c r="S19" i="2" l="1"/>
  <c r="L19" i="2"/>
  <c r="S17" i="2"/>
  <c r="S15" i="2"/>
  <c r="S13" i="2"/>
  <c r="S11" i="2"/>
  <c r="S9" i="2"/>
  <c r="S7" i="2"/>
  <c r="S5" i="2"/>
  <c r="S3" i="2"/>
  <c r="G6" i="5"/>
  <c r="G4" i="5"/>
  <c r="B21" i="8"/>
  <c r="B22" i="8"/>
  <c r="H23" i="8"/>
  <c r="F23" i="8"/>
  <c r="F24" i="8"/>
  <c r="F21" i="8"/>
  <c r="G8" i="8"/>
  <c r="G4" i="8"/>
  <c r="F25" i="8" l="1"/>
  <c r="S21" i="2"/>
  <c r="Q76" i="1"/>
  <c r="Q75" i="1"/>
  <c r="Q74" i="1"/>
  <c r="Q4" i="1"/>
  <c r="Q72" i="1"/>
  <c r="Q70" i="1"/>
  <c r="J5" i="4" l="1"/>
  <c r="J4" i="4"/>
  <c r="O4" i="6"/>
  <c r="Q69" i="1" l="1"/>
  <c r="Q68" i="1"/>
  <c r="Q60" i="1" l="1"/>
  <c r="P4" i="1"/>
  <c r="R4" i="1" s="1"/>
  <c r="Q67" i="1"/>
  <c r="Q66" i="1"/>
  <c r="Q65" i="1"/>
  <c r="E9" i="2" l="1"/>
  <c r="R3" i="2" l="1"/>
  <c r="R17" i="2" l="1"/>
  <c r="R15" i="2"/>
  <c r="R13" i="2"/>
  <c r="R11" i="2"/>
  <c r="R9" i="2"/>
  <c r="R7" i="2"/>
  <c r="R5" i="2"/>
  <c r="G3" i="4"/>
  <c r="H3" i="4"/>
  <c r="F3" i="4"/>
  <c r="Q64" i="1"/>
  <c r="Q63" i="1"/>
  <c r="Q62" i="1"/>
  <c r="Q61" i="1"/>
  <c r="Q59" i="1"/>
  <c r="Q58" i="1"/>
  <c r="Q57" i="1"/>
  <c r="D4" i="1"/>
  <c r="Q56" i="1"/>
  <c r="R83" i="1" l="1"/>
  <c r="S83" i="1" s="1"/>
  <c r="R84" i="1"/>
  <c r="S84" i="1" s="1"/>
  <c r="R81" i="1"/>
  <c r="S81" i="1" s="1"/>
  <c r="R82" i="1"/>
  <c r="S82" i="1" s="1"/>
  <c r="R79" i="1"/>
  <c r="S79" i="1" s="1"/>
  <c r="R80" i="1"/>
  <c r="S80" i="1" s="1"/>
  <c r="R77" i="1"/>
  <c r="S77" i="1" s="1"/>
  <c r="R78" i="1"/>
  <c r="S78" i="1" s="1"/>
  <c r="R21" i="2"/>
  <c r="R75" i="1"/>
  <c r="S75" i="1" s="1"/>
  <c r="R76" i="1"/>
  <c r="S76" i="1" s="1"/>
  <c r="R73" i="1"/>
  <c r="S73" i="1" s="1"/>
  <c r="R74" i="1"/>
  <c r="S74" i="1" s="1"/>
  <c r="R71" i="1"/>
  <c r="S71" i="1" s="1"/>
  <c r="R72" i="1"/>
  <c r="S72" i="1" s="1"/>
  <c r="R69" i="1"/>
  <c r="S69" i="1" s="1"/>
  <c r="R70" i="1"/>
  <c r="S70" i="1" s="1"/>
  <c r="R8" i="1"/>
  <c r="S8" i="1" s="1"/>
  <c r="R68" i="1"/>
  <c r="S68" i="1" s="1"/>
  <c r="R66" i="1"/>
  <c r="S66" i="1" s="1"/>
  <c r="R67" i="1"/>
  <c r="S67" i="1" s="1"/>
  <c r="R65" i="1"/>
  <c r="S65" i="1" s="1"/>
  <c r="J3" i="4"/>
  <c r="R64" i="1"/>
  <c r="S64" i="1" s="1"/>
  <c r="R63" i="1"/>
  <c r="S63" i="1" s="1"/>
  <c r="R62" i="1"/>
  <c r="S62" i="1" s="1"/>
  <c r="R61" i="1"/>
  <c r="S61" i="1" s="1"/>
  <c r="R60" i="1"/>
  <c r="S60" i="1" s="1"/>
  <c r="R59" i="1"/>
  <c r="S59" i="1" s="1"/>
  <c r="R58" i="1"/>
  <c r="S58" i="1" s="1"/>
  <c r="R57" i="1"/>
  <c r="S57" i="1" s="1"/>
  <c r="R18" i="1"/>
  <c r="R45" i="1"/>
  <c r="S45" i="1" s="1"/>
  <c r="R33" i="1"/>
  <c r="S33" i="1" s="1"/>
  <c r="R21" i="1"/>
  <c r="S21" i="1" s="1"/>
  <c r="R56" i="1"/>
  <c r="S56" i="1" s="1"/>
  <c r="R44" i="1"/>
  <c r="S44" i="1" s="1"/>
  <c r="R32" i="1"/>
  <c r="S32" i="1" s="1"/>
  <c r="R20" i="1"/>
  <c r="R55" i="1"/>
  <c r="S55" i="1" s="1"/>
  <c r="R43" i="1"/>
  <c r="S43" i="1" s="1"/>
  <c r="R31" i="1"/>
  <c r="S31" i="1" s="1"/>
  <c r="R19" i="1"/>
  <c r="R54" i="1"/>
  <c r="S54" i="1" s="1"/>
  <c r="R42" i="1"/>
  <c r="S42" i="1" s="1"/>
  <c r="R30" i="1"/>
  <c r="S30" i="1" s="1"/>
  <c r="R53" i="1"/>
  <c r="S53" i="1" s="1"/>
  <c r="R41" i="1"/>
  <c r="S41" i="1" s="1"/>
  <c r="R29" i="1"/>
  <c r="S29" i="1" s="1"/>
  <c r="R17" i="1"/>
  <c r="S17" i="1" s="1"/>
  <c r="R52" i="1"/>
  <c r="S52" i="1" s="1"/>
  <c r="R40" i="1"/>
  <c r="S40" i="1" s="1"/>
  <c r="R28" i="1"/>
  <c r="S28" i="1" s="1"/>
  <c r="R16" i="1"/>
  <c r="S16" i="1" s="1"/>
  <c r="R51" i="1"/>
  <c r="S51" i="1" s="1"/>
  <c r="R39" i="1"/>
  <c r="S39" i="1" s="1"/>
  <c r="R27" i="1"/>
  <c r="S27" i="1" s="1"/>
  <c r="R15" i="1"/>
  <c r="S15" i="1" s="1"/>
  <c r="R50" i="1"/>
  <c r="S50" i="1" s="1"/>
  <c r="R38" i="1"/>
  <c r="S38" i="1" s="1"/>
  <c r="R26" i="1"/>
  <c r="S26" i="1" s="1"/>
  <c r="R14" i="1"/>
  <c r="S14" i="1" s="1"/>
  <c r="R49" i="1"/>
  <c r="S49" i="1" s="1"/>
  <c r="R37" i="1"/>
  <c r="S37" i="1" s="1"/>
  <c r="R25" i="1"/>
  <c r="S25" i="1" s="1"/>
  <c r="R13" i="1"/>
  <c r="S13" i="1" s="1"/>
  <c r="R48" i="1"/>
  <c r="S48" i="1" s="1"/>
  <c r="R36" i="1"/>
  <c r="S36" i="1" s="1"/>
  <c r="R24" i="1"/>
  <c r="S24" i="1" s="1"/>
  <c r="R12" i="1"/>
  <c r="R35" i="1"/>
  <c r="S35" i="1" s="1"/>
  <c r="R23" i="1"/>
  <c r="S23" i="1" s="1"/>
  <c r="R11" i="1"/>
  <c r="S11" i="1" s="1"/>
  <c r="R47" i="1"/>
  <c r="S47" i="1" s="1"/>
  <c r="R46" i="1"/>
  <c r="S46" i="1" s="1"/>
  <c r="R34" i="1"/>
  <c r="S34" i="1" s="1"/>
  <c r="R22" i="1"/>
  <c r="S22" i="1" s="1"/>
  <c r="R10" i="1"/>
  <c r="S10" i="1" s="1"/>
  <c r="R9" i="1"/>
  <c r="S9" i="1" s="1"/>
  <c r="Q55" i="1"/>
  <c r="E3" i="2"/>
  <c r="Q54" i="1"/>
  <c r="Q9" i="2"/>
  <c r="Q53" i="1"/>
  <c r="Q52" i="1"/>
  <c r="Q3" i="2"/>
  <c r="S12" i="1" l="1"/>
  <c r="Q5" i="2"/>
  <c r="Q7" i="2" l="1"/>
  <c r="N9" i="2" l="1"/>
  <c r="O9" i="2"/>
  <c r="P9" i="2"/>
  <c r="Q11" i="2"/>
  <c r="E11" i="2"/>
  <c r="P11" i="2"/>
  <c r="Q13" i="2" l="1"/>
  <c r="Q15" i="2" l="1"/>
  <c r="Q17" i="2" l="1"/>
  <c r="Q21" i="2" s="1"/>
  <c r="P17" i="2"/>
  <c r="P7" i="2"/>
  <c r="Q51" i="1"/>
  <c r="Q50" i="1"/>
  <c r="Q14" i="1" l="1"/>
  <c r="Q49" i="1"/>
  <c r="Q48" i="1"/>
  <c r="N48" i="1"/>
  <c r="Q47" i="1"/>
  <c r="N47" i="1"/>
  <c r="Q46" i="1"/>
  <c r="N46" i="1"/>
  <c r="O17" i="2" l="1"/>
  <c r="N17" i="2"/>
  <c r="L17" i="2"/>
  <c r="Q45" i="1"/>
  <c r="N45" i="1" l="1"/>
  <c r="P15" i="2"/>
  <c r="E15" i="2"/>
  <c r="P13" i="2"/>
  <c r="E7" i="2"/>
  <c r="P3" i="2"/>
  <c r="Q44" i="1"/>
  <c r="N44" i="1"/>
  <c r="Q43" i="1"/>
  <c r="N43" i="1"/>
  <c r="Q42" i="1"/>
  <c r="N42" i="1"/>
  <c r="Q13" i="1"/>
  <c r="Q41" i="1" l="1"/>
  <c r="N41" i="1"/>
  <c r="T21" i="2"/>
  <c r="U21" i="2"/>
  <c r="V21" i="2"/>
  <c r="W21" i="2"/>
  <c r="X21" i="2"/>
  <c r="Y21" i="2"/>
  <c r="Q40" i="1"/>
  <c r="N40" i="1"/>
  <c r="N39" i="1" l="1"/>
  <c r="Q35" i="1"/>
  <c r="Q9" i="1" l="1"/>
  <c r="Q12" i="1"/>
  <c r="Q39" i="1" l="1"/>
  <c r="L9" i="2"/>
  <c r="L15" i="2"/>
  <c r="O15" i="2"/>
  <c r="O5" i="2" l="1"/>
  <c r="E5" i="2"/>
  <c r="P5" i="2" s="1"/>
  <c r="P21" i="2" s="1"/>
  <c r="L5" i="2" l="1"/>
  <c r="N3" i="2"/>
  <c r="O3" i="2"/>
  <c r="L3" i="2"/>
  <c r="O11" i="2" l="1"/>
  <c r="L11" i="2"/>
  <c r="Q37" i="1"/>
  <c r="Q36" i="1" l="1"/>
  <c r="N34" i="1"/>
  <c r="Q34" i="1"/>
  <c r="Q23" i="1"/>
  <c r="Q24" i="1"/>
  <c r="Q25" i="1"/>
  <c r="Q26" i="1"/>
  <c r="Q28" i="1"/>
  <c r="Q29" i="1"/>
  <c r="Q30" i="1"/>
  <c r="Q31" i="1"/>
  <c r="Q32" i="1"/>
  <c r="Q33" i="1"/>
  <c r="Q27" i="1" l="1"/>
  <c r="Q22" i="1"/>
  <c r="Q8" i="1" l="1"/>
  <c r="L13" i="2" l="1"/>
  <c r="O13" i="2" s="1"/>
  <c r="N5" i="2" l="1"/>
  <c r="N7" i="2"/>
  <c r="O7" i="2" s="1"/>
  <c r="O21" i="2" s="1"/>
  <c r="Q18" i="1"/>
  <c r="Q21" i="1"/>
  <c r="Q20" i="1"/>
  <c r="Q19" i="1"/>
  <c r="Q17" i="1"/>
  <c r="Q15" i="1"/>
  <c r="Q16" i="1"/>
  <c r="N8" i="1"/>
  <c r="O8" i="1" s="1"/>
  <c r="Q11" i="1"/>
  <c r="Q10" i="1"/>
  <c r="N9" i="1"/>
  <c r="O9" i="1" s="1"/>
  <c r="N10" i="1"/>
  <c r="O10" i="1" s="1"/>
  <c r="N11" i="1"/>
  <c r="O11" i="1" s="1"/>
  <c r="N12" i="1"/>
  <c r="O12" i="1" s="1"/>
  <c r="N13" i="1"/>
  <c r="O13" i="1" s="1"/>
  <c r="N14" i="1"/>
  <c r="O14" i="1" s="1"/>
  <c r="N15" i="1"/>
  <c r="O15" i="1" s="1"/>
  <c r="N16" i="1"/>
  <c r="O16" i="1" s="1"/>
  <c r="N17" i="1"/>
  <c r="O17" i="1" s="1"/>
  <c r="N18" i="1"/>
  <c r="N19" i="1"/>
  <c r="N20" i="1"/>
  <c r="N21" i="1"/>
  <c r="O21" i="1" s="1"/>
  <c r="N22" i="1"/>
  <c r="N23" i="1"/>
  <c r="N24" i="1"/>
  <c r="N25" i="1"/>
  <c r="N26" i="1"/>
  <c r="N27" i="1"/>
  <c r="N28" i="1"/>
  <c r="O28" i="1" s="1"/>
  <c r="N29" i="1"/>
  <c r="O29" i="1" s="1"/>
  <c r="N30" i="1"/>
  <c r="N31" i="1"/>
  <c r="N32" i="1"/>
  <c r="N33" i="1"/>
  <c r="N35" i="1"/>
  <c r="N36" i="1"/>
  <c r="N37" i="1"/>
  <c r="N38" i="1"/>
  <c r="O38" i="1" s="1"/>
  <c r="N21" i="2" l="1"/>
  <c r="Z21" i="2" s="1"/>
  <c r="Q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tc={7B8E4FF6-8106-4D16-BA0D-09A684C42412}</author>
    <author>tc={EDDAD57E-159E-491D-BCC7-E499234F4FE7}</author>
    <author>tc={D67D7C06-61BD-4A44-A0CC-D2D1F4932C90}</author>
    <author>tc={CE81B363-8067-43BC-9BB1-438D596FA0CE}</author>
    <author>tc={FF60007B-1D5A-4A51-85D1-F1161BDBE572}</author>
    <author>tc={9AFF3A58-8A10-4299-8B7B-92F76A9ADBFC}</author>
    <author>tc={7FB5828B-75F0-46B7-B15D-E2213D70987C}</author>
  </authors>
  <commentList>
    <comment ref="K8" authorId="0" shapeId="0" xr:uid="{7B8E4FF6-8106-4D16-BA0D-09A684C42412}">
      <text>
        <t>[Comentário encadeado]
Sua versão do Excel permite que você leia este comentário encadeado, no entanto, as edições serão removidas se o arquivo for aberto em uma versão mais recente do Excel. Saiba mais: https://go.microsoft.com/fwlink/?linkid=870924
Comentário:
    Esse contrato foi gerado, mas não foi assinado.</t>
      </text>
    </comment>
    <comment ref="T8" authorId="1" shapeId="0" xr:uid="{EDDAD57E-159E-491D-BCC7-E499234F4FE7}">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Contrato sem assinatura
</t>
      </text>
    </comment>
    <comment ref="L10" authorId="2" shapeId="0" xr:uid="{D67D7C06-61BD-4A44-A0CC-D2D1F4932C90}">
      <text>
        <t>[Comentário encadeado]
Sua versão do Excel permite que você leia este comentário encadeado, no entanto, as edições serão removidas se o arquivo for aberto em uma versão mais recente do Excel. Saiba mais: https://go.microsoft.com/fwlink/?linkid=870924
Comentário:
    Deve um depósito no dia 01/11/23 e 06/11/23</t>
      </text>
    </comment>
    <comment ref="M14" authorId="3" shapeId="0" xr:uid="{CE81B363-8067-43BC-9BB1-438D596FA0CE}">
      <text>
        <t>[Comentário encadeado]
Sua versão do Excel permite que você leia este comentário encadeado, no entanto, as edições serão removidas se o arquivo for aberto em uma versão mais recente do Excel. Saiba mais: https://go.microsoft.com/fwlink/?linkid=870924
Comentário:
    Vence no dia 22/03/2024 o contrato da Miriam, referente ao depósito de Novembro/23</t>
      </text>
    </comment>
    <comment ref="P18" authorId="4" shapeId="0" xr:uid="{FF60007B-1D5A-4A51-85D1-F1161BDBE572}">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Diferente dos demais, recebe todos os meses, não apenas em uma única vez no fim do contrato
</t>
      </text>
    </comment>
    <comment ref="P19" authorId="5" shapeId="0" xr:uid="{9AFF3A58-8A10-4299-8B7B-92F76A9ADBFC}">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O rendimento será pago mensalmente
</t>
      </text>
    </comment>
    <comment ref="P20" authorId="6" shapeId="0" xr:uid="{7FB5828B-75F0-46B7-B15D-E2213D70987C}">
      <text>
        <t>[Comentário encadeado]
Sua versão do Excel permite que você leia este comentário encadeado, no entanto, as edições serão removidas se o arquivo for aberto em uma versão mais recente do Excel. Saiba mais: https://go.microsoft.com/fwlink/?linkid=870924
Comentário:
    Recebimento mensal, de 1,6% a.m, mas o contrato está com prazo indeterminado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tc={43038AFC-C53E-460D-BB8C-C5EFB2D904B9}</author>
    <author>tc={49EFAE5F-E3D2-46FE-BD96-E3AE4E88434F}</author>
    <author>tc={C4B99589-9EB3-4A3C-BB72-BE9FE88BAFC2}</author>
    <author>tc={DDCD33A5-50FC-411E-9144-D4E0B2AEE73A}</author>
    <author>tc={AFDB6BB0-97EF-4601-9564-A9116C3572D4}</author>
  </authors>
  <commentList>
    <comment ref="E3" authorId="0" shapeId="0" xr:uid="{43038AFC-C53E-460D-BB8C-C5EFB2D904B9}">
      <text>
        <t>[Comentário encadeado]
Sua versão do Excel permite que você leia este comentário encadeado, no entanto, as edições serão removidas se o arquivo for aberto em uma versão mais recente do Excel. Saiba mais: https://go.microsoft.com/fwlink/?linkid=870924
Comentário:
    Somatório dos depósitos, realizados nos dias 30/11 e 12/01.</t>
      </text>
    </comment>
    <comment ref="K3" authorId="1" shapeId="0" xr:uid="{49EFAE5F-E3D2-46FE-BD96-E3AE4E88434F}">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Diferente dos demais, recebe todos os meses, não apenas em uma única vez no fim do contrato
</t>
      </text>
    </comment>
    <comment ref="K5" authorId="2" shapeId="0" xr:uid="{C4B99589-9EB3-4A3C-BB72-BE9FE88BAFC2}">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O rendimento será pago mensalmente
</t>
      </text>
    </comment>
    <comment ref="K7" authorId="3" shapeId="0" xr:uid="{DDCD33A5-50FC-411E-9144-D4E0B2AEE73A}">
      <text>
        <t>[Comentário encadeado]
Sua versão do Excel permite que você leia este comentário encadeado, no entanto, as edições serão removidas se o arquivo for aberto em uma versão mais recente do Excel. Saiba mais: https://go.microsoft.com/fwlink/?linkid=870924
Comentário:
    Recebimento mensal, de 1,6% a.m, mas o contrato está com prazo indeterminado</t>
      </text>
    </comment>
    <comment ref="E11" authorId="4" shapeId="0" xr:uid="{AFDB6BB0-97EF-4601-9564-A9116C3572D4}">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Depositou R$ 30.000, no dia 05/01/24 e R$ 2.000,00 no dia 12/01/24. </t>
      </text>
    </comment>
  </commentList>
</comments>
</file>

<file path=xl/sharedStrings.xml><?xml version="1.0" encoding="utf-8"?>
<sst xmlns="http://schemas.openxmlformats.org/spreadsheetml/2006/main" count="1423" uniqueCount="317">
  <si>
    <t xml:space="preserve">Recebimentos Clientes Mútuo | Star Capital LTDA </t>
  </si>
  <si>
    <t>NOME CLIENTE</t>
  </si>
  <si>
    <t xml:space="preserve">CPF </t>
  </si>
  <si>
    <t>DADOS BANCÁRIOS</t>
  </si>
  <si>
    <t xml:space="preserve">VALOR DEPOSITADO </t>
  </si>
  <si>
    <t>RECEBIMENTO</t>
  </si>
  <si>
    <t>DATA ASSINATURA CONTRATO</t>
  </si>
  <si>
    <t>DI APLICAÇÃO</t>
  </si>
  <si>
    <t>DF APLICAÇÃO</t>
  </si>
  <si>
    <t>DIAS APLICADO</t>
  </si>
  <si>
    <t>MESES</t>
  </si>
  <si>
    <t>RENTABILIDADE CONTRATADA</t>
  </si>
  <si>
    <t>VALOR A DEVOLVER AO CLIENTE</t>
  </si>
  <si>
    <t>CONTRATO CLIENTE</t>
  </si>
  <si>
    <t xml:space="preserve">No fim do contrato </t>
  </si>
  <si>
    <t>Roberto Rivelino Labandeira</t>
  </si>
  <si>
    <t>176.732.908-39</t>
  </si>
  <si>
    <t>Banco Safra / Ag: 0288 / CC: 012453-5</t>
  </si>
  <si>
    <t>1% a.m</t>
  </si>
  <si>
    <t>Anexado na pasta</t>
  </si>
  <si>
    <t>Mensal (Contrato ativo)</t>
  </si>
  <si>
    <t>Paulo Henrique de Abreu</t>
  </si>
  <si>
    <t>263.331.658-16</t>
  </si>
  <si>
    <t>Angelo Serafim Chiamulera</t>
  </si>
  <si>
    <t>170.306.099-72</t>
  </si>
  <si>
    <t>José Francisco Madernas Filho</t>
  </si>
  <si>
    <t>219.709.878-04</t>
  </si>
  <si>
    <t xml:space="preserve">Eliane Beatriz Fiorini </t>
  </si>
  <si>
    <t>344.553.020-34</t>
  </si>
  <si>
    <t>Banco Safra 422 - Agencia: 0288 - Conta Corrente: 012910-3</t>
  </si>
  <si>
    <t>Miriam Terezinha Bogoni Alves</t>
  </si>
  <si>
    <t>346.602.329-72</t>
  </si>
  <si>
    <t xml:space="preserve"> Banco Safra 422 
 Ag: 0288 
 CC: 029108-3</t>
  </si>
  <si>
    <t xml:space="preserve">Helio Alves </t>
  </si>
  <si>
    <t>316.940.559-49</t>
  </si>
  <si>
    <t>Banco Safra 422 / Ag: 0288 / CC: 012988-0</t>
  </si>
  <si>
    <t>1,5% a.m</t>
  </si>
  <si>
    <t xml:space="preserve">Ricardo Leite Pinto </t>
  </si>
  <si>
    <t>874.184.799-72</t>
  </si>
  <si>
    <t>1 % a.m</t>
  </si>
  <si>
    <t xml:space="preserve">Kamila Cristine Vanelli </t>
  </si>
  <si>
    <t>044.139.579-11</t>
  </si>
  <si>
    <t>Anexada na pasta</t>
  </si>
  <si>
    <t>Gustavo Moraes Santos</t>
  </si>
  <si>
    <t>324.958.058-92</t>
  </si>
  <si>
    <t>BANCO SAFRA: 422
AGÊNCIA: 0288
CONTA CORRENTE: 013387-9</t>
  </si>
  <si>
    <t>Indeterminado</t>
  </si>
  <si>
    <t>-</t>
  </si>
  <si>
    <t xml:space="preserve">1% a.m </t>
  </si>
  <si>
    <t>Laila Fernanda de Souza</t>
  </si>
  <si>
    <t>077.869.389-90</t>
  </si>
  <si>
    <t>BANCO SAFRA: 422
AGÊNCIA: 0288
CONTA CORRENTE: 012688-1</t>
  </si>
  <si>
    <t xml:space="preserve">Marcos Roberto de Carvalho </t>
  </si>
  <si>
    <t>089.970.539-14</t>
  </si>
  <si>
    <t>Banco Safra: 422
Agência: 0288
Conta corrente: 012757-7</t>
  </si>
  <si>
    <t xml:space="preserve">Indeterminado </t>
  </si>
  <si>
    <t>1,6% a.m</t>
  </si>
  <si>
    <t>Thiago Martins</t>
  </si>
  <si>
    <t>062.297.686-90</t>
  </si>
  <si>
    <t xml:space="preserve">Sheyla Maria Lagos Santos </t>
  </si>
  <si>
    <t>321.109.959-04</t>
  </si>
  <si>
    <t>Banco Safra: 422
Agência: 0288
Conta corrente: 012994-4</t>
  </si>
  <si>
    <t>1,2% a.m</t>
  </si>
  <si>
    <t>Luis Gustavo Padilha Costenaro</t>
  </si>
  <si>
    <t>047.877.429-06</t>
  </si>
  <si>
    <t>Banco Safra 422 - Agencia: 0288 - Conta Corrente: 012572-8</t>
  </si>
  <si>
    <t xml:space="preserve">Lourdes Merlo </t>
  </si>
  <si>
    <t>168.501.069-53</t>
  </si>
  <si>
    <t>Banco: 422 - Banco Safra
Agência: 0288
Conta Corrente: 021938-2</t>
  </si>
  <si>
    <t>22/12/2023</t>
  </si>
  <si>
    <t>22/12/2024</t>
  </si>
  <si>
    <t>Nicanor Lopes Júnior</t>
  </si>
  <si>
    <t>327.016.018-60</t>
  </si>
  <si>
    <t>Banco Safra: 422 / Ag: 0288 / CC: 012848-4</t>
  </si>
  <si>
    <t>Rosane Aldolofato</t>
  </si>
  <si>
    <t>835.936.329-34</t>
  </si>
  <si>
    <t>Banco Safra 422
Ag: 0288
CC: 017169-0</t>
  </si>
  <si>
    <t>263.638.957-15</t>
  </si>
  <si>
    <t>Banco Safra 422 / Ag: 0288 / CC: 030462-2</t>
  </si>
  <si>
    <t xml:space="preserve">Lokomotiv Promoção e Estratégia Criativa LTDA </t>
  </si>
  <si>
    <t>01.900.219/0001-
00</t>
  </si>
  <si>
    <t>No fim do contrato</t>
  </si>
  <si>
    <t xml:space="preserve">Renata Vasconcellos Basso </t>
  </si>
  <si>
    <t>937.353.919-15</t>
  </si>
  <si>
    <t>Banco Safra 422 / Ag: 0288 / CC: 012504-3</t>
  </si>
  <si>
    <t>Banco Safra 422 / Ag: 0288 / CC: 012688-1</t>
  </si>
  <si>
    <t>1,50% a.m</t>
  </si>
  <si>
    <t xml:space="preserve">Rafael Silva Calixto </t>
  </si>
  <si>
    <t>088.447.566-25</t>
  </si>
  <si>
    <t>Banco Safra 422 / Ag: 0288 / CC: 015971-1</t>
  </si>
  <si>
    <t xml:space="preserve">Gilson Legroski </t>
  </si>
  <si>
    <t>015.877.769-79</t>
  </si>
  <si>
    <t>Banco Safra 422 / Ag: 0288 / CC: 012884-1</t>
  </si>
  <si>
    <t>Banco Safra 422 / Ag: 0288 / CC: 012994-4</t>
  </si>
  <si>
    <t>Marlon Subtil Pazinato</t>
  </si>
  <si>
    <t>009.938.049-85</t>
  </si>
  <si>
    <t>Agência: 0001
Conta: 60527155-7
Nu Bank - 260</t>
  </si>
  <si>
    <t xml:space="preserve">1,5% a.m </t>
  </si>
  <si>
    <t>Banco Safra 422 / Ag: 0288 / CC: 013387-9</t>
  </si>
  <si>
    <t>1,% a.m</t>
  </si>
  <si>
    <t>Thais Carvalho Santos</t>
  </si>
  <si>
    <t>064.936.689-13</t>
  </si>
  <si>
    <t>Banco Safra 422 / Ag: 0288 / CC: 012600-7</t>
  </si>
  <si>
    <t>Lucimara Fernandes Bezerra</t>
  </si>
  <si>
    <t>313.875.098-29</t>
  </si>
  <si>
    <t>Banco Safra 422 / Ag: 0288 / CC: 013106-0</t>
  </si>
  <si>
    <t xml:space="preserve">Pago </t>
  </si>
  <si>
    <t>DATA DO DEPÓSITO</t>
  </si>
  <si>
    <t>VALOR DOS JUROS MENSAIS</t>
  </si>
  <si>
    <t>A pagar</t>
  </si>
  <si>
    <t xml:space="preserve">Em atraso </t>
  </si>
  <si>
    <t>36 e 36</t>
  </si>
  <si>
    <t>SOMATÓRIO</t>
  </si>
  <si>
    <t>SOMATÓRIO DOS JUROS PAGOS AO LONGO DOS MESES (CLIENTES MÚTUO)</t>
  </si>
  <si>
    <t>Maria Teresa Rezende de Seabra Santos</t>
  </si>
  <si>
    <t>Bruna Basso Fonseca</t>
  </si>
  <si>
    <t>043.727.449-78</t>
  </si>
  <si>
    <t>Banco Safra 422 / Ag: 0288  / CC: 012477-2</t>
  </si>
  <si>
    <t>E-mail de início de contrato</t>
  </si>
  <si>
    <t>enviado</t>
  </si>
  <si>
    <t>Contratos Mútuo Mensais</t>
  </si>
  <si>
    <t>Contratos Mútuo (Prazo Fechado)</t>
  </si>
  <si>
    <t>SITUAÇÃO</t>
  </si>
  <si>
    <t>Data</t>
  </si>
  <si>
    <t>DIAS A VENCER</t>
  </si>
  <si>
    <t>Status</t>
  </si>
  <si>
    <t xml:space="preserve">Dentro do prazo </t>
  </si>
  <si>
    <t>A vencer</t>
  </si>
  <si>
    <t>Vencido</t>
  </si>
  <si>
    <t>&gt;30</t>
  </si>
  <si>
    <t>&lt;=30</t>
  </si>
  <si>
    <t>&lt;=0</t>
  </si>
  <si>
    <t>nº</t>
  </si>
  <si>
    <t>Jussara de Oliveira Ceccon Lucena</t>
  </si>
  <si>
    <t xml:space="preserve"> 894.026.189-53</t>
  </si>
  <si>
    <t>Banco Safra 422 / Ag: 0288 / CC: 013055-1</t>
  </si>
  <si>
    <t>038.166.299-38</t>
  </si>
  <si>
    <t xml:space="preserve">Agência: 0288 / Conta: 012638-4 / Banco Safra 422 </t>
  </si>
  <si>
    <t xml:space="preserve">1,2% a.m </t>
  </si>
  <si>
    <t xml:space="preserve">Contrato encerrado </t>
  </si>
  <si>
    <t xml:space="preserve">Total Aplicado </t>
  </si>
  <si>
    <t>PRAZOS E VENCIMENTOS COM ALERTA</t>
  </si>
  <si>
    <t>APLICADO</t>
  </si>
  <si>
    <t>VENCIMENTO/RESGATE</t>
  </si>
  <si>
    <t>SALDO REAL</t>
  </si>
  <si>
    <t>Banco Safra 422 / Ag: 0288 / CC: 012752-6</t>
  </si>
  <si>
    <t xml:space="preserve">NOME </t>
  </si>
  <si>
    <t>SOLICITAÇÃO RESGATE</t>
  </si>
  <si>
    <t>CONDIÇÕES RESGATE</t>
  </si>
  <si>
    <t>PAGAMENTO RESGATE</t>
  </si>
  <si>
    <t>Mensal</t>
  </si>
  <si>
    <t>VALOR RESGATE</t>
  </si>
  <si>
    <t>VAOR APORTADO</t>
  </si>
  <si>
    <t>VALOR APORTADO ATUALIZADO</t>
  </si>
  <si>
    <t>PAGAMENTO</t>
  </si>
  <si>
    <t>Realizado 22/04/2024</t>
  </si>
  <si>
    <t>Lâmina</t>
  </si>
  <si>
    <t>OBRIGAÇÕES FISCAIS</t>
  </si>
  <si>
    <r>
      <rPr>
        <b/>
        <sz val="11"/>
        <color theme="1"/>
        <rFont val="Calibri"/>
        <family val="2"/>
        <scheme val="minor"/>
      </rPr>
      <t>22,5%</t>
    </r>
    <r>
      <rPr>
        <sz val="11"/>
        <color theme="1"/>
        <rFont val="Calibri"/>
        <family val="2"/>
        <scheme val="minor"/>
      </rPr>
      <t xml:space="preserve"> até 180 dias</t>
    </r>
  </si>
  <si>
    <r>
      <rPr>
        <b/>
        <sz val="11"/>
        <color theme="1"/>
        <rFont val="Calibri"/>
        <family val="2"/>
        <scheme val="minor"/>
      </rPr>
      <t xml:space="preserve">20% </t>
    </r>
    <r>
      <rPr>
        <sz val="11"/>
        <color theme="1"/>
        <rFont val="Calibri"/>
        <family val="2"/>
        <scheme val="minor"/>
      </rPr>
      <t>com prazo de 181 dias até 360 dias</t>
    </r>
  </si>
  <si>
    <r>
      <rPr>
        <b/>
        <sz val="11"/>
        <color theme="1"/>
        <rFont val="Calibri"/>
        <family val="2"/>
        <scheme val="minor"/>
      </rPr>
      <t>17,5%</t>
    </r>
    <r>
      <rPr>
        <sz val="11"/>
        <color theme="1"/>
        <rFont val="Calibri"/>
        <family val="2"/>
        <scheme val="minor"/>
      </rPr>
      <t xml:space="preserve"> com prazo de 36 dias até 720 dias</t>
    </r>
  </si>
  <si>
    <r>
      <rPr>
        <b/>
        <sz val="11"/>
        <color theme="1"/>
        <rFont val="Calibri"/>
        <family val="2"/>
        <scheme val="minor"/>
      </rPr>
      <t>15%</t>
    </r>
    <r>
      <rPr>
        <sz val="11"/>
        <color theme="1"/>
        <rFont val="Calibri"/>
        <family val="2"/>
        <scheme val="minor"/>
      </rPr>
      <t xml:space="preserve"> com prazo acima de 720 dias </t>
    </r>
  </si>
  <si>
    <t>Leandro Schmidt da Silva</t>
  </si>
  <si>
    <t xml:space="preserve">Anexado na pasta </t>
  </si>
  <si>
    <t>Luiz Paulo Rocha Medeiros</t>
  </si>
  <si>
    <t>444.865.290-49</t>
  </si>
  <si>
    <t>Banco Safra 422 / Ag: 0288 / CC: 012657-1</t>
  </si>
  <si>
    <t>CONDIÇÃO DE RESGATE</t>
  </si>
  <si>
    <t>Sem clausula de resgate</t>
  </si>
  <si>
    <t>sem clausula de resgate</t>
  </si>
  <si>
    <t>Contrato finalizado</t>
  </si>
  <si>
    <t xml:space="preserve">30 dias </t>
  </si>
  <si>
    <t>30 dias</t>
  </si>
  <si>
    <t>10 dias</t>
  </si>
  <si>
    <t>15 dias</t>
  </si>
  <si>
    <t>30  dias</t>
  </si>
  <si>
    <t xml:space="preserve">5 dias </t>
  </si>
  <si>
    <t>Não tem</t>
  </si>
  <si>
    <t>5 dias</t>
  </si>
  <si>
    <t xml:space="preserve">Não tem </t>
  </si>
  <si>
    <t xml:space="preserve">CARÊNCIA MÍNIMA </t>
  </si>
  <si>
    <t>PRAZO FECHADO</t>
  </si>
  <si>
    <t>NOME</t>
  </si>
  <si>
    <t>PAGAMENTO DE JUROS MENSAIS</t>
  </si>
  <si>
    <t>1,6 %a.m</t>
  </si>
  <si>
    <t>1,5 % a.m</t>
  </si>
  <si>
    <t>1,2 % a.m</t>
  </si>
  <si>
    <t>Nº</t>
  </si>
  <si>
    <t>Variáveis contrato Mútuo | Ativos</t>
  </si>
  <si>
    <t>Taxas</t>
  </si>
  <si>
    <t>Prazos</t>
  </si>
  <si>
    <t>Formas de Pagamento</t>
  </si>
  <si>
    <t>Carências</t>
  </si>
  <si>
    <t>4 meses</t>
  </si>
  <si>
    <t>6 meses</t>
  </si>
  <si>
    <t>12 meses</t>
  </si>
  <si>
    <t>36 meses</t>
  </si>
  <si>
    <t>Juros mensais</t>
  </si>
  <si>
    <t>Juros acumulados</t>
  </si>
  <si>
    <t>Resgate (Condição)</t>
  </si>
  <si>
    <t>Fechado</t>
  </si>
  <si>
    <t>Realizado 06/05/2024</t>
  </si>
  <si>
    <t>Combinações de contratos</t>
  </si>
  <si>
    <t>Condições</t>
  </si>
  <si>
    <t>&gt; 1% a.m</t>
  </si>
  <si>
    <t>&gt; 4 meses</t>
  </si>
  <si>
    <t>&gt; Juros acumulados</t>
  </si>
  <si>
    <t>Banco Safra / Ag 0288 / CC: 013119-1</t>
  </si>
  <si>
    <t>Obs: Miriam Terezinha Alves</t>
  </si>
  <si>
    <t>&gt; 6 meses</t>
  </si>
  <si>
    <t xml:space="preserve">Obs: Paulo Henrique de Abreu, Roberto Labandeira e Thiago Martins </t>
  </si>
  <si>
    <t>&gt; 12 meses</t>
  </si>
  <si>
    <r>
      <t xml:space="preserve">Netas condições apenas </t>
    </r>
    <r>
      <rPr>
        <b/>
        <sz val="11"/>
        <color theme="1"/>
        <rFont val="Calibri"/>
        <family val="2"/>
        <scheme val="minor"/>
      </rPr>
      <t>1</t>
    </r>
    <r>
      <rPr>
        <sz val="11"/>
        <color theme="1"/>
        <rFont val="Calibri"/>
        <family val="2"/>
        <scheme val="minor"/>
      </rPr>
      <t xml:space="preserve"> contrato (que já foi encerrado)</t>
    </r>
  </si>
  <si>
    <r>
      <t>Nestas condições</t>
    </r>
    <r>
      <rPr>
        <b/>
        <sz val="11"/>
        <color theme="1"/>
        <rFont val="Calibri"/>
        <family val="2"/>
        <scheme val="minor"/>
      </rPr>
      <t xml:space="preserve"> 3</t>
    </r>
    <r>
      <rPr>
        <sz val="11"/>
        <color theme="1"/>
        <rFont val="Calibri"/>
        <family val="2"/>
        <scheme val="minor"/>
      </rPr>
      <t xml:space="preserve"> contratos (um deles vencerá neste mês)</t>
    </r>
  </si>
  <si>
    <t>Obs: Roberto Rivelino Labandeira, Paulo Henrique de Abreu, Angelo Serafim Chiamulera, José Francisco Madernas Filho, Eliane Beatriz Fiorini ,Ricardo Leite Pinto, Kamila Cristine Vanelli ,Thiago Martins, Roberto Rivelino Labandeira,Thiago Martins ,Rosane Aldolofato, Lokomotiv Promoção e Estratégia Criativa LTDA ,Gilson Legroski, Gilson Legroski, Paulo Henrique de Abreu, Luiz Paulo Rocha Medeiros</t>
  </si>
  <si>
    <t>&gt; 36 meses</t>
  </si>
  <si>
    <r>
      <t xml:space="preserve">Nestas condições </t>
    </r>
    <r>
      <rPr>
        <b/>
        <sz val="11"/>
        <color theme="1"/>
        <rFont val="Calibri"/>
        <family val="2"/>
        <scheme val="minor"/>
      </rPr>
      <t>20</t>
    </r>
    <r>
      <rPr>
        <sz val="11"/>
        <color theme="1"/>
        <rFont val="Calibri"/>
        <family val="2"/>
        <scheme val="minor"/>
      </rPr>
      <t xml:space="preserve"> contratos </t>
    </r>
  </si>
  <si>
    <t>Obs: Luis Gustavo Padilha Costenaro, Lourdes Merlo , Miriam Terezinha Bogoni Alves, Renata Vasconcellos Basso, Thais Carvalho Santos, Lucimara Fernandes Bezerra, Eliane Beatriz Fiorini ,Renata Vasconcellos Basso, Miriam Terezinha Bogoni Alves, Lourdes Merlo, Bruna Basso Fonseca, Gilson Legroski, Bruna Basso Fonseca, Jussara de Oliveira Ceccon Lucena, Thais Carvalho Santos, Lucimara Fernandes Bezerra, Gilson Legroski , Jussara de Oliveira Ceccon Lucena, Bruna Basso Fonseca, Renata Vasconcellos Basso</t>
  </si>
  <si>
    <r>
      <rPr>
        <b/>
        <sz val="11"/>
        <color theme="1"/>
        <rFont val="Calibri"/>
        <family val="2"/>
        <scheme val="minor"/>
      </rPr>
      <t>1</t>
    </r>
    <r>
      <rPr>
        <sz val="11"/>
        <color theme="1"/>
        <rFont val="Calibri"/>
        <family val="2"/>
        <scheme val="minor"/>
      </rPr>
      <t xml:space="preserve"> com condição de resgate de </t>
    </r>
    <r>
      <rPr>
        <b/>
        <sz val="11"/>
        <color theme="1"/>
        <rFont val="Calibri"/>
        <family val="2"/>
        <scheme val="minor"/>
      </rPr>
      <t>15 dias</t>
    </r>
    <r>
      <rPr>
        <sz val="11"/>
        <color theme="1"/>
        <rFont val="Calibri"/>
        <family val="2"/>
        <scheme val="minor"/>
      </rPr>
      <t>;</t>
    </r>
  </si>
  <si>
    <r>
      <rPr>
        <b/>
        <sz val="11"/>
        <color theme="1"/>
        <rFont val="Calibri"/>
        <family val="2"/>
        <scheme val="minor"/>
      </rPr>
      <t>1</t>
    </r>
    <r>
      <rPr>
        <sz val="11"/>
        <color theme="1"/>
        <rFont val="Calibri"/>
        <family val="2"/>
        <scheme val="minor"/>
      </rPr>
      <t xml:space="preserve"> com condição de resgate de </t>
    </r>
    <r>
      <rPr>
        <b/>
        <sz val="11"/>
        <color theme="1"/>
        <rFont val="Calibri"/>
        <family val="2"/>
        <scheme val="minor"/>
      </rPr>
      <t>30 dias</t>
    </r>
    <r>
      <rPr>
        <sz val="11"/>
        <color theme="1"/>
        <rFont val="Calibri"/>
        <family val="2"/>
        <scheme val="minor"/>
      </rPr>
      <t>;</t>
    </r>
  </si>
  <si>
    <r>
      <rPr>
        <b/>
        <sz val="11"/>
        <color theme="1"/>
        <rFont val="Calibri"/>
        <family val="2"/>
        <scheme val="minor"/>
      </rPr>
      <t xml:space="preserve">2 </t>
    </r>
    <r>
      <rPr>
        <sz val="11"/>
        <color theme="1"/>
        <rFont val="Calibri"/>
        <family val="2"/>
        <scheme val="minor"/>
      </rPr>
      <t xml:space="preserve">com condições de </t>
    </r>
    <r>
      <rPr>
        <b/>
        <sz val="11"/>
        <color theme="1"/>
        <rFont val="Calibri"/>
        <family val="2"/>
        <scheme val="minor"/>
      </rPr>
      <t>resgate</t>
    </r>
    <r>
      <rPr>
        <sz val="11"/>
        <color theme="1"/>
        <rFont val="Calibri"/>
        <family val="2"/>
        <scheme val="minor"/>
      </rPr>
      <t xml:space="preserve"> de </t>
    </r>
    <r>
      <rPr>
        <b/>
        <sz val="11"/>
        <color theme="1"/>
        <rFont val="Calibri"/>
        <family val="2"/>
        <scheme val="minor"/>
      </rPr>
      <t>10 dias</t>
    </r>
    <r>
      <rPr>
        <sz val="11"/>
        <color theme="1"/>
        <rFont val="Calibri"/>
        <family val="2"/>
        <scheme val="minor"/>
      </rPr>
      <t>;</t>
    </r>
  </si>
  <si>
    <r>
      <rPr>
        <b/>
        <sz val="11"/>
        <color theme="1"/>
        <rFont val="Calibri"/>
        <family val="2"/>
        <scheme val="minor"/>
      </rPr>
      <t>6</t>
    </r>
    <r>
      <rPr>
        <sz val="11"/>
        <color theme="1"/>
        <rFont val="Calibri"/>
        <family val="2"/>
        <scheme val="minor"/>
      </rPr>
      <t xml:space="preserve"> com condição de </t>
    </r>
    <r>
      <rPr>
        <b/>
        <sz val="11"/>
        <color theme="1"/>
        <rFont val="Calibri"/>
        <family val="2"/>
        <scheme val="minor"/>
      </rPr>
      <t>resgate</t>
    </r>
    <r>
      <rPr>
        <sz val="11"/>
        <color theme="1"/>
        <rFont val="Calibri"/>
        <family val="2"/>
        <scheme val="minor"/>
      </rPr>
      <t xml:space="preserve"> de </t>
    </r>
    <r>
      <rPr>
        <b/>
        <sz val="11"/>
        <color theme="1"/>
        <rFont val="Calibri"/>
        <family val="2"/>
        <scheme val="minor"/>
      </rPr>
      <t>5 dias</t>
    </r>
    <r>
      <rPr>
        <sz val="11"/>
        <color theme="1"/>
        <rFont val="Calibri"/>
        <family val="2"/>
        <scheme val="minor"/>
      </rPr>
      <t>;</t>
    </r>
  </si>
  <si>
    <r>
      <rPr>
        <b/>
        <sz val="11"/>
        <color theme="1"/>
        <rFont val="Calibri"/>
        <family val="2"/>
        <scheme val="minor"/>
      </rPr>
      <t>8</t>
    </r>
    <r>
      <rPr>
        <sz val="11"/>
        <color theme="1"/>
        <rFont val="Calibri"/>
        <family val="2"/>
        <scheme val="minor"/>
      </rPr>
      <t xml:space="preserve"> com condição de </t>
    </r>
    <r>
      <rPr>
        <b/>
        <sz val="11"/>
        <color theme="1"/>
        <rFont val="Calibri"/>
        <family val="2"/>
        <scheme val="minor"/>
      </rPr>
      <t>resgate</t>
    </r>
    <r>
      <rPr>
        <sz val="11"/>
        <color theme="1"/>
        <rFont val="Calibri"/>
        <family val="2"/>
        <scheme val="minor"/>
      </rPr>
      <t xml:space="preserve"> de </t>
    </r>
    <r>
      <rPr>
        <b/>
        <sz val="11"/>
        <color theme="1"/>
        <rFont val="Calibri"/>
        <family val="2"/>
        <scheme val="minor"/>
      </rPr>
      <t>15 dias</t>
    </r>
    <r>
      <rPr>
        <sz val="11"/>
        <color theme="1"/>
        <rFont val="Calibri"/>
        <family val="2"/>
        <scheme val="minor"/>
      </rPr>
      <t>;</t>
    </r>
  </si>
  <si>
    <r>
      <rPr>
        <b/>
        <sz val="11"/>
        <color theme="1"/>
        <rFont val="Calibri"/>
        <family val="2"/>
        <scheme val="minor"/>
      </rPr>
      <t>4</t>
    </r>
    <r>
      <rPr>
        <sz val="11"/>
        <color theme="1"/>
        <rFont val="Calibri"/>
        <family val="2"/>
        <scheme val="minor"/>
      </rPr>
      <t xml:space="preserve"> com condição de </t>
    </r>
    <r>
      <rPr>
        <b/>
        <sz val="11"/>
        <color theme="1"/>
        <rFont val="Calibri"/>
        <family val="2"/>
        <scheme val="minor"/>
      </rPr>
      <t>resgate</t>
    </r>
    <r>
      <rPr>
        <sz val="11"/>
        <color theme="1"/>
        <rFont val="Calibri"/>
        <family val="2"/>
        <scheme val="minor"/>
      </rPr>
      <t xml:space="preserve"> de </t>
    </r>
    <r>
      <rPr>
        <b/>
        <sz val="11"/>
        <color theme="1"/>
        <rFont val="Calibri"/>
        <family val="2"/>
        <scheme val="minor"/>
      </rPr>
      <t>30 dias</t>
    </r>
    <r>
      <rPr>
        <sz val="11"/>
        <color theme="1"/>
        <rFont val="Calibri"/>
        <family val="2"/>
        <scheme val="minor"/>
      </rPr>
      <t>;</t>
    </r>
  </si>
  <si>
    <t>1,2% DE TAXA</t>
  </si>
  <si>
    <t>1% DE TAXA (PRAZO FECHADO)</t>
  </si>
  <si>
    <t>1% DE TAXA (JUROS MENSAIS)</t>
  </si>
  <si>
    <r>
      <t xml:space="preserve">Nestas condições </t>
    </r>
    <r>
      <rPr>
        <b/>
        <sz val="11"/>
        <color theme="1"/>
        <rFont val="Calibri"/>
        <family val="2"/>
        <scheme val="minor"/>
      </rPr>
      <t>3</t>
    </r>
    <r>
      <rPr>
        <sz val="11"/>
        <color theme="1"/>
        <rFont val="Calibri"/>
        <family val="2"/>
        <scheme val="minor"/>
      </rPr>
      <t xml:space="preserve"> contratos </t>
    </r>
  </si>
  <si>
    <t>Obs: Gustavo Moraes Santos, Nicanor Lopes e Rafael Calixto</t>
  </si>
  <si>
    <t>&gt; Juros mensais</t>
  </si>
  <si>
    <t>&gt; 1,2% a.m</t>
  </si>
  <si>
    <t>Não existe</t>
  </si>
  <si>
    <t>Obs: Nenhum contrato</t>
  </si>
  <si>
    <r>
      <rPr>
        <b/>
        <sz val="11"/>
        <color theme="1"/>
        <rFont val="Calibri"/>
        <family val="2"/>
        <scheme val="minor"/>
      </rPr>
      <t>1 Sem condição de resgate</t>
    </r>
    <r>
      <rPr>
        <sz val="11"/>
        <color theme="1"/>
        <rFont val="Calibri"/>
        <family val="2"/>
        <scheme val="minor"/>
      </rPr>
      <t xml:space="preserve"> e rescisão;</t>
    </r>
  </si>
  <si>
    <r>
      <rPr>
        <b/>
        <sz val="11"/>
        <color theme="1"/>
        <rFont val="Calibri"/>
        <family val="2"/>
        <scheme val="minor"/>
      </rPr>
      <t>3 Sem condição de resgate</t>
    </r>
    <r>
      <rPr>
        <sz val="11"/>
        <color theme="1"/>
        <rFont val="Calibri"/>
        <family val="2"/>
        <scheme val="minor"/>
      </rPr>
      <t xml:space="preserve"> e rescisão;</t>
    </r>
  </si>
  <si>
    <r>
      <t xml:space="preserve">Nestas condições </t>
    </r>
    <r>
      <rPr>
        <b/>
        <sz val="11"/>
        <color theme="1"/>
        <rFont val="Calibri"/>
        <family val="2"/>
        <scheme val="minor"/>
      </rPr>
      <t>2</t>
    </r>
    <r>
      <rPr>
        <sz val="11"/>
        <color theme="1"/>
        <rFont val="Calibri"/>
        <family val="2"/>
        <scheme val="minor"/>
      </rPr>
      <t xml:space="preserve"> contratos </t>
    </r>
  </si>
  <si>
    <t xml:space="preserve">Obs: Leandro Schmidt </t>
  </si>
  <si>
    <r>
      <rPr>
        <b/>
        <sz val="11"/>
        <color theme="1"/>
        <rFont val="Calibri"/>
        <family val="2"/>
        <scheme val="minor"/>
      </rPr>
      <t>2</t>
    </r>
    <r>
      <rPr>
        <sz val="11"/>
        <color theme="1"/>
        <rFont val="Calibri"/>
        <family val="2"/>
        <scheme val="minor"/>
      </rPr>
      <t xml:space="preserve"> com condição de </t>
    </r>
    <r>
      <rPr>
        <b/>
        <sz val="11"/>
        <color theme="1"/>
        <rFont val="Calibri"/>
        <family val="2"/>
        <scheme val="minor"/>
      </rPr>
      <t>resgate</t>
    </r>
    <r>
      <rPr>
        <sz val="11"/>
        <color theme="1"/>
        <rFont val="Calibri"/>
        <family val="2"/>
        <scheme val="minor"/>
      </rPr>
      <t xml:space="preserve"> de </t>
    </r>
    <r>
      <rPr>
        <b/>
        <sz val="11"/>
        <color theme="1"/>
        <rFont val="Calibri"/>
        <family val="2"/>
        <scheme val="minor"/>
      </rPr>
      <t>5 dias</t>
    </r>
    <r>
      <rPr>
        <sz val="11"/>
        <color theme="1"/>
        <rFont val="Calibri"/>
        <family val="2"/>
        <scheme val="minor"/>
      </rPr>
      <t>;</t>
    </r>
  </si>
  <si>
    <t>1,5% DE TAXA</t>
  </si>
  <si>
    <t>&gt; 1,5% a.m</t>
  </si>
  <si>
    <t>1,2% DE TAXA (JUROS MENSAIS)</t>
  </si>
  <si>
    <t xml:space="preserve">Obs: Sheyla Maria </t>
  </si>
  <si>
    <r>
      <t xml:space="preserve">1 com condição de </t>
    </r>
    <r>
      <rPr>
        <b/>
        <sz val="11"/>
        <color theme="1"/>
        <rFont val="Calibri"/>
        <family val="2"/>
        <scheme val="minor"/>
      </rPr>
      <t>resgate</t>
    </r>
    <r>
      <rPr>
        <sz val="11"/>
        <color theme="1"/>
        <rFont val="Calibri"/>
        <family val="2"/>
        <scheme val="minor"/>
      </rPr>
      <t xml:space="preserve"> de </t>
    </r>
    <r>
      <rPr>
        <b/>
        <sz val="11"/>
        <color theme="1"/>
        <rFont val="Calibri"/>
        <family val="2"/>
        <scheme val="minor"/>
      </rPr>
      <t>30 dias</t>
    </r>
    <r>
      <rPr>
        <sz val="11"/>
        <color theme="1"/>
        <rFont val="Calibri"/>
        <family val="2"/>
        <scheme val="minor"/>
      </rPr>
      <t>;</t>
    </r>
  </si>
  <si>
    <r>
      <rPr>
        <b/>
        <sz val="11"/>
        <color theme="1"/>
        <rFont val="Calibri"/>
        <family val="2"/>
        <scheme val="minor"/>
      </rPr>
      <t>1</t>
    </r>
    <r>
      <rPr>
        <sz val="11"/>
        <color theme="1"/>
        <rFont val="Calibri"/>
        <family val="2"/>
        <scheme val="minor"/>
      </rPr>
      <t xml:space="preserve"> com condição de </t>
    </r>
    <r>
      <rPr>
        <b/>
        <sz val="11"/>
        <color theme="1"/>
        <rFont val="Calibri"/>
        <family val="2"/>
        <scheme val="minor"/>
      </rPr>
      <t>resgate</t>
    </r>
    <r>
      <rPr>
        <sz val="11"/>
        <color theme="1"/>
        <rFont val="Calibri"/>
        <family val="2"/>
        <scheme val="minor"/>
      </rPr>
      <t xml:space="preserve"> de </t>
    </r>
    <r>
      <rPr>
        <b/>
        <sz val="11"/>
        <color theme="1"/>
        <rFont val="Calibri"/>
        <family val="2"/>
        <scheme val="minor"/>
      </rPr>
      <t>30 dias</t>
    </r>
    <r>
      <rPr>
        <sz val="11"/>
        <color theme="1"/>
        <rFont val="Calibri"/>
        <family val="2"/>
        <scheme val="minor"/>
      </rPr>
      <t>;</t>
    </r>
  </si>
  <si>
    <r>
      <t>Nestas condições</t>
    </r>
    <r>
      <rPr>
        <b/>
        <sz val="11"/>
        <color theme="1"/>
        <rFont val="Calibri"/>
        <family val="2"/>
        <scheme val="minor"/>
      </rPr>
      <t xml:space="preserve"> 1</t>
    </r>
    <r>
      <rPr>
        <sz val="11"/>
        <color theme="1"/>
        <rFont val="Calibri"/>
        <family val="2"/>
        <scheme val="minor"/>
      </rPr>
      <t xml:space="preserve"> contrato</t>
    </r>
  </si>
  <si>
    <t>Obs: Hélio Alves</t>
  </si>
  <si>
    <t>1,5% DE TAXA (JUROS MENSAIS)</t>
  </si>
  <si>
    <t>Obs: Laila Fernanda de Souza, Maria Teresa Rezende e Marlon Pazinato</t>
  </si>
  <si>
    <r>
      <t>Nestas condições</t>
    </r>
    <r>
      <rPr>
        <b/>
        <sz val="11"/>
        <color theme="1"/>
        <rFont val="Calibri"/>
        <family val="2"/>
        <scheme val="minor"/>
      </rPr>
      <t xml:space="preserve"> 3</t>
    </r>
    <r>
      <rPr>
        <sz val="11"/>
        <color theme="1"/>
        <rFont val="Calibri"/>
        <family val="2"/>
        <scheme val="minor"/>
      </rPr>
      <t xml:space="preserve"> contratos </t>
    </r>
  </si>
  <si>
    <t>1,6% DE TAXA</t>
  </si>
  <si>
    <t>&gt; 1,6% a.m</t>
  </si>
  <si>
    <t>1,6% DE TAXA (JUROS MENSAIS)</t>
  </si>
  <si>
    <t>Obs: Marcos Roberto de Carvalho</t>
  </si>
  <si>
    <r>
      <t>Nestas condições</t>
    </r>
    <r>
      <rPr>
        <b/>
        <sz val="11"/>
        <color theme="1"/>
        <rFont val="Calibri"/>
        <family val="2"/>
        <scheme val="minor"/>
      </rPr>
      <t xml:space="preserve"> 1</t>
    </r>
    <r>
      <rPr>
        <sz val="11"/>
        <color theme="1"/>
        <rFont val="Calibri"/>
        <family val="2"/>
        <scheme val="minor"/>
      </rPr>
      <t xml:space="preserve"> contratos </t>
    </r>
  </si>
  <si>
    <r>
      <rPr>
        <b/>
        <sz val="11"/>
        <color theme="1"/>
        <rFont val="Calibri"/>
        <family val="2"/>
        <scheme val="minor"/>
      </rPr>
      <t xml:space="preserve">3 </t>
    </r>
    <r>
      <rPr>
        <sz val="11"/>
        <color theme="1"/>
        <rFont val="Calibri"/>
        <family val="2"/>
        <scheme val="minor"/>
      </rPr>
      <t xml:space="preserve">com condição de </t>
    </r>
    <r>
      <rPr>
        <b/>
        <sz val="11"/>
        <color theme="1"/>
        <rFont val="Calibri"/>
        <family val="2"/>
        <scheme val="minor"/>
      </rPr>
      <t>resgate</t>
    </r>
    <r>
      <rPr>
        <sz val="11"/>
        <color theme="1"/>
        <rFont val="Calibri"/>
        <family val="2"/>
        <scheme val="minor"/>
      </rPr>
      <t xml:space="preserve"> de </t>
    </r>
    <r>
      <rPr>
        <b/>
        <sz val="11"/>
        <color theme="1"/>
        <rFont val="Calibri"/>
        <family val="2"/>
        <scheme val="minor"/>
      </rPr>
      <t>30 dias</t>
    </r>
    <r>
      <rPr>
        <sz val="11"/>
        <color theme="1"/>
        <rFont val="Calibri"/>
        <family val="2"/>
        <scheme val="minor"/>
      </rPr>
      <t>;</t>
    </r>
  </si>
  <si>
    <r>
      <rPr>
        <b/>
        <sz val="11"/>
        <color theme="1"/>
        <rFont val="Calibri"/>
        <family val="2"/>
        <scheme val="minor"/>
      </rPr>
      <t>3</t>
    </r>
    <r>
      <rPr>
        <sz val="11"/>
        <color theme="1"/>
        <rFont val="Calibri"/>
        <family val="2"/>
        <scheme val="minor"/>
      </rPr>
      <t xml:space="preserve"> com condição de </t>
    </r>
    <r>
      <rPr>
        <b/>
        <sz val="11"/>
        <color theme="1"/>
        <rFont val="Calibri"/>
        <family val="2"/>
        <scheme val="minor"/>
      </rPr>
      <t>resgate</t>
    </r>
    <r>
      <rPr>
        <sz val="11"/>
        <color theme="1"/>
        <rFont val="Calibri"/>
        <family val="2"/>
        <scheme val="minor"/>
      </rPr>
      <t xml:space="preserve"> de </t>
    </r>
    <r>
      <rPr>
        <b/>
        <sz val="11"/>
        <color theme="1"/>
        <rFont val="Calibri"/>
        <family val="2"/>
        <scheme val="minor"/>
      </rPr>
      <t>30 dias</t>
    </r>
    <r>
      <rPr>
        <sz val="11"/>
        <color theme="1"/>
        <rFont val="Calibri"/>
        <family val="2"/>
        <scheme val="minor"/>
      </rPr>
      <t>;</t>
    </r>
  </si>
  <si>
    <r>
      <t xml:space="preserve">Nestas condições </t>
    </r>
    <r>
      <rPr>
        <b/>
        <sz val="11"/>
        <color theme="1"/>
        <rFont val="Calibri"/>
        <family val="2"/>
        <scheme val="minor"/>
      </rPr>
      <t>17</t>
    </r>
    <r>
      <rPr>
        <sz val="11"/>
        <color theme="1"/>
        <rFont val="Calibri"/>
        <family val="2"/>
        <scheme val="minor"/>
      </rPr>
      <t xml:space="preserve"> contratos </t>
    </r>
  </si>
  <si>
    <r>
      <rPr>
        <b/>
        <sz val="11"/>
        <color theme="1"/>
        <rFont val="Calibri"/>
        <family val="2"/>
        <scheme val="minor"/>
      </rPr>
      <t>15 sem condições de resgate</t>
    </r>
    <r>
      <rPr>
        <sz val="11"/>
        <color theme="1"/>
        <rFont val="Calibri"/>
        <family val="2"/>
        <scheme val="minor"/>
      </rPr>
      <t xml:space="preserve"> e rescisão;</t>
    </r>
  </si>
  <si>
    <t>Janete Teresinha Pozza Chiamulera</t>
  </si>
  <si>
    <t>341.488.760-68</t>
  </si>
  <si>
    <t>Banco Safra 422 / Ag: 0288 / CC: 012717-8</t>
  </si>
  <si>
    <t>Banco Safra 422 / Ag: 0288 / CC: 012753-4</t>
  </si>
  <si>
    <t>Realizado 17/05/2024</t>
  </si>
  <si>
    <t xml:space="preserve">Lucas Kalache </t>
  </si>
  <si>
    <t>054.991.889-20</t>
  </si>
  <si>
    <t>5 dias úteis</t>
  </si>
  <si>
    <t>Banco Safra 422 / Ag: 0288 / CC: 017642-0</t>
  </si>
  <si>
    <t>1,20% a.m</t>
  </si>
  <si>
    <t>1,1 % a.m</t>
  </si>
  <si>
    <t>Djalma Lucas Subtil Dissenha</t>
  </si>
  <si>
    <t>009.889.779-90</t>
  </si>
  <si>
    <t>Bradesco / Agencia 5720 CC 8483-2</t>
  </si>
  <si>
    <t>Situação Leandro</t>
  </si>
  <si>
    <t>Contrato 1 -&gt; R$ 58.000,00</t>
  </si>
  <si>
    <t>I -&gt; 1,2% a.m</t>
  </si>
  <si>
    <t>Período: 05/04/2024 a 29/04/2024</t>
  </si>
  <si>
    <t>Contrato 1 -&gt; R$ 18.000,00</t>
  </si>
  <si>
    <t>Período: 30/04/2024 a 27/05/2024</t>
  </si>
  <si>
    <t xml:space="preserve">dias </t>
  </si>
  <si>
    <t>dias</t>
  </si>
  <si>
    <t>0,8 meses</t>
  </si>
  <si>
    <t>0,9 meses</t>
  </si>
  <si>
    <t>Situação 1</t>
  </si>
  <si>
    <t>1,2% I</t>
  </si>
  <si>
    <t>0,8 N</t>
  </si>
  <si>
    <t>Situação 2</t>
  </si>
  <si>
    <t>0,9 N</t>
  </si>
  <si>
    <t>R$ 58.556,80 FV</t>
  </si>
  <si>
    <t>R$ 58.0000 PV</t>
  </si>
  <si>
    <t>Resgate de R$ 40.000,00 , pago no dia 06/05/2024</t>
  </si>
  <si>
    <t xml:space="preserve">meu </t>
  </si>
  <si>
    <t>vitor</t>
  </si>
  <si>
    <t>R$ 18.757,21 FV</t>
  </si>
  <si>
    <t>Cálculo Paola</t>
  </si>
  <si>
    <t>Cálculo Vitor</t>
  </si>
  <si>
    <t>&gt; 24 meses</t>
  </si>
  <si>
    <t>IRRF: R$ 1.670,40</t>
  </si>
  <si>
    <t>Daniel Henrique Pires</t>
  </si>
  <si>
    <t>079.219.959-69</t>
  </si>
  <si>
    <t>Banco C6 336 / Ag: 0001 / CC: 10892009-7</t>
  </si>
  <si>
    <t>Bruna Breowicz de Bitencourt</t>
  </si>
  <si>
    <t>063.390.449-05</t>
  </si>
  <si>
    <t>Banco Safra 422 / Ag: 0288 / CC: 018330-2</t>
  </si>
  <si>
    <t xml:space="preserve">1,10% a.m </t>
  </si>
  <si>
    <t xml:space="preserve">Banco Safra 422 / Ag: 0288 / CC: 013387-9 </t>
  </si>
  <si>
    <t>Lorenza Pozza Chiamulera</t>
  </si>
  <si>
    <t>009.049.179-32</t>
  </si>
  <si>
    <t xml:space="preserve">Banco Safra 422 / Ag: 0288 / CC: 129596 </t>
  </si>
  <si>
    <t>STATUS</t>
  </si>
  <si>
    <t xml:space="preserve">ATIVO </t>
  </si>
  <si>
    <t>COM RESGATE ATIVO</t>
  </si>
  <si>
    <t>CANCELADO</t>
  </si>
  <si>
    <t>ENCERRADO</t>
  </si>
  <si>
    <t>encerrou contrato</t>
  </si>
  <si>
    <t>Realizado 03/06/2024</t>
  </si>
  <si>
    <t>A ser pago no dia 18/06</t>
  </si>
  <si>
    <t>Conectar com o contrato anterior do dia 07/05/2024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</si>
</sst>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quot;\ * #,##0.00_-;\-&quot;R$&quot;\ * #,##0.00_-;_-&quot;R$&quot;\ * &quot;-&quot;??_-;_-@_-"/>
    <numFmt numFmtId="164" formatCode="_-&quot;R$&quot;\ * #,##0.000_-;\-&quot;R$&quot;\ * #,##0.000_-;_-&quot;R$&quot;\ * &quot;-&quot;??_-;_-@_-"/>
    <numFmt numFmtId="165" formatCode="_-[$R$-416]\ * #,##0.00_-;\-[$R$-416]\ * #,##0.00_-;_-[$R$-416]\ * &quot;-&quot;??_-;_-@_-"/>
    <numFmt numFmtId="166" formatCode="_-&quot;R$&quot;\ * #,##0.000_-;\-&quot;R$&quot;\ * #,##0.000_-;_-&quot;R$&quot;\ * &quot;-&quot;???_-;_-@_-"/>
    <numFmt numFmtId="167"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4"/>
      <color theme="0"/>
      <name val="Calibri"/>
      <family val="2"/>
      <scheme val="minor"/>
    </font>
    <font>
      <sz val="16"/>
      <color theme="0"/>
      <name val="Calibri"/>
      <family val="2"/>
      <scheme val="minor"/>
    </font>
    <font>
      <b/>
      <sz val="11"/>
      <color theme="0"/>
      <name val="Calibri"/>
      <family val="2"/>
      <scheme val="minor"/>
    </font>
    <font>
      <sz val="8"/>
      <name val="Calibri"/>
      <family val="2"/>
      <scheme val="minor"/>
    </font>
    <font>
      <sz val="10"/>
      <color theme="1"/>
      <name val="Calibri"/>
      <family val="2"/>
      <scheme val="minor"/>
    </font>
    <font>
      <u/>
      <sz val="11"/>
      <color theme="10"/>
      <name val="Calibri"/>
      <family val="2"/>
      <scheme val="minor"/>
    </font>
    <font>
      <sz val="11"/>
      <color theme="0"/>
      <name val="Calibri"/>
      <family val="2"/>
      <scheme val="minor"/>
    </font>
    <font>
      <b/>
      <sz val="11"/>
      <name val="Calibri"/>
      <family val="2"/>
      <scheme val="minor"/>
    </font>
    <font>
      <sz val="16"/>
      <name val="Calibri"/>
      <family val="2"/>
      <scheme val="minor"/>
    </font>
    <font>
      <sz val="11"/>
      <name val="Calibri"/>
      <family val="2"/>
      <scheme val="minor"/>
    </font>
    <font>
      <sz val="12"/>
      <color theme="1"/>
      <name val="Calibri"/>
      <family val="2"/>
      <scheme val="minor"/>
    </font>
    <font>
      <sz val="14"/>
      <name val="Calibri"/>
      <family val="2"/>
      <scheme val="minor"/>
    </font>
    <font>
      <sz val="20"/>
      <color theme="0"/>
      <name val="Calibri"/>
      <family val="2"/>
      <scheme val="minor"/>
    </font>
    <font>
      <b/>
      <sz val="10"/>
      <color theme="0"/>
      <name val="Calibri"/>
      <family val="2"/>
      <scheme val="minor"/>
    </font>
    <font>
      <u/>
      <sz val="11"/>
      <name val="Calibri"/>
      <family val="2"/>
      <scheme val="minor"/>
    </font>
    <font>
      <sz val="12"/>
      <color theme="0"/>
      <name val="Calibri"/>
      <family val="2"/>
      <scheme val="minor"/>
    </font>
  </fonts>
  <fills count="21">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9" tint="-0.49998474074526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rgb="FFFFFF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theme="4" tint="0.39997558519241921"/>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indexed="64"/>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4" tint="0.39997558519241921"/>
      </top>
      <bottom style="thin">
        <color theme="4" tint="0.39997558519241921"/>
      </bottom>
      <diagonal/>
    </border>
    <border>
      <left/>
      <right style="medium">
        <color indexed="64"/>
      </right>
      <top style="thin">
        <color theme="4" tint="0.39997558519241921"/>
      </top>
      <bottom style="thin">
        <color theme="4" tint="0.3999755851924192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theme="4" tint="0.39997558519241921"/>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theme="4" tint="0.39997558519241921"/>
      </bottom>
      <diagonal/>
    </border>
    <border>
      <left/>
      <right style="medium">
        <color indexed="64"/>
      </right>
      <top style="medium">
        <color indexed="64"/>
      </top>
      <bottom style="thin">
        <color theme="4" tint="0.39997558519241921"/>
      </bottom>
      <diagonal/>
    </border>
    <border>
      <left style="medium">
        <color indexed="64"/>
      </left>
      <right/>
      <top/>
      <bottom/>
      <diagonal/>
    </border>
    <border>
      <left/>
      <right style="medium">
        <color indexed="64"/>
      </right>
      <top style="thin">
        <color theme="4" tint="0.39997558519241921"/>
      </top>
      <bottom/>
      <diagonal/>
    </border>
    <border>
      <left style="medium">
        <color indexed="64"/>
      </left>
      <right/>
      <top/>
      <bottom style="medium">
        <color indexed="64"/>
      </bottom>
      <diagonal/>
    </border>
  </borders>
  <cellStyleXfs count="5">
    <xf numFmtId="0" fontId="0" fillId="0" borderId="0"/>
    <xf numFmtId="44"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14" fontId="2" fillId="4" borderId="1">
      <alignment horizontal="center" vertical="center"/>
    </xf>
  </cellStyleXfs>
  <cellXfs count="293">
    <xf numFmtId="0" fontId="0" fillId="0" borderId="0" xfId="0"/>
    <xf numFmtId="0" fontId="0" fillId="2" borderId="0" xfId="0" applyFill="1"/>
    <xf numFmtId="0" fontId="3" fillId="2" borderId="0" xfId="0" applyFont="1" applyFill="1"/>
    <xf numFmtId="0" fontId="0" fillId="3" borderId="0" xfId="0" applyFill="1"/>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14" fontId="0" fillId="4" borderId="1" xfId="0" applyNumberFormat="1" applyFill="1" applyBorder="1" applyAlignment="1">
      <alignment horizontal="center" vertical="center"/>
    </xf>
    <xf numFmtId="0" fontId="0" fillId="4" borderId="1" xfId="0" applyFill="1" applyBorder="1" applyAlignment="1">
      <alignment horizontal="center" vertical="center"/>
    </xf>
    <xf numFmtId="14" fontId="0" fillId="3" borderId="1" xfId="0" applyNumberFormat="1" applyFill="1" applyBorder="1" applyAlignment="1">
      <alignment horizontal="center" vertical="center"/>
    </xf>
    <xf numFmtId="0" fontId="0" fillId="0" borderId="3" xfId="0" applyBorder="1" applyAlignment="1">
      <alignment horizontal="center" vertical="center"/>
    </xf>
    <xf numFmtId="44" fontId="0" fillId="0" borderId="1" xfId="1" applyFont="1" applyBorder="1" applyAlignment="1">
      <alignment horizontal="center" vertical="center"/>
    </xf>
    <xf numFmtId="1" fontId="0" fillId="0" borderId="1" xfId="0" applyNumberFormat="1" applyBorder="1" applyAlignment="1">
      <alignment horizontal="center" vertical="center"/>
    </xf>
    <xf numFmtId="44" fontId="0" fillId="5" borderId="1" xfId="0" applyNumberFormat="1" applyFill="1" applyBorder="1" applyAlignment="1">
      <alignment horizontal="center" vertical="center"/>
    </xf>
    <xf numFmtId="0" fontId="0" fillId="6" borderId="3" xfId="0" applyFill="1" applyBorder="1" applyAlignment="1">
      <alignment horizontal="center" vertical="center"/>
    </xf>
    <xf numFmtId="44" fontId="0" fillId="6" borderId="1" xfId="1" applyFont="1" applyFill="1" applyBorder="1" applyAlignment="1">
      <alignment horizontal="center" vertical="center"/>
    </xf>
    <xf numFmtId="14" fontId="0" fillId="6" borderId="1" xfId="0" applyNumberFormat="1" applyFill="1" applyBorder="1" applyAlignment="1">
      <alignment horizontal="center" vertical="center"/>
    </xf>
    <xf numFmtId="1" fontId="0" fillId="6" borderId="1" xfId="0" applyNumberFormat="1" applyFill="1" applyBorder="1" applyAlignment="1">
      <alignment horizontal="center" vertical="center"/>
    </xf>
    <xf numFmtId="0" fontId="0" fillId="6" borderId="1" xfId="0" applyFill="1" applyBorder="1" applyAlignment="1">
      <alignment horizontal="center" vertical="center"/>
    </xf>
    <xf numFmtId="44" fontId="0" fillId="6" borderId="1" xfId="0" applyNumberFormat="1" applyFill="1" applyBorder="1" applyAlignment="1">
      <alignment horizontal="center" vertical="center"/>
    </xf>
    <xf numFmtId="0" fontId="0" fillId="6" borderId="0" xfId="0" applyFill="1"/>
    <xf numFmtId="0" fontId="5" fillId="6" borderId="0" xfId="0" applyFont="1" applyFill="1" applyAlignment="1">
      <alignment horizontal="center" vertical="center"/>
    </xf>
    <xf numFmtId="0" fontId="7" fillId="0" borderId="3" xfId="0" applyFont="1" applyBorder="1" applyAlignment="1">
      <alignment horizontal="center" vertical="center" wrapText="1"/>
    </xf>
    <xf numFmtId="0" fontId="7" fillId="6" borderId="3" xfId="0" applyFont="1" applyFill="1" applyBorder="1" applyAlignment="1">
      <alignment horizontal="center" vertical="center" wrapText="1"/>
    </xf>
    <xf numFmtId="17" fontId="5" fillId="6" borderId="0" xfId="0" applyNumberFormat="1" applyFont="1" applyFill="1" applyAlignment="1">
      <alignment horizontal="center" vertical="center"/>
    </xf>
    <xf numFmtId="14" fontId="2" fillId="7" borderId="1" xfId="0" applyNumberFormat="1"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vertical="center"/>
    </xf>
    <xf numFmtId="44" fontId="0" fillId="0" borderId="1" xfId="0" applyNumberFormat="1" applyBorder="1" applyAlignment="1">
      <alignment vertical="center"/>
    </xf>
    <xf numFmtId="0" fontId="7" fillId="3" borderId="3" xfId="0" applyFont="1" applyFill="1" applyBorder="1" applyAlignment="1">
      <alignment horizontal="center" vertical="center" wrapText="1"/>
    </xf>
    <xf numFmtId="0" fontId="0" fillId="6" borderId="4" xfId="0" applyFill="1" applyBorder="1" applyAlignment="1">
      <alignment horizontal="center" vertical="center"/>
    </xf>
    <xf numFmtId="0" fontId="0" fillId="0" borderId="1" xfId="0" applyBorder="1"/>
    <xf numFmtId="44" fontId="0" fillId="3" borderId="1" xfId="1" applyFont="1" applyFill="1" applyBorder="1" applyAlignment="1">
      <alignment horizontal="center" vertical="center"/>
    </xf>
    <xf numFmtId="0" fontId="0" fillId="3" borderId="4" xfId="0" applyFill="1" applyBorder="1" applyAlignment="1">
      <alignment horizontal="center" vertical="center"/>
    </xf>
    <xf numFmtId="0" fontId="0" fillId="6" borderId="6" xfId="0" applyFill="1" applyBorder="1" applyAlignment="1">
      <alignment horizontal="center" vertical="center"/>
    </xf>
    <xf numFmtId="0" fontId="7" fillId="6" borderId="6" xfId="0" applyFont="1" applyFill="1" applyBorder="1" applyAlignment="1">
      <alignment horizontal="center" vertical="center" wrapText="1"/>
    </xf>
    <xf numFmtId="44" fontId="0" fillId="6" borderId="4" xfId="1" applyFont="1" applyFill="1" applyBorder="1" applyAlignment="1">
      <alignment horizontal="center" vertical="center"/>
    </xf>
    <xf numFmtId="14" fontId="2" fillId="6" borderId="4" xfId="0" applyNumberFormat="1" applyFont="1" applyFill="1" applyBorder="1" applyAlignment="1">
      <alignment horizontal="center" vertical="center"/>
    </xf>
    <xf numFmtId="44" fontId="0" fillId="6" borderId="4" xfId="0" applyNumberFormat="1" applyFill="1" applyBorder="1" applyAlignment="1">
      <alignment horizontal="center" vertical="center"/>
    </xf>
    <xf numFmtId="0" fontId="0" fillId="3" borderId="4" xfId="0" applyFill="1" applyBorder="1"/>
    <xf numFmtId="0" fontId="0" fillId="0" borderId="1" xfId="0" applyBorder="1" applyAlignment="1">
      <alignment horizontal="center" vertical="center" wrapText="1"/>
    </xf>
    <xf numFmtId="0" fontId="0" fillId="9" borderId="1" xfId="0" applyFill="1" applyBorder="1" applyAlignment="1">
      <alignment horizontal="center" vertical="center"/>
    </xf>
    <xf numFmtId="44" fontId="2" fillId="0" borderId="1" xfId="0" applyNumberFormat="1" applyFont="1" applyBorder="1" applyAlignment="1">
      <alignment vertical="center"/>
    </xf>
    <xf numFmtId="14" fontId="0" fillId="3" borderId="4" xfId="0" applyNumberFormat="1" applyFill="1" applyBorder="1" applyAlignment="1">
      <alignment horizontal="center" vertical="center"/>
    </xf>
    <xf numFmtId="0" fontId="9" fillId="3" borderId="0" xfId="0" applyFont="1" applyFill="1" applyAlignment="1">
      <alignment horizontal="center"/>
    </xf>
    <xf numFmtId="166" fontId="9" fillId="3" borderId="0" xfId="0" applyNumberFormat="1" applyFont="1" applyFill="1" applyAlignment="1">
      <alignment horizontal="center"/>
    </xf>
    <xf numFmtId="1" fontId="0" fillId="3" borderId="1" xfId="0" applyNumberFormat="1" applyFill="1" applyBorder="1" applyAlignment="1">
      <alignment horizontal="center" vertical="center"/>
    </xf>
    <xf numFmtId="0" fontId="0" fillId="3" borderId="1" xfId="0" applyFill="1" applyBorder="1"/>
    <xf numFmtId="0" fontId="0" fillId="6" borderId="1" xfId="0" applyFill="1" applyBorder="1"/>
    <xf numFmtId="0" fontId="0" fillId="3" borderId="3" xfId="0" applyFill="1" applyBorder="1" applyAlignment="1">
      <alignment horizontal="center" vertical="center" wrapText="1"/>
    </xf>
    <xf numFmtId="0" fontId="9" fillId="6" borderId="0" xfId="0" applyFont="1" applyFill="1" applyAlignment="1">
      <alignment horizontal="center" vertical="center"/>
    </xf>
    <xf numFmtId="0" fontId="2" fillId="8" borderId="2" xfId="0" applyFont="1" applyFill="1" applyBorder="1"/>
    <xf numFmtId="166" fontId="2" fillId="8" borderId="1" xfId="0" applyNumberFormat="1" applyFont="1" applyFill="1" applyBorder="1"/>
    <xf numFmtId="44" fontId="0" fillId="3" borderId="4" xfId="1" applyFont="1" applyFill="1" applyBorder="1" applyAlignment="1">
      <alignment horizontal="center" vertical="center"/>
    </xf>
    <xf numFmtId="0" fontId="0" fillId="10" borderId="1" xfId="0" applyFill="1" applyBorder="1" applyAlignment="1">
      <alignment horizontal="center" vertical="center"/>
    </xf>
    <xf numFmtId="44" fontId="0" fillId="8" borderId="1" xfId="0" applyNumberFormat="1" applyFill="1" applyBorder="1" applyAlignment="1">
      <alignment vertical="center"/>
    </xf>
    <xf numFmtId="44" fontId="0" fillId="8" borderId="1" xfId="1" applyFont="1" applyFill="1" applyBorder="1" applyAlignment="1">
      <alignment vertical="center"/>
    </xf>
    <xf numFmtId="44" fontId="0" fillId="8" borderId="1" xfId="1" applyFont="1" applyFill="1" applyBorder="1" applyAlignment="1">
      <alignment horizontal="center" vertical="center"/>
    </xf>
    <xf numFmtId="0" fontId="0" fillId="3" borderId="3" xfId="0" applyFill="1" applyBorder="1" applyAlignment="1">
      <alignment horizontal="center" vertical="center"/>
    </xf>
    <xf numFmtId="0" fontId="0" fillId="3" borderId="6" xfId="0" applyFill="1" applyBorder="1" applyAlignment="1">
      <alignment horizontal="center" vertical="center"/>
    </xf>
    <xf numFmtId="0" fontId="9" fillId="6" borderId="0" xfId="0" applyFont="1" applyFill="1"/>
    <xf numFmtId="0" fontId="4" fillId="3" borderId="0" xfId="0" applyFont="1" applyFill="1" applyAlignment="1">
      <alignment horizontal="left" vertical="center"/>
    </xf>
    <xf numFmtId="14" fontId="11" fillId="3" borderId="0" xfId="0" applyNumberFormat="1" applyFont="1" applyFill="1" applyAlignment="1">
      <alignment horizontal="center" vertical="center"/>
    </xf>
    <xf numFmtId="0" fontId="12" fillId="3" borderId="0" xfId="0" applyFont="1" applyFill="1"/>
    <xf numFmtId="0" fontId="4" fillId="3" borderId="0" xfId="0" applyFont="1" applyFill="1" applyAlignment="1">
      <alignment horizontal="center" vertical="center"/>
    </xf>
    <xf numFmtId="0" fontId="14" fillId="11" borderId="1" xfId="0" applyFont="1" applyFill="1" applyBorder="1" applyAlignment="1">
      <alignment horizontal="center" vertical="center"/>
    </xf>
    <xf numFmtId="0" fontId="14" fillId="4" borderId="1" xfId="0" applyFont="1" applyFill="1" applyBorder="1" applyAlignment="1">
      <alignment horizontal="center" vertical="center"/>
    </xf>
    <xf numFmtId="0" fontId="14" fillId="8" borderId="3" xfId="0" applyFont="1" applyFill="1" applyBorder="1" applyAlignment="1">
      <alignment horizontal="center" vertical="center"/>
    </xf>
    <xf numFmtId="0" fontId="13" fillId="3" borderId="7"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1" xfId="0" applyFont="1" applyFill="1" applyBorder="1" applyAlignment="1">
      <alignment horizontal="center" vertical="center"/>
    </xf>
    <xf numFmtId="0" fontId="0" fillId="3" borderId="12" xfId="0" applyFill="1" applyBorder="1" applyAlignment="1">
      <alignment horizontal="center" vertical="center"/>
    </xf>
    <xf numFmtId="44" fontId="0" fillId="3" borderId="5" xfId="1" applyFont="1" applyFill="1" applyBorder="1" applyAlignment="1">
      <alignment horizontal="center" vertical="center"/>
    </xf>
    <xf numFmtId="14" fontId="0" fillId="3" borderId="5" xfId="0" applyNumberFormat="1" applyFill="1" applyBorder="1" applyAlignment="1">
      <alignment horizontal="center" vertical="center"/>
    </xf>
    <xf numFmtId="0" fontId="0" fillId="3" borderId="5" xfId="0" applyFill="1" applyBorder="1" applyAlignment="1">
      <alignment horizontal="center" vertical="center"/>
    </xf>
    <xf numFmtId="0" fontId="4" fillId="12" borderId="1" xfId="0" applyFont="1" applyFill="1" applyBorder="1" applyAlignment="1">
      <alignment horizontal="center" vertical="center"/>
    </xf>
    <xf numFmtId="14" fontId="4" fillId="12" borderId="1" xfId="0" applyNumberFormat="1" applyFont="1" applyFill="1" applyBorder="1" applyAlignment="1">
      <alignment horizontal="center" vertical="center"/>
    </xf>
    <xf numFmtId="0" fontId="9" fillId="12" borderId="11" xfId="0" applyFont="1" applyFill="1" applyBorder="1" applyAlignment="1">
      <alignment horizontal="center" vertical="center"/>
    </xf>
    <xf numFmtId="0" fontId="5" fillId="12" borderId="0" xfId="0" applyFont="1" applyFill="1" applyAlignment="1">
      <alignment horizontal="center" vertical="center"/>
    </xf>
    <xf numFmtId="14" fontId="5" fillId="12" borderId="1" xfId="0" applyNumberFormat="1" applyFont="1" applyFill="1" applyBorder="1" applyAlignment="1">
      <alignment horizontal="center" vertical="center"/>
    </xf>
    <xf numFmtId="14" fontId="5" fillId="12" borderId="4" xfId="0" applyNumberFormat="1" applyFont="1" applyFill="1" applyBorder="1" applyAlignment="1">
      <alignment horizontal="center" vertical="center"/>
    </xf>
    <xf numFmtId="14" fontId="5" fillId="12" borderId="5" xfId="0" applyNumberFormat="1" applyFont="1" applyFill="1" applyBorder="1" applyAlignment="1">
      <alignment horizontal="center" vertical="center"/>
    </xf>
    <xf numFmtId="0" fontId="3" fillId="12" borderId="4" xfId="0" applyFont="1" applyFill="1" applyBorder="1" applyAlignment="1">
      <alignment vertical="center"/>
    </xf>
    <xf numFmtId="0" fontId="3" fillId="3" borderId="0" xfId="0" applyFont="1" applyFill="1" applyAlignment="1">
      <alignment vertical="center"/>
    </xf>
    <xf numFmtId="0" fontId="0" fillId="13" borderId="3" xfId="0" applyFill="1" applyBorder="1" applyAlignment="1">
      <alignment horizontal="center" vertical="center" wrapText="1"/>
    </xf>
    <xf numFmtId="0" fontId="0" fillId="13" borderId="3" xfId="0" applyFill="1" applyBorder="1" applyAlignment="1">
      <alignment horizontal="center" vertical="center"/>
    </xf>
    <xf numFmtId="0" fontId="0" fillId="13" borderId="1" xfId="0" applyFill="1" applyBorder="1" applyAlignment="1">
      <alignment horizontal="center" vertical="center" wrapText="1"/>
    </xf>
    <xf numFmtId="0" fontId="0" fillId="13" borderId="6" xfId="0" applyFill="1" applyBorder="1" applyAlignment="1">
      <alignment horizontal="center" vertical="center" wrapText="1"/>
    </xf>
    <xf numFmtId="0" fontId="0" fillId="13" borderId="4" xfId="0" applyFill="1" applyBorder="1" applyAlignment="1">
      <alignment horizontal="center" vertical="center" wrapText="1"/>
    </xf>
    <xf numFmtId="44" fontId="0" fillId="13" borderId="1" xfId="1" applyFont="1" applyFill="1" applyBorder="1" applyAlignment="1">
      <alignment horizontal="center" vertical="center"/>
    </xf>
    <xf numFmtId="44" fontId="0" fillId="13" borderId="4" xfId="1" applyFont="1" applyFill="1" applyBorder="1" applyAlignment="1">
      <alignment horizontal="center" vertical="center"/>
    </xf>
    <xf numFmtId="0" fontId="0" fillId="13" borderId="4" xfId="0" applyFill="1" applyBorder="1" applyAlignment="1">
      <alignment horizontal="center" vertical="center"/>
    </xf>
    <xf numFmtId="0" fontId="0" fillId="13" borderId="1" xfId="0" applyFill="1" applyBorder="1" applyAlignment="1">
      <alignment horizontal="center" vertical="center"/>
    </xf>
    <xf numFmtId="0" fontId="0" fillId="13" borderId="8" xfId="0" applyFill="1" applyBorder="1" applyAlignment="1">
      <alignment horizontal="center" vertical="center"/>
    </xf>
    <xf numFmtId="0" fontId="0" fillId="13" borderId="12" xfId="0" applyFill="1" applyBorder="1" applyAlignment="1">
      <alignment horizontal="center" vertical="center"/>
    </xf>
    <xf numFmtId="14" fontId="0" fillId="13" borderId="1" xfId="0" applyNumberFormat="1" applyFill="1" applyBorder="1" applyAlignment="1">
      <alignment horizontal="center" vertical="center"/>
    </xf>
    <xf numFmtId="14" fontId="0" fillId="13" borderId="4" xfId="0" applyNumberFormat="1" applyFill="1" applyBorder="1" applyAlignment="1">
      <alignment horizontal="center" vertical="center"/>
    </xf>
    <xf numFmtId="14" fontId="0" fillId="13" borderId="5" xfId="0" applyNumberFormat="1" applyFill="1" applyBorder="1" applyAlignment="1">
      <alignment horizontal="center" vertical="center"/>
    </xf>
    <xf numFmtId="1" fontId="0" fillId="13" borderId="1" xfId="0" applyNumberFormat="1" applyFill="1" applyBorder="1" applyAlignment="1">
      <alignment horizontal="center" vertical="center"/>
    </xf>
    <xf numFmtId="1" fontId="0" fillId="13" borderId="4" xfId="0" applyNumberFormat="1" applyFill="1" applyBorder="1" applyAlignment="1">
      <alignment horizontal="center" vertical="center"/>
    </xf>
    <xf numFmtId="0" fontId="0" fillId="13" borderId="5" xfId="0" applyFill="1" applyBorder="1" applyAlignment="1">
      <alignment horizontal="center" vertical="center"/>
    </xf>
    <xf numFmtId="44" fontId="0" fillId="13" borderId="1" xfId="0" applyNumberFormat="1" applyFill="1" applyBorder="1" applyAlignment="1">
      <alignment horizontal="center" vertical="center"/>
    </xf>
    <xf numFmtId="44" fontId="0" fillId="13" borderId="4" xfId="0" applyNumberFormat="1" applyFill="1" applyBorder="1" applyAlignment="1">
      <alignment horizontal="center" vertical="center"/>
    </xf>
    <xf numFmtId="44" fontId="0" fillId="13" borderId="5" xfId="0" applyNumberFormat="1" applyFill="1" applyBorder="1" applyAlignment="1">
      <alignment horizontal="center" vertical="center"/>
    </xf>
    <xf numFmtId="0" fontId="0" fillId="13" borderId="1" xfId="0" applyFill="1" applyBorder="1"/>
    <xf numFmtId="0" fontId="2" fillId="13" borderId="1" xfId="0" applyFont="1" applyFill="1" applyBorder="1" applyAlignment="1">
      <alignment horizontal="center" vertical="center"/>
    </xf>
    <xf numFmtId="0" fontId="0" fillId="14" borderId="0" xfId="0" applyFill="1"/>
    <xf numFmtId="0" fontId="9" fillId="14" borderId="0" xfId="0" applyFont="1" applyFill="1"/>
    <xf numFmtId="0" fontId="0" fillId="8" borderId="1" xfId="0" applyFill="1" applyBorder="1" applyAlignment="1">
      <alignment horizontal="center" vertical="center"/>
    </xf>
    <xf numFmtId="0" fontId="0" fillId="3" borderId="0" xfId="0" applyFill="1" applyAlignment="1">
      <alignment horizontal="center" vertical="center"/>
    </xf>
    <xf numFmtId="0" fontId="3" fillId="12" borderId="0" xfId="0" applyFont="1" applyFill="1" applyAlignment="1">
      <alignment horizontal="center" vertical="center"/>
    </xf>
    <xf numFmtId="44" fontId="3" fillId="12" borderId="0" xfId="0" applyNumberFormat="1" applyFont="1" applyFill="1" applyAlignment="1">
      <alignment horizontal="center" vertical="center"/>
    </xf>
    <xf numFmtId="0" fontId="16" fillId="12" borderId="13" xfId="0" applyFont="1" applyFill="1" applyBorder="1" applyAlignment="1">
      <alignment horizontal="center" vertical="center"/>
    </xf>
    <xf numFmtId="0" fontId="0" fillId="0" borderId="9" xfId="0" applyBorder="1"/>
    <xf numFmtId="0" fontId="9" fillId="12" borderId="0" xfId="0" applyFont="1" applyFill="1" applyAlignment="1">
      <alignment horizontal="center" vertical="center"/>
    </xf>
    <xf numFmtId="0" fontId="0" fillId="13" borderId="12" xfId="0" applyFill="1" applyBorder="1" applyAlignment="1">
      <alignment horizontal="center" vertical="center" wrapText="1"/>
    </xf>
    <xf numFmtId="14" fontId="5" fillId="6" borderId="1" xfId="0" applyNumberFormat="1" applyFont="1" applyFill="1" applyBorder="1" applyAlignment="1">
      <alignment horizontal="center" vertical="center"/>
    </xf>
    <xf numFmtId="0" fontId="2" fillId="13" borderId="5" xfId="0" applyFont="1" applyFill="1" applyBorder="1" applyAlignment="1">
      <alignment horizontal="center" vertical="center"/>
    </xf>
    <xf numFmtId="0" fontId="2" fillId="13" borderId="4" xfId="0" applyFont="1" applyFill="1" applyBorder="1" applyAlignment="1">
      <alignment horizontal="center" vertical="center"/>
    </xf>
    <xf numFmtId="0" fontId="0" fillId="0" borderId="5" xfId="0" applyBorder="1"/>
    <xf numFmtId="165" fontId="0" fillId="3" borderId="4" xfId="0" applyNumberFormat="1" applyFill="1" applyBorder="1" applyAlignment="1">
      <alignment horizontal="center" vertical="center"/>
    </xf>
    <xf numFmtId="165" fontId="0" fillId="13" borderId="4" xfId="0" applyNumberFormat="1" applyFill="1" applyBorder="1" applyAlignment="1">
      <alignment horizontal="center" vertical="center"/>
    </xf>
    <xf numFmtId="0" fontId="9" fillId="5" borderId="0" xfId="0" applyFont="1" applyFill="1"/>
    <xf numFmtId="0" fontId="9" fillId="5" borderId="0" xfId="0" applyFont="1" applyFill="1" applyAlignment="1">
      <alignment horizontal="center" vertical="center"/>
    </xf>
    <xf numFmtId="164" fontId="0" fillId="8" borderId="1" xfId="0" applyNumberFormat="1" applyFill="1" applyBorder="1" applyAlignment="1">
      <alignment vertical="center"/>
    </xf>
    <xf numFmtId="164" fontId="0" fillId="8" borderId="1" xfId="0" applyNumberFormat="1" applyFill="1" applyBorder="1" applyAlignment="1">
      <alignment horizontal="center" vertical="center" wrapText="1"/>
    </xf>
    <xf numFmtId="0" fontId="0" fillId="8" borderId="4" xfId="0" applyFill="1" applyBorder="1" applyAlignment="1">
      <alignment horizontal="center" vertical="center"/>
    </xf>
    <xf numFmtId="44" fontId="0" fillId="8" borderId="1" xfId="0" applyNumberFormat="1" applyFill="1" applyBorder="1" applyAlignment="1">
      <alignment horizontal="center" vertical="center"/>
    </xf>
    <xf numFmtId="0" fontId="0" fillId="6" borderId="5" xfId="0" applyFill="1" applyBorder="1"/>
    <xf numFmtId="0" fontId="8" fillId="6" borderId="4" xfId="3" applyFill="1" applyBorder="1" applyAlignment="1">
      <alignment horizontal="center" vertical="center"/>
    </xf>
    <xf numFmtId="0" fontId="0" fillId="0" borderId="0" xfId="0" applyAlignment="1">
      <alignment horizontal="left"/>
    </xf>
    <xf numFmtId="14" fontId="4" fillId="12" borderId="0" xfId="0" applyNumberFormat="1" applyFont="1" applyFill="1" applyAlignment="1">
      <alignment horizontal="center" vertical="center"/>
    </xf>
    <xf numFmtId="0" fontId="5" fillId="12" borderId="18" xfId="0" applyFont="1" applyFill="1" applyBorder="1" applyAlignment="1">
      <alignment horizontal="center" vertical="center"/>
    </xf>
    <xf numFmtId="0" fontId="0" fillId="3" borderId="19" xfId="0" applyFill="1" applyBorder="1" applyAlignment="1">
      <alignment horizontal="center" vertical="center"/>
    </xf>
    <xf numFmtId="0" fontId="0" fillId="3" borderId="17" xfId="0" applyFill="1" applyBorder="1" applyAlignment="1">
      <alignment horizontal="center" vertical="center"/>
    </xf>
    <xf numFmtId="44" fontId="0" fillId="3" borderId="17" xfId="1" applyFont="1" applyFill="1" applyBorder="1" applyAlignment="1">
      <alignment horizontal="center" vertical="center"/>
    </xf>
    <xf numFmtId="1" fontId="0" fillId="13" borderId="17" xfId="0" applyNumberFormat="1" applyFill="1" applyBorder="1" applyAlignment="1">
      <alignment horizontal="center" vertical="center"/>
    </xf>
    <xf numFmtId="0" fontId="0" fillId="13" borderId="17" xfId="0" applyFill="1" applyBorder="1" applyAlignment="1">
      <alignment horizontal="center" vertical="center"/>
    </xf>
    <xf numFmtId="0" fontId="0" fillId="12" borderId="0" xfId="0" applyFill="1"/>
    <xf numFmtId="0" fontId="17" fillId="13" borderId="1" xfId="3" applyFont="1" applyFill="1" applyBorder="1" applyAlignment="1">
      <alignment horizontal="left" vertical="center"/>
    </xf>
    <xf numFmtId="0" fontId="17" fillId="13" borderId="1" xfId="2" applyFont="1" applyFill="1" applyBorder="1" applyAlignment="1">
      <alignment horizontal="left" vertical="center"/>
    </xf>
    <xf numFmtId="0" fontId="0" fillId="5" borderId="3" xfId="0" applyFill="1" applyBorder="1" applyAlignment="1">
      <alignment horizontal="center" vertical="center"/>
    </xf>
    <xf numFmtId="44" fontId="0" fillId="5" borderId="1" xfId="1" applyFont="1" applyFill="1" applyBorder="1" applyAlignment="1">
      <alignment horizontal="center" vertical="center"/>
    </xf>
    <xf numFmtId="1"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5" fillId="12" borderId="13" xfId="0" applyFont="1" applyFill="1" applyBorder="1" applyAlignment="1">
      <alignment horizontal="center" vertical="center"/>
    </xf>
    <xf numFmtId="44" fontId="0" fillId="0" borderId="1" xfId="1" applyFont="1" applyBorder="1"/>
    <xf numFmtId="44" fontId="0" fillId="0" borderId="1" xfId="1" applyFont="1" applyFill="1" applyBorder="1" applyAlignment="1">
      <alignment horizontal="center" vertical="center"/>
    </xf>
    <xf numFmtId="0" fontId="5" fillId="12" borderId="23" xfId="0" applyFont="1" applyFill="1" applyBorder="1" applyAlignment="1">
      <alignment horizontal="center" vertical="center"/>
    </xf>
    <xf numFmtId="0" fontId="5" fillId="12" borderId="24" xfId="0" applyFont="1" applyFill="1" applyBorder="1" applyAlignment="1">
      <alignment horizontal="center" vertical="center"/>
    </xf>
    <xf numFmtId="0" fontId="17" fillId="13" borderId="25" xfId="2" applyFont="1" applyFill="1" applyBorder="1" applyAlignment="1">
      <alignment horizontal="left" vertical="center"/>
    </xf>
    <xf numFmtId="44" fontId="0" fillId="13" borderId="26" xfId="0" applyNumberFormat="1" applyFill="1" applyBorder="1" applyAlignment="1">
      <alignment horizontal="center" vertical="center"/>
    </xf>
    <xf numFmtId="0" fontId="17" fillId="5" borderId="25" xfId="2" applyFont="1" applyFill="1" applyBorder="1" applyAlignment="1">
      <alignment horizontal="left" vertical="center"/>
    </xf>
    <xf numFmtId="44" fontId="0" fillId="5" borderId="26" xfId="0" applyNumberFormat="1" applyFill="1" applyBorder="1" applyAlignment="1">
      <alignment horizontal="center" vertical="center"/>
    </xf>
    <xf numFmtId="0" fontId="17" fillId="13" borderId="25" xfId="3" applyFont="1" applyFill="1" applyBorder="1" applyAlignment="1">
      <alignment horizontal="left" vertical="center"/>
    </xf>
    <xf numFmtId="44" fontId="0" fillId="13" borderId="27" xfId="0" applyNumberFormat="1" applyFill="1" applyBorder="1" applyAlignment="1">
      <alignment horizontal="center" vertical="center"/>
    </xf>
    <xf numFmtId="0" fontId="17" fillId="13" borderId="28" xfId="3" applyFont="1" applyFill="1" applyBorder="1" applyAlignment="1">
      <alignment horizontal="left" vertical="center"/>
    </xf>
    <xf numFmtId="0" fontId="0" fillId="3" borderId="29" xfId="0" applyFill="1" applyBorder="1" applyAlignment="1">
      <alignment horizontal="center" vertical="center"/>
    </xf>
    <xf numFmtId="44" fontId="0" fillId="3" borderId="30" xfId="1" applyFont="1" applyFill="1" applyBorder="1" applyAlignment="1">
      <alignment horizontal="center" vertical="center"/>
    </xf>
    <xf numFmtId="0" fontId="0" fillId="13" borderId="30" xfId="0" applyFill="1" applyBorder="1" applyAlignment="1">
      <alignment horizontal="center" vertical="center"/>
    </xf>
    <xf numFmtId="0" fontId="0" fillId="3" borderId="30" xfId="0" applyFill="1" applyBorder="1" applyAlignment="1">
      <alignment horizontal="center" vertical="center"/>
    </xf>
    <xf numFmtId="44" fontId="0" fillId="13" borderId="31" xfId="0" applyNumberFormat="1" applyFill="1" applyBorder="1" applyAlignment="1">
      <alignment horizontal="center" vertical="center"/>
    </xf>
    <xf numFmtId="0" fontId="0" fillId="12" borderId="20" xfId="0" applyFill="1" applyBorder="1"/>
    <xf numFmtId="0" fontId="5" fillId="12" borderId="34" xfId="0" applyFont="1" applyFill="1" applyBorder="1" applyAlignment="1">
      <alignment horizontal="center" vertical="center"/>
    </xf>
    <xf numFmtId="0" fontId="5" fillId="12" borderId="35" xfId="0" applyFont="1" applyFill="1" applyBorder="1" applyAlignment="1">
      <alignment horizontal="center" vertical="center"/>
    </xf>
    <xf numFmtId="0" fontId="9" fillId="12" borderId="34" xfId="0" applyFont="1" applyFill="1" applyBorder="1" applyAlignment="1">
      <alignment horizontal="center" vertical="center"/>
    </xf>
    <xf numFmtId="0" fontId="0" fillId="0" borderId="26" xfId="0" applyBorder="1" applyAlignment="1">
      <alignment horizontal="center" vertical="center"/>
    </xf>
    <xf numFmtId="0" fontId="9" fillId="12" borderId="36" xfId="0" applyFont="1" applyFill="1" applyBorder="1" applyAlignment="1">
      <alignment horizontal="center" vertical="center"/>
    </xf>
    <xf numFmtId="0" fontId="17" fillId="13" borderId="30" xfId="2" applyFont="1" applyFill="1" applyBorder="1" applyAlignment="1">
      <alignment horizontal="left" vertical="center"/>
    </xf>
    <xf numFmtId="44" fontId="0" fillId="0" borderId="30" xfId="1" applyFont="1" applyFill="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9" fillId="3" borderId="0" xfId="0" applyFont="1" applyFill="1"/>
    <xf numFmtId="0" fontId="9" fillId="15" borderId="4" xfId="0" applyFont="1" applyFill="1" applyBorder="1" applyAlignment="1">
      <alignment horizontal="center" vertical="center"/>
    </xf>
    <xf numFmtId="0" fontId="9" fillId="15" borderId="4" xfId="0" applyFont="1" applyFill="1" applyBorder="1" applyAlignment="1">
      <alignment horizontal="center"/>
    </xf>
    <xf numFmtId="0" fontId="17" fillId="3" borderId="1" xfId="3" applyFont="1" applyFill="1" applyBorder="1" applyAlignment="1">
      <alignment horizontal="center" vertical="center"/>
    </xf>
    <xf numFmtId="0" fontId="0" fillId="0" borderId="6" xfId="0" applyBorder="1"/>
    <xf numFmtId="0" fontId="0" fillId="0" borderId="11" xfId="0" applyBorder="1"/>
    <xf numFmtId="0" fontId="0" fillId="0" borderId="16" xfId="0" applyBorder="1"/>
    <xf numFmtId="0" fontId="9" fillId="12" borderId="7" xfId="0" applyFont="1" applyFill="1" applyBorder="1"/>
    <xf numFmtId="0" fontId="9" fillId="12" borderId="2" xfId="0" applyFont="1" applyFill="1" applyBorder="1"/>
    <xf numFmtId="0" fontId="9" fillId="12" borderId="3" xfId="0" applyFont="1" applyFill="1" applyBorder="1"/>
    <xf numFmtId="0" fontId="0" fillId="0" borderId="0" xfId="0" applyAlignment="1">
      <alignment wrapText="1"/>
    </xf>
    <xf numFmtId="0" fontId="2" fillId="0" borderId="8" xfId="0" applyFont="1" applyBorder="1"/>
    <xf numFmtId="0" fontId="2" fillId="0" borderId="9" xfId="0" applyFont="1" applyBorder="1"/>
    <xf numFmtId="0" fontId="2" fillId="0" borderId="15" xfId="0" applyFont="1" applyBorder="1"/>
    <xf numFmtId="167" fontId="0" fillId="3" borderId="5" xfId="0" applyNumberFormat="1" applyFill="1" applyBorder="1" applyAlignment="1">
      <alignment horizontal="center" vertical="center"/>
    </xf>
    <xf numFmtId="0" fontId="0" fillId="3" borderId="5" xfId="0" applyFill="1" applyBorder="1" applyAlignment="1">
      <alignment horizontal="center"/>
    </xf>
    <xf numFmtId="167" fontId="0" fillId="3" borderId="12" xfId="0" applyNumberFormat="1" applyFill="1" applyBorder="1" applyAlignment="1">
      <alignment horizontal="center" vertical="center"/>
    </xf>
    <xf numFmtId="0" fontId="0" fillId="3" borderId="12" xfId="0" applyFill="1" applyBorder="1" applyAlignment="1">
      <alignment horizontal="center"/>
    </xf>
    <xf numFmtId="44" fontId="0" fillId="0" borderId="1" xfId="0" applyNumberFormat="1" applyBorder="1" applyAlignment="1">
      <alignment horizontal="center" vertical="center"/>
    </xf>
    <xf numFmtId="0" fontId="10" fillId="8" borderId="7" xfId="0" applyFont="1" applyFill="1" applyBorder="1" applyAlignment="1">
      <alignment horizontal="left"/>
    </xf>
    <xf numFmtId="0" fontId="10" fillId="8" borderId="2" xfId="0" applyFont="1" applyFill="1" applyBorder="1" applyAlignment="1">
      <alignment horizontal="left"/>
    </xf>
    <xf numFmtId="0" fontId="0" fillId="5" borderId="0" xfId="0" applyFill="1"/>
    <xf numFmtId="0" fontId="0" fillId="0" borderId="8" xfId="0" applyBorder="1"/>
    <xf numFmtId="0" fontId="0" fillId="0" borderId="14" xfId="0" applyBorder="1"/>
    <xf numFmtId="0" fontId="0" fillId="0" borderId="10" xfId="0" applyBorder="1"/>
    <xf numFmtId="0" fontId="9" fillId="5" borderId="0" xfId="0" applyFont="1" applyFill="1" applyAlignment="1">
      <alignment horizontal="center"/>
    </xf>
    <xf numFmtId="0" fontId="9" fillId="5" borderId="12" xfId="0" applyFont="1" applyFill="1" applyBorder="1"/>
    <xf numFmtId="0" fontId="9" fillId="5" borderId="4" xfId="0" applyFont="1" applyFill="1" applyBorder="1"/>
    <xf numFmtId="0" fontId="9" fillId="5" borderId="8" xfId="0" applyFont="1" applyFill="1" applyBorder="1"/>
    <xf numFmtId="0" fontId="0" fillId="5" borderId="6" xfId="0" applyFill="1" applyBorder="1"/>
    <xf numFmtId="0" fontId="9" fillId="5" borderId="15" xfId="0" applyFont="1" applyFill="1" applyBorder="1"/>
    <xf numFmtId="0" fontId="0" fillId="5" borderId="16" xfId="0" applyFill="1" applyBorder="1"/>
    <xf numFmtId="0" fontId="9" fillId="5" borderId="7" xfId="0" applyFont="1" applyFill="1" applyBorder="1"/>
    <xf numFmtId="0" fontId="9" fillId="5" borderId="2" xfId="0" applyFont="1" applyFill="1" applyBorder="1"/>
    <xf numFmtId="0" fontId="9" fillId="5" borderId="3" xfId="0" applyFont="1" applyFill="1" applyBorder="1"/>
    <xf numFmtId="14" fontId="0" fillId="0" borderId="4" xfId="0" applyNumberFormat="1" applyBorder="1"/>
    <xf numFmtId="14" fontId="0" fillId="0" borderId="12" xfId="0" applyNumberFormat="1" applyBorder="1"/>
    <xf numFmtId="4" fontId="0" fillId="0" borderId="9" xfId="0" applyNumberFormat="1" applyBorder="1"/>
    <xf numFmtId="44" fontId="0" fillId="5" borderId="0" xfId="1" applyFont="1" applyFill="1"/>
    <xf numFmtId="0" fontId="0" fillId="0" borderId="4" xfId="0" applyBorder="1" applyAlignment="1">
      <alignment horizontal="center" vertical="center"/>
    </xf>
    <xf numFmtId="2"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3" borderId="1" xfId="0" applyFill="1" applyBorder="1" applyAlignment="1">
      <alignment horizontal="center" vertical="center" wrapText="1"/>
    </xf>
    <xf numFmtId="44" fontId="0" fillId="17" borderId="1" xfId="1" applyFont="1" applyFill="1" applyBorder="1" applyAlignment="1">
      <alignment horizontal="center" vertical="center"/>
    </xf>
    <xf numFmtId="0" fontId="9" fillId="10" borderId="0" xfId="0" applyFont="1" applyFill="1"/>
    <xf numFmtId="0" fontId="8" fillId="18" borderId="1" xfId="2" applyFill="1" applyBorder="1" applyAlignment="1">
      <alignment horizontal="center" vertical="center"/>
    </xf>
    <xf numFmtId="0" fontId="8" fillId="18" borderId="1" xfId="3" applyFill="1" applyBorder="1" applyAlignment="1">
      <alignment horizontal="center" vertical="center"/>
    </xf>
    <xf numFmtId="14" fontId="0" fillId="3" borderId="0" xfId="0" applyNumberFormat="1" applyFill="1" applyAlignment="1">
      <alignment horizontal="center" vertical="center"/>
    </xf>
    <xf numFmtId="0" fontId="8" fillId="13" borderId="4" xfId="3" applyFill="1" applyBorder="1" applyAlignment="1">
      <alignment horizontal="center" vertical="center"/>
    </xf>
    <xf numFmtId="0" fontId="0" fillId="3" borderId="4" xfId="0" applyFill="1" applyBorder="1" applyAlignment="1">
      <alignment horizontal="center" vertical="center" wrapText="1"/>
    </xf>
    <xf numFmtId="44" fontId="1" fillId="3" borderId="4" xfId="1" applyFont="1" applyFill="1" applyBorder="1" applyAlignment="1">
      <alignment horizontal="center" vertical="center"/>
    </xf>
    <xf numFmtId="0" fontId="8" fillId="13" borderId="3" xfId="2" applyFill="1" applyBorder="1" applyAlignment="1">
      <alignment horizontal="center" vertical="center"/>
    </xf>
    <xf numFmtId="0" fontId="8" fillId="13" borderId="3" xfId="3" applyFill="1" applyBorder="1" applyAlignment="1">
      <alignment horizontal="center" vertical="center"/>
    </xf>
    <xf numFmtId="0" fontId="8" fillId="13" borderId="6" xfId="3" applyFill="1" applyBorder="1" applyAlignment="1">
      <alignment horizontal="center" vertical="center"/>
    </xf>
    <xf numFmtId="0" fontId="8" fillId="13" borderId="6" xfId="2" applyFill="1" applyBorder="1" applyAlignment="1">
      <alignment horizontal="center" vertical="center"/>
    </xf>
    <xf numFmtId="0" fontId="8" fillId="13" borderId="1" xfId="3" applyFill="1" applyBorder="1" applyAlignment="1">
      <alignment horizontal="center" vertical="center"/>
    </xf>
    <xf numFmtId="0" fontId="8" fillId="13" borderId="1" xfId="2" applyFill="1" applyBorder="1" applyAlignment="1">
      <alignment horizontal="center" vertical="center"/>
    </xf>
    <xf numFmtId="0" fontId="8" fillId="13" borderId="12" xfId="3" applyFill="1" applyBorder="1" applyAlignment="1">
      <alignment horizontal="center" vertical="center"/>
    </xf>
    <xf numFmtId="44" fontId="0" fillId="3" borderId="8" xfId="1" applyFont="1" applyFill="1" applyBorder="1" applyAlignment="1">
      <alignment horizontal="center" vertical="center"/>
    </xf>
    <xf numFmtId="0" fontId="0" fillId="19" borderId="1" xfId="0" applyFill="1" applyBorder="1" applyAlignment="1">
      <alignment horizontal="center" vertical="center"/>
    </xf>
    <xf numFmtId="0" fontId="15" fillId="2" borderId="0" xfId="0" applyFont="1" applyFill="1" applyAlignment="1">
      <alignment horizontal="left" vertical="center"/>
    </xf>
    <xf numFmtId="0" fontId="15" fillId="2" borderId="10" xfId="0" applyFont="1" applyFill="1" applyBorder="1" applyAlignment="1">
      <alignment horizontal="left" vertical="center"/>
    </xf>
    <xf numFmtId="0" fontId="9" fillId="16" borderId="7" xfId="0" applyFont="1" applyFill="1" applyBorder="1" applyAlignment="1">
      <alignment horizontal="left" vertical="center" wrapText="1"/>
    </xf>
    <xf numFmtId="0" fontId="9" fillId="16" borderId="2" xfId="0" applyFont="1" applyFill="1" applyBorder="1" applyAlignment="1">
      <alignment horizontal="left" vertical="center" wrapText="1"/>
    </xf>
    <xf numFmtId="0" fontId="9" fillId="16" borderId="3" xfId="0" applyFont="1" applyFill="1" applyBorder="1" applyAlignment="1">
      <alignment horizontal="left" vertical="center" wrapText="1"/>
    </xf>
    <xf numFmtId="0" fontId="9" fillId="15" borderId="8" xfId="0" applyFont="1" applyFill="1" applyBorder="1" applyAlignment="1">
      <alignment horizontal="center"/>
    </xf>
    <xf numFmtId="0" fontId="9" fillId="15" borderId="14" xfId="0" applyFont="1" applyFill="1" applyBorder="1" applyAlignment="1">
      <alignment horizontal="center"/>
    </xf>
    <xf numFmtId="0" fontId="9" fillId="15" borderId="6" xfId="0" applyFont="1" applyFill="1" applyBorder="1" applyAlignment="1">
      <alignment horizontal="center"/>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vertical="center" wrapText="1"/>
    </xf>
    <xf numFmtId="0" fontId="0" fillId="0" borderId="11" xfId="0" applyBorder="1" applyAlignment="1">
      <alignment horizontal="center" vertical="center" wrapText="1"/>
    </xf>
    <xf numFmtId="0" fontId="0" fillId="0" borderId="15" xfId="0" applyBorder="1" applyAlignment="1">
      <alignment horizontal="center" vertical="center" wrapText="1"/>
    </xf>
    <xf numFmtId="0" fontId="0" fillId="0" borderId="10" xfId="0" applyBorder="1" applyAlignment="1">
      <alignment horizontal="center" vertical="center" wrapText="1"/>
    </xf>
    <xf numFmtId="0" fontId="0" fillId="0" borderId="16" xfId="0" applyBorder="1" applyAlignment="1">
      <alignment horizontal="center" vertical="center" wrapText="1"/>
    </xf>
    <xf numFmtId="0" fontId="9" fillId="12" borderId="7" xfId="0" applyFont="1" applyFill="1" applyBorder="1" applyAlignment="1">
      <alignment horizontal="center" vertical="center"/>
    </xf>
    <xf numFmtId="0" fontId="9" fillId="12" borderId="2" xfId="0" applyFont="1" applyFill="1" applyBorder="1" applyAlignment="1">
      <alignment horizontal="center" vertical="center"/>
    </xf>
    <xf numFmtId="0" fontId="9" fillId="12" borderId="3" xfId="0" applyFont="1" applyFill="1" applyBorder="1" applyAlignment="1">
      <alignment horizontal="center" vertical="center"/>
    </xf>
    <xf numFmtId="0" fontId="18" fillId="12" borderId="0" xfId="0" applyFont="1" applyFill="1" applyAlignment="1">
      <alignment horizontal="center" vertical="center"/>
    </xf>
    <xf numFmtId="0" fontId="9" fillId="16" borderId="0" xfId="0" applyFont="1" applyFill="1" applyAlignment="1">
      <alignment horizontal="center"/>
    </xf>
    <xf numFmtId="0" fontId="18" fillId="16" borderId="0" xfId="0" applyFont="1" applyFill="1" applyAlignment="1">
      <alignment horizontal="center" vertical="center"/>
    </xf>
    <xf numFmtId="0" fontId="9" fillId="12" borderId="0" xfId="0" applyFont="1" applyFill="1" applyAlignment="1">
      <alignment horizontal="center"/>
    </xf>
    <xf numFmtId="0" fontId="9" fillId="12" borderId="7" xfId="0" applyFont="1" applyFill="1" applyBorder="1" applyAlignment="1">
      <alignment horizontal="center" vertical="center" wrapText="1"/>
    </xf>
    <xf numFmtId="0" fontId="9" fillId="12" borderId="2" xfId="0" applyFont="1" applyFill="1" applyBorder="1" applyAlignment="1">
      <alignment horizontal="center" vertical="center" wrapText="1"/>
    </xf>
    <xf numFmtId="0" fontId="9" fillId="12" borderId="3" xfId="0" applyFont="1" applyFill="1" applyBorder="1" applyAlignment="1">
      <alignment horizontal="center" vertical="center" wrapText="1"/>
    </xf>
    <xf numFmtId="0" fontId="9" fillId="12" borderId="7" xfId="0" applyFont="1" applyFill="1" applyBorder="1" applyAlignment="1">
      <alignment horizontal="left" vertical="center" wrapText="1"/>
    </xf>
    <xf numFmtId="0" fontId="9" fillId="12" borderId="2" xfId="0" applyFont="1" applyFill="1" applyBorder="1" applyAlignment="1">
      <alignment horizontal="left" vertical="center" wrapText="1"/>
    </xf>
    <xf numFmtId="0" fontId="9" fillId="12" borderId="3" xfId="0" applyFont="1" applyFill="1" applyBorder="1" applyAlignment="1">
      <alignment horizontal="left" vertical="center" wrapText="1"/>
    </xf>
    <xf numFmtId="0" fontId="9" fillId="12" borderId="20" xfId="0" applyFont="1" applyFill="1" applyBorder="1" applyAlignment="1">
      <alignment horizontal="center"/>
    </xf>
    <xf numFmtId="0" fontId="9" fillId="12" borderId="21" xfId="0" applyFont="1" applyFill="1" applyBorder="1" applyAlignment="1">
      <alignment horizontal="center"/>
    </xf>
    <xf numFmtId="0" fontId="9" fillId="12" borderId="22" xfId="0" applyFont="1" applyFill="1" applyBorder="1" applyAlignment="1">
      <alignment horizontal="center"/>
    </xf>
    <xf numFmtId="0" fontId="9" fillId="12" borderId="32" xfId="0" applyFont="1" applyFill="1" applyBorder="1" applyAlignment="1">
      <alignment horizontal="center"/>
    </xf>
    <xf numFmtId="0" fontId="9" fillId="12" borderId="33" xfId="0" applyFont="1" applyFill="1" applyBorder="1" applyAlignment="1">
      <alignment horizontal="center"/>
    </xf>
    <xf numFmtId="0" fontId="0" fillId="0" borderId="8" xfId="0" applyBorder="1" applyAlignment="1">
      <alignment horizontal="left"/>
    </xf>
    <xf numFmtId="0" fontId="0" fillId="0" borderId="14" xfId="0" applyBorder="1" applyAlignment="1">
      <alignment horizontal="left"/>
    </xf>
    <xf numFmtId="0" fontId="0" fillId="0" borderId="6" xfId="0" applyBorder="1" applyAlignment="1">
      <alignment horizontal="left"/>
    </xf>
    <xf numFmtId="0" fontId="0" fillId="0" borderId="9" xfId="0" applyBorder="1" applyAlignment="1">
      <alignment horizontal="left"/>
    </xf>
    <xf numFmtId="0" fontId="0" fillId="0" borderId="0" xfId="0" applyAlignment="1">
      <alignment horizontal="left"/>
    </xf>
    <xf numFmtId="0" fontId="0" fillId="0" borderId="11" xfId="0" applyBorder="1" applyAlignment="1">
      <alignment horizontal="left"/>
    </xf>
    <xf numFmtId="0" fontId="0" fillId="0" borderId="15" xfId="0" applyBorder="1" applyAlignment="1">
      <alignment horizontal="left"/>
    </xf>
    <xf numFmtId="0" fontId="0" fillId="0" borderId="10" xfId="0" applyBorder="1" applyAlignment="1">
      <alignment horizontal="left"/>
    </xf>
    <xf numFmtId="0" fontId="0" fillId="0" borderId="16" xfId="0" applyBorder="1" applyAlignment="1">
      <alignment horizontal="left"/>
    </xf>
    <xf numFmtId="0" fontId="9" fillId="12" borderId="0" xfId="0" applyFont="1" applyFill="1" applyBorder="1" applyAlignment="1">
      <alignment horizontal="center" vertical="center"/>
    </xf>
    <xf numFmtId="0" fontId="0" fillId="3" borderId="4" xfId="0" applyNumberFormat="1" applyFill="1" applyBorder="1" applyAlignment="1">
      <alignment horizontal="center" vertical="center"/>
    </xf>
    <xf numFmtId="0" fontId="0" fillId="0" borderId="0" xfId="0" applyBorder="1"/>
    <xf numFmtId="0" fontId="0" fillId="20" borderId="4" xfId="0" applyFill="1" applyBorder="1" applyAlignment="1">
      <alignment horizontal="center" vertical="center"/>
    </xf>
    <xf numFmtId="14" fontId="0" fillId="20" borderId="4" xfId="0" applyNumberFormat="1" applyFill="1" applyBorder="1" applyAlignment="1">
      <alignment horizontal="center" vertical="center"/>
    </xf>
    <xf numFmtId="14" fontId="5" fillId="20" borderId="4" xfId="0" applyNumberFormat="1" applyFont="1" applyFill="1" applyBorder="1" applyAlignment="1">
      <alignment horizontal="center" vertical="center"/>
    </xf>
    <xf numFmtId="0" fontId="8" fillId="20" borderId="1" xfId="3" applyFill="1" applyBorder="1" applyAlignment="1">
      <alignment horizontal="center" vertical="center"/>
    </xf>
    <xf numFmtId="0" fontId="0" fillId="20" borderId="1" xfId="0" applyFill="1" applyBorder="1" applyAlignment="1">
      <alignment horizontal="center" vertical="center"/>
    </xf>
    <xf numFmtId="0" fontId="0" fillId="20" borderId="1" xfId="0" applyFill="1" applyBorder="1" applyAlignment="1">
      <alignment horizontal="center" vertical="center" wrapText="1"/>
    </xf>
    <xf numFmtId="44" fontId="0" fillId="20" borderId="4" xfId="1" applyFont="1" applyFill="1" applyBorder="1" applyAlignment="1">
      <alignment horizontal="center" vertical="center"/>
    </xf>
    <xf numFmtId="44" fontId="0" fillId="20" borderId="4" xfId="0" applyNumberFormat="1" applyFill="1" applyBorder="1" applyAlignment="1">
      <alignment horizontal="center" vertical="center"/>
    </xf>
    <xf numFmtId="0" fontId="0" fillId="20" borderId="4" xfId="0" applyNumberFormat="1" applyFill="1" applyBorder="1" applyAlignment="1">
      <alignment horizontal="center" vertical="center"/>
    </xf>
    <xf numFmtId="0" fontId="2" fillId="20" borderId="4" xfId="0" applyFont="1" applyFill="1" applyBorder="1" applyAlignment="1">
      <alignment horizontal="center" vertical="center"/>
    </xf>
    <xf numFmtId="0" fontId="0" fillId="20" borderId="0" xfId="0" applyFill="1" applyBorder="1"/>
    <xf numFmtId="14" fontId="5" fillId="10" borderId="4" xfId="0" applyNumberFormat="1" applyFont="1" applyFill="1" applyBorder="1" applyAlignment="1">
      <alignment horizontal="center" vertical="center"/>
    </xf>
    <xf numFmtId="0" fontId="0" fillId="20" borderId="4" xfId="0" applyFill="1" applyBorder="1" applyAlignment="1">
      <alignment horizontal="center" vertical="center" wrapText="1"/>
    </xf>
  </cellXfs>
  <cellStyles count="5">
    <cellStyle name="Estilo" xfId="4" xr:uid="{5344E0EA-F169-4B4B-AAFA-AE0EC1F213F6}"/>
    <cellStyle name="Hiperlink" xfId="3" builtinId="8"/>
    <cellStyle name="Hyperlink" xfId="2" xr:uid="{00000000-000B-0000-0000-000008000000}"/>
    <cellStyle name="Moeda" xfId="1" builtinId="4"/>
    <cellStyle name="Normal" xfId="0" builtinId="0"/>
  </cellStyles>
  <dxfs count="87">
    <dxf>
      <fill>
        <patternFill>
          <fgColor auto="1"/>
          <bgColor theme="9" tint="0.59996337778862885"/>
        </patternFill>
      </fill>
    </dxf>
    <dxf>
      <font>
        <color auto="1"/>
      </font>
      <fill>
        <patternFill>
          <bgColor theme="5" tint="0.59996337778862885"/>
        </patternFill>
      </fill>
    </dxf>
    <dxf>
      <font>
        <color auto="1"/>
      </font>
      <fill>
        <patternFill>
          <bgColor theme="7" tint="0.59996337778862885"/>
        </patternFill>
      </fill>
    </dxf>
    <dxf>
      <font>
        <color auto="1"/>
      </font>
      <fill>
        <patternFill>
          <bgColor theme="9" tint="0.59996337778862885"/>
        </patternFill>
      </fill>
    </dxf>
    <dxf>
      <font>
        <color rgb="FF9C5700"/>
      </font>
      <fill>
        <patternFill>
          <bgColor rgb="FFFFEB9C"/>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5" tint="0.59996337778862885"/>
        </patternFill>
      </fill>
    </dxf>
    <dxf>
      <font>
        <color theme="5" tint="-0.499984740745262"/>
      </font>
      <fill>
        <patternFill>
          <bgColor theme="5" tint="0.39994506668294322"/>
        </patternFill>
      </fill>
    </dxf>
    <dxf>
      <fill>
        <patternFill>
          <fgColor auto="1"/>
          <bgColor theme="9" tint="0.59996337778862885"/>
        </patternFill>
      </fill>
    </dxf>
    <dxf>
      <font>
        <color auto="1"/>
      </font>
      <fill>
        <patternFill>
          <bgColor theme="5" tint="0.59996337778862885"/>
        </patternFill>
      </fill>
    </dxf>
    <dxf>
      <font>
        <color auto="1"/>
      </font>
      <fill>
        <patternFill>
          <bgColor theme="7" tint="0.59996337778862885"/>
        </patternFill>
      </fill>
    </dxf>
    <dxf>
      <font>
        <color auto="1"/>
      </font>
      <fill>
        <patternFill>
          <bgColor theme="9" tint="0.59996337778862885"/>
        </patternFill>
      </fill>
    </dxf>
    <dxf>
      <font>
        <color rgb="FF9C5700"/>
      </font>
      <fill>
        <patternFill>
          <bgColor rgb="FFFFEB9C"/>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5" tint="0.59996337778862885"/>
        </patternFill>
      </fill>
    </dxf>
    <dxf>
      <font>
        <color theme="5" tint="-0.499984740745262"/>
      </font>
      <fill>
        <patternFill>
          <bgColor theme="5" tint="0.3999450666829432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fgColor auto="1"/>
          <bgColor theme="9" tint="0.59996337778862885"/>
        </patternFill>
      </fill>
    </dxf>
    <dxf>
      <font>
        <color auto="1"/>
      </font>
      <fill>
        <patternFill>
          <bgColor theme="5" tint="0.59996337778862885"/>
        </patternFill>
      </fill>
    </dxf>
    <dxf>
      <font>
        <color auto="1"/>
      </font>
      <fill>
        <patternFill>
          <bgColor theme="7" tint="0.59996337778862885"/>
        </patternFill>
      </fill>
    </dxf>
    <dxf>
      <font>
        <color auto="1"/>
      </font>
      <fill>
        <patternFill>
          <bgColor theme="9" tint="0.59996337778862885"/>
        </patternFill>
      </fill>
    </dxf>
    <dxf>
      <font>
        <color rgb="FF9C5700"/>
      </font>
      <fill>
        <patternFill>
          <bgColor rgb="FFFFEB9C"/>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5" tint="0.59996337778862885"/>
        </patternFill>
      </fill>
    </dxf>
    <dxf>
      <font>
        <color theme="5" tint="-0.499984740745262"/>
      </font>
      <fill>
        <patternFill>
          <bgColor theme="5" tint="0.39994506668294322"/>
        </patternFill>
      </fill>
    </dxf>
    <dxf>
      <font>
        <b/>
        <i val="0"/>
        <strike val="0"/>
        <condense val="0"/>
        <extend val="0"/>
        <outline val="0"/>
        <shadow val="0"/>
        <u val="none"/>
        <vertAlign val="baseline"/>
        <sz val="11"/>
        <color theme="1"/>
        <name val="Calibri"/>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4" formatCode="_-&quot;R$&quot;\ * #,##0.00_-;\-&quot;R$&quot;\ * #,##0.00_-;_-&quot;R$&quot;\ * &quot;-&quot;??_-;_-@_-"/>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border outline="0">
        <left style="thin">
          <color indexed="64"/>
        </left>
        <right style="thin">
          <color indexed="64"/>
        </right>
      </border>
    </dxf>
    <dxf>
      <font>
        <b/>
        <i val="0"/>
        <strike val="0"/>
        <condense val="0"/>
        <extend val="0"/>
        <outline val="0"/>
        <shadow val="0"/>
        <u val="none"/>
        <vertAlign val="baseline"/>
        <sz val="11"/>
        <color theme="0"/>
        <name val="Calibri"/>
        <family val="2"/>
        <scheme val="minor"/>
      </font>
      <numFmt numFmtId="19" formatCode="dd/mm/yyyy"/>
      <fill>
        <patternFill patternType="solid">
          <fgColor indexed="64"/>
          <bgColor theme="8"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19" formatCode="dd/mm/yyyy"/>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19" formatCode="dd/mm/yyyy"/>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0"/>
        <name val="Calibri"/>
        <family val="2"/>
        <scheme val="minor"/>
      </font>
      <fill>
        <patternFill patternType="solid">
          <fgColor indexed="64"/>
          <bgColor theme="8" tint="-0.499984740745262"/>
        </patternFill>
      </fill>
      <alignment horizontal="center" vertical="center" textRotation="0" wrapText="0" indent="0" justifyLastLine="0" shrinkToFit="0" readingOrder="0"/>
    </dxf>
    <dxf>
      <border outline="0">
        <left style="thin">
          <color indexed="64"/>
        </left>
      </border>
    </dxf>
    <dxf>
      <font>
        <b/>
        <i val="0"/>
        <strike val="0"/>
        <condense val="0"/>
        <extend val="0"/>
        <outline val="0"/>
        <shadow val="0"/>
        <u val="none"/>
        <vertAlign val="baseline"/>
        <sz val="11"/>
        <color theme="0"/>
        <name val="Calibri"/>
        <family val="2"/>
        <scheme val="minor"/>
      </font>
      <fill>
        <patternFill patternType="solid">
          <fgColor indexed="64"/>
          <bgColor theme="8" tint="-0.499984740745262"/>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273761</xdr:colOff>
      <xdr:row>0</xdr:row>
      <xdr:rowOff>51511</xdr:rowOff>
    </xdr:from>
    <xdr:to>
      <xdr:col>6</xdr:col>
      <xdr:colOff>1266825</xdr:colOff>
      <xdr:row>3</xdr:row>
      <xdr:rowOff>9565</xdr:rowOff>
    </xdr:to>
    <xdr:pic>
      <xdr:nvPicPr>
        <xdr:cNvPr id="2" name="Imagem 1">
          <a:extLst>
            <a:ext uri="{FF2B5EF4-FFF2-40B4-BE49-F238E27FC236}">
              <a16:creationId xmlns:a16="http://schemas.microsoft.com/office/drawing/2014/main" id="{D4598678-C9D4-477D-853F-3DE459DF266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3613"/>
        <a:stretch/>
      </xdr:blipFill>
      <xdr:spPr>
        <a:xfrm>
          <a:off x="5541086" y="51511"/>
          <a:ext cx="993064" cy="672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121920</xdr:colOff>
      <xdr:row>14</xdr:row>
      <xdr:rowOff>83820</xdr:rowOff>
    </xdr:from>
    <xdr:to>
      <xdr:col>24</xdr:col>
      <xdr:colOff>502920</xdr:colOff>
      <xdr:row>14</xdr:row>
      <xdr:rowOff>83820</xdr:rowOff>
    </xdr:to>
    <xdr:cxnSp macro="">
      <xdr:nvCxnSpPr>
        <xdr:cNvPr id="3" name="Conector de Seta Reta 2">
          <a:extLst>
            <a:ext uri="{FF2B5EF4-FFF2-40B4-BE49-F238E27FC236}">
              <a16:creationId xmlns:a16="http://schemas.microsoft.com/office/drawing/2014/main" id="{82E35C83-D349-AC73-2368-2FA87BB21588}"/>
            </a:ext>
          </a:extLst>
        </xdr:cNvPr>
        <xdr:cNvCxnSpPr/>
      </xdr:nvCxnSpPr>
      <xdr:spPr>
        <a:xfrm>
          <a:off x="25923240" y="2689860"/>
          <a:ext cx="990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121920</xdr:colOff>
      <xdr:row>21</xdr:row>
      <xdr:rowOff>60960</xdr:rowOff>
    </xdr:from>
    <xdr:to>
      <xdr:col>24</xdr:col>
      <xdr:colOff>502920</xdr:colOff>
      <xdr:row>21</xdr:row>
      <xdr:rowOff>60960</xdr:rowOff>
    </xdr:to>
    <xdr:cxnSp macro="">
      <xdr:nvCxnSpPr>
        <xdr:cNvPr id="8" name="Conector de Seta Reta 7">
          <a:extLst>
            <a:ext uri="{FF2B5EF4-FFF2-40B4-BE49-F238E27FC236}">
              <a16:creationId xmlns:a16="http://schemas.microsoft.com/office/drawing/2014/main" id="{36F64AC9-9FCB-4EE8-8018-56AB043FC1CF}"/>
            </a:ext>
          </a:extLst>
        </xdr:cNvPr>
        <xdr:cNvCxnSpPr/>
      </xdr:nvCxnSpPr>
      <xdr:spPr>
        <a:xfrm>
          <a:off x="25923240" y="3962400"/>
          <a:ext cx="990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137160</xdr:colOff>
      <xdr:row>27</xdr:row>
      <xdr:rowOff>99060</xdr:rowOff>
    </xdr:from>
    <xdr:to>
      <xdr:col>24</xdr:col>
      <xdr:colOff>541020</xdr:colOff>
      <xdr:row>29</xdr:row>
      <xdr:rowOff>30480</xdr:rowOff>
    </xdr:to>
    <xdr:cxnSp macro="">
      <xdr:nvCxnSpPr>
        <xdr:cNvPr id="9" name="Conector de Seta Reta 8">
          <a:extLst>
            <a:ext uri="{FF2B5EF4-FFF2-40B4-BE49-F238E27FC236}">
              <a16:creationId xmlns:a16="http://schemas.microsoft.com/office/drawing/2014/main" id="{8D621369-0B61-4FC3-B67F-09DDF400CE39}"/>
            </a:ext>
          </a:extLst>
        </xdr:cNvPr>
        <xdr:cNvCxnSpPr/>
      </xdr:nvCxnSpPr>
      <xdr:spPr>
        <a:xfrm flipV="1">
          <a:off x="25938480" y="5113020"/>
          <a:ext cx="101346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137160</xdr:colOff>
      <xdr:row>28</xdr:row>
      <xdr:rowOff>91440</xdr:rowOff>
    </xdr:from>
    <xdr:to>
      <xdr:col>24</xdr:col>
      <xdr:colOff>571500</xdr:colOff>
      <xdr:row>29</xdr:row>
      <xdr:rowOff>22860</xdr:rowOff>
    </xdr:to>
    <xdr:cxnSp macro="">
      <xdr:nvCxnSpPr>
        <xdr:cNvPr id="11" name="Conector de Seta Reta 10">
          <a:extLst>
            <a:ext uri="{FF2B5EF4-FFF2-40B4-BE49-F238E27FC236}">
              <a16:creationId xmlns:a16="http://schemas.microsoft.com/office/drawing/2014/main" id="{4F79B4FA-98F7-4A64-A723-467382E93A8F}"/>
            </a:ext>
          </a:extLst>
        </xdr:cNvPr>
        <xdr:cNvCxnSpPr/>
      </xdr:nvCxnSpPr>
      <xdr:spPr>
        <a:xfrm flipV="1">
          <a:off x="25938480" y="5288280"/>
          <a:ext cx="1043940" cy="114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137160</xdr:colOff>
      <xdr:row>33</xdr:row>
      <xdr:rowOff>144780</xdr:rowOff>
    </xdr:from>
    <xdr:to>
      <xdr:col>24</xdr:col>
      <xdr:colOff>472440</xdr:colOff>
      <xdr:row>36</xdr:row>
      <xdr:rowOff>22860</xdr:rowOff>
    </xdr:to>
    <xdr:cxnSp macro="">
      <xdr:nvCxnSpPr>
        <xdr:cNvPr id="17" name="Conector de Seta Reta 16">
          <a:extLst>
            <a:ext uri="{FF2B5EF4-FFF2-40B4-BE49-F238E27FC236}">
              <a16:creationId xmlns:a16="http://schemas.microsoft.com/office/drawing/2014/main" id="{1B3FF164-E35F-436A-822F-6DDE3111624A}"/>
            </a:ext>
          </a:extLst>
        </xdr:cNvPr>
        <xdr:cNvCxnSpPr/>
      </xdr:nvCxnSpPr>
      <xdr:spPr>
        <a:xfrm flipV="1">
          <a:off x="25938480" y="7269480"/>
          <a:ext cx="944880" cy="42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137160</xdr:colOff>
      <xdr:row>34</xdr:row>
      <xdr:rowOff>99060</xdr:rowOff>
    </xdr:from>
    <xdr:to>
      <xdr:col>24</xdr:col>
      <xdr:colOff>541020</xdr:colOff>
      <xdr:row>36</xdr:row>
      <xdr:rowOff>30480</xdr:rowOff>
    </xdr:to>
    <xdr:cxnSp macro="">
      <xdr:nvCxnSpPr>
        <xdr:cNvPr id="23" name="Conector de Seta Reta 22">
          <a:extLst>
            <a:ext uri="{FF2B5EF4-FFF2-40B4-BE49-F238E27FC236}">
              <a16:creationId xmlns:a16="http://schemas.microsoft.com/office/drawing/2014/main" id="{2BCBCFA3-53DA-4D73-957A-A4DE648E718F}"/>
            </a:ext>
          </a:extLst>
        </xdr:cNvPr>
        <xdr:cNvCxnSpPr/>
      </xdr:nvCxnSpPr>
      <xdr:spPr>
        <a:xfrm flipV="1">
          <a:off x="25938480" y="5113020"/>
          <a:ext cx="101346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137160</xdr:colOff>
      <xdr:row>35</xdr:row>
      <xdr:rowOff>91440</xdr:rowOff>
    </xdr:from>
    <xdr:to>
      <xdr:col>24</xdr:col>
      <xdr:colOff>571500</xdr:colOff>
      <xdr:row>36</xdr:row>
      <xdr:rowOff>22860</xdr:rowOff>
    </xdr:to>
    <xdr:cxnSp macro="">
      <xdr:nvCxnSpPr>
        <xdr:cNvPr id="24" name="Conector de Seta Reta 23">
          <a:extLst>
            <a:ext uri="{FF2B5EF4-FFF2-40B4-BE49-F238E27FC236}">
              <a16:creationId xmlns:a16="http://schemas.microsoft.com/office/drawing/2014/main" id="{5353A1D3-BDDF-4EF1-BC2D-498D6BBDB35F}"/>
            </a:ext>
          </a:extLst>
        </xdr:cNvPr>
        <xdr:cNvCxnSpPr/>
      </xdr:nvCxnSpPr>
      <xdr:spPr>
        <a:xfrm flipV="1">
          <a:off x="25938480" y="5288280"/>
          <a:ext cx="1043940" cy="114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137160</xdr:colOff>
      <xdr:row>36</xdr:row>
      <xdr:rowOff>30480</xdr:rowOff>
    </xdr:from>
    <xdr:to>
      <xdr:col>25</xdr:col>
      <xdr:colOff>0</xdr:colOff>
      <xdr:row>36</xdr:row>
      <xdr:rowOff>83820</xdr:rowOff>
    </xdr:to>
    <xdr:cxnSp macro="">
      <xdr:nvCxnSpPr>
        <xdr:cNvPr id="25" name="Conector de Seta Reta 24">
          <a:extLst>
            <a:ext uri="{FF2B5EF4-FFF2-40B4-BE49-F238E27FC236}">
              <a16:creationId xmlns:a16="http://schemas.microsoft.com/office/drawing/2014/main" id="{7BDBEBAD-DF02-4E8E-8C6B-916D95F1291A}"/>
            </a:ext>
          </a:extLst>
        </xdr:cNvPr>
        <xdr:cNvCxnSpPr/>
      </xdr:nvCxnSpPr>
      <xdr:spPr>
        <a:xfrm>
          <a:off x="25938480" y="5410200"/>
          <a:ext cx="1082040" cy="533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160020</xdr:colOff>
      <xdr:row>29</xdr:row>
      <xdr:rowOff>22860</xdr:rowOff>
    </xdr:from>
    <xdr:to>
      <xdr:col>24</xdr:col>
      <xdr:colOff>548640</xdr:colOff>
      <xdr:row>29</xdr:row>
      <xdr:rowOff>114300</xdr:rowOff>
    </xdr:to>
    <xdr:cxnSp macro="">
      <xdr:nvCxnSpPr>
        <xdr:cNvPr id="26" name="Conector de Seta Reta 25">
          <a:extLst>
            <a:ext uri="{FF2B5EF4-FFF2-40B4-BE49-F238E27FC236}">
              <a16:creationId xmlns:a16="http://schemas.microsoft.com/office/drawing/2014/main" id="{3F5050A3-174E-4C52-ABC6-E1A7F2C996E2}"/>
            </a:ext>
          </a:extLst>
        </xdr:cNvPr>
        <xdr:cNvCxnSpPr/>
      </xdr:nvCxnSpPr>
      <xdr:spPr>
        <a:xfrm>
          <a:off x="25961340" y="5402580"/>
          <a:ext cx="998220" cy="914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114300</xdr:colOff>
      <xdr:row>35</xdr:row>
      <xdr:rowOff>76200</xdr:rowOff>
    </xdr:from>
    <xdr:to>
      <xdr:col>36</xdr:col>
      <xdr:colOff>556260</xdr:colOff>
      <xdr:row>35</xdr:row>
      <xdr:rowOff>76200</xdr:rowOff>
    </xdr:to>
    <xdr:cxnSp macro="">
      <xdr:nvCxnSpPr>
        <xdr:cNvPr id="35" name="Conector de Seta Reta 34">
          <a:extLst>
            <a:ext uri="{FF2B5EF4-FFF2-40B4-BE49-F238E27FC236}">
              <a16:creationId xmlns:a16="http://schemas.microsoft.com/office/drawing/2014/main" id="{D75162E6-7DE2-42ED-B12E-D6E0BDB18BC0}"/>
            </a:ext>
          </a:extLst>
        </xdr:cNvPr>
        <xdr:cNvCxnSpPr/>
      </xdr:nvCxnSpPr>
      <xdr:spPr>
        <a:xfrm>
          <a:off x="34274760" y="7566660"/>
          <a:ext cx="10515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175260</xdr:colOff>
      <xdr:row>45</xdr:row>
      <xdr:rowOff>91440</xdr:rowOff>
    </xdr:from>
    <xdr:to>
      <xdr:col>24</xdr:col>
      <xdr:colOff>563880</xdr:colOff>
      <xdr:row>45</xdr:row>
      <xdr:rowOff>99060</xdr:rowOff>
    </xdr:to>
    <xdr:cxnSp macro="">
      <xdr:nvCxnSpPr>
        <xdr:cNvPr id="44" name="Conector de Seta Reta 43">
          <a:extLst>
            <a:ext uri="{FF2B5EF4-FFF2-40B4-BE49-F238E27FC236}">
              <a16:creationId xmlns:a16="http://schemas.microsoft.com/office/drawing/2014/main" id="{4DFBADC0-A340-E72E-ECB0-4FCB025B4002}"/>
            </a:ext>
          </a:extLst>
        </xdr:cNvPr>
        <xdr:cNvCxnSpPr/>
      </xdr:nvCxnSpPr>
      <xdr:spPr>
        <a:xfrm flipV="1">
          <a:off x="25976580" y="10751820"/>
          <a:ext cx="998220" cy="7620"/>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35</xdr:col>
      <xdr:colOff>175260</xdr:colOff>
      <xdr:row>45</xdr:row>
      <xdr:rowOff>91440</xdr:rowOff>
    </xdr:from>
    <xdr:to>
      <xdr:col>36</xdr:col>
      <xdr:colOff>563880</xdr:colOff>
      <xdr:row>45</xdr:row>
      <xdr:rowOff>99060</xdr:rowOff>
    </xdr:to>
    <xdr:cxnSp macro="">
      <xdr:nvCxnSpPr>
        <xdr:cNvPr id="47" name="Conector de Seta Reta 46">
          <a:extLst>
            <a:ext uri="{FF2B5EF4-FFF2-40B4-BE49-F238E27FC236}">
              <a16:creationId xmlns:a16="http://schemas.microsoft.com/office/drawing/2014/main" id="{448922E0-7A61-4B90-9101-19CD9B9B4A0E}"/>
            </a:ext>
          </a:extLst>
        </xdr:cNvPr>
        <xdr:cNvCxnSpPr/>
      </xdr:nvCxnSpPr>
      <xdr:spPr>
        <a:xfrm flipV="1">
          <a:off x="25976580" y="10751820"/>
          <a:ext cx="998220" cy="7620"/>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46</xdr:col>
      <xdr:colOff>121920</xdr:colOff>
      <xdr:row>21</xdr:row>
      <xdr:rowOff>91440</xdr:rowOff>
    </xdr:from>
    <xdr:to>
      <xdr:col>47</xdr:col>
      <xdr:colOff>563880</xdr:colOff>
      <xdr:row>21</xdr:row>
      <xdr:rowOff>91440</xdr:rowOff>
    </xdr:to>
    <xdr:cxnSp macro="">
      <xdr:nvCxnSpPr>
        <xdr:cNvPr id="50" name="Conector de Seta Reta 49">
          <a:extLst>
            <a:ext uri="{FF2B5EF4-FFF2-40B4-BE49-F238E27FC236}">
              <a16:creationId xmlns:a16="http://schemas.microsoft.com/office/drawing/2014/main" id="{E90E3F6D-EC68-4250-BE64-64D35CFDF6A7}"/>
            </a:ext>
          </a:extLst>
        </xdr:cNvPr>
        <xdr:cNvCxnSpPr/>
      </xdr:nvCxnSpPr>
      <xdr:spPr>
        <a:xfrm>
          <a:off x="41879520" y="3992880"/>
          <a:ext cx="10515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175260</xdr:colOff>
      <xdr:row>45</xdr:row>
      <xdr:rowOff>91440</xdr:rowOff>
    </xdr:from>
    <xdr:to>
      <xdr:col>47</xdr:col>
      <xdr:colOff>563880</xdr:colOff>
      <xdr:row>45</xdr:row>
      <xdr:rowOff>99060</xdr:rowOff>
    </xdr:to>
    <xdr:cxnSp macro="">
      <xdr:nvCxnSpPr>
        <xdr:cNvPr id="51" name="Conector de Seta Reta 50">
          <a:extLst>
            <a:ext uri="{FF2B5EF4-FFF2-40B4-BE49-F238E27FC236}">
              <a16:creationId xmlns:a16="http://schemas.microsoft.com/office/drawing/2014/main" id="{743D2E6D-FB59-4A30-A910-FFD559B2BEED}"/>
            </a:ext>
          </a:extLst>
        </xdr:cNvPr>
        <xdr:cNvCxnSpPr/>
      </xdr:nvCxnSpPr>
      <xdr:spPr>
        <a:xfrm flipV="1">
          <a:off x="34335720" y="10751820"/>
          <a:ext cx="998220" cy="7620"/>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57</xdr:col>
      <xdr:colOff>175260</xdr:colOff>
      <xdr:row>45</xdr:row>
      <xdr:rowOff>91440</xdr:rowOff>
    </xdr:from>
    <xdr:to>
      <xdr:col>58</xdr:col>
      <xdr:colOff>563880</xdr:colOff>
      <xdr:row>45</xdr:row>
      <xdr:rowOff>99060</xdr:rowOff>
    </xdr:to>
    <xdr:cxnSp macro="">
      <xdr:nvCxnSpPr>
        <xdr:cNvPr id="53" name="Conector de Seta Reta 52">
          <a:extLst>
            <a:ext uri="{FF2B5EF4-FFF2-40B4-BE49-F238E27FC236}">
              <a16:creationId xmlns:a16="http://schemas.microsoft.com/office/drawing/2014/main" id="{7E73B41C-1E8D-4DAB-A18D-191E5858F607}"/>
            </a:ext>
          </a:extLst>
        </xdr:cNvPr>
        <xdr:cNvCxnSpPr/>
      </xdr:nvCxnSpPr>
      <xdr:spPr>
        <a:xfrm flipV="1">
          <a:off x="42199560" y="10751820"/>
          <a:ext cx="998220" cy="7620"/>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57</xdr:col>
      <xdr:colOff>114300</xdr:colOff>
      <xdr:row>35</xdr:row>
      <xdr:rowOff>76200</xdr:rowOff>
    </xdr:from>
    <xdr:to>
      <xdr:col>58</xdr:col>
      <xdr:colOff>556260</xdr:colOff>
      <xdr:row>35</xdr:row>
      <xdr:rowOff>76200</xdr:rowOff>
    </xdr:to>
    <xdr:cxnSp macro="">
      <xdr:nvCxnSpPr>
        <xdr:cNvPr id="54" name="Conector de Seta Reta 53">
          <a:extLst>
            <a:ext uri="{FF2B5EF4-FFF2-40B4-BE49-F238E27FC236}">
              <a16:creationId xmlns:a16="http://schemas.microsoft.com/office/drawing/2014/main" id="{C9073CF5-4432-49B3-ACC6-7299BAC68E3B}"/>
            </a:ext>
          </a:extLst>
        </xdr:cNvPr>
        <xdr:cNvCxnSpPr/>
      </xdr:nvCxnSpPr>
      <xdr:spPr>
        <a:xfrm>
          <a:off x="34274760" y="7566660"/>
          <a:ext cx="10515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Paola Gebauer" id="{6BE41E59-1112-46DC-8467-E56121CA8CBC}" userId="135a895a09103116"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3AF8BA-916A-4A43-8FE6-0FC7BDAFB176}" name="Tabela2" displayName="Tabela2" ref="B7:V84" totalsRowShown="0" headerRowDxfId="86" tableBorderDxfId="85">
  <autoFilter ref="B7:V84" xr:uid="{883AF8BA-916A-4A43-8FE6-0FC7BDAFB176}">
    <filterColumn colId="8">
      <filters>
        <filter val="No fim do contrato"/>
      </filters>
    </filterColumn>
  </autoFilter>
  <sortState xmlns:xlrd2="http://schemas.microsoft.com/office/spreadsheetml/2017/richdata2" ref="B8:V64">
    <sortCondition ref="B7:B64"/>
  </sortState>
  <tableColumns count="21">
    <tableColumn id="1" xr3:uid="{919982B1-8C72-433C-941B-ECA7C9241BEB}" name="nº" dataDxfId="84"/>
    <tableColumn id="2" xr3:uid="{D1F60997-4347-423D-A6C2-4A2975981D82}" name="NOME CLIENTE" dataDxfId="83" dataCellStyle="Hiperlink"/>
    <tableColumn id="3" xr3:uid="{3CD722D5-2D50-424D-9AC3-46C8A4D0CC0A}" name="CPF " dataDxfId="82"/>
    <tableColumn id="21" xr3:uid="{AC86E619-2E82-4ED7-B00C-43D3091F3949}" name="CARÊNCIA MÍNIMA " dataDxfId="81"/>
    <tableColumn id="20" xr3:uid="{C6F806A2-D0B8-4974-8A6F-BA1CCFAAF8EB}" name="CONDIÇÃO DE RESGATE" dataDxfId="80"/>
    <tableColumn id="4" xr3:uid="{8B623ADE-EE59-4A77-BCD7-09115E466E47}" name="DADOS BANCÁRIOS" dataDxfId="79"/>
    <tableColumn id="5" xr3:uid="{463AD2CF-B568-472E-8683-40C6FAB2529A}" name="VALOR DEPOSITADO " dataDxfId="78" dataCellStyle="Moeda"/>
    <tableColumn id="19" xr3:uid="{18F19A76-235C-40BC-95AA-34B8010E7394}" name="STATUS" dataDxfId="77" dataCellStyle="Moeda"/>
    <tableColumn id="6" xr3:uid="{E3B439C9-6494-4253-A5C4-FFC64D8021A7}" name="RECEBIMENTO" dataDxfId="76"/>
    <tableColumn id="7" xr3:uid="{4B4197AF-E467-468B-A511-EC1190865C7F}" name="DATA ASSINATURA CONTRATO" dataDxfId="75"/>
    <tableColumn id="8" xr3:uid="{45DC9E0D-5E0E-48B7-A719-26EAA5E3C391}" name="DI APLICAÇÃO" dataDxfId="74"/>
    <tableColumn id="9" xr3:uid="{BBA084B5-2BA4-4196-AAEF-1DB7B6330B76}" name="DF APLICAÇÃO" dataDxfId="73"/>
    <tableColumn id="10" xr3:uid="{E5E53079-8DC2-47B8-9EDE-11E2D3A2F741}" name="DIAS APLICADO" dataDxfId="72"/>
    <tableColumn id="11" xr3:uid="{5B272C17-C51D-4303-99D7-91C928B3471E}" name="MESES" dataDxfId="71"/>
    <tableColumn id="12" xr3:uid="{DA37FF5B-98DB-47E7-BCB3-D406511D0DF9}" name="RENTABILIDADE CONTRATADA" dataDxfId="70"/>
    <tableColumn id="13" xr3:uid="{1275B0DF-399D-4896-810B-4603494E9A5A}" name="VALOR A DEVOLVER AO CLIENTE" dataDxfId="69">
      <calculatedColumnFormula>H8*(0.01+1)^36</calculatedColumnFormula>
    </tableColumn>
    <tableColumn id="14" xr3:uid="{91492CBB-AE8A-4FA0-B521-877A6B75B6C9}" name="DIAS A VENCER" dataDxfId="68">
      <calculatedColumnFormula>M8-$D$4</calculatedColumnFormula>
    </tableColumn>
    <tableColumn id="15" xr3:uid="{F616F107-0A21-47BE-909F-42ABD07D9880}" name="SITUAÇÃO" dataDxfId="67">
      <calculatedColumnFormula>IF(R8&gt;30,"Dentro do prazo",IF(R8&lt;=0,"Vencido","A vencer"))</calculatedColumnFormula>
    </tableColumn>
    <tableColumn id="16" xr3:uid="{FBF597E6-7CFE-4B9D-BE26-E1BA73C9E556}" name="CONTRATO CLIENTE" dataDxfId="66"/>
    <tableColumn id="17" xr3:uid="{41159755-B678-4010-A5B3-EB1EF8179FE6}" name="E-mail de início de contrato" dataDxfId="65"/>
    <tableColumn id="18" xr3:uid="{E5FDD3AF-8234-4CE6-88DB-24E84992D3B1}" name="Lâmina"/>
  </tableColumns>
  <tableStyleInfo name="TableStyleMedium2"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8" dT="2024-01-30T20:02:19.03" personId="{6BE41E59-1112-46DC-8467-E56121CA8CBC}" id="{7B8E4FF6-8106-4D16-BA0D-09A684C42412}">
    <text>Esse contrato foi gerado, mas não foi assinado.</text>
  </threadedComment>
  <threadedComment ref="T8" dT="2023-11-09T20:11:54.34" personId="{6BE41E59-1112-46DC-8467-E56121CA8CBC}" id="{EDDAD57E-159E-491D-BCC7-E499234F4FE7}">
    <text xml:space="preserve">Contrato sem assinatura
</text>
  </threadedComment>
  <threadedComment ref="L10" dT="2024-01-30T20:14:35.47" personId="{6BE41E59-1112-46DC-8467-E56121CA8CBC}" id="{D67D7C06-61BD-4A44-A0CC-D2D1F4932C90}">
    <text>Deve um depósito no dia 01/11/23 e 06/11/23</text>
  </threadedComment>
  <threadedComment ref="M14" dT="2024-01-30T20:22:26.57" personId="{6BE41E59-1112-46DC-8467-E56121CA8CBC}" id="{CE81B363-8067-43BC-9BB1-438D596FA0CE}">
    <text>Vence no dia 22/03/2024 o contrato da Miriam, referente ao depósito de Novembro/23</text>
  </threadedComment>
  <threadedComment ref="P18" dT="2023-11-30T19:56:27.78" personId="{6BE41E59-1112-46DC-8467-E56121CA8CBC}" id="{FF60007B-1D5A-4A51-85D1-F1161BDBE572}">
    <text xml:space="preserve">Diferente dos demais, recebe todos os meses, não apenas em uma única vez no fim do contrato
</text>
  </threadedComment>
  <threadedComment ref="P19" dT="2023-12-04T12:11:54.02" personId="{6BE41E59-1112-46DC-8467-E56121CA8CBC}" id="{9AFF3A58-8A10-4299-8B7B-92F76A9ADBFC}">
    <text xml:space="preserve">O rendimento será pago mensalmente
</text>
  </threadedComment>
  <threadedComment ref="P20" dT="2023-12-04T13:10:15.27" personId="{6BE41E59-1112-46DC-8467-E56121CA8CBC}" id="{7FB5828B-75F0-46B7-B15D-E2213D70987C}">
    <text>Recebimento mensal, de 1,6% a.m, mas o contrato está com prazo indeterminado</text>
  </threadedComment>
</ThreadedComments>
</file>

<file path=xl/threadedComments/threadedComment2.xml><?xml version="1.0" encoding="utf-8"?>
<ThreadedComments xmlns="http://schemas.microsoft.com/office/spreadsheetml/2018/threadedcomments" xmlns:x="http://schemas.openxmlformats.org/spreadsheetml/2006/main">
  <threadedComment ref="E3" dT="2024-01-23T13:50:53.99" personId="{6BE41E59-1112-46DC-8467-E56121CA8CBC}" id="{43038AFC-C53E-460D-BB8C-C5EFB2D904B9}">
    <text>Somatório dos depósitos, realizados nos dias 30/11 e 12/01.</text>
  </threadedComment>
  <threadedComment ref="K3" dT="2023-11-30T19:56:27.78" personId="{6BE41E59-1112-46DC-8467-E56121CA8CBC}" id="{49EFAE5F-E3D2-46FE-BD96-E3AE4E88434F}">
    <text xml:space="preserve">Diferente dos demais, recebe todos os meses, não apenas em uma única vez no fim do contrato
</text>
  </threadedComment>
  <threadedComment ref="K5" dT="2023-12-04T12:11:54.02" personId="{6BE41E59-1112-46DC-8467-E56121CA8CBC}" id="{C4B99589-9EB3-4A3C-BB72-BE9FE88BAFC2}">
    <text xml:space="preserve">O rendimento será pago mensalmente
</text>
  </threadedComment>
  <threadedComment ref="K7" dT="2023-12-04T13:10:15.27" personId="{6BE41E59-1112-46DC-8467-E56121CA8CBC}" id="{DDCD33A5-50FC-411E-9144-D4E0B2AEE73A}">
    <text>Recebimento mensal, de 1,6% a.m, mas o contrato está com prazo indeterminado</text>
  </threadedComment>
  <threadedComment ref="E11" dT="2024-01-24T18:21:27.08" personId="{6BE41E59-1112-46DC-8467-E56121CA8CBC}" id="{AFDB6BB0-97EF-4601-9564-A9116C3572D4}">
    <text xml:space="preserve">Depositou R$ 30.000, no dia 05/01/24 e R$ 2.000,00 no dia 12/01/24. </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1drv.ms/f/s!Anb4FyNYdn-Dgd5ll39y6ZXIp7bWjA?e=ceQ1k5" TargetMode="External"/><Relationship Id="rId21" Type="http://schemas.openxmlformats.org/officeDocument/2006/relationships/hyperlink" Target="https://1drv.ms/f/s!Anb4FyNYdn-Dgdsm8W-eSFimRDBAkw?e=dldBXt" TargetMode="External"/><Relationship Id="rId42" Type="http://schemas.openxmlformats.org/officeDocument/2006/relationships/hyperlink" Target="https://1drv.ms/f/s!Anb4FyNYdn-DgeBBfIpiOg4ymLZBIA?e=zRaM0n" TargetMode="External"/><Relationship Id="rId47" Type="http://schemas.openxmlformats.org/officeDocument/2006/relationships/hyperlink" Target="https://1drv.ms/f/s!Anb4FyNYdn-DgeEHmQlkCNuWJtf0Aw?e=9ATwrD" TargetMode="External"/><Relationship Id="rId63" Type="http://schemas.openxmlformats.org/officeDocument/2006/relationships/hyperlink" Target="https://onedrive.live.com/?authkey=%21AsCd355i6jGkG3Y&amp;id=837F76582317F876%2132882&amp;cid=837F76582317F876" TargetMode="External"/><Relationship Id="rId68" Type="http://schemas.openxmlformats.org/officeDocument/2006/relationships/hyperlink" Target="https://1drv.ms/f/s!Anb4FyNYdn-DgdMPryTKYlEztrGUcQ?e=RPXWpq" TargetMode="External"/><Relationship Id="rId2" Type="http://schemas.openxmlformats.org/officeDocument/2006/relationships/hyperlink" Target="https://1drv.ms/f/s!Anb4FyNYdn-Dgdg43ucr8VhHl-6qPg?e=bTTfqg" TargetMode="External"/><Relationship Id="rId16" Type="http://schemas.openxmlformats.org/officeDocument/2006/relationships/hyperlink" Target="https://1drv.ms/f/s!Anb4FyNYdn-Dgd4fjjVPQVZ_wcos3Q?e=fmBqFl" TargetMode="External"/><Relationship Id="rId29" Type="http://schemas.openxmlformats.org/officeDocument/2006/relationships/hyperlink" Target="https://1drv.ms/f/s!Anb4FyNYdn-DgeBK8vDVBl5J-Ox3yA?e=2DciGR" TargetMode="External"/><Relationship Id="rId11" Type="http://schemas.openxmlformats.org/officeDocument/2006/relationships/hyperlink" Target="https://1drv.ms/f/s!Anb4FyNYdn-Dgdpsu45fprKOnU7KdQ?e=4nCi2o" TargetMode="External"/><Relationship Id="rId24" Type="http://schemas.openxmlformats.org/officeDocument/2006/relationships/hyperlink" Target="https://1drv.ms/f/s!Anb4FyNYdn-Dgd9-XFr0VQXeJ3GiZw?e=NpyEZt" TargetMode="External"/><Relationship Id="rId32" Type="http://schemas.openxmlformats.org/officeDocument/2006/relationships/hyperlink" Target="https://1drv.ms/f/s!Anb4FyNYdn-Dgdsod2Rwm_NqsCnCcQ?e=YzY5OM" TargetMode="External"/><Relationship Id="rId37" Type="http://schemas.openxmlformats.org/officeDocument/2006/relationships/hyperlink" Target="https://1drv.ms/f/s!Anb4FyNYdn-DgekhdRHDaNDPViyDEw?e=gaBQb7" TargetMode="External"/><Relationship Id="rId40" Type="http://schemas.openxmlformats.org/officeDocument/2006/relationships/hyperlink" Target="https://1drv.ms/f/s!Anb4FyNYdn-Dgd5ll39y6ZXIp7bWjA?e=ceQ1k5" TargetMode="External"/><Relationship Id="rId45" Type="http://schemas.openxmlformats.org/officeDocument/2006/relationships/hyperlink" Target="https://onedrive.live.com/?authkey=%21AsCd355i6jGkG3Y&amp;id=837F76582317F876%2131365&amp;cid=837F76582317F876" TargetMode="External"/><Relationship Id="rId53" Type="http://schemas.openxmlformats.org/officeDocument/2006/relationships/hyperlink" Target="https://1drv.ms/f/s!Anb4FyNYdn-Dgdg43ucr8VhHl-6qPg?e=ewunCb" TargetMode="External"/><Relationship Id="rId58" Type="http://schemas.openxmlformats.org/officeDocument/2006/relationships/hyperlink" Target="https://1drv.ms/f/s!Anb4FyNYdn-Dgdsm8W-eSFimRDBAkw?e=dldBXt" TargetMode="External"/><Relationship Id="rId66" Type="http://schemas.openxmlformats.org/officeDocument/2006/relationships/hyperlink" Target="https://onedrive.live.com/?authkey=%21AsCd355i6jGkG3Y&amp;id=837F76582317F876%2132948&amp;cid=837F76582317F876" TargetMode="External"/><Relationship Id="rId74" Type="http://schemas.openxmlformats.org/officeDocument/2006/relationships/comments" Target="../comments1.xml"/><Relationship Id="rId5" Type="http://schemas.openxmlformats.org/officeDocument/2006/relationships/hyperlink" Target="https://1drv.ms/f/s!Anb4FyNYdn-Dgdg43ucr8VhHl-6qPg?e=ewunCb" TargetMode="External"/><Relationship Id="rId61" Type="http://schemas.openxmlformats.org/officeDocument/2006/relationships/hyperlink" Target="https://onedrive.live.com/?authkey=%21AsCd355i6jGkG3Y&amp;id=837F76582317F876%2132570&amp;cid=837F76582317F876" TargetMode="External"/><Relationship Id="rId19" Type="http://schemas.openxmlformats.org/officeDocument/2006/relationships/hyperlink" Target="https://1drv.ms/f/s!Anb4FyNYdn-DgdoTx6dH5NIw1AsteA?e=r17WdJ" TargetMode="External"/><Relationship Id="rId14" Type="http://schemas.openxmlformats.org/officeDocument/2006/relationships/hyperlink" Target="https://1drv.ms/f/s!Anb4FyNYdn-Dgdsm8W-eSFimRDBAkw?e=dldBXt" TargetMode="External"/><Relationship Id="rId22" Type="http://schemas.openxmlformats.org/officeDocument/2006/relationships/hyperlink" Target="https://1drv.ms/f/s!Anb4FyNYdn-Dgd9bD-IFnwxmvkVpxQ?e=OxoDlB" TargetMode="External"/><Relationship Id="rId27" Type="http://schemas.openxmlformats.org/officeDocument/2006/relationships/hyperlink" Target="https://1drv.ms/f/s!Anb4FyNYdn-DgeBBfIpiOg4ymLZBIA?e=zRaM0n" TargetMode="External"/><Relationship Id="rId30" Type="http://schemas.openxmlformats.org/officeDocument/2006/relationships/hyperlink" Target="https://1drv.ms/f/s!Anb4FyNYdn-DgeEHmQlkCNuWJtf0Aw?e=9ATwrD" TargetMode="External"/><Relationship Id="rId35" Type="http://schemas.openxmlformats.org/officeDocument/2006/relationships/hyperlink" Target="https://1drv.ms/f/s!Anb4FyNYdn-DgdsBN0kB6-kThNM6TA?e=ucGMd8" TargetMode="External"/><Relationship Id="rId43" Type="http://schemas.openxmlformats.org/officeDocument/2006/relationships/hyperlink" Target="https://1drv.ms/f/s!Anb4FyNYdn-DgdoTx6dH5NIw1AsteA?e=r17WdJ" TargetMode="External"/><Relationship Id="rId48" Type="http://schemas.openxmlformats.org/officeDocument/2006/relationships/hyperlink" Target="https://onedrive.live.com/?authkey=%21AsCd355i6jGkG3Y&amp;id=837F76582317F876%2131365&amp;cid=837F76582317F876" TargetMode="External"/><Relationship Id="rId56" Type="http://schemas.openxmlformats.org/officeDocument/2006/relationships/hyperlink" Target="https://onedrive.live.com/?authkey=%21AsCd355i6jGkG3Y&amp;id=837F76582317F876%2131365&amp;cid=837F76582317F876" TargetMode="External"/><Relationship Id="rId64" Type="http://schemas.openxmlformats.org/officeDocument/2006/relationships/hyperlink" Target="https://onedrive.live.com/?authkey=%21AsCd355i6jGkG3Y&amp;id=837F76582317F876%2127974&amp;cid=837F76582317F876" TargetMode="External"/><Relationship Id="rId69" Type="http://schemas.openxmlformats.org/officeDocument/2006/relationships/hyperlink" Target="https://onedrive.live.com/?authkey=%21AsCd355i6jGkG3Y&amp;id=837F76582317F876%2131365&amp;cid=837F76582317F876" TargetMode="External"/><Relationship Id="rId8" Type="http://schemas.openxmlformats.org/officeDocument/2006/relationships/hyperlink" Target="https://1drv.ms/f/s!Anb4FyNYdn-DgdpGSrSTgw3UZPN2bw?e=lGwRDr" TargetMode="External"/><Relationship Id="rId51" Type="http://schemas.openxmlformats.org/officeDocument/2006/relationships/hyperlink" Target="https://1drv.ms/f/s!Anb4FyNYdn-Dge1ODUUH7c6F5ztXgA?e=U6HFfD" TargetMode="External"/><Relationship Id="rId72" Type="http://schemas.openxmlformats.org/officeDocument/2006/relationships/vmlDrawing" Target="../drawings/vmlDrawing1.vml"/><Relationship Id="rId3" Type="http://schemas.openxmlformats.org/officeDocument/2006/relationships/hyperlink" Target="https://1drv.ms/f/s!Anb4FyNYdn-DgdhXL1ROBhNdi8SLrg?e=k0LYFQ" TargetMode="External"/><Relationship Id="rId12" Type="http://schemas.openxmlformats.org/officeDocument/2006/relationships/hyperlink" Target="https://1drv.ms/f/s!Anb4FyNYdn-DgdpycnqVfqFnfH8gWg?e=N7wAZ9" TargetMode="External"/><Relationship Id="rId17" Type="http://schemas.openxmlformats.org/officeDocument/2006/relationships/hyperlink" Target="https://1drv.ms/f/s!Anb4FyNYdn-Dgd4Vrl3EZD9QMTSnNQ?e=OiCEti" TargetMode="External"/><Relationship Id="rId25" Type="http://schemas.openxmlformats.org/officeDocument/2006/relationships/hyperlink" Target="https://1drv.ms/f/s!Anb4FyNYdn-DgeAUFZruYftRCRZaqQ?e=62f6w0" TargetMode="External"/><Relationship Id="rId33" Type="http://schemas.openxmlformats.org/officeDocument/2006/relationships/hyperlink" Target="https://1drv.ms/f/s!Anb4FyNYdn-DgeFpyFUBoV0yJm7b8w?e=YeRc1G" TargetMode="External"/><Relationship Id="rId38" Type="http://schemas.openxmlformats.org/officeDocument/2006/relationships/hyperlink" Target="https://1drv.ms/f/s!Anb4FyNYdn-DgeFpyFUBoV0yJm7b8w?e=YeRc1G" TargetMode="External"/><Relationship Id="rId46" Type="http://schemas.openxmlformats.org/officeDocument/2006/relationships/hyperlink" Target="https://1drv.ms/f/s!Anb4FyNYdn-Dgdpsu45fprKOnU7KdQ?e=4nCi2o" TargetMode="External"/><Relationship Id="rId59" Type="http://schemas.openxmlformats.org/officeDocument/2006/relationships/hyperlink" Target="https://1drv.ms/f/s!Anb4FyNYdn-Dgdg43ucr8VhHl-6qPg?e=ewunCb" TargetMode="External"/><Relationship Id="rId67" Type="http://schemas.openxmlformats.org/officeDocument/2006/relationships/hyperlink" Target="Lorenza%20Pozza%20Chiamulera" TargetMode="External"/><Relationship Id="rId20" Type="http://schemas.openxmlformats.org/officeDocument/2006/relationships/hyperlink" Target="https://1drv.ms/f/s!Anb4FyNYdn-Dgd5ll39y6ZXIp7bWjA?e=ceQ1k5" TargetMode="External"/><Relationship Id="rId41" Type="http://schemas.openxmlformats.org/officeDocument/2006/relationships/hyperlink" Target="https://1drv.ms/f/s!Anb4FyNYdn-DgdoR5MVjIVcezP8Nuw?e=GNahHu" TargetMode="External"/><Relationship Id="rId54" Type="http://schemas.openxmlformats.org/officeDocument/2006/relationships/hyperlink" Target="https://1drv.ms/f/s!Anb4FyNYdn-DgdMPryTKYlEztrGUcQ?e=RPXWpq" TargetMode="External"/><Relationship Id="rId62" Type="http://schemas.openxmlformats.org/officeDocument/2006/relationships/hyperlink" Target="https://onedrive.live.com/?authkey=%21AsCd355i6jGkG3Y&amp;id=837F76582317F876%2132626&amp;cid=837F76582317F876" TargetMode="External"/><Relationship Id="rId70" Type="http://schemas.openxmlformats.org/officeDocument/2006/relationships/printerSettings" Target="../printerSettings/printerSettings1.bin"/><Relationship Id="rId75" Type="http://schemas.microsoft.com/office/2017/10/relationships/threadedComment" Target="../threadedComments/threadedComment1.xml"/><Relationship Id="rId1" Type="http://schemas.openxmlformats.org/officeDocument/2006/relationships/hyperlink" Target="https://1drv.ms/f/s!Anb4FyNYdn-DgdMPryTKYlEztrGUcQ?e=RPXWpq" TargetMode="External"/><Relationship Id="rId6" Type="http://schemas.openxmlformats.org/officeDocument/2006/relationships/hyperlink" Target="https://1drv.ms/f/s!Anb4FyNYdn-DgdoR5MVjIVcezP8Nuw?e=GNahHu" TargetMode="External"/><Relationship Id="rId15" Type="http://schemas.openxmlformats.org/officeDocument/2006/relationships/hyperlink" Target="https://1drv.ms/f/s!Anb4FyNYdn-Dgdsod2Rwm_NqsCnCcQ?e=YzY5OM" TargetMode="External"/><Relationship Id="rId23" Type="http://schemas.openxmlformats.org/officeDocument/2006/relationships/hyperlink" Target="https://1drv.ms/f/s!Anb4FyNYdn-Dgdpsu45fprKOnU7KdQ?e=4nCi2o" TargetMode="External"/><Relationship Id="rId28" Type="http://schemas.openxmlformats.org/officeDocument/2006/relationships/hyperlink" Target="https://1drv.ms/f/s!Anb4FyNYdn-DgdpycnqVfqFnfH8gWg?e=QcWZch" TargetMode="External"/><Relationship Id="rId36" Type="http://schemas.openxmlformats.org/officeDocument/2006/relationships/hyperlink" Target="https://1drv.ms/f/s!Anb4FyNYdn-DgeBK8vDVBl5J-Ox3yA?e=2DciGR" TargetMode="External"/><Relationship Id="rId49" Type="http://schemas.openxmlformats.org/officeDocument/2006/relationships/hyperlink" Target="https://1drv.ms/f/s!Anb4FyNYdn-DgekhdRHDaNDPViyDEw?e=gaBQb7" TargetMode="External"/><Relationship Id="rId57" Type="http://schemas.openxmlformats.org/officeDocument/2006/relationships/hyperlink" Target="https://1drv.ms/f/s!Anb4FyNYdn-DgeBBfIpiOg4ymLZBIA?e=zRaM0n" TargetMode="External"/><Relationship Id="rId10" Type="http://schemas.openxmlformats.org/officeDocument/2006/relationships/hyperlink" Target="https://1drv.ms/f/s!Anb4FyNYdn-Dgdpqu-HSTog7kDj1bg?e=dbtaBb" TargetMode="External"/><Relationship Id="rId31" Type="http://schemas.openxmlformats.org/officeDocument/2006/relationships/hyperlink" Target="https://1drv.ms/f/s!Anb4FyNYdn-DgeEHmQlkCNuWJtf0Aw?e=9ATwrD" TargetMode="External"/><Relationship Id="rId44" Type="http://schemas.openxmlformats.org/officeDocument/2006/relationships/hyperlink" Target="https://1drv.ms/f/s!Anb4FyNYdn-Dgd4Vrl3EZD9QMTSnNQ?e=OiCEti" TargetMode="External"/><Relationship Id="rId52" Type="http://schemas.openxmlformats.org/officeDocument/2006/relationships/hyperlink" Target="https://1drv.ms/f/s!Anb4FyNYdn-DgeEHmQlkCNuWJtf0Aw?e=9ATwrD" TargetMode="External"/><Relationship Id="rId60" Type="http://schemas.openxmlformats.org/officeDocument/2006/relationships/hyperlink" Target="https://onedrive.live.com/?authkey=%21AsCd355i6jGkG3Y&amp;id=837F76582317F876%2132189&amp;cid=837F76582317F876" TargetMode="External"/><Relationship Id="rId65" Type="http://schemas.openxmlformats.org/officeDocument/2006/relationships/hyperlink" Target="Gustavo%20Moraes%20Santos" TargetMode="External"/><Relationship Id="rId73" Type="http://schemas.openxmlformats.org/officeDocument/2006/relationships/table" Target="../tables/table1.xml"/><Relationship Id="rId4" Type="http://schemas.openxmlformats.org/officeDocument/2006/relationships/hyperlink" Target="https://1drv.ms/f/s!Anb4FyNYdn-DgdkdS1dvXI51pe65wg?e=nrDy36" TargetMode="External"/><Relationship Id="rId9" Type="http://schemas.openxmlformats.org/officeDocument/2006/relationships/hyperlink" Target="https://1drv.ms/f/s!Anb4FyNYdn-DgdpHnpyAR4f6xFzGkg?e=Q51w6I" TargetMode="External"/><Relationship Id="rId13" Type="http://schemas.openxmlformats.org/officeDocument/2006/relationships/hyperlink" Target="https://1drv.ms/f/s!Anb4FyNYdn-DgdsBN0kB6-kThNM6TA?e=ucGMd8" TargetMode="External"/><Relationship Id="rId18" Type="http://schemas.openxmlformats.org/officeDocument/2006/relationships/hyperlink" Target="https://1drv.ms/f/s!Anb4FyNYdn-DgdMPryTKYlEztrGUcQ?e=RPXWpq" TargetMode="External"/><Relationship Id="rId39" Type="http://schemas.openxmlformats.org/officeDocument/2006/relationships/hyperlink" Target="https://1drv.ms/f/s!Anb4FyNYdn-Dge1ODUUH7c6F5ztXgA?e=U6HFfD" TargetMode="External"/><Relationship Id="rId34" Type="http://schemas.openxmlformats.org/officeDocument/2006/relationships/hyperlink" Target="https://1drv.ms/f/s!Anb4FyNYdn-Dgdpsu45fprKOnU7KdQ?e=4nCi2o" TargetMode="External"/><Relationship Id="rId50" Type="http://schemas.openxmlformats.org/officeDocument/2006/relationships/hyperlink" Target="https://1drv.ms/f/s!Anb4FyNYdn-DgeFpyFUBoV0yJm7b8w?e=YeRc1G" TargetMode="External"/><Relationship Id="rId55" Type="http://schemas.openxmlformats.org/officeDocument/2006/relationships/hyperlink" Target="https://onedrive.live.com/?authkey=%21AsCd355i6jGkG3Y&amp;id=837F76582317F876%2132190&amp;cid=837F76582317F876" TargetMode="External"/><Relationship Id="rId7" Type="http://schemas.openxmlformats.org/officeDocument/2006/relationships/hyperlink" Target="https://1drv.ms/f/s!Anb4FyNYdn-DgdoTx6dH5NIw1AsteA?e=r17WdJ" TargetMode="External"/><Relationship Id="rId7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1drv.ms/f/s!Anb4FyNYdn-DgekhdRHDaNDPViyDEw?e=gaBQb7" TargetMode="External"/><Relationship Id="rId1" Type="http://schemas.openxmlformats.org/officeDocument/2006/relationships/hyperlink" Target="https://1drv.ms/f/s!Anb4FyNYdn-DgekhdRHDaNDPViyDEw?e=gaBQb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1drv.ms/f/s!Anb4FyNYdn-DgeFpyFUBoV0yJm7b8w?e=YeRc1G" TargetMode="External"/><Relationship Id="rId3" Type="http://schemas.openxmlformats.org/officeDocument/2006/relationships/hyperlink" Target="https://1drv.ms/f/s!Anb4FyNYdn-DgdsBN0kB6-kThNM6TA?e=gFFRik" TargetMode="External"/><Relationship Id="rId7" Type="http://schemas.openxmlformats.org/officeDocument/2006/relationships/hyperlink" Target="https://1drv.ms/f/s!Anb4FyNYdn-DgeBK8vDVBl5J-Ox3yA?e=2DciGR" TargetMode="External"/><Relationship Id="rId12" Type="http://schemas.microsoft.com/office/2017/10/relationships/threadedComment" Target="../threadedComments/threadedComment2.xml"/><Relationship Id="rId2" Type="http://schemas.openxmlformats.org/officeDocument/2006/relationships/hyperlink" Target="https://1drv.ms/f/s!Anb4FyNYdn-DgdpycnqVfqFnfH8gWg?e=vx2VFf" TargetMode="External"/><Relationship Id="rId1" Type="http://schemas.openxmlformats.org/officeDocument/2006/relationships/hyperlink" Target="https://1drv.ms/f/s!Anb4FyNYdn-Dgdpsu45fprKOnU7KdQ?e=y9GqGo" TargetMode="External"/><Relationship Id="rId6" Type="http://schemas.openxmlformats.org/officeDocument/2006/relationships/hyperlink" Target="https://1drv.ms/f/s!Anb4FyNYdn-Dgd9-XFr0VQXeJ3GiZw?e=NpyEZt" TargetMode="External"/><Relationship Id="rId11" Type="http://schemas.openxmlformats.org/officeDocument/2006/relationships/comments" Target="../comments2.xml"/><Relationship Id="rId5" Type="http://schemas.openxmlformats.org/officeDocument/2006/relationships/hyperlink" Target="https://1drv.ms/f/s!Anb4FyNYdn-Dgd5ll39y6ZXIp7bWjA?e=ceQ1k5" TargetMode="External"/><Relationship Id="rId10" Type="http://schemas.openxmlformats.org/officeDocument/2006/relationships/vmlDrawing" Target="../drawings/vmlDrawing2.vml"/><Relationship Id="rId4" Type="http://schemas.openxmlformats.org/officeDocument/2006/relationships/hyperlink" Target="https://1drv.ms/f/s!Anb4FyNYdn-Dgdsod2Rwm_NqsCnCcQ?e=vmYY1o" TargetMode="External"/><Relationship Id="rId9" Type="http://schemas.openxmlformats.org/officeDocument/2006/relationships/hyperlink" Target="https://onedrive.live.com/?authkey=%21AsCd355i6jGkG3Y&amp;id=837F76582317F876%2132570&amp;cid=837F76582317F876"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1drv.ms/f/s!Anb4FyNYdn-Dgd4Vrl3EZD9QMTSnNQ?e=OiCEti" TargetMode="External"/><Relationship Id="rId18" Type="http://schemas.openxmlformats.org/officeDocument/2006/relationships/hyperlink" Target="https://1drv.ms/f/s!Anb4FyNYdn-DgeAUFZruYftRCRZaqQ?e=62f6w0" TargetMode="External"/><Relationship Id="rId26" Type="http://schemas.openxmlformats.org/officeDocument/2006/relationships/hyperlink" Target="https://1drv.ms/f/s!Anb4FyNYdn-DgdoTx6dH5NIw1AsteA?e=r17WdJ" TargetMode="External"/><Relationship Id="rId39" Type="http://schemas.openxmlformats.org/officeDocument/2006/relationships/hyperlink" Target="https://1drv.ms/f/s!Anb4FyNYdn-Dgdpsu45fprKOnU7KdQ?e=4nCi2o" TargetMode="External"/><Relationship Id="rId21" Type="http://schemas.openxmlformats.org/officeDocument/2006/relationships/hyperlink" Target="https://1drv.ms/f/s!Anb4FyNYdn-DgeEHmQlkCNuWJtf0Aw?e=9ATwrD" TargetMode="External"/><Relationship Id="rId34" Type="http://schemas.openxmlformats.org/officeDocument/2006/relationships/hyperlink" Target="https://1drv.ms/f/s!Anb4FyNYdn-Dgdg43ucr8VhHl-6qPg?e=ewunCb" TargetMode="External"/><Relationship Id="rId42" Type="http://schemas.openxmlformats.org/officeDocument/2006/relationships/hyperlink" Target="https://1drv.ms/f/s!Anb4FyNYdn-Dgd9-XFr0VQXeJ3GiZw?e=NpyEZt" TargetMode="External"/><Relationship Id="rId47" Type="http://schemas.openxmlformats.org/officeDocument/2006/relationships/drawing" Target="../drawings/drawing2.xml"/><Relationship Id="rId7" Type="http://schemas.openxmlformats.org/officeDocument/2006/relationships/hyperlink" Target="https://1drv.ms/f/s!Anb4FyNYdn-DgdoTx6dH5NIw1AsteA?e=r17WdJ" TargetMode="External"/><Relationship Id="rId2" Type="http://schemas.openxmlformats.org/officeDocument/2006/relationships/hyperlink" Target="https://1drv.ms/f/s!Anb4FyNYdn-Dgdg43ucr8VhHl-6qPg?e=bTTfqg" TargetMode="External"/><Relationship Id="rId16" Type="http://schemas.openxmlformats.org/officeDocument/2006/relationships/hyperlink" Target="https://1drv.ms/f/s!Anb4FyNYdn-Dgdsm8W-eSFimRDBAkw?e=dldBXt" TargetMode="External"/><Relationship Id="rId29" Type="http://schemas.openxmlformats.org/officeDocument/2006/relationships/hyperlink" Target="https://1drv.ms/f/s!Anb4FyNYdn-DgeEHmQlkCNuWJtf0Aw?e=9ATwrD" TargetMode="External"/><Relationship Id="rId1" Type="http://schemas.openxmlformats.org/officeDocument/2006/relationships/hyperlink" Target="https://1drv.ms/f/s!Anb4FyNYdn-DgdMPryTKYlEztrGUcQ?e=RPXWpq" TargetMode="External"/><Relationship Id="rId6" Type="http://schemas.openxmlformats.org/officeDocument/2006/relationships/hyperlink" Target="https://1drv.ms/f/s!Anb4FyNYdn-DgdoR5MVjIVcezP8Nuw?e=GNahHu" TargetMode="External"/><Relationship Id="rId11" Type="http://schemas.openxmlformats.org/officeDocument/2006/relationships/hyperlink" Target="https://1drv.ms/f/s!Anb4FyNYdn-Dgdsm8W-eSFimRDBAkw?e=dldBXt" TargetMode="External"/><Relationship Id="rId24" Type="http://schemas.openxmlformats.org/officeDocument/2006/relationships/hyperlink" Target="https://1drv.ms/f/s!Anb4FyNYdn-DgdoR5MVjIVcezP8Nuw?e=GNahHu" TargetMode="External"/><Relationship Id="rId32" Type="http://schemas.openxmlformats.org/officeDocument/2006/relationships/hyperlink" Target="https://1drv.ms/f/s!Anb4FyNYdn-Dge1ODUUH7c6F5ztXgA?e=U6HFfD" TargetMode="External"/><Relationship Id="rId37" Type="http://schemas.openxmlformats.org/officeDocument/2006/relationships/hyperlink" Target="https://onedrive.live.com/?authkey=%21AsCd355i6jGkG3Y&amp;id=837F76582317F876%2131365&amp;cid=837F76582317F876" TargetMode="External"/><Relationship Id="rId40" Type="http://schemas.openxmlformats.org/officeDocument/2006/relationships/hyperlink" Target="https://1drv.ms/f/s!Anb4FyNYdn-DgdpycnqVfqFnfH8gWg?e=QcWZch" TargetMode="External"/><Relationship Id="rId45" Type="http://schemas.openxmlformats.org/officeDocument/2006/relationships/hyperlink" Target="https://1drv.ms/f/s!Anb4FyNYdn-DgeBK8vDVBl5J-Ox3yA?e=2DciGR" TargetMode="External"/><Relationship Id="rId5" Type="http://schemas.openxmlformats.org/officeDocument/2006/relationships/hyperlink" Target="https://1drv.ms/f/s!Anb4FyNYdn-Dgdg43ucr8VhHl-6qPg?e=ewunCb" TargetMode="External"/><Relationship Id="rId15" Type="http://schemas.openxmlformats.org/officeDocument/2006/relationships/hyperlink" Target="https://1drv.ms/f/s!Anb4FyNYdn-DgdoTx6dH5NIw1AsteA?e=r17WdJ" TargetMode="External"/><Relationship Id="rId23" Type="http://schemas.openxmlformats.org/officeDocument/2006/relationships/hyperlink" Target="https://1drv.ms/f/s!Anb4FyNYdn-Dge1ODUUH7c6F5ztXgA?e=U6HFfD" TargetMode="External"/><Relationship Id="rId28" Type="http://schemas.openxmlformats.org/officeDocument/2006/relationships/hyperlink" Target="https://onedrive.live.com/?authkey=%21AsCd355i6jGkG3Y&amp;id=837F76582317F876%2131365&amp;cid=837F76582317F876" TargetMode="External"/><Relationship Id="rId36" Type="http://schemas.openxmlformats.org/officeDocument/2006/relationships/hyperlink" Target="https://onedrive.live.com/?authkey=%21AsCd355i6jGkG3Y&amp;id=837F76582317F876%2132190&amp;cid=837F76582317F876" TargetMode="External"/><Relationship Id="rId10" Type="http://schemas.openxmlformats.org/officeDocument/2006/relationships/hyperlink" Target="https://1drv.ms/f/s!Anb4FyNYdn-Dgdpqu-HSTog7kDj1bg?e=dbtaBb" TargetMode="External"/><Relationship Id="rId19" Type="http://schemas.openxmlformats.org/officeDocument/2006/relationships/hyperlink" Target="https://1drv.ms/f/s!Anb4FyNYdn-DgeBBfIpiOg4ymLZBIA?e=zRaM0n" TargetMode="External"/><Relationship Id="rId31" Type="http://schemas.openxmlformats.org/officeDocument/2006/relationships/hyperlink" Target="https://1drv.ms/f/s!Anb4FyNYdn-DgekhdRHDaNDPViyDEw?e=gaBQb7" TargetMode="External"/><Relationship Id="rId44" Type="http://schemas.openxmlformats.org/officeDocument/2006/relationships/hyperlink" Target="https://1drv.ms/f/s!Anb4FyNYdn-Dgd5ll39y6ZXIp7bWjA?e=ceQ1k5" TargetMode="External"/><Relationship Id="rId4" Type="http://schemas.openxmlformats.org/officeDocument/2006/relationships/hyperlink" Target="https://1drv.ms/f/s!Anb4FyNYdn-DgdkdS1dvXI51pe65wg?e=nrDy36" TargetMode="External"/><Relationship Id="rId9" Type="http://schemas.openxmlformats.org/officeDocument/2006/relationships/hyperlink" Target="https://1drv.ms/f/s!Anb4FyNYdn-DgdpHnpyAR4f6xFzGkg?e=Q51w6I" TargetMode="External"/><Relationship Id="rId14" Type="http://schemas.openxmlformats.org/officeDocument/2006/relationships/hyperlink" Target="https://1drv.ms/f/s!Anb4FyNYdn-DgdMPryTKYlEztrGUcQ?e=RPXWpq" TargetMode="External"/><Relationship Id="rId22" Type="http://schemas.openxmlformats.org/officeDocument/2006/relationships/hyperlink" Target="https://1drv.ms/f/s!Anb4FyNYdn-DgekhdRHDaNDPViyDEw?e=gaBQb7" TargetMode="External"/><Relationship Id="rId27" Type="http://schemas.openxmlformats.org/officeDocument/2006/relationships/hyperlink" Target="https://1drv.ms/f/s!Anb4FyNYdn-Dgd4Vrl3EZD9QMTSnNQ?e=OiCEti" TargetMode="External"/><Relationship Id="rId30" Type="http://schemas.openxmlformats.org/officeDocument/2006/relationships/hyperlink" Target="https://onedrive.live.com/?authkey=%21AsCd355i6jGkG3Y&amp;id=837F76582317F876%2131365&amp;cid=837F76582317F876" TargetMode="External"/><Relationship Id="rId35" Type="http://schemas.openxmlformats.org/officeDocument/2006/relationships/hyperlink" Target="https://1drv.ms/f/s!Anb4FyNYdn-DgdMPryTKYlEztrGUcQ?e=RPXWpq" TargetMode="External"/><Relationship Id="rId43" Type="http://schemas.openxmlformats.org/officeDocument/2006/relationships/hyperlink" Target="https://1drv.ms/f/s!Anb4FyNYdn-DgeFpyFUBoV0yJm7b8w?e=YeRc1G" TargetMode="External"/><Relationship Id="rId8" Type="http://schemas.openxmlformats.org/officeDocument/2006/relationships/hyperlink" Target="https://1drv.ms/f/s!Anb4FyNYdn-DgdpGSrSTgw3UZPN2bw?e=lGwRDr" TargetMode="External"/><Relationship Id="rId3" Type="http://schemas.openxmlformats.org/officeDocument/2006/relationships/hyperlink" Target="https://1drv.ms/f/s!Anb4FyNYdn-DgdhXL1ROBhNdi8SLrg?e=k0LYFQ" TargetMode="External"/><Relationship Id="rId12" Type="http://schemas.openxmlformats.org/officeDocument/2006/relationships/hyperlink" Target="https://1drv.ms/f/s!Anb4FyNYdn-Dgd4fjjVPQVZ_wcos3Q?e=fmBqFl" TargetMode="External"/><Relationship Id="rId17" Type="http://schemas.openxmlformats.org/officeDocument/2006/relationships/hyperlink" Target="https://1drv.ms/f/s!Anb4FyNYdn-Dgd9bD-IFnwxmvkVpxQ?e=OxoDlB" TargetMode="External"/><Relationship Id="rId25" Type="http://schemas.openxmlformats.org/officeDocument/2006/relationships/hyperlink" Target="https://1drv.ms/f/s!Anb4FyNYdn-DgeBBfIpiOg4ymLZBIA?e=zRaM0n" TargetMode="External"/><Relationship Id="rId33" Type="http://schemas.openxmlformats.org/officeDocument/2006/relationships/hyperlink" Target="https://1drv.ms/f/s!Anb4FyNYdn-DgeEHmQlkCNuWJtf0Aw?e=9ATwrD" TargetMode="External"/><Relationship Id="rId38" Type="http://schemas.openxmlformats.org/officeDocument/2006/relationships/hyperlink" Target="https://1drv.ms/f/s!Anb4FyNYdn-DgeBBfIpiOg4ymLZBIA?e=zRaM0n" TargetMode="External"/><Relationship Id="rId46" Type="http://schemas.openxmlformats.org/officeDocument/2006/relationships/hyperlink" Target="https://1drv.ms/f/s!Anb4FyNYdn-Dgdsod2Rwm_NqsCnCcQ?e=YzY5OM" TargetMode="External"/><Relationship Id="rId20" Type="http://schemas.openxmlformats.org/officeDocument/2006/relationships/hyperlink" Target="https://1drv.ms/f/s!Anb4FyNYdn-DgeEHmQlkCNuWJtf0Aw?e=9ATwrD" TargetMode="External"/><Relationship Id="rId41" Type="http://schemas.openxmlformats.org/officeDocument/2006/relationships/hyperlink" Target="https://1drv.ms/f/s!Anb4FyNYdn-DgdsBN0kB6-kThNM6TA?e=ucGMd8"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1drv.ms/f/s!Anb4FyNYdn-Dgd9-XFr0VQXeJ3GiZw?e=NpyEZt" TargetMode="External"/><Relationship Id="rId1" Type="http://schemas.openxmlformats.org/officeDocument/2006/relationships/hyperlink" Target="https://1drv.ms/f/s!Anb4FyNYdn-DgdsBN0kB6-kThNM6TA?e=gFFRi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660C-A0CD-412C-A8AB-45D25BAF1F89}">
  <dimension ref="A1:AG84"/>
  <sheetViews>
    <sheetView showGridLines="0" tabSelected="1" zoomScale="80" zoomScaleNormal="80" workbookViewId="0">
      <pane ySplit="7" topLeftCell="A55" activePane="bottomLeft" state="frozen"/>
      <selection pane="bottomLeft" activeCell="G87" sqref="G87"/>
    </sheetView>
  </sheetViews>
  <sheetFormatPr defaultColWidth="8.6640625" defaultRowHeight="14.4" x14ac:dyDescent="0.3"/>
  <cols>
    <col min="1" max="1" width="1.44140625" customWidth="1"/>
    <col min="2" max="2" width="6.109375" customWidth="1"/>
    <col min="3" max="3" width="41.109375" customWidth="1"/>
    <col min="4" max="4" width="24.109375" customWidth="1"/>
    <col min="5" max="5" width="25.6640625" customWidth="1"/>
    <col min="6" max="7" width="28.109375" customWidth="1"/>
    <col min="8" max="9" width="23" customWidth="1"/>
    <col min="10" max="10" width="31.6640625" bestFit="1" customWidth="1"/>
    <col min="11" max="11" width="20.44140625" customWidth="1"/>
    <col min="12" max="12" width="18.6640625" customWidth="1"/>
    <col min="13" max="13" width="18.44140625" customWidth="1"/>
    <col min="14" max="14" width="8.6640625" hidden="1" customWidth="1"/>
    <col min="15" max="15" width="17.33203125" customWidth="1"/>
    <col min="16" max="16" width="30.44140625" customWidth="1"/>
    <col min="17" max="17" width="21.33203125" bestFit="1" customWidth="1"/>
    <col min="18" max="18" width="30.44140625" customWidth="1"/>
    <col min="19" max="19" width="27.44140625" customWidth="1"/>
    <col min="20" max="20" width="26.44140625" customWidth="1"/>
    <col min="21" max="21" width="12.6640625" bestFit="1" customWidth="1"/>
    <col min="24" max="24" width="0" hidden="1" customWidth="1"/>
  </cols>
  <sheetData>
    <row r="1" spans="1:33" s="3" customFormat="1" ht="22.5" customHeight="1" x14ac:dyDescent="0.35">
      <c r="A1" s="1"/>
      <c r="B1" s="1"/>
      <c r="C1" s="233" t="s">
        <v>0</v>
      </c>
      <c r="D1" s="233"/>
      <c r="E1" s="233"/>
      <c r="F1" s="233"/>
      <c r="G1" s="233"/>
      <c r="H1" s="233"/>
      <c r="I1" s="2"/>
      <c r="J1" s="1"/>
      <c r="K1" s="1"/>
      <c r="L1" s="1"/>
      <c r="M1" s="1"/>
      <c r="N1" s="1"/>
      <c r="O1" s="1"/>
      <c r="P1" s="1"/>
      <c r="Q1" s="1"/>
      <c r="R1" s="1"/>
      <c r="S1" s="1"/>
    </row>
    <row r="2" spans="1:33" s="1" customFormat="1" x14ac:dyDescent="0.3">
      <c r="C2" s="234"/>
      <c r="D2" s="234"/>
      <c r="E2" s="234"/>
      <c r="F2" s="234"/>
      <c r="G2" s="234"/>
      <c r="H2" s="234"/>
    </row>
    <row r="3" spans="1:33" s="3" customFormat="1" ht="19.8" customHeight="1" x14ac:dyDescent="0.3">
      <c r="C3" s="61"/>
      <c r="D3" s="61"/>
      <c r="E3" s="61"/>
      <c r="F3" s="61"/>
      <c r="G3" s="61"/>
      <c r="H3" s="61"/>
      <c r="I3" s="68" t="s">
        <v>129</v>
      </c>
      <c r="J3" s="70" t="s">
        <v>130</v>
      </c>
      <c r="K3" s="69" t="s">
        <v>131</v>
      </c>
      <c r="P3" s="109" t="s">
        <v>142</v>
      </c>
      <c r="Q3" s="109" t="s">
        <v>143</v>
      </c>
      <c r="R3" s="109" t="s">
        <v>144</v>
      </c>
    </row>
    <row r="4" spans="1:33" s="3" customFormat="1" ht="21" x14ac:dyDescent="0.3">
      <c r="C4" s="75" t="s">
        <v>123</v>
      </c>
      <c r="D4" s="76">
        <f ca="1">TODAY()</f>
        <v>45461</v>
      </c>
      <c r="E4" s="131"/>
      <c r="F4" s="131"/>
      <c r="G4" s="61"/>
      <c r="H4" s="82" t="s">
        <v>125</v>
      </c>
      <c r="I4" s="67" t="s">
        <v>126</v>
      </c>
      <c r="J4" s="65" t="s">
        <v>127</v>
      </c>
      <c r="K4" s="66" t="s">
        <v>128</v>
      </c>
      <c r="L4" s="63"/>
      <c r="M4" s="63"/>
      <c r="N4" s="63"/>
      <c r="O4" s="110" t="s">
        <v>140</v>
      </c>
      <c r="P4" s="111">
        <f>SUM(Tabela2[[VALOR DEPOSITADO ]])</f>
        <v>3598500</v>
      </c>
      <c r="Q4" s="111">
        <f>30000+25000+40000</f>
        <v>95000</v>
      </c>
      <c r="R4" s="111">
        <f>P4-Q4</f>
        <v>3503500</v>
      </c>
    </row>
    <row r="5" spans="1:33" s="3" customFormat="1" ht="21" x14ac:dyDescent="0.3">
      <c r="C5" s="64"/>
      <c r="D5" s="62"/>
      <c r="E5" s="62"/>
      <c r="F5" s="62"/>
      <c r="G5" s="61"/>
      <c r="H5" s="83"/>
      <c r="I5" s="70"/>
      <c r="J5" s="70"/>
      <c r="K5" s="69"/>
      <c r="L5" s="63"/>
      <c r="M5" s="63"/>
      <c r="N5" s="63"/>
      <c r="O5" s="63"/>
    </row>
    <row r="6" spans="1:33" ht="13.8" customHeight="1" x14ac:dyDescent="0.3">
      <c r="C6" s="107" t="s">
        <v>141</v>
      </c>
      <c r="D6" s="106"/>
      <c r="E6" s="106"/>
      <c r="F6" s="106"/>
      <c r="G6" s="106"/>
      <c r="H6" s="106"/>
      <c r="I6" s="106"/>
      <c r="J6" s="106"/>
      <c r="K6" s="106"/>
      <c r="L6" s="106"/>
      <c r="M6" s="106"/>
      <c r="N6" s="106"/>
      <c r="O6" s="106"/>
      <c r="P6" s="106"/>
      <c r="Q6" s="106"/>
      <c r="R6" s="106"/>
      <c r="S6" s="106"/>
      <c r="T6" s="106"/>
    </row>
    <row r="7" spans="1:33" ht="29.55" customHeight="1" x14ac:dyDescent="0.3">
      <c r="B7" s="77" t="s">
        <v>132</v>
      </c>
      <c r="C7" s="78" t="s">
        <v>1</v>
      </c>
      <c r="D7" s="78" t="s">
        <v>2</v>
      </c>
      <c r="E7" s="78" t="s">
        <v>180</v>
      </c>
      <c r="F7" s="78" t="s">
        <v>167</v>
      </c>
      <c r="G7" s="78" t="s">
        <v>3</v>
      </c>
      <c r="H7" s="78" t="s">
        <v>4</v>
      </c>
      <c r="I7" s="78" t="s">
        <v>308</v>
      </c>
      <c r="J7" s="78" t="s">
        <v>5</v>
      </c>
      <c r="K7" s="78" t="s">
        <v>6</v>
      </c>
      <c r="L7" s="78" t="s">
        <v>7</v>
      </c>
      <c r="M7" s="78" t="s">
        <v>8</v>
      </c>
      <c r="N7" s="78" t="s">
        <v>9</v>
      </c>
      <c r="O7" s="78" t="s">
        <v>10</v>
      </c>
      <c r="P7" s="78" t="s">
        <v>11</v>
      </c>
      <c r="Q7" s="78" t="s">
        <v>12</v>
      </c>
      <c r="R7" s="78" t="s">
        <v>124</v>
      </c>
      <c r="S7" s="78" t="s">
        <v>122</v>
      </c>
      <c r="T7" s="78" t="s">
        <v>13</v>
      </c>
      <c r="U7" s="78" t="s">
        <v>118</v>
      </c>
      <c r="V7" s="78" t="s">
        <v>156</v>
      </c>
      <c r="Y7" t="s">
        <v>14</v>
      </c>
    </row>
    <row r="8" spans="1:33" s="26" customFormat="1" ht="43.5" customHeight="1" x14ac:dyDescent="0.3">
      <c r="B8" s="77">
        <v>1</v>
      </c>
      <c r="C8" s="224" t="s">
        <v>15</v>
      </c>
      <c r="D8" s="58" t="s">
        <v>16</v>
      </c>
      <c r="E8" s="58" t="s">
        <v>177</v>
      </c>
      <c r="F8" s="58" t="s">
        <v>168</v>
      </c>
      <c r="G8" s="84" t="s">
        <v>17</v>
      </c>
      <c r="H8" s="32">
        <v>40000</v>
      </c>
      <c r="I8" s="32" t="s">
        <v>309</v>
      </c>
      <c r="J8" s="89" t="s">
        <v>14</v>
      </c>
      <c r="K8" s="9">
        <v>45182</v>
      </c>
      <c r="L8" s="95">
        <v>45184</v>
      </c>
      <c r="M8" s="79">
        <v>45550</v>
      </c>
      <c r="N8" s="6">
        <f t="shared" ref="N8:N48" si="0">M8-L8</f>
        <v>366</v>
      </c>
      <c r="O8" s="98">
        <f t="shared" ref="O8:O17" si="1">N8/30</f>
        <v>12.2</v>
      </c>
      <c r="P8" s="6" t="s">
        <v>18</v>
      </c>
      <c r="Q8" s="101">
        <f>H8*(0.01+1)^12</f>
        <v>45073.001205278793</v>
      </c>
      <c r="R8" s="6">
        <f t="shared" ref="R8:R39" ca="1" si="2">M8-$D$4</f>
        <v>89</v>
      </c>
      <c r="S8" s="6" t="str">
        <f t="shared" ref="S8:S17" ca="1" si="3">IF(R8&gt;30,"Dentro do prazo",IF(R8&lt;=0,"Vencido","A vencer"))</f>
        <v>Dentro do prazo</v>
      </c>
      <c r="T8" s="6" t="s">
        <v>19</v>
      </c>
      <c r="U8" s="92"/>
      <c r="Y8" s="26" t="s">
        <v>20</v>
      </c>
    </row>
    <row r="9" spans="1:33" s="26" customFormat="1" ht="43.5" customHeight="1" x14ac:dyDescent="0.3">
      <c r="B9" s="77">
        <v>2</v>
      </c>
      <c r="C9" s="224" t="s">
        <v>21</v>
      </c>
      <c r="D9" s="58" t="s">
        <v>22</v>
      </c>
      <c r="E9" s="58" t="s">
        <v>177</v>
      </c>
      <c r="F9" s="58" t="s">
        <v>168</v>
      </c>
      <c r="G9" s="85"/>
      <c r="H9" s="32">
        <v>100000</v>
      </c>
      <c r="I9" s="32" t="s">
        <v>309</v>
      </c>
      <c r="J9" s="89" t="s">
        <v>14</v>
      </c>
      <c r="K9" s="9">
        <v>45225</v>
      </c>
      <c r="L9" s="95">
        <v>45225</v>
      </c>
      <c r="M9" s="79">
        <v>45591</v>
      </c>
      <c r="N9" s="6">
        <f t="shared" si="0"/>
        <v>366</v>
      </c>
      <c r="O9" s="98">
        <f t="shared" si="1"/>
        <v>12.2</v>
      </c>
      <c r="P9" s="6" t="s">
        <v>18</v>
      </c>
      <c r="Q9" s="101">
        <f>H9*(0.01+1)^12</f>
        <v>112682.50301319698</v>
      </c>
      <c r="R9" s="6">
        <f t="shared" ca="1" si="2"/>
        <v>130</v>
      </c>
      <c r="S9" s="6" t="str">
        <f t="shared" ca="1" si="3"/>
        <v>Dentro do prazo</v>
      </c>
      <c r="T9" s="6" t="s">
        <v>19</v>
      </c>
      <c r="U9" s="92"/>
      <c r="AG9" s="26" t="s">
        <v>309</v>
      </c>
    </row>
    <row r="10" spans="1:33" s="26" customFormat="1" ht="43.5" customHeight="1" x14ac:dyDescent="0.3">
      <c r="B10" s="77">
        <v>3</v>
      </c>
      <c r="C10" s="224" t="s">
        <v>23</v>
      </c>
      <c r="D10" s="58" t="s">
        <v>24</v>
      </c>
      <c r="E10" s="58" t="s">
        <v>177</v>
      </c>
      <c r="F10" s="58" t="s">
        <v>169</v>
      </c>
      <c r="G10" s="85"/>
      <c r="H10" s="32">
        <v>40000</v>
      </c>
      <c r="I10" s="32" t="s">
        <v>309</v>
      </c>
      <c r="J10" s="89" t="s">
        <v>14</v>
      </c>
      <c r="K10" s="9">
        <v>45226</v>
      </c>
      <c r="L10" s="95">
        <v>45236</v>
      </c>
      <c r="M10" s="79">
        <v>45602</v>
      </c>
      <c r="N10" s="6">
        <f t="shared" si="0"/>
        <v>366</v>
      </c>
      <c r="O10" s="98">
        <f t="shared" si="1"/>
        <v>12.2</v>
      </c>
      <c r="P10" s="6" t="s">
        <v>18</v>
      </c>
      <c r="Q10" s="101">
        <f>H10*(0.01+1)^12</f>
        <v>45073.001205278793</v>
      </c>
      <c r="R10" s="6">
        <f t="shared" ca="1" si="2"/>
        <v>141</v>
      </c>
      <c r="S10" s="6" t="str">
        <f t="shared" ca="1" si="3"/>
        <v>Dentro do prazo</v>
      </c>
      <c r="T10" s="6" t="s">
        <v>19</v>
      </c>
      <c r="U10" s="92"/>
      <c r="AG10" s="26" t="s">
        <v>310</v>
      </c>
    </row>
    <row r="11" spans="1:33" s="26" customFormat="1" ht="43.5" customHeight="1" x14ac:dyDescent="0.3">
      <c r="B11" s="77">
        <v>4</v>
      </c>
      <c r="C11" s="224" t="s">
        <v>25</v>
      </c>
      <c r="D11" s="58" t="s">
        <v>26</v>
      </c>
      <c r="E11" s="58" t="s">
        <v>177</v>
      </c>
      <c r="F11" s="58" t="s">
        <v>168</v>
      </c>
      <c r="G11" s="85"/>
      <c r="H11" s="32">
        <v>95000</v>
      </c>
      <c r="I11" s="32" t="s">
        <v>309</v>
      </c>
      <c r="J11" s="89" t="s">
        <v>14</v>
      </c>
      <c r="K11" s="9">
        <v>45239</v>
      </c>
      <c r="L11" s="95">
        <v>45239</v>
      </c>
      <c r="M11" s="79">
        <v>45605</v>
      </c>
      <c r="N11" s="6">
        <f t="shared" si="0"/>
        <v>366</v>
      </c>
      <c r="O11" s="98">
        <f t="shared" si="1"/>
        <v>12.2</v>
      </c>
      <c r="P11" s="6" t="s">
        <v>18</v>
      </c>
      <c r="Q11" s="101">
        <f>H11*(0.01+1)^12</f>
        <v>107048.37786253713</v>
      </c>
      <c r="R11" s="6">
        <f t="shared" ca="1" si="2"/>
        <v>144</v>
      </c>
      <c r="S11" s="6" t="str">
        <f t="shared" ca="1" si="3"/>
        <v>Dentro do prazo</v>
      </c>
      <c r="T11" s="6" t="s">
        <v>19</v>
      </c>
      <c r="U11" s="92"/>
      <c r="AG11" s="26" t="s">
        <v>311</v>
      </c>
    </row>
    <row r="12" spans="1:33" s="26" customFormat="1" ht="43.5" customHeight="1" x14ac:dyDescent="0.3">
      <c r="B12" s="77">
        <v>5</v>
      </c>
      <c r="C12" s="224" t="s">
        <v>21</v>
      </c>
      <c r="D12" s="58" t="s">
        <v>22</v>
      </c>
      <c r="E12" s="58" t="s">
        <v>177</v>
      </c>
      <c r="F12" s="58" t="s">
        <v>168</v>
      </c>
      <c r="G12" s="85"/>
      <c r="H12" s="32">
        <v>30000</v>
      </c>
      <c r="I12" s="32" t="s">
        <v>312</v>
      </c>
      <c r="J12" s="89" t="s">
        <v>14</v>
      </c>
      <c r="K12" s="9">
        <v>45250</v>
      </c>
      <c r="L12" s="95">
        <v>45250</v>
      </c>
      <c r="M12" s="116">
        <v>45432</v>
      </c>
      <c r="N12" s="6">
        <f t="shared" si="0"/>
        <v>182</v>
      </c>
      <c r="O12" s="98">
        <f t="shared" si="1"/>
        <v>6.0666666666666664</v>
      </c>
      <c r="P12" s="6" t="s">
        <v>18</v>
      </c>
      <c r="Q12" s="101">
        <f>H12*(0.01+1)^6</f>
        <v>31845.604518030003</v>
      </c>
      <c r="R12" s="6">
        <f t="shared" ca="1" si="2"/>
        <v>-29</v>
      </c>
      <c r="S12" s="6" t="str">
        <f t="shared" ca="1" si="3"/>
        <v>Vencido</v>
      </c>
      <c r="T12" s="6" t="s">
        <v>19</v>
      </c>
      <c r="U12" s="92"/>
      <c r="AG12" s="26" t="s">
        <v>312</v>
      </c>
    </row>
    <row r="13" spans="1:33" s="26" customFormat="1" ht="43.5" customHeight="1" x14ac:dyDescent="0.3">
      <c r="B13" s="77">
        <v>6</v>
      </c>
      <c r="C13" s="224" t="s">
        <v>27</v>
      </c>
      <c r="D13" s="58" t="s">
        <v>28</v>
      </c>
      <c r="E13" s="58" t="s">
        <v>177</v>
      </c>
      <c r="F13" s="58" t="s">
        <v>168</v>
      </c>
      <c r="G13" s="84" t="s">
        <v>29</v>
      </c>
      <c r="H13" s="32">
        <v>30000</v>
      </c>
      <c r="I13" s="32" t="s">
        <v>309</v>
      </c>
      <c r="J13" s="89" t="s">
        <v>14</v>
      </c>
      <c r="K13" s="9">
        <v>45251</v>
      </c>
      <c r="L13" s="95">
        <v>45251</v>
      </c>
      <c r="M13" s="79">
        <v>45617</v>
      </c>
      <c r="N13" s="6">
        <f t="shared" si="0"/>
        <v>366</v>
      </c>
      <c r="O13" s="98">
        <f t="shared" si="1"/>
        <v>12.2</v>
      </c>
      <c r="P13" s="6" t="s">
        <v>18</v>
      </c>
      <c r="Q13" s="101">
        <f>H13*(0.01+1)^12</f>
        <v>33804.750903959095</v>
      </c>
      <c r="R13" s="6">
        <f t="shared" ca="1" si="2"/>
        <v>156</v>
      </c>
      <c r="S13" s="6" t="str">
        <f t="shared" ca="1" si="3"/>
        <v>Dentro do prazo</v>
      </c>
      <c r="T13" s="6" t="s">
        <v>19</v>
      </c>
      <c r="U13" s="92"/>
    </row>
    <row r="14" spans="1:33" s="26" customFormat="1" ht="43.5" customHeight="1" x14ac:dyDescent="0.3">
      <c r="B14" s="77">
        <v>7</v>
      </c>
      <c r="C14" s="224" t="s">
        <v>30</v>
      </c>
      <c r="D14" s="58" t="s">
        <v>31</v>
      </c>
      <c r="E14" s="58" t="s">
        <v>177</v>
      </c>
      <c r="F14" s="58" t="s">
        <v>170</v>
      </c>
      <c r="G14" s="84" t="s">
        <v>32</v>
      </c>
      <c r="H14" s="32">
        <v>30000</v>
      </c>
      <c r="I14" s="32" t="s">
        <v>312</v>
      </c>
      <c r="J14" s="89" t="s">
        <v>14</v>
      </c>
      <c r="K14" s="9">
        <v>45251</v>
      </c>
      <c r="L14" s="95">
        <v>45252</v>
      </c>
      <c r="M14" s="116">
        <v>45373</v>
      </c>
      <c r="N14" s="6">
        <f t="shared" si="0"/>
        <v>121</v>
      </c>
      <c r="O14" s="98">
        <f t="shared" si="1"/>
        <v>4.0333333333333332</v>
      </c>
      <c r="P14" s="6" t="s">
        <v>18</v>
      </c>
      <c r="Q14" s="101">
        <f>H14*(0.01+1)^4</f>
        <v>31218.120300000002</v>
      </c>
      <c r="R14" s="6">
        <f t="shared" ca="1" si="2"/>
        <v>-88</v>
      </c>
      <c r="S14" s="6" t="str">
        <f t="shared" ca="1" si="3"/>
        <v>Vencido</v>
      </c>
      <c r="T14" s="6" t="s">
        <v>19</v>
      </c>
      <c r="U14" s="92" t="s">
        <v>139</v>
      </c>
    </row>
    <row r="15" spans="1:33" s="26" customFormat="1" ht="43.5" customHeight="1" x14ac:dyDescent="0.3">
      <c r="B15" s="77">
        <v>8</v>
      </c>
      <c r="C15" s="224" t="s">
        <v>33</v>
      </c>
      <c r="D15" s="58" t="s">
        <v>34</v>
      </c>
      <c r="E15" s="58" t="s">
        <v>177</v>
      </c>
      <c r="F15" s="58" t="s">
        <v>168</v>
      </c>
      <c r="G15" s="84" t="s">
        <v>35</v>
      </c>
      <c r="H15" s="32">
        <v>20000</v>
      </c>
      <c r="I15" s="32" t="s">
        <v>312</v>
      </c>
      <c r="J15" s="89" t="s">
        <v>14</v>
      </c>
      <c r="K15" s="9">
        <v>45257</v>
      </c>
      <c r="L15" s="95">
        <v>45258</v>
      </c>
      <c r="M15" s="116">
        <v>45440</v>
      </c>
      <c r="N15" s="6">
        <f t="shared" si="0"/>
        <v>182</v>
      </c>
      <c r="O15" s="98">
        <f t="shared" si="1"/>
        <v>6.0666666666666664</v>
      </c>
      <c r="P15" s="6" t="s">
        <v>36</v>
      </c>
      <c r="Q15" s="101">
        <f>H15*(0.015+1)^6</f>
        <v>21868.865278852794</v>
      </c>
      <c r="R15" s="6">
        <f t="shared" ca="1" si="2"/>
        <v>-21</v>
      </c>
      <c r="S15" s="6" t="str">
        <f t="shared" ca="1" si="3"/>
        <v>Vencido</v>
      </c>
      <c r="T15" s="6" t="s">
        <v>19</v>
      </c>
      <c r="U15" s="92"/>
    </row>
    <row r="16" spans="1:33" s="26" customFormat="1" ht="43.5" customHeight="1" x14ac:dyDescent="0.3">
      <c r="B16" s="77">
        <v>9</v>
      </c>
      <c r="C16" s="224" t="s">
        <v>37</v>
      </c>
      <c r="D16" s="58" t="s">
        <v>38</v>
      </c>
      <c r="E16" s="58" t="s">
        <v>177</v>
      </c>
      <c r="F16" s="58" t="s">
        <v>168</v>
      </c>
      <c r="G16" s="85"/>
      <c r="H16" s="32">
        <v>40000</v>
      </c>
      <c r="I16" s="32" t="s">
        <v>309</v>
      </c>
      <c r="J16" s="89" t="s">
        <v>14</v>
      </c>
      <c r="K16" s="9">
        <v>45257</v>
      </c>
      <c r="L16" s="95">
        <v>45257</v>
      </c>
      <c r="M16" s="79">
        <v>45623</v>
      </c>
      <c r="N16" s="6">
        <f t="shared" si="0"/>
        <v>366</v>
      </c>
      <c r="O16" s="98">
        <f t="shared" si="1"/>
        <v>12.2</v>
      </c>
      <c r="P16" s="6" t="s">
        <v>39</v>
      </c>
      <c r="Q16" s="101">
        <f>H16*(0.01+1)^12</f>
        <v>45073.001205278793</v>
      </c>
      <c r="R16" s="6">
        <f t="shared" ca="1" si="2"/>
        <v>162</v>
      </c>
      <c r="S16" s="6" t="str">
        <f t="shared" ca="1" si="3"/>
        <v>Dentro do prazo</v>
      </c>
      <c r="T16" s="6" t="s">
        <v>19</v>
      </c>
      <c r="U16" s="92"/>
    </row>
    <row r="17" spans="2:21" s="26" customFormat="1" ht="43.5" customHeight="1" x14ac:dyDescent="0.3">
      <c r="B17" s="77">
        <v>10</v>
      </c>
      <c r="C17" s="224" t="s">
        <v>40</v>
      </c>
      <c r="D17" s="58" t="s">
        <v>41</v>
      </c>
      <c r="E17" s="58" t="s">
        <v>177</v>
      </c>
      <c r="F17" s="58" t="s">
        <v>168</v>
      </c>
      <c r="G17" s="85"/>
      <c r="H17" s="32">
        <v>40000</v>
      </c>
      <c r="I17" s="32" t="s">
        <v>309</v>
      </c>
      <c r="J17" s="89" t="s">
        <v>14</v>
      </c>
      <c r="K17" s="9">
        <v>45260</v>
      </c>
      <c r="L17" s="95">
        <v>45260</v>
      </c>
      <c r="M17" s="79">
        <v>45626</v>
      </c>
      <c r="N17" s="6">
        <f t="shared" si="0"/>
        <v>366</v>
      </c>
      <c r="O17" s="98">
        <f t="shared" si="1"/>
        <v>12.2</v>
      </c>
      <c r="P17" s="6" t="s">
        <v>18</v>
      </c>
      <c r="Q17" s="101">
        <f>H17*(0.01+1)^12</f>
        <v>45073.001205278793</v>
      </c>
      <c r="R17" s="6">
        <f t="shared" ca="1" si="2"/>
        <v>165</v>
      </c>
      <c r="S17" s="6" t="str">
        <f t="shared" ca="1" si="3"/>
        <v>Dentro do prazo</v>
      </c>
      <c r="T17" s="6" t="s">
        <v>42</v>
      </c>
      <c r="U17" s="92"/>
    </row>
    <row r="18" spans="2:21" s="26" customFormat="1" ht="43.5" hidden="1" customHeight="1" x14ac:dyDescent="0.3">
      <c r="B18" s="77">
        <v>11</v>
      </c>
      <c r="C18" s="224" t="s">
        <v>43</v>
      </c>
      <c r="D18" s="58" t="s">
        <v>44</v>
      </c>
      <c r="E18" s="58" t="s">
        <v>171</v>
      </c>
      <c r="F18" s="58" t="s">
        <v>172</v>
      </c>
      <c r="G18" s="84" t="s">
        <v>45</v>
      </c>
      <c r="H18" s="32">
        <v>50000</v>
      </c>
      <c r="I18" s="32" t="s">
        <v>309</v>
      </c>
      <c r="J18" s="89" t="s">
        <v>20</v>
      </c>
      <c r="K18" s="9">
        <v>45260</v>
      </c>
      <c r="L18" s="95">
        <v>45260</v>
      </c>
      <c r="M18" s="79" t="s">
        <v>47</v>
      </c>
      <c r="N18" s="6" t="e">
        <f t="shared" si="0"/>
        <v>#VALUE!</v>
      </c>
      <c r="O18" s="98" t="s">
        <v>47</v>
      </c>
      <c r="P18" s="6" t="s">
        <v>48</v>
      </c>
      <c r="Q18" s="101">
        <f>H18*1%</f>
        <v>500</v>
      </c>
      <c r="R18" s="6" t="e">
        <f t="shared" ca="1" si="2"/>
        <v>#VALUE!</v>
      </c>
      <c r="S18" s="108"/>
      <c r="T18" s="6" t="s">
        <v>19</v>
      </c>
      <c r="U18" s="92"/>
    </row>
    <row r="19" spans="2:21" s="26" customFormat="1" ht="43.5" hidden="1" customHeight="1" x14ac:dyDescent="0.3">
      <c r="B19" s="77">
        <v>12</v>
      </c>
      <c r="C19" s="224" t="s">
        <v>49</v>
      </c>
      <c r="D19" s="58" t="s">
        <v>50</v>
      </c>
      <c r="E19" s="58" t="s">
        <v>171</v>
      </c>
      <c r="F19" s="58" t="s">
        <v>172</v>
      </c>
      <c r="G19" s="84" t="s">
        <v>51</v>
      </c>
      <c r="H19" s="32">
        <v>88000</v>
      </c>
      <c r="I19" s="32" t="s">
        <v>309</v>
      </c>
      <c r="J19" s="89" t="s">
        <v>20</v>
      </c>
      <c r="K19" s="9">
        <v>45261</v>
      </c>
      <c r="L19" s="95">
        <v>45261</v>
      </c>
      <c r="M19" s="79" t="s">
        <v>47</v>
      </c>
      <c r="N19" s="6" t="e">
        <f t="shared" si="0"/>
        <v>#VALUE!</v>
      </c>
      <c r="O19" s="98" t="s">
        <v>47</v>
      </c>
      <c r="P19" s="6" t="s">
        <v>36</v>
      </c>
      <c r="Q19" s="101">
        <f>H19*1.5%</f>
        <v>1320</v>
      </c>
      <c r="R19" s="6" t="e">
        <f t="shared" ca="1" si="2"/>
        <v>#VALUE!</v>
      </c>
      <c r="S19" s="108"/>
      <c r="T19" s="6" t="s">
        <v>19</v>
      </c>
      <c r="U19" s="92"/>
    </row>
    <row r="20" spans="2:21" s="26" customFormat="1" ht="43.5" hidden="1" customHeight="1" x14ac:dyDescent="0.3">
      <c r="B20" s="77">
        <v>13</v>
      </c>
      <c r="C20" s="224" t="s">
        <v>52</v>
      </c>
      <c r="D20" s="58" t="s">
        <v>53</v>
      </c>
      <c r="E20" s="58" t="s">
        <v>171</v>
      </c>
      <c r="F20" s="58" t="s">
        <v>172</v>
      </c>
      <c r="G20" s="84" t="s">
        <v>54</v>
      </c>
      <c r="H20" s="32">
        <v>75000</v>
      </c>
      <c r="I20" s="32" t="s">
        <v>309</v>
      </c>
      <c r="J20" s="89" t="s">
        <v>20</v>
      </c>
      <c r="K20" s="9">
        <v>45261</v>
      </c>
      <c r="L20" s="92" t="s">
        <v>55</v>
      </c>
      <c r="M20" s="79" t="s">
        <v>47</v>
      </c>
      <c r="N20" s="6" t="e">
        <f t="shared" si="0"/>
        <v>#VALUE!</v>
      </c>
      <c r="O20" s="98" t="s">
        <v>47</v>
      </c>
      <c r="P20" s="6" t="s">
        <v>56</v>
      </c>
      <c r="Q20" s="101">
        <f>H20*1.6%</f>
        <v>1200</v>
      </c>
      <c r="R20" s="6" t="e">
        <f t="shared" ca="1" si="2"/>
        <v>#VALUE!</v>
      </c>
      <c r="S20" s="108"/>
      <c r="T20" s="6" t="s">
        <v>19</v>
      </c>
      <c r="U20" s="92"/>
    </row>
    <row r="21" spans="2:21" s="26" customFormat="1" ht="43.5" customHeight="1" x14ac:dyDescent="0.3">
      <c r="B21" s="77">
        <v>14</v>
      </c>
      <c r="C21" s="224" t="s">
        <v>57</v>
      </c>
      <c r="D21" s="58" t="s">
        <v>58</v>
      </c>
      <c r="E21" s="58" t="s">
        <v>177</v>
      </c>
      <c r="F21" s="58" t="s">
        <v>168</v>
      </c>
      <c r="G21" s="85"/>
      <c r="H21" s="32">
        <v>20000</v>
      </c>
      <c r="I21" s="32" t="s">
        <v>309</v>
      </c>
      <c r="J21" s="89" t="s">
        <v>14</v>
      </c>
      <c r="K21" s="9">
        <v>45265</v>
      </c>
      <c r="L21" s="95">
        <v>45265</v>
      </c>
      <c r="M21" s="79">
        <v>45631</v>
      </c>
      <c r="N21" s="6">
        <f t="shared" si="0"/>
        <v>366</v>
      </c>
      <c r="O21" s="98">
        <f>N21/30</f>
        <v>12.2</v>
      </c>
      <c r="P21" s="6" t="s">
        <v>18</v>
      </c>
      <c r="Q21" s="101">
        <f>H21*(0.01+1)^12</f>
        <v>22536.500602639397</v>
      </c>
      <c r="R21" s="6">
        <f t="shared" ca="1" si="2"/>
        <v>170</v>
      </c>
      <c r="S21" s="6" t="str">
        <f t="shared" ref="S21:S52" ca="1" si="4">IF(R21&gt;30,"Dentro do prazo",IF(R21&lt;=0,"Vencido","A vencer"))</f>
        <v>Dentro do prazo</v>
      </c>
      <c r="T21" s="6" t="s">
        <v>19</v>
      </c>
      <c r="U21" s="92"/>
    </row>
    <row r="22" spans="2:21" s="26" customFormat="1" ht="43.5" hidden="1" customHeight="1" x14ac:dyDescent="0.3">
      <c r="B22" s="77">
        <v>15</v>
      </c>
      <c r="C22" s="224" t="s">
        <v>59</v>
      </c>
      <c r="D22" s="58" t="s">
        <v>60</v>
      </c>
      <c r="E22" s="58" t="s">
        <v>171</v>
      </c>
      <c r="F22" s="58" t="s">
        <v>172</v>
      </c>
      <c r="G22" s="84" t="s">
        <v>61</v>
      </c>
      <c r="H22" s="32">
        <v>20000</v>
      </c>
      <c r="I22" s="32" t="s">
        <v>309</v>
      </c>
      <c r="J22" s="89" t="s">
        <v>20</v>
      </c>
      <c r="K22" s="9">
        <v>45265</v>
      </c>
      <c r="L22" s="95">
        <v>45265</v>
      </c>
      <c r="M22" s="79">
        <v>46361</v>
      </c>
      <c r="N22" s="6">
        <f t="shared" si="0"/>
        <v>1096</v>
      </c>
      <c r="O22" s="98">
        <v>36</v>
      </c>
      <c r="P22" s="6" t="s">
        <v>62</v>
      </c>
      <c r="Q22" s="101">
        <f>H22*1.2%</f>
        <v>240</v>
      </c>
      <c r="R22" s="6">
        <f t="shared" ca="1" si="2"/>
        <v>900</v>
      </c>
      <c r="S22" s="6" t="str">
        <f t="shared" ca="1" si="4"/>
        <v>Dentro do prazo</v>
      </c>
      <c r="T22" s="6" t="s">
        <v>19</v>
      </c>
      <c r="U22" s="92"/>
    </row>
    <row r="23" spans="2:21" s="26" customFormat="1" ht="43.5" customHeight="1" x14ac:dyDescent="0.3">
      <c r="B23" s="77">
        <v>16</v>
      </c>
      <c r="C23" s="225" t="s">
        <v>63</v>
      </c>
      <c r="D23" s="58" t="s">
        <v>64</v>
      </c>
      <c r="E23" s="58" t="s">
        <v>171</v>
      </c>
      <c r="F23" s="58" t="s">
        <v>172</v>
      </c>
      <c r="G23" s="84" t="s">
        <v>65</v>
      </c>
      <c r="H23" s="32">
        <v>10000</v>
      </c>
      <c r="I23" s="32" t="s">
        <v>309</v>
      </c>
      <c r="J23" s="89" t="s">
        <v>14</v>
      </c>
      <c r="K23" s="9">
        <v>45278</v>
      </c>
      <c r="L23" s="95">
        <v>45278</v>
      </c>
      <c r="M23" s="79">
        <v>46374</v>
      </c>
      <c r="N23" s="6">
        <f t="shared" si="0"/>
        <v>1096</v>
      </c>
      <c r="O23" s="98">
        <v>36</v>
      </c>
      <c r="P23" s="6" t="s">
        <v>18</v>
      </c>
      <c r="Q23" s="101">
        <f>H23*(0.01+1)^36</f>
        <v>14307.687835915809</v>
      </c>
      <c r="R23" s="6">
        <f t="shared" ca="1" si="2"/>
        <v>913</v>
      </c>
      <c r="S23" s="6" t="str">
        <f t="shared" ca="1" si="4"/>
        <v>Dentro do prazo</v>
      </c>
      <c r="T23" s="6" t="s">
        <v>19</v>
      </c>
      <c r="U23" s="92"/>
    </row>
    <row r="24" spans="2:21" s="26" customFormat="1" ht="43.5" customHeight="1" x14ac:dyDescent="0.3">
      <c r="B24" s="77">
        <v>17</v>
      </c>
      <c r="C24" s="225" t="s">
        <v>66</v>
      </c>
      <c r="D24" s="58" t="s">
        <v>67</v>
      </c>
      <c r="E24" s="58" t="s">
        <v>173</v>
      </c>
      <c r="F24" s="58" t="s">
        <v>173</v>
      </c>
      <c r="G24" s="86" t="s">
        <v>68</v>
      </c>
      <c r="H24" s="32">
        <v>60000</v>
      </c>
      <c r="I24" s="32" t="s">
        <v>309</v>
      </c>
      <c r="J24" s="89" t="s">
        <v>14</v>
      </c>
      <c r="K24" s="9">
        <v>45278</v>
      </c>
      <c r="L24" s="95">
        <v>45278</v>
      </c>
      <c r="M24" s="79">
        <v>46374</v>
      </c>
      <c r="N24" s="6">
        <f t="shared" si="0"/>
        <v>1096</v>
      </c>
      <c r="O24" s="98">
        <v>36</v>
      </c>
      <c r="P24" s="6" t="s">
        <v>18</v>
      </c>
      <c r="Q24" s="101">
        <f>H24*(0.01+1)^36</f>
        <v>85846.127015494858</v>
      </c>
      <c r="R24" s="6">
        <f t="shared" ca="1" si="2"/>
        <v>913</v>
      </c>
      <c r="S24" s="6" t="str">
        <f t="shared" ca="1" si="4"/>
        <v>Dentro do prazo</v>
      </c>
      <c r="T24" s="6" t="s">
        <v>19</v>
      </c>
      <c r="U24" s="92"/>
    </row>
    <row r="25" spans="2:21" s="26" customFormat="1" ht="43.5" customHeight="1" x14ac:dyDescent="0.3">
      <c r="B25" s="77">
        <v>18</v>
      </c>
      <c r="C25" s="224" t="s">
        <v>15</v>
      </c>
      <c r="D25" s="58" t="s">
        <v>16</v>
      </c>
      <c r="E25" s="58" t="s">
        <v>177</v>
      </c>
      <c r="F25" s="58" t="s">
        <v>168</v>
      </c>
      <c r="G25" s="86" t="s">
        <v>17</v>
      </c>
      <c r="H25" s="32">
        <v>120000</v>
      </c>
      <c r="I25" s="32" t="s">
        <v>309</v>
      </c>
      <c r="J25" s="89" t="s">
        <v>14</v>
      </c>
      <c r="K25" s="9">
        <v>45281</v>
      </c>
      <c r="L25" s="92" t="s">
        <v>69</v>
      </c>
      <c r="M25" s="79" t="s">
        <v>70</v>
      </c>
      <c r="N25" s="6">
        <f t="shared" si="0"/>
        <v>366</v>
      </c>
      <c r="O25" s="98">
        <v>12</v>
      </c>
      <c r="P25" s="6" t="s">
        <v>48</v>
      </c>
      <c r="Q25" s="101">
        <f>H25*(0.01+1)^12</f>
        <v>135219.00361583638</v>
      </c>
      <c r="R25" s="6">
        <f t="shared" ca="1" si="2"/>
        <v>187</v>
      </c>
      <c r="S25" s="6" t="str">
        <f t="shared" ca="1" si="4"/>
        <v>Dentro do prazo</v>
      </c>
      <c r="T25" s="6" t="s">
        <v>19</v>
      </c>
      <c r="U25" s="92"/>
    </row>
    <row r="26" spans="2:21" s="26" customFormat="1" ht="43.5" customHeight="1" x14ac:dyDescent="0.3">
      <c r="B26" s="77">
        <v>19</v>
      </c>
      <c r="C26" s="224" t="s">
        <v>30</v>
      </c>
      <c r="D26" s="58" t="s">
        <v>31</v>
      </c>
      <c r="E26" s="58" t="s">
        <v>173</v>
      </c>
      <c r="F26" s="58" t="s">
        <v>172</v>
      </c>
      <c r="G26" s="84" t="s">
        <v>32</v>
      </c>
      <c r="H26" s="32">
        <v>79000</v>
      </c>
      <c r="I26" s="32" t="s">
        <v>309</v>
      </c>
      <c r="J26" s="89" t="s">
        <v>14</v>
      </c>
      <c r="K26" s="9">
        <v>45293</v>
      </c>
      <c r="L26" s="95">
        <v>45294</v>
      </c>
      <c r="M26" s="79">
        <v>46390</v>
      </c>
      <c r="N26" s="6">
        <f t="shared" si="0"/>
        <v>1096</v>
      </c>
      <c r="O26" s="98">
        <v>36</v>
      </c>
      <c r="P26" s="6" t="s">
        <v>18</v>
      </c>
      <c r="Q26" s="101">
        <f>H26*(0.01+1)^36</f>
        <v>113030.7339037349</v>
      </c>
      <c r="R26" s="6">
        <f t="shared" ca="1" si="2"/>
        <v>929</v>
      </c>
      <c r="S26" s="6" t="str">
        <f t="shared" ca="1" si="4"/>
        <v>Dentro do prazo</v>
      </c>
      <c r="T26" s="6" t="s">
        <v>19</v>
      </c>
      <c r="U26" s="92"/>
    </row>
    <row r="27" spans="2:21" s="26" customFormat="1" ht="43.5" hidden="1" customHeight="1" x14ac:dyDescent="0.3">
      <c r="B27" s="77">
        <v>20</v>
      </c>
      <c r="C27" s="225" t="s">
        <v>71</v>
      </c>
      <c r="D27" s="58" t="s">
        <v>72</v>
      </c>
      <c r="E27" s="58" t="s">
        <v>173</v>
      </c>
      <c r="F27" s="58" t="s">
        <v>173</v>
      </c>
      <c r="G27" s="84" t="s">
        <v>73</v>
      </c>
      <c r="H27" s="32">
        <v>30000</v>
      </c>
      <c r="I27" s="32" t="s">
        <v>309</v>
      </c>
      <c r="J27" s="89" t="s">
        <v>20</v>
      </c>
      <c r="K27" s="9">
        <v>45296</v>
      </c>
      <c r="L27" s="95">
        <v>45296</v>
      </c>
      <c r="M27" s="79">
        <v>46392</v>
      </c>
      <c r="N27" s="6">
        <f t="shared" si="0"/>
        <v>1096</v>
      </c>
      <c r="O27" s="98">
        <v>36</v>
      </c>
      <c r="P27" s="6" t="s">
        <v>18</v>
      </c>
      <c r="Q27" s="101">
        <f>H27*1%</f>
        <v>300</v>
      </c>
      <c r="R27" s="6">
        <f t="shared" ca="1" si="2"/>
        <v>931</v>
      </c>
      <c r="S27" s="6" t="str">
        <f t="shared" ca="1" si="4"/>
        <v>Dentro do prazo</v>
      </c>
      <c r="T27" s="6" t="s">
        <v>19</v>
      </c>
      <c r="U27" s="92"/>
    </row>
    <row r="28" spans="2:21" s="26" customFormat="1" ht="43.5" customHeight="1" x14ac:dyDescent="0.3">
      <c r="B28" s="77">
        <v>21</v>
      </c>
      <c r="C28" s="224" t="s">
        <v>57</v>
      </c>
      <c r="D28" s="58" t="s">
        <v>58</v>
      </c>
      <c r="E28" s="58" t="s">
        <v>177</v>
      </c>
      <c r="F28" s="58" t="s">
        <v>168</v>
      </c>
      <c r="G28" s="85"/>
      <c r="H28" s="32">
        <v>10000</v>
      </c>
      <c r="I28" s="32" t="s">
        <v>309</v>
      </c>
      <c r="J28" s="89" t="s">
        <v>14</v>
      </c>
      <c r="K28" s="9">
        <v>45297</v>
      </c>
      <c r="L28" s="95">
        <v>45297</v>
      </c>
      <c r="M28" s="79">
        <v>45663</v>
      </c>
      <c r="N28" s="6">
        <f t="shared" si="0"/>
        <v>366</v>
      </c>
      <c r="O28" s="98">
        <f>N28/30</f>
        <v>12.2</v>
      </c>
      <c r="P28" s="6" t="s">
        <v>18</v>
      </c>
      <c r="Q28" s="101">
        <f>H28*(0.01+1)^12</f>
        <v>11268.250301319698</v>
      </c>
      <c r="R28" s="6">
        <f t="shared" ca="1" si="2"/>
        <v>202</v>
      </c>
      <c r="S28" s="6" t="str">
        <f t="shared" ca="1" si="4"/>
        <v>Dentro do prazo</v>
      </c>
      <c r="T28" s="6" t="s">
        <v>19</v>
      </c>
      <c r="U28" s="92"/>
    </row>
    <row r="29" spans="2:21" s="26" customFormat="1" ht="43.5" customHeight="1" x14ac:dyDescent="0.3">
      <c r="B29" s="77">
        <v>22</v>
      </c>
      <c r="C29" s="225" t="s">
        <v>74</v>
      </c>
      <c r="D29" s="58" t="s">
        <v>75</v>
      </c>
      <c r="E29" s="58" t="s">
        <v>177</v>
      </c>
      <c r="F29" s="58" t="s">
        <v>174</v>
      </c>
      <c r="G29" s="84" t="s">
        <v>76</v>
      </c>
      <c r="H29" s="32">
        <v>35000</v>
      </c>
      <c r="I29" s="32" t="s">
        <v>309</v>
      </c>
      <c r="J29" s="89" t="s">
        <v>14</v>
      </c>
      <c r="K29" s="9">
        <v>45302</v>
      </c>
      <c r="L29" s="95">
        <v>45302</v>
      </c>
      <c r="M29" s="79">
        <v>45668</v>
      </c>
      <c r="N29" s="6">
        <f t="shared" si="0"/>
        <v>366</v>
      </c>
      <c r="O29" s="98">
        <f>N29/30</f>
        <v>12.2</v>
      </c>
      <c r="P29" s="6" t="s">
        <v>18</v>
      </c>
      <c r="Q29" s="101">
        <f>H29*(0.01+1)^12</f>
        <v>39438.876054618944</v>
      </c>
      <c r="R29" s="6">
        <f t="shared" ca="1" si="2"/>
        <v>207</v>
      </c>
      <c r="S29" s="6" t="str">
        <f t="shared" ca="1" si="4"/>
        <v>Dentro do prazo</v>
      </c>
      <c r="T29" s="6" t="s">
        <v>19</v>
      </c>
      <c r="U29" s="92"/>
    </row>
    <row r="30" spans="2:21" s="26" customFormat="1" ht="43.5" hidden="1" customHeight="1" x14ac:dyDescent="0.3">
      <c r="B30" s="77">
        <v>23</v>
      </c>
      <c r="C30" s="224" t="s">
        <v>43</v>
      </c>
      <c r="D30" s="58" t="s">
        <v>44</v>
      </c>
      <c r="E30" s="58" t="s">
        <v>173</v>
      </c>
      <c r="F30" s="58" t="s">
        <v>175</v>
      </c>
      <c r="G30" s="84" t="s">
        <v>45</v>
      </c>
      <c r="H30" s="32">
        <v>44000</v>
      </c>
      <c r="I30" s="32" t="s">
        <v>309</v>
      </c>
      <c r="J30" s="89" t="s">
        <v>20</v>
      </c>
      <c r="K30" s="9">
        <v>45303</v>
      </c>
      <c r="L30" s="95">
        <v>45303</v>
      </c>
      <c r="M30" s="79">
        <v>46399</v>
      </c>
      <c r="N30" s="6">
        <f t="shared" si="0"/>
        <v>1096</v>
      </c>
      <c r="O30" s="98">
        <v>36</v>
      </c>
      <c r="P30" s="6" t="s">
        <v>18</v>
      </c>
      <c r="Q30" s="101">
        <f>H30*1%</f>
        <v>440</v>
      </c>
      <c r="R30" s="6">
        <f t="shared" ca="1" si="2"/>
        <v>938</v>
      </c>
      <c r="S30" s="6" t="str">
        <f t="shared" ca="1" si="4"/>
        <v>Dentro do prazo</v>
      </c>
      <c r="T30" s="6" t="s">
        <v>19</v>
      </c>
      <c r="U30" s="92"/>
    </row>
    <row r="31" spans="2:21" s="26" customFormat="1" ht="43.5" hidden="1" customHeight="1" x14ac:dyDescent="0.3">
      <c r="B31" s="77">
        <v>24</v>
      </c>
      <c r="C31" s="225" t="s">
        <v>114</v>
      </c>
      <c r="D31" s="58" t="s">
        <v>77</v>
      </c>
      <c r="E31" s="58" t="s">
        <v>173</v>
      </c>
      <c r="F31" s="58" t="s">
        <v>172</v>
      </c>
      <c r="G31" s="84" t="s">
        <v>78</v>
      </c>
      <c r="H31" s="32">
        <v>80000</v>
      </c>
      <c r="I31" s="32" t="s">
        <v>309</v>
      </c>
      <c r="J31" s="89" t="s">
        <v>20</v>
      </c>
      <c r="K31" s="9">
        <v>45303</v>
      </c>
      <c r="L31" s="95">
        <v>45303</v>
      </c>
      <c r="M31" s="79">
        <v>46399</v>
      </c>
      <c r="N31" s="6">
        <f t="shared" si="0"/>
        <v>1096</v>
      </c>
      <c r="O31" s="98">
        <v>36</v>
      </c>
      <c r="P31" s="6" t="s">
        <v>36</v>
      </c>
      <c r="Q31" s="101">
        <f>H31*1.5%</f>
        <v>1200</v>
      </c>
      <c r="R31" s="6">
        <f t="shared" ca="1" si="2"/>
        <v>938</v>
      </c>
      <c r="S31" s="6" t="str">
        <f t="shared" ca="1" si="4"/>
        <v>Dentro do prazo</v>
      </c>
      <c r="T31" s="6" t="s">
        <v>19</v>
      </c>
      <c r="U31" s="92"/>
    </row>
    <row r="32" spans="2:21" s="26" customFormat="1" ht="43.5" customHeight="1" x14ac:dyDescent="0.3">
      <c r="B32" s="77">
        <v>25</v>
      </c>
      <c r="C32" s="225" t="s">
        <v>79</v>
      </c>
      <c r="D32" s="49" t="s">
        <v>80</v>
      </c>
      <c r="E32" s="58" t="s">
        <v>177</v>
      </c>
      <c r="F32" s="49" t="s">
        <v>171</v>
      </c>
      <c r="G32" s="85"/>
      <c r="H32" s="32">
        <v>200000</v>
      </c>
      <c r="I32" s="32" t="s">
        <v>309</v>
      </c>
      <c r="J32" s="89" t="s">
        <v>14</v>
      </c>
      <c r="K32" s="220">
        <v>45306</v>
      </c>
      <c r="L32" s="95">
        <v>45306</v>
      </c>
      <c r="M32" s="79">
        <v>45672</v>
      </c>
      <c r="N32" s="6">
        <f t="shared" si="0"/>
        <v>366</v>
      </c>
      <c r="O32" s="98">
        <v>12</v>
      </c>
      <c r="P32" s="6" t="s">
        <v>18</v>
      </c>
      <c r="Q32" s="101">
        <f>H32*(0.01+1)^12</f>
        <v>225365.00602639397</v>
      </c>
      <c r="R32" s="6">
        <f t="shared" ca="1" si="2"/>
        <v>211</v>
      </c>
      <c r="S32" s="6" t="str">
        <f t="shared" ca="1" si="4"/>
        <v>Dentro do prazo</v>
      </c>
      <c r="T32" s="6" t="s">
        <v>19</v>
      </c>
      <c r="U32" s="92"/>
    </row>
    <row r="33" spans="2:21" s="26" customFormat="1" ht="43.5" hidden="1" customHeight="1" x14ac:dyDescent="0.3">
      <c r="B33" s="77">
        <v>26</v>
      </c>
      <c r="C33" s="225" t="s">
        <v>71</v>
      </c>
      <c r="D33" s="58" t="s">
        <v>72</v>
      </c>
      <c r="E33" s="58" t="s">
        <v>171</v>
      </c>
      <c r="F33" s="58" t="s">
        <v>172</v>
      </c>
      <c r="G33" s="84" t="s">
        <v>73</v>
      </c>
      <c r="H33" s="32">
        <v>2000</v>
      </c>
      <c r="I33" s="32" t="s">
        <v>309</v>
      </c>
      <c r="J33" s="89" t="s">
        <v>20</v>
      </c>
      <c r="K33" s="9">
        <v>45303</v>
      </c>
      <c r="L33" s="95">
        <v>45303</v>
      </c>
      <c r="M33" s="79">
        <v>46399</v>
      </c>
      <c r="N33" s="6">
        <f t="shared" si="0"/>
        <v>1096</v>
      </c>
      <c r="O33" s="98">
        <v>36</v>
      </c>
      <c r="P33" s="6" t="s">
        <v>18</v>
      </c>
      <c r="Q33" s="101">
        <f>H33*1%</f>
        <v>20</v>
      </c>
      <c r="R33" s="6">
        <f t="shared" ca="1" si="2"/>
        <v>938</v>
      </c>
      <c r="S33" s="6" t="str">
        <f t="shared" ca="1" si="4"/>
        <v>Dentro do prazo</v>
      </c>
      <c r="T33" s="6" t="s">
        <v>19</v>
      </c>
      <c r="U33" s="92"/>
    </row>
    <row r="34" spans="2:21" s="26" customFormat="1" ht="43.5" customHeight="1" x14ac:dyDescent="0.3">
      <c r="B34" s="77">
        <v>27</v>
      </c>
      <c r="C34" s="225" t="s">
        <v>33</v>
      </c>
      <c r="D34" s="58" t="s">
        <v>34</v>
      </c>
      <c r="E34" s="58" t="s">
        <v>171</v>
      </c>
      <c r="F34" s="58" t="s">
        <v>172</v>
      </c>
      <c r="G34" s="84" t="s">
        <v>35</v>
      </c>
      <c r="H34" s="32">
        <v>196000</v>
      </c>
      <c r="I34" s="32" t="s">
        <v>309</v>
      </c>
      <c r="J34" s="89" t="s">
        <v>81</v>
      </c>
      <c r="K34" s="9">
        <v>45306</v>
      </c>
      <c r="L34" s="95">
        <v>45306</v>
      </c>
      <c r="M34" s="79">
        <v>46402</v>
      </c>
      <c r="N34" s="6">
        <f t="shared" si="0"/>
        <v>1096</v>
      </c>
      <c r="O34" s="98">
        <v>36</v>
      </c>
      <c r="P34" s="6" t="s">
        <v>56</v>
      </c>
      <c r="Q34" s="101">
        <f>H34*(0.016+1)^36</f>
        <v>347079.97498652636</v>
      </c>
      <c r="R34" s="6">
        <f t="shared" ca="1" si="2"/>
        <v>941</v>
      </c>
      <c r="S34" s="6" t="str">
        <f t="shared" ca="1" si="4"/>
        <v>Dentro do prazo</v>
      </c>
      <c r="T34" s="6" t="s">
        <v>19</v>
      </c>
      <c r="U34" s="92"/>
    </row>
    <row r="35" spans="2:21" s="26" customFormat="1" ht="43.5" customHeight="1" x14ac:dyDescent="0.3">
      <c r="B35" s="77">
        <v>28</v>
      </c>
      <c r="C35" s="225" t="s">
        <v>82</v>
      </c>
      <c r="D35" s="58" t="s">
        <v>83</v>
      </c>
      <c r="E35" s="58" t="s">
        <v>173</v>
      </c>
      <c r="F35" s="58" t="s">
        <v>176</v>
      </c>
      <c r="G35" s="84" t="s">
        <v>84</v>
      </c>
      <c r="H35" s="32">
        <v>87000</v>
      </c>
      <c r="I35" s="32" t="s">
        <v>309</v>
      </c>
      <c r="J35" s="89" t="s">
        <v>81</v>
      </c>
      <c r="K35" s="9">
        <v>45307</v>
      </c>
      <c r="L35" s="95">
        <v>45307</v>
      </c>
      <c r="M35" s="79">
        <v>46403</v>
      </c>
      <c r="N35" s="6">
        <f t="shared" si="0"/>
        <v>1096</v>
      </c>
      <c r="O35" s="98">
        <v>36</v>
      </c>
      <c r="P35" s="6" t="s">
        <v>18</v>
      </c>
      <c r="Q35" s="101">
        <f>H35*(0.01+1)^36</f>
        <v>124476.88417246754</v>
      </c>
      <c r="R35" s="6">
        <f t="shared" ca="1" si="2"/>
        <v>942</v>
      </c>
      <c r="S35" s="6" t="str">
        <f t="shared" ca="1" si="4"/>
        <v>Dentro do prazo</v>
      </c>
      <c r="T35" s="6" t="s">
        <v>19</v>
      </c>
      <c r="U35" s="92"/>
    </row>
    <row r="36" spans="2:21" s="26" customFormat="1" ht="43.5" hidden="1" customHeight="1" x14ac:dyDescent="0.3">
      <c r="B36" s="77">
        <v>29</v>
      </c>
      <c r="C36" s="225" t="s">
        <v>49</v>
      </c>
      <c r="D36" s="58" t="s">
        <v>50</v>
      </c>
      <c r="E36" s="58" t="s">
        <v>171</v>
      </c>
      <c r="F36" s="58" t="s">
        <v>172</v>
      </c>
      <c r="G36" s="84" t="s">
        <v>85</v>
      </c>
      <c r="H36" s="32">
        <v>20000</v>
      </c>
      <c r="I36" s="32" t="s">
        <v>309</v>
      </c>
      <c r="J36" s="89" t="s">
        <v>20</v>
      </c>
      <c r="K36" s="9">
        <v>45310</v>
      </c>
      <c r="L36" s="95">
        <v>45310</v>
      </c>
      <c r="M36" s="79">
        <v>46406</v>
      </c>
      <c r="N36" s="6">
        <f t="shared" si="0"/>
        <v>1096</v>
      </c>
      <c r="O36" s="98">
        <v>36</v>
      </c>
      <c r="P36" s="6" t="s">
        <v>86</v>
      </c>
      <c r="Q36" s="101">
        <f>H36*1.5%</f>
        <v>300</v>
      </c>
      <c r="R36" s="6">
        <f t="shared" ca="1" si="2"/>
        <v>945</v>
      </c>
      <c r="S36" s="6" t="str">
        <f t="shared" ca="1" si="4"/>
        <v>Dentro do prazo</v>
      </c>
      <c r="T36" s="6" t="s">
        <v>19</v>
      </c>
      <c r="U36" s="92"/>
    </row>
    <row r="37" spans="2:21" s="26" customFormat="1" ht="43.5" hidden="1" customHeight="1" x14ac:dyDescent="0.3">
      <c r="B37" s="77">
        <v>30</v>
      </c>
      <c r="C37" s="225" t="s">
        <v>87</v>
      </c>
      <c r="D37" s="58" t="s">
        <v>88</v>
      </c>
      <c r="E37" s="58" t="s">
        <v>171</v>
      </c>
      <c r="F37" s="58" t="s">
        <v>172</v>
      </c>
      <c r="G37" s="84" t="s">
        <v>89</v>
      </c>
      <c r="H37" s="32">
        <v>12000</v>
      </c>
      <c r="I37" s="32" t="s">
        <v>309</v>
      </c>
      <c r="J37" s="89" t="s">
        <v>20</v>
      </c>
      <c r="K37" s="9">
        <v>45309</v>
      </c>
      <c r="L37" s="95">
        <v>45309</v>
      </c>
      <c r="M37" s="79">
        <v>46405</v>
      </c>
      <c r="N37" s="6">
        <f t="shared" si="0"/>
        <v>1096</v>
      </c>
      <c r="O37" s="98">
        <v>36</v>
      </c>
      <c r="P37" s="6" t="s">
        <v>18</v>
      </c>
      <c r="Q37" s="101">
        <f>H37*1%</f>
        <v>120</v>
      </c>
      <c r="R37" s="6">
        <f t="shared" ca="1" si="2"/>
        <v>944</v>
      </c>
      <c r="S37" s="6" t="str">
        <f t="shared" ca="1" si="4"/>
        <v>Dentro do prazo</v>
      </c>
      <c r="T37" s="6" t="s">
        <v>19</v>
      </c>
      <c r="U37" s="92"/>
    </row>
    <row r="38" spans="2:21" s="26" customFormat="1" ht="43.5" customHeight="1" x14ac:dyDescent="0.3">
      <c r="B38" s="77">
        <v>31</v>
      </c>
      <c r="C38" s="226" t="s">
        <v>90</v>
      </c>
      <c r="D38" s="59" t="s">
        <v>91</v>
      </c>
      <c r="E38" s="58" t="s">
        <v>177</v>
      </c>
      <c r="F38" s="59" t="s">
        <v>168</v>
      </c>
      <c r="G38" s="87" t="s">
        <v>92</v>
      </c>
      <c r="H38" s="53">
        <v>75000</v>
      </c>
      <c r="I38" s="53" t="s">
        <v>309</v>
      </c>
      <c r="J38" s="90" t="s">
        <v>81</v>
      </c>
      <c r="K38" s="43">
        <v>45314</v>
      </c>
      <c r="L38" s="96">
        <v>45314</v>
      </c>
      <c r="M38" s="80">
        <v>45680</v>
      </c>
      <c r="N38" s="33">
        <f t="shared" si="0"/>
        <v>366</v>
      </c>
      <c r="O38" s="99">
        <f>N38/30</f>
        <v>12.2</v>
      </c>
      <c r="P38" s="33" t="s">
        <v>18</v>
      </c>
      <c r="Q38" s="102">
        <f>H38*(0.01+1)^12</f>
        <v>84511.877259897738</v>
      </c>
      <c r="R38" s="6">
        <f t="shared" ca="1" si="2"/>
        <v>219</v>
      </c>
      <c r="S38" s="6" t="str">
        <f t="shared" ca="1" si="4"/>
        <v>Dentro do prazo</v>
      </c>
      <c r="T38" s="33" t="s">
        <v>19</v>
      </c>
      <c r="U38" s="92"/>
    </row>
    <row r="39" spans="2:21" ht="43.5" customHeight="1" x14ac:dyDescent="0.3">
      <c r="B39" s="77">
        <v>32</v>
      </c>
      <c r="C39" s="221" t="s">
        <v>90</v>
      </c>
      <c r="D39" s="33" t="s">
        <v>91</v>
      </c>
      <c r="E39" s="58" t="s">
        <v>177</v>
      </c>
      <c r="F39" s="59" t="s">
        <v>168</v>
      </c>
      <c r="G39" s="88" t="s">
        <v>92</v>
      </c>
      <c r="H39" s="53">
        <v>75000</v>
      </c>
      <c r="I39" s="53" t="s">
        <v>309</v>
      </c>
      <c r="J39" s="91" t="s">
        <v>81</v>
      </c>
      <c r="K39" s="43">
        <v>45321</v>
      </c>
      <c r="L39" s="96">
        <v>45321</v>
      </c>
      <c r="M39" s="80">
        <v>45687</v>
      </c>
      <c r="N39" s="33">
        <f t="shared" si="0"/>
        <v>366</v>
      </c>
      <c r="O39" s="91">
        <v>12</v>
      </c>
      <c r="P39" s="33" t="s">
        <v>18</v>
      </c>
      <c r="Q39" s="102">
        <f>H39*(0.01+1)^12</f>
        <v>84511.877259897738</v>
      </c>
      <c r="R39" s="6">
        <f t="shared" ca="1" si="2"/>
        <v>226</v>
      </c>
      <c r="S39" s="6" t="str">
        <f t="shared" ca="1" si="4"/>
        <v>Dentro do prazo</v>
      </c>
      <c r="T39" s="33" t="s">
        <v>19</v>
      </c>
      <c r="U39" s="92"/>
    </row>
    <row r="40" spans="2:21" ht="43.5" hidden="1" customHeight="1" x14ac:dyDescent="0.3">
      <c r="B40" s="77">
        <v>33</v>
      </c>
      <c r="C40" s="227" t="s">
        <v>59</v>
      </c>
      <c r="D40" s="59" t="s">
        <v>60</v>
      </c>
      <c r="E40" s="59" t="s">
        <v>171</v>
      </c>
      <c r="F40" s="59" t="s">
        <v>172</v>
      </c>
      <c r="G40" s="88" t="s">
        <v>93</v>
      </c>
      <c r="H40" s="120">
        <v>53000</v>
      </c>
      <c r="I40" s="120" t="s">
        <v>310</v>
      </c>
      <c r="J40" s="90" t="s">
        <v>20</v>
      </c>
      <c r="K40" s="43">
        <v>45321</v>
      </c>
      <c r="L40" s="96">
        <v>45321</v>
      </c>
      <c r="M40" s="80">
        <v>46417</v>
      </c>
      <c r="N40" s="33">
        <f t="shared" si="0"/>
        <v>1096</v>
      </c>
      <c r="O40" s="91">
        <v>36</v>
      </c>
      <c r="P40" s="33" t="s">
        <v>62</v>
      </c>
      <c r="Q40" s="121">
        <f>H40*1.2%</f>
        <v>636</v>
      </c>
      <c r="R40" s="6">
        <f t="shared" ref="R40:R71" ca="1" si="5">M40-$D$4</f>
        <v>956</v>
      </c>
      <c r="S40" s="6" t="str">
        <f t="shared" ca="1" si="4"/>
        <v>Dentro do prazo</v>
      </c>
      <c r="T40" s="33" t="s">
        <v>19</v>
      </c>
      <c r="U40" s="104"/>
    </row>
    <row r="41" spans="2:21" ht="43.2" hidden="1" x14ac:dyDescent="0.3">
      <c r="B41" s="77">
        <v>34</v>
      </c>
      <c r="C41" s="228" t="s">
        <v>94</v>
      </c>
      <c r="D41" s="6" t="s">
        <v>95</v>
      </c>
      <c r="E41" s="6" t="s">
        <v>171</v>
      </c>
      <c r="F41" s="6" t="s">
        <v>172</v>
      </c>
      <c r="G41" s="86" t="s">
        <v>96</v>
      </c>
      <c r="H41" s="32">
        <v>30000</v>
      </c>
      <c r="I41" s="32" t="s">
        <v>309</v>
      </c>
      <c r="J41" s="92" t="s">
        <v>20</v>
      </c>
      <c r="K41" s="9">
        <v>45323</v>
      </c>
      <c r="L41" s="95">
        <v>45323</v>
      </c>
      <c r="M41" s="79">
        <v>46419</v>
      </c>
      <c r="N41" s="6">
        <f t="shared" si="0"/>
        <v>1096</v>
      </c>
      <c r="O41" s="92">
        <v>36</v>
      </c>
      <c r="P41" s="6" t="s">
        <v>97</v>
      </c>
      <c r="Q41" s="101">
        <f>H41*1.5%</f>
        <v>450</v>
      </c>
      <c r="R41" s="6">
        <f t="shared" ca="1" si="5"/>
        <v>958</v>
      </c>
      <c r="S41" s="6" t="str">
        <f t="shared" ca="1" si="4"/>
        <v>Dentro do prazo</v>
      </c>
      <c r="T41" s="33" t="s">
        <v>19</v>
      </c>
      <c r="U41" s="104"/>
    </row>
    <row r="42" spans="2:21" ht="43.2" hidden="1" customHeight="1" x14ac:dyDescent="0.3">
      <c r="B42" s="77">
        <v>35</v>
      </c>
      <c r="C42" s="224" t="s">
        <v>43</v>
      </c>
      <c r="D42" s="6" t="s">
        <v>44</v>
      </c>
      <c r="E42" s="6" t="s">
        <v>171</v>
      </c>
      <c r="F42" s="6" t="s">
        <v>172</v>
      </c>
      <c r="G42" s="86" t="s">
        <v>98</v>
      </c>
      <c r="H42" s="32">
        <v>30000</v>
      </c>
      <c r="I42" s="32" t="s">
        <v>309</v>
      </c>
      <c r="J42" s="92" t="s">
        <v>20</v>
      </c>
      <c r="K42" s="9">
        <v>45328</v>
      </c>
      <c r="L42" s="95">
        <v>45328</v>
      </c>
      <c r="M42" s="79">
        <v>46424</v>
      </c>
      <c r="N42" s="47">
        <f t="shared" si="0"/>
        <v>1096</v>
      </c>
      <c r="O42" s="92">
        <v>36</v>
      </c>
      <c r="P42" s="6" t="s">
        <v>99</v>
      </c>
      <c r="Q42" s="101">
        <f>H42*1%</f>
        <v>300</v>
      </c>
      <c r="R42" s="6">
        <f t="shared" ca="1" si="5"/>
        <v>963</v>
      </c>
      <c r="S42" s="6" t="str">
        <f t="shared" ca="1" si="4"/>
        <v>Dentro do prazo</v>
      </c>
      <c r="T42" s="6" t="s">
        <v>19</v>
      </c>
      <c r="U42" s="104"/>
    </row>
    <row r="43" spans="2:21" ht="43.2" hidden="1" customHeight="1" x14ac:dyDescent="0.3">
      <c r="B43" s="77">
        <v>36</v>
      </c>
      <c r="C43" s="224" t="s">
        <v>52</v>
      </c>
      <c r="D43" s="58" t="s">
        <v>53</v>
      </c>
      <c r="E43" s="58" t="s">
        <v>171</v>
      </c>
      <c r="F43" s="58" t="s">
        <v>172</v>
      </c>
      <c r="G43" s="84" t="s">
        <v>54</v>
      </c>
      <c r="H43" s="32">
        <v>10000</v>
      </c>
      <c r="I43" s="32" t="s">
        <v>309</v>
      </c>
      <c r="J43" s="92" t="s">
        <v>20</v>
      </c>
      <c r="K43" s="9">
        <v>45338</v>
      </c>
      <c r="L43" s="95">
        <v>45338</v>
      </c>
      <c r="M43" s="79">
        <v>46434</v>
      </c>
      <c r="N43" s="6">
        <f t="shared" si="0"/>
        <v>1096</v>
      </c>
      <c r="O43" s="92">
        <v>36</v>
      </c>
      <c r="P43" s="6" t="s">
        <v>56</v>
      </c>
      <c r="Q43" s="101">
        <f>H43*1.6%</f>
        <v>160</v>
      </c>
      <c r="R43" s="6">
        <f t="shared" ca="1" si="5"/>
        <v>973</v>
      </c>
      <c r="S43" s="6" t="str">
        <f t="shared" ca="1" si="4"/>
        <v>Dentro do prazo</v>
      </c>
      <c r="T43" s="6" t="s">
        <v>19</v>
      </c>
      <c r="U43" s="104"/>
    </row>
    <row r="44" spans="2:21" ht="43.2" hidden="1" customHeight="1" x14ac:dyDescent="0.3">
      <c r="B44" s="77">
        <v>37</v>
      </c>
      <c r="C44" s="225" t="s">
        <v>87</v>
      </c>
      <c r="D44" s="58" t="s">
        <v>88</v>
      </c>
      <c r="E44" s="58" t="s">
        <v>171</v>
      </c>
      <c r="F44" s="58" t="s">
        <v>172</v>
      </c>
      <c r="G44" s="84" t="s">
        <v>89</v>
      </c>
      <c r="H44" s="32">
        <v>8000</v>
      </c>
      <c r="I44" s="32" t="s">
        <v>309</v>
      </c>
      <c r="J44" s="92" t="s">
        <v>20</v>
      </c>
      <c r="K44" s="9">
        <v>45343</v>
      </c>
      <c r="L44" s="95">
        <v>45343</v>
      </c>
      <c r="M44" s="79">
        <v>46439</v>
      </c>
      <c r="N44" s="47">
        <f t="shared" si="0"/>
        <v>1096</v>
      </c>
      <c r="O44" s="92">
        <v>36</v>
      </c>
      <c r="P44" s="6" t="s">
        <v>18</v>
      </c>
      <c r="Q44" s="101">
        <f>H44*1%</f>
        <v>80</v>
      </c>
      <c r="R44" s="6">
        <f t="shared" ca="1" si="5"/>
        <v>978</v>
      </c>
      <c r="S44" s="6" t="str">
        <f t="shared" ca="1" si="4"/>
        <v>Dentro do prazo</v>
      </c>
      <c r="T44" s="6" t="s">
        <v>19</v>
      </c>
      <c r="U44" s="104"/>
    </row>
    <row r="45" spans="2:21" ht="43.2" customHeight="1" x14ac:dyDescent="0.3">
      <c r="B45" s="77">
        <v>38</v>
      </c>
      <c r="C45" s="226" t="s">
        <v>100</v>
      </c>
      <c r="D45" s="59" t="s">
        <v>101</v>
      </c>
      <c r="E45" s="59" t="s">
        <v>174</v>
      </c>
      <c r="F45" s="59" t="s">
        <v>174</v>
      </c>
      <c r="G45" s="88" t="s">
        <v>102</v>
      </c>
      <c r="H45" s="53">
        <v>47000</v>
      </c>
      <c r="I45" s="53" t="s">
        <v>311</v>
      </c>
      <c r="J45" s="91" t="s">
        <v>81</v>
      </c>
      <c r="K45" s="43">
        <v>45349</v>
      </c>
      <c r="L45" s="96">
        <v>45349</v>
      </c>
      <c r="M45" s="80">
        <v>46445</v>
      </c>
      <c r="N45" s="33">
        <f t="shared" si="0"/>
        <v>1096</v>
      </c>
      <c r="O45" s="91">
        <v>36</v>
      </c>
      <c r="P45" s="33" t="s">
        <v>18</v>
      </c>
      <c r="Q45" s="102">
        <f>H45*(0.01+1)^36</f>
        <v>67246.132828804301</v>
      </c>
      <c r="R45" s="6">
        <f t="shared" ca="1" si="5"/>
        <v>984</v>
      </c>
      <c r="S45" s="6" t="str">
        <f t="shared" ca="1" si="4"/>
        <v>Dentro do prazo</v>
      </c>
      <c r="T45" s="33" t="s">
        <v>19</v>
      </c>
      <c r="U45" s="92"/>
    </row>
    <row r="46" spans="2:21" ht="43.2" hidden="1" customHeight="1" x14ac:dyDescent="0.3">
      <c r="B46" s="77">
        <v>39</v>
      </c>
      <c r="C46" s="228" t="s">
        <v>94</v>
      </c>
      <c r="D46" s="6" t="s">
        <v>95</v>
      </c>
      <c r="E46" s="6" t="s">
        <v>171</v>
      </c>
      <c r="F46" s="6" t="s">
        <v>172</v>
      </c>
      <c r="G46" s="86" t="s">
        <v>96</v>
      </c>
      <c r="H46" s="32">
        <v>56000</v>
      </c>
      <c r="I46" s="32" t="s">
        <v>309</v>
      </c>
      <c r="J46" s="92" t="s">
        <v>20</v>
      </c>
      <c r="K46" s="9">
        <v>45352</v>
      </c>
      <c r="L46" s="95">
        <v>45352</v>
      </c>
      <c r="M46" s="79">
        <v>46447</v>
      </c>
      <c r="N46" s="47">
        <f t="shared" si="0"/>
        <v>1095</v>
      </c>
      <c r="O46" s="92">
        <v>36</v>
      </c>
      <c r="P46" s="6" t="s">
        <v>36</v>
      </c>
      <c r="Q46" s="101">
        <f>H46*1.5%</f>
        <v>840</v>
      </c>
      <c r="R46" s="6">
        <f t="shared" ca="1" si="5"/>
        <v>986</v>
      </c>
      <c r="S46" s="6" t="str">
        <f t="shared" ca="1" si="4"/>
        <v>Dentro do prazo</v>
      </c>
      <c r="T46" s="6" t="s">
        <v>19</v>
      </c>
      <c r="U46" s="104"/>
    </row>
    <row r="47" spans="2:21" ht="43.2" customHeight="1" x14ac:dyDescent="0.3">
      <c r="B47" s="77">
        <v>40</v>
      </c>
      <c r="C47" s="221" t="s">
        <v>103</v>
      </c>
      <c r="D47" s="33" t="s">
        <v>104</v>
      </c>
      <c r="E47" s="33" t="s">
        <v>174</v>
      </c>
      <c r="F47" s="33" t="s">
        <v>174</v>
      </c>
      <c r="G47" s="88" t="s">
        <v>105</v>
      </c>
      <c r="H47" s="53">
        <v>18000</v>
      </c>
      <c r="I47" s="53" t="s">
        <v>309</v>
      </c>
      <c r="J47" s="91" t="s">
        <v>14</v>
      </c>
      <c r="K47" s="43">
        <v>45352</v>
      </c>
      <c r="L47" s="96">
        <v>45352</v>
      </c>
      <c r="M47" s="80">
        <v>46447</v>
      </c>
      <c r="N47" s="39">
        <f t="shared" si="0"/>
        <v>1095</v>
      </c>
      <c r="O47" s="91">
        <v>36</v>
      </c>
      <c r="P47" s="33" t="s">
        <v>18</v>
      </c>
      <c r="Q47" s="102">
        <f>H47*(0.01+1)^36</f>
        <v>25753.838104648457</v>
      </c>
      <c r="R47" s="6">
        <f t="shared" ca="1" si="5"/>
        <v>986</v>
      </c>
      <c r="S47" s="6" t="str">
        <f t="shared" ca="1" si="4"/>
        <v>Dentro do prazo</v>
      </c>
      <c r="T47" s="33" t="s">
        <v>19</v>
      </c>
      <c r="U47" s="92"/>
    </row>
    <row r="48" spans="2:21" ht="43.2" hidden="1" customHeight="1" x14ac:dyDescent="0.3">
      <c r="B48" s="77">
        <v>41</v>
      </c>
      <c r="C48" s="225" t="s">
        <v>71</v>
      </c>
      <c r="D48" s="58" t="s">
        <v>72</v>
      </c>
      <c r="E48" s="58" t="s">
        <v>171</v>
      </c>
      <c r="F48" s="58" t="s">
        <v>172</v>
      </c>
      <c r="G48" s="84" t="s">
        <v>73</v>
      </c>
      <c r="H48" s="32">
        <v>11000</v>
      </c>
      <c r="I48" s="32" t="s">
        <v>309</v>
      </c>
      <c r="J48" s="92" t="s">
        <v>20</v>
      </c>
      <c r="K48" s="9">
        <v>45358</v>
      </c>
      <c r="L48" s="95">
        <v>45358</v>
      </c>
      <c r="M48" s="79">
        <v>46453</v>
      </c>
      <c r="N48" s="47">
        <f t="shared" si="0"/>
        <v>1095</v>
      </c>
      <c r="O48" s="92">
        <v>36</v>
      </c>
      <c r="P48" s="6" t="s">
        <v>18</v>
      </c>
      <c r="Q48" s="101">
        <f>H48*1%</f>
        <v>110</v>
      </c>
      <c r="R48" s="6">
        <f t="shared" ca="1" si="5"/>
        <v>992</v>
      </c>
      <c r="S48" s="6" t="str">
        <f t="shared" ca="1" si="4"/>
        <v>Dentro do prazo</v>
      </c>
      <c r="T48" s="6" t="s">
        <v>19</v>
      </c>
      <c r="U48" s="104"/>
    </row>
    <row r="49" spans="2:21" ht="43.5" customHeight="1" x14ac:dyDescent="0.3">
      <c r="B49" s="77">
        <v>42</v>
      </c>
      <c r="C49" s="225" t="s">
        <v>27</v>
      </c>
      <c r="D49" s="58" t="s">
        <v>28</v>
      </c>
      <c r="E49" s="58" t="s">
        <v>171</v>
      </c>
      <c r="F49" s="58" t="s">
        <v>172</v>
      </c>
      <c r="G49" s="84" t="s">
        <v>29</v>
      </c>
      <c r="H49" s="53">
        <v>22000</v>
      </c>
      <c r="I49" s="231" t="s">
        <v>309</v>
      </c>
      <c r="J49" s="93" t="s">
        <v>81</v>
      </c>
      <c r="K49" s="43">
        <v>45363</v>
      </c>
      <c r="L49" s="96">
        <v>45366</v>
      </c>
      <c r="M49" s="80">
        <v>46461</v>
      </c>
      <c r="N49" s="3"/>
      <c r="O49" s="91">
        <v>36</v>
      </c>
      <c r="P49" s="33" t="s">
        <v>18</v>
      </c>
      <c r="Q49" s="102">
        <f>H49*(0.01+1)^36</f>
        <v>31476.913239014782</v>
      </c>
      <c r="R49" s="6">
        <f t="shared" ca="1" si="5"/>
        <v>1000</v>
      </c>
      <c r="S49" s="6" t="str">
        <f t="shared" ca="1" si="4"/>
        <v>Dentro do prazo</v>
      </c>
      <c r="T49" s="33" t="s">
        <v>19</v>
      </c>
      <c r="U49" s="92"/>
    </row>
    <row r="50" spans="2:21" ht="43.5" customHeight="1" x14ac:dyDescent="0.3">
      <c r="B50" s="77">
        <v>43</v>
      </c>
      <c r="C50" s="225" t="s">
        <v>82</v>
      </c>
      <c r="D50" s="58" t="s">
        <v>83</v>
      </c>
      <c r="E50" s="58" t="s">
        <v>173</v>
      </c>
      <c r="F50" s="58" t="s">
        <v>176</v>
      </c>
      <c r="G50" s="84" t="s">
        <v>84</v>
      </c>
      <c r="H50" s="32">
        <v>14000</v>
      </c>
      <c r="I50" s="32" t="s">
        <v>309</v>
      </c>
      <c r="J50" s="92" t="s">
        <v>81</v>
      </c>
      <c r="K50" s="9">
        <v>45376</v>
      </c>
      <c r="L50" s="95">
        <v>45370</v>
      </c>
      <c r="M50" s="79">
        <v>46465</v>
      </c>
      <c r="N50" s="47"/>
      <c r="O50" s="92">
        <v>36</v>
      </c>
      <c r="P50" s="6" t="s">
        <v>18</v>
      </c>
      <c r="Q50" s="102">
        <f>H50*(0.01+1)^36</f>
        <v>20030.762970282132</v>
      </c>
      <c r="R50" s="6">
        <f t="shared" ca="1" si="5"/>
        <v>1004</v>
      </c>
      <c r="S50" s="6" t="str">
        <f t="shared" ca="1" si="4"/>
        <v>Dentro do prazo</v>
      </c>
      <c r="T50" s="33" t="s">
        <v>19</v>
      </c>
      <c r="U50" s="92"/>
    </row>
    <row r="51" spans="2:21" ht="43.2" x14ac:dyDescent="0.3">
      <c r="B51" s="77">
        <v>44</v>
      </c>
      <c r="C51" s="224" t="s">
        <v>30</v>
      </c>
      <c r="D51" s="58" t="s">
        <v>31</v>
      </c>
      <c r="E51" s="58" t="s">
        <v>171</v>
      </c>
      <c r="F51" s="58" t="s">
        <v>172</v>
      </c>
      <c r="G51" s="84" t="s">
        <v>32</v>
      </c>
      <c r="H51" s="32">
        <v>31000</v>
      </c>
      <c r="I51" s="32" t="s">
        <v>309</v>
      </c>
      <c r="J51" s="92" t="s">
        <v>14</v>
      </c>
      <c r="K51" s="9">
        <v>45373</v>
      </c>
      <c r="L51" s="95">
        <v>45373</v>
      </c>
      <c r="M51" s="79">
        <v>46468</v>
      </c>
      <c r="N51" s="6"/>
      <c r="O51" s="92">
        <v>36</v>
      </c>
      <c r="P51" s="6" t="s">
        <v>18</v>
      </c>
      <c r="Q51" s="101">
        <f>H51*(0.01+1)^36</f>
        <v>44353.832291339007</v>
      </c>
      <c r="R51" s="6">
        <f t="shared" ca="1" si="5"/>
        <v>1007</v>
      </c>
      <c r="S51" s="6" t="str">
        <f t="shared" ca="1" si="4"/>
        <v>Dentro do prazo</v>
      </c>
      <c r="T51" s="6" t="s">
        <v>19</v>
      </c>
      <c r="U51" s="92"/>
    </row>
    <row r="52" spans="2:21" ht="43.2" x14ac:dyDescent="0.3">
      <c r="B52" s="77">
        <v>45</v>
      </c>
      <c r="C52" s="225" t="s">
        <v>66</v>
      </c>
      <c r="D52" s="58" t="s">
        <v>67</v>
      </c>
      <c r="E52" s="58" t="s">
        <v>173</v>
      </c>
      <c r="F52" s="58" t="s">
        <v>173</v>
      </c>
      <c r="G52" s="86" t="s">
        <v>68</v>
      </c>
      <c r="H52" s="32">
        <v>20000</v>
      </c>
      <c r="I52" s="32" t="s">
        <v>309</v>
      </c>
      <c r="J52" s="92" t="s">
        <v>14</v>
      </c>
      <c r="K52" s="9">
        <v>45379</v>
      </c>
      <c r="L52" s="95">
        <v>45378</v>
      </c>
      <c r="M52" s="79">
        <v>46473</v>
      </c>
      <c r="N52" s="3"/>
      <c r="O52" s="92">
        <v>36</v>
      </c>
      <c r="P52" s="6" t="s">
        <v>18</v>
      </c>
      <c r="Q52" s="101">
        <f>H52*(0.01+1)^36</f>
        <v>28615.375671831618</v>
      </c>
      <c r="R52" s="6">
        <f t="shared" ca="1" si="5"/>
        <v>1012</v>
      </c>
      <c r="S52" s="6" t="str">
        <f t="shared" ca="1" si="4"/>
        <v>Dentro do prazo</v>
      </c>
      <c r="T52" s="6" t="s">
        <v>19</v>
      </c>
      <c r="U52" s="105" t="s">
        <v>119</v>
      </c>
    </row>
    <row r="53" spans="2:21" ht="43.2" customHeight="1" x14ac:dyDescent="0.3">
      <c r="B53" s="114">
        <v>46</v>
      </c>
      <c r="C53" s="221" t="s">
        <v>115</v>
      </c>
      <c r="D53" s="59" t="s">
        <v>116</v>
      </c>
      <c r="E53" s="59" t="s">
        <v>171</v>
      </c>
      <c r="F53" s="59" t="s">
        <v>176</v>
      </c>
      <c r="G53" s="88" t="s">
        <v>117</v>
      </c>
      <c r="H53" s="53">
        <v>20000</v>
      </c>
      <c r="I53" s="53" t="s">
        <v>309</v>
      </c>
      <c r="J53" s="91" t="s">
        <v>81</v>
      </c>
      <c r="K53" s="43">
        <v>45378</v>
      </c>
      <c r="L53" s="96">
        <v>45379</v>
      </c>
      <c r="M53" s="80">
        <v>46474</v>
      </c>
      <c r="N53" s="3"/>
      <c r="O53" s="91">
        <v>36</v>
      </c>
      <c r="P53" s="33" t="s">
        <v>18</v>
      </c>
      <c r="Q53" s="102">
        <f>H53*(0.01+1)^36</f>
        <v>28615.375671831618</v>
      </c>
      <c r="R53" s="6">
        <f t="shared" ca="1" si="5"/>
        <v>1013</v>
      </c>
      <c r="S53" s="6" t="str">
        <f t="shared" ref="S53:S78" ca="1" si="6">IF(R53&gt;30,"Dentro do prazo",IF(R53&lt;=0,"Vencido","A vencer"))</f>
        <v>Dentro do prazo</v>
      </c>
      <c r="T53" s="33" t="s">
        <v>19</v>
      </c>
      <c r="U53" s="118" t="s">
        <v>119</v>
      </c>
    </row>
    <row r="54" spans="2:21" ht="43.2" hidden="1" customHeight="1" x14ac:dyDescent="0.3">
      <c r="B54" s="114">
        <v>47</v>
      </c>
      <c r="C54" s="229" t="s">
        <v>43</v>
      </c>
      <c r="D54" s="6" t="s">
        <v>44</v>
      </c>
      <c r="E54" s="6" t="s">
        <v>171</v>
      </c>
      <c r="F54" s="6" t="s">
        <v>172</v>
      </c>
      <c r="G54" s="86" t="s">
        <v>45</v>
      </c>
      <c r="H54" s="32">
        <v>172000</v>
      </c>
      <c r="I54" s="32" t="s">
        <v>309</v>
      </c>
      <c r="J54" s="92" t="s">
        <v>20</v>
      </c>
      <c r="K54" s="9">
        <v>45384</v>
      </c>
      <c r="L54" s="95">
        <v>45383</v>
      </c>
      <c r="M54" s="79">
        <v>46478</v>
      </c>
      <c r="N54" s="6"/>
      <c r="O54" s="92">
        <v>36</v>
      </c>
      <c r="P54" s="6" t="s">
        <v>18</v>
      </c>
      <c r="Q54" s="101">
        <f>H54*1%</f>
        <v>1720</v>
      </c>
      <c r="R54" s="6">
        <f t="shared" ca="1" si="5"/>
        <v>1017</v>
      </c>
      <c r="S54" s="6" t="str">
        <f t="shared" ca="1" si="6"/>
        <v>Dentro do prazo</v>
      </c>
      <c r="T54" s="33" t="s">
        <v>19</v>
      </c>
      <c r="U54" s="118" t="s">
        <v>119</v>
      </c>
    </row>
    <row r="55" spans="2:21" ht="43.2" customHeight="1" x14ac:dyDescent="0.3">
      <c r="B55" s="114">
        <v>48</v>
      </c>
      <c r="C55" s="221" t="s">
        <v>90</v>
      </c>
      <c r="D55" s="33" t="s">
        <v>91</v>
      </c>
      <c r="E55" s="33" t="s">
        <v>174</v>
      </c>
      <c r="F55" s="33" t="s">
        <v>174</v>
      </c>
      <c r="G55" s="88" t="s">
        <v>92</v>
      </c>
      <c r="H55" s="53">
        <v>20000</v>
      </c>
      <c r="I55" s="53" t="s">
        <v>309</v>
      </c>
      <c r="J55" s="91" t="s">
        <v>81</v>
      </c>
      <c r="K55" s="43">
        <v>45385</v>
      </c>
      <c r="L55" s="96">
        <v>45384</v>
      </c>
      <c r="M55" s="80">
        <v>46479</v>
      </c>
      <c r="N55" s="39"/>
      <c r="O55" s="91">
        <v>36</v>
      </c>
      <c r="P55" s="33" t="s">
        <v>18</v>
      </c>
      <c r="Q55" s="102">
        <f>H55*(0.01+1)^36</f>
        <v>28615.375671831618</v>
      </c>
      <c r="R55" s="6">
        <f t="shared" ca="1" si="5"/>
        <v>1018</v>
      </c>
      <c r="S55" s="6" t="str">
        <f t="shared" ca="1" si="6"/>
        <v>Dentro do prazo</v>
      </c>
      <c r="T55" s="33" t="s">
        <v>19</v>
      </c>
      <c r="U55" s="118" t="s">
        <v>119</v>
      </c>
    </row>
    <row r="56" spans="2:21" ht="43.2" customHeight="1" x14ac:dyDescent="0.3">
      <c r="B56" s="114">
        <v>49</v>
      </c>
      <c r="C56" s="228" t="s">
        <v>115</v>
      </c>
      <c r="D56" s="6" t="s">
        <v>116</v>
      </c>
      <c r="E56" s="6" t="s">
        <v>171</v>
      </c>
      <c r="F56" s="6" t="s">
        <v>176</v>
      </c>
      <c r="G56" s="86" t="s">
        <v>117</v>
      </c>
      <c r="H56" s="32">
        <v>5000</v>
      </c>
      <c r="I56" s="32" t="s">
        <v>309</v>
      </c>
      <c r="J56" s="92" t="s">
        <v>81</v>
      </c>
      <c r="K56" s="9">
        <v>45384</v>
      </c>
      <c r="L56" s="95">
        <v>45384</v>
      </c>
      <c r="M56" s="79">
        <v>46479</v>
      </c>
      <c r="N56" s="47"/>
      <c r="O56" s="92">
        <v>36</v>
      </c>
      <c r="P56" s="6" t="s">
        <v>18</v>
      </c>
      <c r="Q56" s="101">
        <f>H56*(0.01+1)^36</f>
        <v>7153.8439179579045</v>
      </c>
      <c r="R56" s="6">
        <f t="shared" ca="1" si="5"/>
        <v>1018</v>
      </c>
      <c r="S56" s="6" t="str">
        <f t="shared" ca="1" si="6"/>
        <v>Dentro do prazo</v>
      </c>
      <c r="T56" s="6" t="s">
        <v>19</v>
      </c>
      <c r="U56" s="105" t="s">
        <v>119</v>
      </c>
    </row>
    <row r="57" spans="2:21" ht="43.2" customHeight="1" x14ac:dyDescent="0.3">
      <c r="B57" s="114">
        <v>50</v>
      </c>
      <c r="C57" s="221" t="s">
        <v>133</v>
      </c>
      <c r="D57" s="33" t="s">
        <v>134</v>
      </c>
      <c r="E57" s="33" t="s">
        <v>174</v>
      </c>
      <c r="F57" s="33" t="s">
        <v>174</v>
      </c>
      <c r="G57" s="88" t="s">
        <v>135</v>
      </c>
      <c r="H57" s="53">
        <v>17500</v>
      </c>
      <c r="I57" s="53" t="s">
        <v>309</v>
      </c>
      <c r="J57" s="91" t="s">
        <v>81</v>
      </c>
      <c r="K57" s="43">
        <v>45386</v>
      </c>
      <c r="L57" s="96">
        <v>45386</v>
      </c>
      <c r="M57" s="80">
        <v>46481</v>
      </c>
      <c r="O57" s="91">
        <v>36</v>
      </c>
      <c r="P57" s="33" t="s">
        <v>18</v>
      </c>
      <c r="Q57" s="102">
        <f>H57*(0.01+1)^36</f>
        <v>25038.453712852668</v>
      </c>
      <c r="R57" s="33">
        <f t="shared" ca="1" si="5"/>
        <v>1020</v>
      </c>
      <c r="S57" s="33" t="str">
        <f t="shared" ca="1" si="6"/>
        <v>Dentro do prazo</v>
      </c>
      <c r="T57" s="33" t="s">
        <v>19</v>
      </c>
      <c r="U57" s="118" t="s">
        <v>119</v>
      </c>
    </row>
    <row r="58" spans="2:21" ht="43.2" customHeight="1" x14ac:dyDescent="0.3">
      <c r="B58" s="114">
        <v>51</v>
      </c>
      <c r="C58" s="228" t="s">
        <v>100</v>
      </c>
      <c r="D58" s="6" t="s">
        <v>101</v>
      </c>
      <c r="E58" s="6" t="s">
        <v>174</v>
      </c>
      <c r="F58" s="6" t="s">
        <v>174</v>
      </c>
      <c r="G58" s="86" t="s">
        <v>102</v>
      </c>
      <c r="H58" s="32">
        <v>30000</v>
      </c>
      <c r="I58" s="32" t="s">
        <v>309</v>
      </c>
      <c r="J58" s="92" t="s">
        <v>81</v>
      </c>
      <c r="K58" s="9">
        <v>45387</v>
      </c>
      <c r="L58" s="95">
        <v>45387</v>
      </c>
      <c r="M58" s="79">
        <v>46482</v>
      </c>
      <c r="N58" s="31"/>
      <c r="O58" s="92">
        <v>36</v>
      </c>
      <c r="P58" s="6" t="s">
        <v>18</v>
      </c>
      <c r="Q58" s="101">
        <f>H58*(0.01+1)^36</f>
        <v>42923.063507747429</v>
      </c>
      <c r="R58" s="6">
        <f t="shared" ca="1" si="5"/>
        <v>1021</v>
      </c>
      <c r="S58" s="6" t="str">
        <f t="shared" ca="1" si="6"/>
        <v>Dentro do prazo</v>
      </c>
      <c r="T58" s="6" t="s">
        <v>19</v>
      </c>
      <c r="U58" s="105" t="s">
        <v>119</v>
      </c>
    </row>
    <row r="59" spans="2:21" ht="43.2" hidden="1" customHeight="1" x14ac:dyDescent="0.3">
      <c r="B59" s="114">
        <v>52</v>
      </c>
      <c r="C59" s="230" t="s">
        <v>94</v>
      </c>
      <c r="D59" s="71" t="s">
        <v>95</v>
      </c>
      <c r="E59" s="71" t="s">
        <v>171</v>
      </c>
      <c r="F59" s="71" t="s">
        <v>172</v>
      </c>
      <c r="G59" s="115" t="s">
        <v>96</v>
      </c>
      <c r="H59" s="72">
        <v>20000</v>
      </c>
      <c r="I59" s="72" t="s">
        <v>309</v>
      </c>
      <c r="J59" s="94" t="s">
        <v>20</v>
      </c>
      <c r="K59" s="73">
        <v>45387</v>
      </c>
      <c r="L59" s="97">
        <v>45387</v>
      </c>
      <c r="M59" s="81">
        <v>46482</v>
      </c>
      <c r="N59" s="113"/>
      <c r="O59" s="100">
        <v>36</v>
      </c>
      <c r="P59" s="74" t="s">
        <v>36</v>
      </c>
      <c r="Q59" s="103">
        <f>Tabela2[[#This Row],[VALOR DEPOSITADO ]]*1.5%</f>
        <v>300</v>
      </c>
      <c r="R59" s="74">
        <f t="shared" ca="1" si="5"/>
        <v>1021</v>
      </c>
      <c r="S59" s="74" t="str">
        <f t="shared" ca="1" si="6"/>
        <v>Dentro do prazo</v>
      </c>
      <c r="T59" s="74" t="s">
        <v>19</v>
      </c>
      <c r="U59" s="117" t="s">
        <v>119</v>
      </c>
    </row>
    <row r="60" spans="2:21" ht="43.2" customHeight="1" x14ac:dyDescent="0.3">
      <c r="B60" s="114">
        <v>53</v>
      </c>
      <c r="C60" s="221" t="s">
        <v>162</v>
      </c>
      <c r="D60" s="33" t="s">
        <v>136</v>
      </c>
      <c r="E60" s="33" t="s">
        <v>171</v>
      </c>
      <c r="F60" s="33" t="s">
        <v>176</v>
      </c>
      <c r="G60" s="88" t="s">
        <v>137</v>
      </c>
      <c r="H60" s="53">
        <f>58000</f>
        <v>58000</v>
      </c>
      <c r="I60" s="53" t="s">
        <v>311</v>
      </c>
      <c r="J60" s="91" t="s">
        <v>81</v>
      </c>
      <c r="K60" s="43">
        <v>45389</v>
      </c>
      <c r="L60" s="96">
        <v>45387</v>
      </c>
      <c r="M60" s="80">
        <v>46482</v>
      </c>
      <c r="N60" s="113"/>
      <c r="O60" s="91">
        <v>36</v>
      </c>
      <c r="P60" s="33" t="s">
        <v>138</v>
      </c>
      <c r="Q60" s="102">
        <f>H60*(0.012+1)^Tabela2[[#This Row],[MESES]]</f>
        <v>89110.000006384522</v>
      </c>
      <c r="R60" s="33">
        <f t="shared" ca="1" si="5"/>
        <v>1021</v>
      </c>
      <c r="S60" s="33" t="str">
        <f t="shared" ca="1" si="6"/>
        <v>Dentro do prazo</v>
      </c>
      <c r="T60" s="74" t="s">
        <v>19</v>
      </c>
      <c r="U60" s="117" t="s">
        <v>119</v>
      </c>
    </row>
    <row r="61" spans="2:21" ht="43.2" customHeight="1" x14ac:dyDescent="0.3">
      <c r="B61" s="114">
        <v>54</v>
      </c>
      <c r="C61" s="221" t="s">
        <v>103</v>
      </c>
      <c r="D61" s="33" t="s">
        <v>104</v>
      </c>
      <c r="E61" s="33" t="s">
        <v>174</v>
      </c>
      <c r="F61" s="33" t="s">
        <v>174</v>
      </c>
      <c r="G61" s="88" t="s">
        <v>105</v>
      </c>
      <c r="H61" s="53">
        <v>10000</v>
      </c>
      <c r="I61" s="53" t="s">
        <v>309</v>
      </c>
      <c r="J61" s="91" t="s">
        <v>81</v>
      </c>
      <c r="K61" s="43">
        <v>45390</v>
      </c>
      <c r="L61" s="96">
        <v>45391</v>
      </c>
      <c r="M61" s="80">
        <v>46486</v>
      </c>
      <c r="N61" s="113"/>
      <c r="O61" s="91">
        <v>36</v>
      </c>
      <c r="P61" s="33" t="s">
        <v>18</v>
      </c>
      <c r="Q61" s="102">
        <f>H61*(0.01+1)^36</f>
        <v>14307.687835915809</v>
      </c>
      <c r="R61" s="33">
        <f t="shared" ca="1" si="5"/>
        <v>1025</v>
      </c>
      <c r="S61" s="33" t="str">
        <f t="shared" ca="1" si="6"/>
        <v>Dentro do prazo</v>
      </c>
      <c r="T61" s="33" t="s">
        <v>19</v>
      </c>
      <c r="U61" s="117" t="s">
        <v>119</v>
      </c>
    </row>
    <row r="62" spans="2:21" ht="43.2" customHeight="1" x14ac:dyDescent="0.3">
      <c r="B62" s="114">
        <v>55</v>
      </c>
      <c r="C62" s="221" t="s">
        <v>162</v>
      </c>
      <c r="D62" s="33" t="s">
        <v>136</v>
      </c>
      <c r="E62" s="33" t="s">
        <v>171</v>
      </c>
      <c r="F62" s="33" t="s">
        <v>176</v>
      </c>
      <c r="G62" s="88" t="s">
        <v>137</v>
      </c>
      <c r="H62" s="53">
        <v>64000</v>
      </c>
      <c r="I62" s="53" t="s">
        <v>309</v>
      </c>
      <c r="J62" s="91" t="s">
        <v>81</v>
      </c>
      <c r="K62" s="43">
        <v>45394</v>
      </c>
      <c r="L62" s="96">
        <v>45393</v>
      </c>
      <c r="M62" s="80">
        <v>46488</v>
      </c>
      <c r="N62" s="119"/>
      <c r="O62" s="91">
        <v>36</v>
      </c>
      <c r="P62" s="33" t="s">
        <v>62</v>
      </c>
      <c r="Q62" s="102">
        <f>H62*(0.012+1)^36</f>
        <v>98328.275869113946</v>
      </c>
      <c r="R62" s="33">
        <f t="shared" ca="1" si="5"/>
        <v>1027</v>
      </c>
      <c r="S62" s="33" t="str">
        <f t="shared" ca="1" si="6"/>
        <v>Dentro do prazo</v>
      </c>
      <c r="T62" s="33" t="s">
        <v>19</v>
      </c>
      <c r="U62" s="117" t="s">
        <v>119</v>
      </c>
    </row>
    <row r="63" spans="2:21" ht="43.2" customHeight="1" x14ac:dyDescent="0.3">
      <c r="B63" s="114">
        <v>56</v>
      </c>
      <c r="C63" s="221" t="s">
        <v>90</v>
      </c>
      <c r="D63" s="33" t="s">
        <v>91</v>
      </c>
      <c r="E63" s="33" t="s">
        <v>174</v>
      </c>
      <c r="F63" s="33" t="s">
        <v>174</v>
      </c>
      <c r="G63" s="88" t="s">
        <v>92</v>
      </c>
      <c r="H63" s="53">
        <v>10000</v>
      </c>
      <c r="I63" s="53" t="s">
        <v>309</v>
      </c>
      <c r="J63" s="91" t="s">
        <v>81</v>
      </c>
      <c r="K63" s="43">
        <v>45400</v>
      </c>
      <c r="L63" s="96">
        <v>45398</v>
      </c>
      <c r="M63" s="80">
        <v>46493</v>
      </c>
      <c r="N63" s="119"/>
      <c r="O63" s="91">
        <v>36</v>
      </c>
      <c r="P63" s="33" t="s">
        <v>18</v>
      </c>
      <c r="Q63" s="102">
        <f>H63*(0.01+1)^36</f>
        <v>14307.687835915809</v>
      </c>
      <c r="R63" s="33">
        <f t="shared" ca="1" si="5"/>
        <v>1032</v>
      </c>
      <c r="S63" s="33" t="str">
        <f t="shared" ca="1" si="6"/>
        <v>Dentro do prazo</v>
      </c>
      <c r="T63" s="33" t="s">
        <v>19</v>
      </c>
      <c r="U63" s="118" t="s">
        <v>119</v>
      </c>
    </row>
    <row r="64" spans="2:21" ht="43.2" customHeight="1" x14ac:dyDescent="0.3">
      <c r="B64" s="114">
        <v>57</v>
      </c>
      <c r="C64" s="224" t="s">
        <v>21</v>
      </c>
      <c r="D64" s="58" t="s">
        <v>22</v>
      </c>
      <c r="E64" s="58" t="s">
        <v>177</v>
      </c>
      <c r="F64" s="59" t="s">
        <v>168</v>
      </c>
      <c r="G64" s="88" t="s">
        <v>145</v>
      </c>
      <c r="H64" s="53">
        <v>19000</v>
      </c>
      <c r="I64" s="53" t="s">
        <v>309</v>
      </c>
      <c r="J64" s="91" t="s">
        <v>81</v>
      </c>
      <c r="K64" s="43">
        <v>45399</v>
      </c>
      <c r="L64" s="96">
        <v>45398</v>
      </c>
      <c r="M64" s="80">
        <v>45763</v>
      </c>
      <c r="N64" s="119"/>
      <c r="O64" s="91">
        <v>12</v>
      </c>
      <c r="P64" s="33" t="s">
        <v>18</v>
      </c>
      <c r="Q64" s="102">
        <f>H64*(0.01+1)^12</f>
        <v>21409.675572507425</v>
      </c>
      <c r="R64" s="33">
        <f t="shared" ca="1" si="5"/>
        <v>302</v>
      </c>
      <c r="S64" s="33" t="str">
        <f t="shared" ca="1" si="6"/>
        <v>Dentro do prazo</v>
      </c>
      <c r="T64" s="33" t="s">
        <v>19</v>
      </c>
      <c r="U64" s="118" t="s">
        <v>119</v>
      </c>
    </row>
    <row r="65" spans="2:21" ht="43.2" customHeight="1" x14ac:dyDescent="0.3">
      <c r="B65" s="114">
        <v>58</v>
      </c>
      <c r="C65" s="221" t="s">
        <v>133</v>
      </c>
      <c r="D65" s="33" t="s">
        <v>134</v>
      </c>
      <c r="E65" s="33" t="s">
        <v>174</v>
      </c>
      <c r="F65" s="33" t="s">
        <v>174</v>
      </c>
      <c r="G65" s="88" t="s">
        <v>135</v>
      </c>
      <c r="H65" s="53">
        <v>18000</v>
      </c>
      <c r="I65" s="53" t="s">
        <v>309</v>
      </c>
      <c r="J65" s="91" t="s">
        <v>81</v>
      </c>
      <c r="K65" s="43">
        <v>45407</v>
      </c>
      <c r="L65" s="96">
        <v>45408</v>
      </c>
      <c r="M65" s="80">
        <v>46503</v>
      </c>
      <c r="N65" s="119"/>
      <c r="O65" s="91">
        <v>36</v>
      </c>
      <c r="P65" s="33" t="s">
        <v>18</v>
      </c>
      <c r="Q65" s="102">
        <f>H65*(0.01+1)^36</f>
        <v>25753.838104648457</v>
      </c>
      <c r="R65" s="33">
        <f t="shared" ca="1" si="5"/>
        <v>1042</v>
      </c>
      <c r="S65" s="33" t="str">
        <f t="shared" ca="1" si="6"/>
        <v>Dentro do prazo</v>
      </c>
      <c r="T65" s="33" t="s">
        <v>19</v>
      </c>
      <c r="U65" s="118" t="s">
        <v>119</v>
      </c>
    </row>
    <row r="66" spans="2:21" ht="43.2" customHeight="1" x14ac:dyDescent="0.3">
      <c r="B66" s="114">
        <v>59</v>
      </c>
      <c r="C66" s="221" t="s">
        <v>15</v>
      </c>
      <c r="D66" s="33" t="s">
        <v>16</v>
      </c>
      <c r="E66" s="33" t="s">
        <v>179</v>
      </c>
      <c r="F66" s="33" t="s">
        <v>168</v>
      </c>
      <c r="G66" s="88" t="s">
        <v>17</v>
      </c>
      <c r="H66" s="53">
        <v>21000</v>
      </c>
      <c r="I66" s="53" t="s">
        <v>309</v>
      </c>
      <c r="J66" s="91" t="s">
        <v>81</v>
      </c>
      <c r="K66" s="43">
        <v>45408</v>
      </c>
      <c r="L66" s="96">
        <v>45408</v>
      </c>
      <c r="M66" s="80">
        <v>45591</v>
      </c>
      <c r="N66" s="119"/>
      <c r="O66" s="91">
        <v>6</v>
      </c>
      <c r="P66" s="33" t="s">
        <v>18</v>
      </c>
      <c r="Q66" s="102">
        <f>H66*(0.01+1)^6</f>
        <v>22291.923162621002</v>
      </c>
      <c r="R66" s="33">
        <f t="shared" ca="1" si="5"/>
        <v>130</v>
      </c>
      <c r="S66" s="33" t="str">
        <f t="shared" ca="1" si="6"/>
        <v>Dentro do prazo</v>
      </c>
      <c r="T66" s="33" t="s">
        <v>163</v>
      </c>
      <c r="U66" s="118" t="s">
        <v>119</v>
      </c>
    </row>
    <row r="67" spans="2:21" ht="43.2" customHeight="1" x14ac:dyDescent="0.3">
      <c r="B67" s="114">
        <v>60</v>
      </c>
      <c r="C67" s="221" t="s">
        <v>164</v>
      </c>
      <c r="D67" s="33" t="s">
        <v>165</v>
      </c>
      <c r="E67" s="33" t="s">
        <v>179</v>
      </c>
      <c r="F67" s="33" t="s">
        <v>168</v>
      </c>
      <c r="G67" s="88" t="s">
        <v>166</v>
      </c>
      <c r="H67" s="53">
        <v>30000</v>
      </c>
      <c r="I67" s="53" t="s">
        <v>309</v>
      </c>
      <c r="J67" s="91" t="s">
        <v>81</v>
      </c>
      <c r="K67" s="43">
        <v>45411</v>
      </c>
      <c r="L67" s="96">
        <v>45411</v>
      </c>
      <c r="M67" s="80">
        <v>45776</v>
      </c>
      <c r="N67" s="119"/>
      <c r="O67" s="91">
        <v>12</v>
      </c>
      <c r="P67" s="33" t="s">
        <v>18</v>
      </c>
      <c r="Q67" s="102">
        <f>H67*(0.01+1)^12</f>
        <v>33804.750903959095</v>
      </c>
      <c r="R67" s="33">
        <f t="shared" ca="1" si="5"/>
        <v>315</v>
      </c>
      <c r="S67" s="33" t="str">
        <f t="shared" ca="1" si="6"/>
        <v>Dentro do prazo</v>
      </c>
      <c r="T67" s="33" t="s">
        <v>19</v>
      </c>
      <c r="U67" s="118" t="s">
        <v>119</v>
      </c>
    </row>
    <row r="68" spans="2:21" ht="43.2" customHeight="1" x14ac:dyDescent="0.3">
      <c r="B68" s="114">
        <v>61</v>
      </c>
      <c r="C68" s="228" t="s">
        <v>115</v>
      </c>
      <c r="D68" s="6" t="s">
        <v>116</v>
      </c>
      <c r="E68" s="6" t="s">
        <v>171</v>
      </c>
      <c r="F68" s="6" t="s">
        <v>178</v>
      </c>
      <c r="G68" s="86" t="s">
        <v>117</v>
      </c>
      <c r="H68" s="53">
        <v>5000</v>
      </c>
      <c r="I68" s="53" t="s">
        <v>309</v>
      </c>
      <c r="J68" s="91" t="s">
        <v>81</v>
      </c>
      <c r="K68" s="43">
        <v>45419</v>
      </c>
      <c r="L68" s="96">
        <v>45418</v>
      </c>
      <c r="M68" s="80">
        <v>46513</v>
      </c>
      <c r="N68" s="119"/>
      <c r="O68" s="91">
        <v>36</v>
      </c>
      <c r="P68" s="33" t="s">
        <v>18</v>
      </c>
      <c r="Q68" s="102">
        <f>H68*(0.01+1)^36</f>
        <v>7153.8439179579045</v>
      </c>
      <c r="R68" s="33">
        <f t="shared" ca="1" si="5"/>
        <v>1052</v>
      </c>
      <c r="S68" s="33" t="str">
        <f t="shared" ca="1" si="6"/>
        <v>Dentro do prazo</v>
      </c>
      <c r="T68" s="33" t="s">
        <v>19</v>
      </c>
      <c r="U68" s="118" t="s">
        <v>119</v>
      </c>
    </row>
    <row r="69" spans="2:21" ht="43.2" customHeight="1" x14ac:dyDescent="0.3">
      <c r="B69" s="114">
        <v>62</v>
      </c>
      <c r="C69" s="225" t="s">
        <v>82</v>
      </c>
      <c r="D69" s="58" t="s">
        <v>83</v>
      </c>
      <c r="E69" s="58" t="s">
        <v>171</v>
      </c>
      <c r="F69" s="58" t="s">
        <v>178</v>
      </c>
      <c r="G69" s="84" t="s">
        <v>84</v>
      </c>
      <c r="H69" s="53">
        <v>50000</v>
      </c>
      <c r="I69" s="53" t="s">
        <v>309</v>
      </c>
      <c r="J69" s="91" t="s">
        <v>81</v>
      </c>
      <c r="K69" s="43">
        <v>45419</v>
      </c>
      <c r="L69" s="96">
        <v>45420</v>
      </c>
      <c r="M69" s="80">
        <v>46515</v>
      </c>
      <c r="N69" s="119"/>
      <c r="O69" s="91">
        <v>36</v>
      </c>
      <c r="P69" s="33" t="s">
        <v>18</v>
      </c>
      <c r="Q69" s="102">
        <f>H69*(0.01+1)^36</f>
        <v>71538.439179579043</v>
      </c>
      <c r="R69" s="33">
        <f t="shared" ca="1" si="5"/>
        <v>1054</v>
      </c>
      <c r="S69" s="33" t="str">
        <f t="shared" ca="1" si="6"/>
        <v>Dentro do prazo</v>
      </c>
      <c r="T69" s="33" t="s">
        <v>19</v>
      </c>
      <c r="U69" s="118" t="s">
        <v>119</v>
      </c>
    </row>
    <row r="70" spans="2:21" ht="43.2" customHeight="1" x14ac:dyDescent="0.3">
      <c r="B70" s="114">
        <v>63</v>
      </c>
      <c r="C70" s="224" t="s">
        <v>57</v>
      </c>
      <c r="D70" s="58" t="s">
        <v>58</v>
      </c>
      <c r="E70" s="33" t="s">
        <v>179</v>
      </c>
      <c r="F70" s="33" t="s">
        <v>168</v>
      </c>
      <c r="G70" s="84" t="s">
        <v>207</v>
      </c>
      <c r="H70" s="53">
        <v>25000</v>
      </c>
      <c r="I70" s="53" t="s">
        <v>309</v>
      </c>
      <c r="J70" s="91" t="s">
        <v>81</v>
      </c>
      <c r="K70" s="43">
        <v>45421</v>
      </c>
      <c r="L70" s="96">
        <v>45421</v>
      </c>
      <c r="M70" s="80">
        <v>45605</v>
      </c>
      <c r="N70" s="119"/>
      <c r="O70" s="91">
        <v>6</v>
      </c>
      <c r="P70" s="33" t="s">
        <v>18</v>
      </c>
      <c r="Q70" s="102">
        <f>H70*(0.01+1)^6</f>
        <v>26538.003765025005</v>
      </c>
      <c r="R70" s="33">
        <f t="shared" ca="1" si="5"/>
        <v>144</v>
      </c>
      <c r="S70" s="33" t="str">
        <f t="shared" ca="1" si="6"/>
        <v>Dentro do prazo</v>
      </c>
      <c r="T70" s="33" t="s">
        <v>19</v>
      </c>
      <c r="U70" s="118" t="s">
        <v>119</v>
      </c>
    </row>
    <row r="71" spans="2:21" ht="43.2" customHeight="1" x14ac:dyDescent="0.3">
      <c r="B71" s="114">
        <v>64</v>
      </c>
      <c r="C71" s="224" t="s">
        <v>21</v>
      </c>
      <c r="D71" s="58" t="s">
        <v>22</v>
      </c>
      <c r="E71" s="58" t="s">
        <v>177</v>
      </c>
      <c r="F71" s="59" t="s">
        <v>168</v>
      </c>
      <c r="G71" s="88" t="s">
        <v>145</v>
      </c>
      <c r="H71" s="53">
        <v>110000</v>
      </c>
      <c r="I71" s="53" t="s">
        <v>309</v>
      </c>
      <c r="J71" s="91" t="s">
        <v>81</v>
      </c>
      <c r="K71" s="43">
        <v>45425</v>
      </c>
      <c r="L71" s="96">
        <v>45425</v>
      </c>
      <c r="M71" s="80">
        <v>45790</v>
      </c>
      <c r="N71" s="119"/>
      <c r="O71" s="91">
        <v>12</v>
      </c>
      <c r="P71" s="33" t="s">
        <v>18</v>
      </c>
      <c r="Q71" s="102">
        <f>H71*(0.01+1)^12</f>
        <v>123950.75331451668</v>
      </c>
      <c r="R71" s="33">
        <f t="shared" ca="1" si="5"/>
        <v>329</v>
      </c>
      <c r="S71" s="33" t="str">
        <f t="shared" ca="1" si="6"/>
        <v>Dentro do prazo</v>
      </c>
      <c r="T71" s="33" t="s">
        <v>19</v>
      </c>
      <c r="U71" s="118" t="s">
        <v>119</v>
      </c>
    </row>
    <row r="72" spans="2:21" ht="43.2" customHeight="1" x14ac:dyDescent="0.3">
      <c r="B72" s="114">
        <v>65</v>
      </c>
      <c r="C72" s="221" t="s">
        <v>258</v>
      </c>
      <c r="D72" s="33" t="s">
        <v>259</v>
      </c>
      <c r="E72" s="33" t="s">
        <v>179</v>
      </c>
      <c r="F72" s="59" t="s">
        <v>168</v>
      </c>
      <c r="G72" s="88" t="s">
        <v>260</v>
      </c>
      <c r="H72" s="53">
        <v>80000</v>
      </c>
      <c r="I72" s="53" t="s">
        <v>309</v>
      </c>
      <c r="J72" s="91" t="s">
        <v>81</v>
      </c>
      <c r="K72" s="43">
        <v>45425</v>
      </c>
      <c r="L72" s="96">
        <v>45422</v>
      </c>
      <c r="M72" s="80">
        <v>45787</v>
      </c>
      <c r="N72" s="119"/>
      <c r="O72" s="91">
        <v>12</v>
      </c>
      <c r="P72" s="33" t="s">
        <v>18</v>
      </c>
      <c r="Q72" s="102">
        <f>H72*(0.01+1)^12</f>
        <v>90146.002410557587</v>
      </c>
      <c r="R72" s="33">
        <f t="shared" ref="R72:R78" ca="1" si="7">M72-$D$4</f>
        <v>326</v>
      </c>
      <c r="S72" s="33" t="str">
        <f t="shared" ca="1" si="6"/>
        <v>Dentro do prazo</v>
      </c>
      <c r="T72" s="33" t="s">
        <v>19</v>
      </c>
      <c r="U72" s="118" t="s">
        <v>119</v>
      </c>
    </row>
    <row r="73" spans="2:21" ht="43.2" customHeight="1" x14ac:dyDescent="0.3">
      <c r="B73" s="114">
        <v>66</v>
      </c>
      <c r="C73" s="221" t="s">
        <v>23</v>
      </c>
      <c r="D73" s="33" t="s">
        <v>24</v>
      </c>
      <c r="E73" s="33" t="s">
        <v>179</v>
      </c>
      <c r="F73" s="59" t="s">
        <v>168</v>
      </c>
      <c r="G73" s="88" t="s">
        <v>261</v>
      </c>
      <c r="H73" s="53">
        <v>20000</v>
      </c>
      <c r="I73" s="53" t="s">
        <v>309</v>
      </c>
      <c r="J73" s="91" t="s">
        <v>81</v>
      </c>
      <c r="K73" s="43">
        <v>45425</v>
      </c>
      <c r="L73" s="96">
        <v>45422</v>
      </c>
      <c r="M73" s="80">
        <v>45787</v>
      </c>
      <c r="N73" s="119"/>
      <c r="O73" s="91">
        <v>12</v>
      </c>
      <c r="P73" s="33" t="s">
        <v>18</v>
      </c>
      <c r="Q73" s="102">
        <f>H73*(0.01+1)^12</f>
        <v>22536.500602639397</v>
      </c>
      <c r="R73" s="33">
        <f t="shared" ca="1" si="7"/>
        <v>326</v>
      </c>
      <c r="S73" s="33" t="str">
        <f t="shared" ca="1" si="6"/>
        <v>Dentro do prazo</v>
      </c>
      <c r="T73" s="33" t="s">
        <v>19</v>
      </c>
      <c r="U73" s="118" t="s">
        <v>119</v>
      </c>
    </row>
    <row r="74" spans="2:21" ht="43.2" hidden="1" customHeight="1" x14ac:dyDescent="0.3">
      <c r="B74" s="114">
        <v>67</v>
      </c>
      <c r="C74" s="221" t="s">
        <v>263</v>
      </c>
      <c r="D74" s="33" t="s">
        <v>264</v>
      </c>
      <c r="E74" s="33" t="s">
        <v>171</v>
      </c>
      <c r="F74" s="33" t="s">
        <v>265</v>
      </c>
      <c r="G74" s="222" t="s">
        <v>266</v>
      </c>
      <c r="H74" s="223">
        <v>300000</v>
      </c>
      <c r="I74" s="223" t="s">
        <v>309</v>
      </c>
      <c r="J74" s="33" t="s">
        <v>20</v>
      </c>
      <c r="K74" s="43">
        <v>45432</v>
      </c>
      <c r="L74" s="96">
        <v>45433</v>
      </c>
      <c r="M74" s="80">
        <v>46528</v>
      </c>
      <c r="N74" s="119"/>
      <c r="O74" s="91">
        <v>36</v>
      </c>
      <c r="P74" s="33" t="s">
        <v>267</v>
      </c>
      <c r="Q74" s="102">
        <f>Tabela2[[#This Row],[VALOR DEPOSITADO ]]*1.2%</f>
        <v>3600</v>
      </c>
      <c r="R74" s="33">
        <f t="shared" ca="1" si="7"/>
        <v>1067</v>
      </c>
      <c r="S74" s="33" t="str">
        <f t="shared" ca="1" si="6"/>
        <v>Dentro do prazo</v>
      </c>
      <c r="T74" s="33" t="s">
        <v>19</v>
      </c>
      <c r="U74" s="118" t="s">
        <v>119</v>
      </c>
    </row>
    <row r="75" spans="2:21" ht="43.2" customHeight="1" x14ac:dyDescent="0.3">
      <c r="B75" s="114">
        <v>68</v>
      </c>
      <c r="C75" s="221" t="s">
        <v>21</v>
      </c>
      <c r="D75" s="58" t="s">
        <v>22</v>
      </c>
      <c r="E75" s="58" t="s">
        <v>177</v>
      </c>
      <c r="F75" s="59" t="s">
        <v>168</v>
      </c>
      <c r="G75" s="88" t="s">
        <v>145</v>
      </c>
      <c r="H75" s="53">
        <v>70000</v>
      </c>
      <c r="I75" s="53" t="s">
        <v>309</v>
      </c>
      <c r="J75" s="91" t="s">
        <v>81</v>
      </c>
      <c r="K75" s="43">
        <v>45433</v>
      </c>
      <c r="L75" s="96">
        <v>45433</v>
      </c>
      <c r="M75" s="80">
        <v>45798</v>
      </c>
      <c r="N75" s="119"/>
      <c r="O75" s="91">
        <v>12</v>
      </c>
      <c r="P75" s="33" t="s">
        <v>268</v>
      </c>
      <c r="Q75" s="102">
        <f>H75*(0.011+1)^12</f>
        <v>79820.033754989781</v>
      </c>
      <c r="R75" s="33">
        <f t="shared" ca="1" si="7"/>
        <v>337</v>
      </c>
      <c r="S75" s="33" t="str">
        <f t="shared" ca="1" si="6"/>
        <v>Dentro do prazo</v>
      </c>
      <c r="T75" s="33" t="s">
        <v>19</v>
      </c>
      <c r="U75" s="118" t="s">
        <v>119</v>
      </c>
    </row>
    <row r="76" spans="2:21" ht="43.2" customHeight="1" x14ac:dyDescent="0.3">
      <c r="B76" s="114">
        <v>69</v>
      </c>
      <c r="C76" s="221" t="s">
        <v>269</v>
      </c>
      <c r="D76" s="33" t="s">
        <v>270</v>
      </c>
      <c r="E76" s="33" t="s">
        <v>171</v>
      </c>
      <c r="F76" s="33" t="s">
        <v>265</v>
      </c>
      <c r="G76" s="88" t="s">
        <v>271</v>
      </c>
      <c r="H76" s="53">
        <v>10000</v>
      </c>
      <c r="I76" s="53" t="s">
        <v>309</v>
      </c>
      <c r="J76" s="91" t="s">
        <v>81</v>
      </c>
      <c r="K76" s="43">
        <v>45435</v>
      </c>
      <c r="L76" s="96">
        <v>45435</v>
      </c>
      <c r="M76" s="80">
        <v>46530</v>
      </c>
      <c r="N76" s="119"/>
      <c r="O76" s="91">
        <v>36</v>
      </c>
      <c r="P76" s="33" t="s">
        <v>39</v>
      </c>
      <c r="Q76" s="102">
        <f>H76*(0.01+1)^36</f>
        <v>14307.687835915809</v>
      </c>
      <c r="R76" s="33">
        <f t="shared" ca="1" si="7"/>
        <v>1069</v>
      </c>
      <c r="S76" s="33" t="str">
        <f t="shared" ca="1" si="6"/>
        <v>Dentro do prazo</v>
      </c>
      <c r="T76" s="33" t="s">
        <v>19</v>
      </c>
      <c r="U76" s="118" t="s">
        <v>119</v>
      </c>
    </row>
    <row r="77" spans="2:21" ht="42.45" customHeight="1" x14ac:dyDescent="0.3">
      <c r="B77" s="114">
        <v>70</v>
      </c>
      <c r="C77" s="221" t="s">
        <v>297</v>
      </c>
      <c r="D77" s="33" t="s">
        <v>298</v>
      </c>
      <c r="E77" s="33" t="s">
        <v>171</v>
      </c>
      <c r="F77" s="33" t="s">
        <v>174</v>
      </c>
      <c r="G77" s="88" t="s">
        <v>299</v>
      </c>
      <c r="H77" s="53">
        <f>68000</f>
        <v>68000</v>
      </c>
      <c r="I77" s="53" t="s">
        <v>309</v>
      </c>
      <c r="J77" s="91" t="s">
        <v>81</v>
      </c>
      <c r="K77" s="43">
        <v>45447</v>
      </c>
      <c r="L77" s="96">
        <v>45447</v>
      </c>
      <c r="M77" s="80">
        <v>46542</v>
      </c>
      <c r="N77" s="119"/>
      <c r="O77" s="91">
        <v>36</v>
      </c>
      <c r="P77" s="33" t="s">
        <v>86</v>
      </c>
      <c r="Q77" s="102">
        <f>H77*(0.015+1)^36</f>
        <v>116221.48859064329</v>
      </c>
      <c r="R77" s="33">
        <f t="shared" ca="1" si="7"/>
        <v>1081</v>
      </c>
      <c r="S77" s="33" t="str">
        <f t="shared" ca="1" si="6"/>
        <v>Dentro do prazo</v>
      </c>
      <c r="T77" s="33" t="s">
        <v>19</v>
      </c>
      <c r="U77" s="118" t="s">
        <v>119</v>
      </c>
    </row>
    <row r="78" spans="2:21" ht="43.2" customHeight="1" x14ac:dyDescent="0.3">
      <c r="B78" s="114">
        <v>71</v>
      </c>
      <c r="C78" s="221" t="s">
        <v>33</v>
      </c>
      <c r="D78" s="58" t="s">
        <v>34</v>
      </c>
      <c r="E78" s="33" t="s">
        <v>179</v>
      </c>
      <c r="F78" s="59" t="s">
        <v>168</v>
      </c>
      <c r="G78" s="84" t="s">
        <v>35</v>
      </c>
      <c r="H78" s="53">
        <v>52000</v>
      </c>
      <c r="I78" s="53" t="s">
        <v>309</v>
      </c>
      <c r="J78" s="91" t="s">
        <v>81</v>
      </c>
      <c r="K78" s="43">
        <v>45449</v>
      </c>
      <c r="L78" s="96">
        <v>45449</v>
      </c>
      <c r="M78" s="80">
        <v>45814</v>
      </c>
      <c r="N78" s="119"/>
      <c r="O78" s="91">
        <v>12</v>
      </c>
      <c r="P78" s="33" t="s">
        <v>39</v>
      </c>
      <c r="Q78" s="102">
        <f>H78*(0.01+1)^12</f>
        <v>58594.901566862427</v>
      </c>
      <c r="R78" s="33">
        <f t="shared" ca="1" si="7"/>
        <v>353</v>
      </c>
      <c r="S78" s="33" t="str">
        <f t="shared" ca="1" si="6"/>
        <v>Dentro do prazo</v>
      </c>
      <c r="T78" s="33" t="s">
        <v>19</v>
      </c>
      <c r="U78" s="118" t="s">
        <v>119</v>
      </c>
    </row>
    <row r="79" spans="2:21" ht="43.2" customHeight="1" x14ac:dyDescent="0.3">
      <c r="B79" s="114">
        <v>72</v>
      </c>
      <c r="C79" s="221" t="s">
        <v>300</v>
      </c>
      <c r="D79" s="33" t="s">
        <v>301</v>
      </c>
      <c r="E79" s="33" t="s">
        <v>179</v>
      </c>
      <c r="F79" s="59" t="s">
        <v>168</v>
      </c>
      <c r="G79" s="88" t="s">
        <v>302</v>
      </c>
      <c r="H79" s="53">
        <v>30000</v>
      </c>
      <c r="I79" s="53" t="s">
        <v>309</v>
      </c>
      <c r="J79" s="91" t="s">
        <v>81</v>
      </c>
      <c r="K79" s="43">
        <v>45448</v>
      </c>
      <c r="L79" s="96">
        <v>45448</v>
      </c>
      <c r="M79" s="80">
        <v>45631</v>
      </c>
      <c r="N79" s="119"/>
      <c r="O79" s="91">
        <v>6</v>
      </c>
      <c r="P79" s="33" t="s">
        <v>303</v>
      </c>
      <c r="Q79" s="102">
        <f>H79*(0.011+1)^36</f>
        <v>44479.803091917755</v>
      </c>
      <c r="R79" s="33">
        <f ca="1">M79-$D$4</f>
        <v>170</v>
      </c>
      <c r="S79" s="33" t="str">
        <f ca="1">IF(R79&gt;30,"Dentro do prazo",IF(R79&lt;=0,"Vencido","A vencer"))</f>
        <v>Dentro do prazo</v>
      </c>
      <c r="T79" s="33" t="s">
        <v>19</v>
      </c>
      <c r="U79" s="118" t="s">
        <v>119</v>
      </c>
    </row>
    <row r="80" spans="2:21" ht="43.2" hidden="1" customHeight="1" x14ac:dyDescent="0.3">
      <c r="B80" s="114">
        <v>73</v>
      </c>
      <c r="C80" s="228" t="s">
        <v>43</v>
      </c>
      <c r="D80" s="6" t="s">
        <v>44</v>
      </c>
      <c r="E80" s="33" t="s">
        <v>171</v>
      </c>
      <c r="F80" s="33" t="s">
        <v>172</v>
      </c>
      <c r="G80" s="88" t="s">
        <v>304</v>
      </c>
      <c r="H80" s="53">
        <v>15000</v>
      </c>
      <c r="I80" s="53" t="s">
        <v>309</v>
      </c>
      <c r="J80" s="91" t="s">
        <v>20</v>
      </c>
      <c r="K80" s="43">
        <v>45448</v>
      </c>
      <c r="L80" s="96">
        <v>45448</v>
      </c>
      <c r="M80" s="80">
        <v>46543</v>
      </c>
      <c r="N80" s="119"/>
      <c r="O80" s="91">
        <v>36</v>
      </c>
      <c r="P80" s="33" t="s">
        <v>18</v>
      </c>
      <c r="Q80" s="102">
        <f>Tabela2[[#This Row],[VALOR DEPOSITADO ]]*1%</f>
        <v>150</v>
      </c>
      <c r="R80" s="33">
        <f ca="1">M80-$D$4</f>
        <v>1082</v>
      </c>
      <c r="S80" s="33" t="str">
        <f ca="1">IF(R80&gt;30,"Dentro do prazo",IF(R80&lt;=0,"Vencido","A vencer"))</f>
        <v>Dentro do prazo</v>
      </c>
      <c r="T80" s="33" t="s">
        <v>19</v>
      </c>
      <c r="U80" s="118" t="s">
        <v>119</v>
      </c>
    </row>
    <row r="81" spans="2:22" ht="43.2" customHeight="1" x14ac:dyDescent="0.3">
      <c r="B81" s="114">
        <v>74</v>
      </c>
      <c r="C81" s="221" t="s">
        <v>305</v>
      </c>
      <c r="D81" s="33" t="s">
        <v>306</v>
      </c>
      <c r="E81" s="33" t="s">
        <v>171</v>
      </c>
      <c r="F81" s="33" t="s">
        <v>174</v>
      </c>
      <c r="G81" s="88" t="s">
        <v>307</v>
      </c>
      <c r="H81" s="53">
        <v>15000</v>
      </c>
      <c r="I81" s="53" t="s">
        <v>309</v>
      </c>
      <c r="J81" s="91" t="s">
        <v>81</v>
      </c>
      <c r="K81" s="43">
        <v>45451</v>
      </c>
      <c r="L81" s="96">
        <v>45451</v>
      </c>
      <c r="M81" s="80">
        <v>46546</v>
      </c>
      <c r="N81" s="119"/>
      <c r="O81" s="91">
        <v>36</v>
      </c>
      <c r="P81" s="33" t="s">
        <v>18</v>
      </c>
      <c r="Q81" s="102">
        <f>H81*(0.01+1)^36</f>
        <v>21461.531753873714</v>
      </c>
      <c r="R81" s="33">
        <f ca="1">M81-$D$4</f>
        <v>1085</v>
      </c>
      <c r="S81" s="33" t="str">
        <f ca="1">IF(R81&gt;30,"Dentro do prazo",IF(R81&lt;=0,"Vencido","A vencer"))</f>
        <v>Dentro do prazo</v>
      </c>
      <c r="T81" s="33" t="s">
        <v>19</v>
      </c>
      <c r="U81" s="118" t="s">
        <v>119</v>
      </c>
    </row>
    <row r="82" spans="2:22" ht="43.2" customHeight="1" x14ac:dyDescent="0.3">
      <c r="B82" s="114">
        <v>75</v>
      </c>
      <c r="C82" s="221" t="s">
        <v>15</v>
      </c>
      <c r="D82" s="33" t="s">
        <v>16</v>
      </c>
      <c r="E82" s="33" t="s">
        <v>179</v>
      </c>
      <c r="F82" s="33" t="s">
        <v>168</v>
      </c>
      <c r="G82" s="88" t="s">
        <v>17</v>
      </c>
      <c r="H82" s="53">
        <v>23000</v>
      </c>
      <c r="I82" s="53" t="s">
        <v>309</v>
      </c>
      <c r="J82" s="91" t="s">
        <v>81</v>
      </c>
      <c r="K82" s="43">
        <v>45455</v>
      </c>
      <c r="L82" s="96">
        <v>45455</v>
      </c>
      <c r="M82" s="80">
        <v>45638</v>
      </c>
      <c r="N82" s="119"/>
      <c r="O82" s="91">
        <v>6</v>
      </c>
      <c r="P82" s="33" t="s">
        <v>18</v>
      </c>
      <c r="Q82" s="102">
        <f>H82*(0.01+1)^6</f>
        <v>24414.963463823002</v>
      </c>
      <c r="R82" s="33">
        <f ca="1">M82-$D$4</f>
        <v>177</v>
      </c>
      <c r="S82" s="33" t="str">
        <f ca="1">IF(R82&gt;30,"Dentro do prazo",IF(R82&lt;=0,"Vencido","A vencer"))</f>
        <v>Dentro do prazo</v>
      </c>
      <c r="T82" s="33" t="s">
        <v>19</v>
      </c>
      <c r="U82" s="118" t="s">
        <v>119</v>
      </c>
    </row>
    <row r="83" spans="2:22" ht="43.2" hidden="1" customHeight="1" x14ac:dyDescent="0.3">
      <c r="B83" s="277">
        <v>76</v>
      </c>
      <c r="C83" s="221" t="s">
        <v>133</v>
      </c>
      <c r="D83" s="33" t="s">
        <v>134</v>
      </c>
      <c r="E83" s="280"/>
      <c r="F83" s="280"/>
      <c r="G83" s="88"/>
      <c r="H83" s="53">
        <v>3000</v>
      </c>
      <c r="I83" s="53"/>
      <c r="J83" s="91"/>
      <c r="K83" s="281"/>
      <c r="L83" s="96">
        <v>45456</v>
      </c>
      <c r="M83" s="282"/>
      <c r="N83" s="119"/>
      <c r="O83" s="280"/>
      <c r="P83" s="280"/>
      <c r="Q83" s="102">
        <f>H83*(0.01+1)^36</f>
        <v>4292.3063507747429</v>
      </c>
      <c r="R83" s="278">
        <f ca="1">M83-$D$4</f>
        <v>-45461</v>
      </c>
      <c r="S83" s="278" t="str">
        <f ca="1">IF(R83&gt;30,"Dentro do prazo",IF(R83&lt;=0,"Vencido","A vencer"))</f>
        <v>Vencido</v>
      </c>
      <c r="T83" s="33"/>
      <c r="U83" s="118"/>
      <c r="V83" s="279"/>
    </row>
    <row r="84" spans="2:22" ht="43.2" hidden="1" customHeight="1" x14ac:dyDescent="0.3">
      <c r="B84" s="277">
        <v>77</v>
      </c>
      <c r="C84" s="283" t="s">
        <v>115</v>
      </c>
      <c r="D84" s="284" t="s">
        <v>116</v>
      </c>
      <c r="E84" s="284" t="s">
        <v>171</v>
      </c>
      <c r="F84" s="284" t="s">
        <v>178</v>
      </c>
      <c r="G84" s="285" t="s">
        <v>117</v>
      </c>
      <c r="H84" s="286">
        <v>5000</v>
      </c>
      <c r="I84" s="286" t="s">
        <v>309</v>
      </c>
      <c r="J84" s="292" t="s">
        <v>316</v>
      </c>
      <c r="K84" s="281"/>
      <c r="L84" s="281"/>
      <c r="M84" s="291">
        <v>46513</v>
      </c>
      <c r="N84" s="119"/>
      <c r="O84" s="280">
        <v>36</v>
      </c>
      <c r="P84" s="280" t="s">
        <v>18</v>
      </c>
      <c r="Q84" s="287">
        <f>H84*(0.01+1)^36</f>
        <v>7153.8439179579045</v>
      </c>
      <c r="R84" s="288">
        <f ca="1">M84-$D$4</f>
        <v>1052</v>
      </c>
      <c r="S84" s="288" t="str">
        <f ca="1">IF(R84&gt;30,"Dentro do prazo",IF(R84&lt;=0,"Vencido","A vencer"))</f>
        <v>Dentro do prazo</v>
      </c>
      <c r="T84" s="280"/>
      <c r="U84" s="289"/>
      <c r="V84" s="290"/>
    </row>
  </sheetData>
  <mergeCells count="1">
    <mergeCell ref="C1:H2"/>
  </mergeCells>
  <conditionalFormatting sqref="I8:I84">
    <cfRule type="cellIs" dxfId="64" priority="1" operator="equal">
      <formula>$AG$12</formula>
    </cfRule>
    <cfRule type="cellIs" dxfId="63" priority="2" operator="equal">
      <formula>$AG$12</formula>
    </cfRule>
    <cfRule type="cellIs" dxfId="62" priority="3" operator="equal">
      <formula>$AG$11</formula>
    </cfRule>
    <cfRule type="cellIs" dxfId="61" priority="4" operator="equal">
      <formula>$AG$10</formula>
    </cfRule>
    <cfRule type="cellIs" dxfId="60" priority="5" operator="equal">
      <formula>$AG$9</formula>
    </cfRule>
  </conditionalFormatting>
  <conditionalFormatting sqref="M8">
    <cfRule type="expression" dxfId="59" priority="18">
      <formula>"'=DATEDIF(J5,TODAY(),""m"")=1"</formula>
    </cfRule>
  </conditionalFormatting>
  <conditionalFormatting sqref="L82:L229 M8:M84">
    <cfRule type="expression" dxfId="58" priority="11" stopIfTrue="1">
      <formula>"E(DIA(J1)-DIA(HOJE())=30, ANO(J1)=ANO(HOJE()), MÊS(J1)=MÊS(HOJE()))"</formula>
    </cfRule>
  </conditionalFormatting>
  <conditionalFormatting sqref="L82:L235 M8:M84">
    <cfRule type="expression" dxfId="57" priority="17">
      <formula>"DATEDIF($J$5:$J$257,TODAY(),""m"")=1"</formula>
    </cfRule>
  </conditionalFormatting>
  <conditionalFormatting sqref="L82:L286 M8:M84">
    <cfRule type="expression" dxfId="56" priority="12">
      <formula>"E(DIA(J1)-DIA(HOJE())=30, ANO(A1)=ANO(HOJE()), MÊS(J1)=MÊS(HOJE()))"</formula>
    </cfRule>
  </conditionalFormatting>
  <conditionalFormatting sqref="M8:M84">
    <cfRule type="expression" dxfId="55" priority="14">
      <formula>"E(DIA(J1)-DIA(HOJE())=30, ANO(J1)=ANO(HOJE()), MÊS(J1)=MÊS(HOJE()))"</formula>
    </cfRule>
  </conditionalFormatting>
  <conditionalFormatting sqref="M36">
    <cfRule type="expression" dxfId="54" priority="16">
      <formula>"DATEDIF($J$5:$J$886,TODAY(),""m"")=1"</formula>
    </cfRule>
  </conditionalFormatting>
  <conditionalFormatting sqref="S8:S84 R82:R279">
    <cfRule type="cellIs" dxfId="53" priority="44" operator="equal">
      <formula>$S$12</formula>
    </cfRule>
  </conditionalFormatting>
  <conditionalFormatting sqref="S8:S84">
    <cfRule type="cellIs" dxfId="52" priority="34" operator="equal">
      <formula>$S$50</formula>
    </cfRule>
    <cfRule type="cellIs" dxfId="51" priority="35" operator="equal">
      <formula>#REF!</formula>
    </cfRule>
    <cfRule type="cellIs" dxfId="50" priority="36" operator="equal">
      <formula>$S$14</formula>
    </cfRule>
    <cfRule type="cellIs" dxfId="49" priority="37" operator="equal">
      <formula>$I$4</formula>
    </cfRule>
  </conditionalFormatting>
  <dataValidations count="2">
    <dataValidation type="list" allowBlank="1" showInputMessage="1" showErrorMessage="1" sqref="J8:J23 J27" xr:uid="{8FB9EE8D-9041-479C-B4E0-2D872B4CBB27}">
      <formula1>$Y$7:$Y$8</formula1>
    </dataValidation>
    <dataValidation type="list" allowBlank="1" showInputMessage="1" showErrorMessage="1" sqref="I8:I84" xr:uid="{D5536A94-69BB-4B19-9CC2-5E088C0613CE}">
      <formula1>$AG$9:$AG$12</formula1>
    </dataValidation>
  </dataValidations>
  <hyperlinks>
    <hyperlink ref="C8" r:id="rId1" xr:uid="{B1AAB4D1-4EFD-41E1-B67D-259AC1BD4C0C}"/>
    <hyperlink ref="C9" r:id="rId2" xr:uid="{0889E658-0355-463A-9108-8FD1648F8287}"/>
    <hyperlink ref="C10" r:id="rId3" xr:uid="{2A5FE03B-3C8B-4BBA-95C8-87087196E984}"/>
    <hyperlink ref="C11" r:id="rId4" xr:uid="{47D1C4F1-6D39-4FCC-AD54-11AD18CBE1E1}"/>
    <hyperlink ref="C12" r:id="rId5" xr:uid="{46176FC1-94A3-477B-BBF3-0369FC22EC96}"/>
    <hyperlink ref="C13" r:id="rId6" xr:uid="{FE37DA40-7A4C-40EE-ABF2-026D0EEFF9E0}"/>
    <hyperlink ref="C14" r:id="rId7" xr:uid="{596BCB48-9DE9-43EF-9C32-07E61A57131D}"/>
    <hyperlink ref="C15" r:id="rId8" xr:uid="{750DC55B-A09C-4147-A2A8-EA3A142F993C}"/>
    <hyperlink ref="C16" r:id="rId9" xr:uid="{4A0115C3-7E06-4138-9489-4471EF2CA4AD}"/>
    <hyperlink ref="C17" r:id="rId10" xr:uid="{14C05B8C-359A-4207-87F2-6C78BEA8CF37}"/>
    <hyperlink ref="C18" r:id="rId11" xr:uid="{4E05CC85-2D31-4EF0-ABE1-AC8BBE78363E}"/>
    <hyperlink ref="C19" r:id="rId12" xr:uid="{6682E20E-6C2C-4C67-B0DB-50310317C6FC}"/>
    <hyperlink ref="C20" r:id="rId13" xr:uid="{05C77CDC-FBBD-4F98-8203-447048B5A819}"/>
    <hyperlink ref="C21" r:id="rId14" xr:uid="{BBFFD8D3-7543-42B6-8738-C173A310A33F}"/>
    <hyperlink ref="C22" r:id="rId15" xr:uid="{62FEE8EA-19D2-4CD0-91D0-F9C99E7BD589}"/>
    <hyperlink ref="C23" r:id="rId16" xr:uid="{BA8C444E-55F2-4DD7-9A2E-06979901AF51}"/>
    <hyperlink ref="C24" r:id="rId17" xr:uid="{B9391D84-41A0-41FB-AB75-6EA4287B9E03}"/>
    <hyperlink ref="C25" r:id="rId18" xr:uid="{6B1E0EC4-F4F0-4775-A81A-358579A59CDA}"/>
    <hyperlink ref="C26" r:id="rId19" xr:uid="{3A7B6CDB-23C8-4B86-B13F-DFFD8082E5B3}"/>
    <hyperlink ref="C27" r:id="rId20" xr:uid="{9DE5ACE5-B10E-40F9-BC72-4164C6CC53DF}"/>
    <hyperlink ref="C28" r:id="rId21" xr:uid="{1301A826-821F-4D32-836E-FA6CF01E731B}"/>
    <hyperlink ref="C29" r:id="rId22" xr:uid="{FC771BE0-F383-4C0C-87E8-A29D9867C7A1}"/>
    <hyperlink ref="C30" r:id="rId23" xr:uid="{3A1F0626-C199-4DA9-9E73-752C4479B0A1}"/>
    <hyperlink ref="C31" r:id="rId24" display="Maria Teresa Resende de Seabra Santos" xr:uid="{5FDF4E1E-D45E-4846-9828-DEEF240EB03C}"/>
    <hyperlink ref="C32" r:id="rId25" xr:uid="{4E3F3EDB-1D2E-4A2B-86DE-1F0CCB7F2D23}"/>
    <hyperlink ref="C33" r:id="rId26" xr:uid="{B297B336-8F72-4B3C-B9E6-C32275651200}"/>
    <hyperlink ref="C35" r:id="rId27" xr:uid="{F7076F2B-4DB3-4325-9CD5-0A6DC00E70B1}"/>
    <hyperlink ref="C36" r:id="rId28" xr:uid="{FFF3302E-B963-40F5-A06F-F7FB7A546C51}"/>
    <hyperlink ref="C37" r:id="rId29" xr:uid="{03999ED6-2A18-4A24-8A3D-F67405435706}"/>
    <hyperlink ref="C38" r:id="rId30" xr:uid="{187CAEE7-7C9C-4F49-B185-C0A29B141520}"/>
    <hyperlink ref="C39" r:id="rId31" xr:uid="{9139982F-5634-4A9D-9B32-3A18790AE0F9}"/>
    <hyperlink ref="C40" r:id="rId32" xr:uid="{21C49F39-589B-4015-B2B2-274FBF60F113}"/>
    <hyperlink ref="C41" r:id="rId33" xr:uid="{2DEE593B-B645-4E21-B0DC-042BFE48C15D}"/>
    <hyperlink ref="C42" r:id="rId34" xr:uid="{F2E662AF-3164-4BFF-A6C7-DD46D1CB35C0}"/>
    <hyperlink ref="C43" r:id="rId35" xr:uid="{7308617F-0319-4614-99BC-A89F009365CE}"/>
    <hyperlink ref="C44" r:id="rId36" xr:uid="{4ECB09EA-CB8C-43D5-AB9F-208920E512A0}"/>
    <hyperlink ref="C45" r:id="rId37" xr:uid="{9A8D8C2B-60F4-4A42-B3ED-6308A39FA148}"/>
    <hyperlink ref="C46" r:id="rId38" xr:uid="{1777D8D5-CD20-45FF-84DE-A5F256E67679}"/>
    <hyperlink ref="C47" r:id="rId39" xr:uid="{53039F65-19E6-429C-B83B-6300A1EC4037}"/>
    <hyperlink ref="C48" r:id="rId40" xr:uid="{A772E2E6-A520-41C7-BF89-812AD164C80C}"/>
    <hyperlink ref="C49" r:id="rId41" xr:uid="{AAA376DB-806C-4A42-9579-E5A28B57E378}"/>
    <hyperlink ref="C50" r:id="rId42" xr:uid="{B2C063CC-A480-492B-B0EF-65B60B769526}"/>
    <hyperlink ref="C51" r:id="rId43" xr:uid="{52A59645-7573-4343-913A-5A8FB11CA5F8}"/>
    <hyperlink ref="C52" r:id="rId44" xr:uid="{985C6F41-6701-4A2D-999E-F12BFED5B6D8}"/>
    <hyperlink ref="C53" r:id="rId45" xr:uid="{26ADA02B-6D09-47FE-8941-C166330CC349}"/>
    <hyperlink ref="C54" r:id="rId46" xr:uid="{8BB347AA-B2F3-4A29-9E91-079C1068434C}"/>
    <hyperlink ref="C55" r:id="rId47" xr:uid="{3CA4FCEE-E8A7-46E8-A7FC-2F26215E8133}"/>
    <hyperlink ref="C56" r:id="rId48" xr:uid="{878317D5-087E-436B-BBD0-4215DE0D771D}"/>
    <hyperlink ref="C58" r:id="rId49" xr:uid="{A5B0C325-9ABB-44AE-8AE9-C443892A0ED9}"/>
    <hyperlink ref="C59" r:id="rId50" xr:uid="{0A95CB0F-1F17-46CF-B22E-EC6698085B41}"/>
    <hyperlink ref="C61" r:id="rId51" xr:uid="{53815F4B-4799-41B7-82CA-37174ACC20AB}"/>
    <hyperlink ref="C63" r:id="rId52" xr:uid="{BAEE0F9C-40E5-4634-86D3-BF2ADF79C93C}"/>
    <hyperlink ref="C64" r:id="rId53" xr:uid="{E3C37E16-68AD-4B61-A7B2-E01CD42A58FD}"/>
    <hyperlink ref="C66" r:id="rId54" xr:uid="{8D384B32-AE05-4650-8858-A1B2B79950C4}"/>
    <hyperlink ref="C67" r:id="rId55" xr:uid="{F41D9262-D262-471F-A792-A99FA9F93B64}"/>
    <hyperlink ref="C68" r:id="rId56" xr:uid="{D339E27C-0380-4479-915C-ECDDBC8251A3}"/>
    <hyperlink ref="C69" r:id="rId57" xr:uid="{863258CE-EF05-4206-9432-1E2E29C788F0}"/>
    <hyperlink ref="C70" r:id="rId58" xr:uid="{BDA80D85-2EA8-4BAB-884F-3ABE23912D63}"/>
    <hyperlink ref="C71" r:id="rId59" xr:uid="{3B181B42-5AA5-4EA4-B07B-D86CD9B0556B}"/>
    <hyperlink ref="C72" r:id="rId60" xr:uid="{1D0432CE-53EF-4E86-BE30-BCC0F435E50B}"/>
    <hyperlink ref="C74" r:id="rId61" xr:uid="{A8C19342-B0D6-4A36-8AAA-9557F606898A}"/>
    <hyperlink ref="C76" r:id="rId62" xr:uid="{D2050366-75F0-414A-AA15-124E483EE346}"/>
    <hyperlink ref="C77" r:id="rId63" xr:uid="{F6392DD8-3E94-4DD3-9BC0-DEE815AFE513}"/>
    <hyperlink ref="C78" r:id="rId64" xr:uid="{6573B1ED-B417-4B69-ABA2-6E6AFCA6F9DB}"/>
    <hyperlink ref="C80" r:id="rId65" xr:uid="{10DC59D6-AC81-4801-909B-E537E804499D}"/>
    <hyperlink ref="C79" r:id="rId66" xr:uid="{EFC2D019-DA10-426F-B1A8-0825CDB4A98A}"/>
    <hyperlink ref="C81" r:id="rId67" xr:uid="{A28FF2C2-2AD1-4820-9E6D-675E3A6C2519}"/>
    <hyperlink ref="C82" r:id="rId68" xr:uid="{54AEE499-9F63-4298-9D80-3F45C47AA682}"/>
    <hyperlink ref="C84" r:id="rId69" xr:uid="{106615C2-968B-4F45-9279-96F75A83F568}"/>
  </hyperlinks>
  <pageMargins left="0.511811024" right="0.511811024" top="0.78740157499999996" bottom="0.78740157499999996" header="0.31496062000000002" footer="0.31496062000000002"/>
  <pageSetup paperSize="9" orientation="portrait" r:id="rId70"/>
  <drawing r:id="rId71"/>
  <legacyDrawing r:id="rId72"/>
  <tableParts count="1">
    <tablePart r:id="rId7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3A39-5919-489A-895B-72055A137376}">
  <dimension ref="B2:L7"/>
  <sheetViews>
    <sheetView showGridLines="0" topLeftCell="B1" workbookViewId="0">
      <selection activeCell="E14" sqref="E14"/>
    </sheetView>
  </sheetViews>
  <sheetFormatPr defaultColWidth="8.77734375" defaultRowHeight="14.4" x14ac:dyDescent="0.3"/>
  <cols>
    <col min="1" max="1" width="2.77734375" customWidth="1"/>
    <col min="2" max="2" width="31.33203125" customWidth="1"/>
    <col min="3" max="3" width="17" bestFit="1" customWidth="1"/>
    <col min="4" max="4" width="19.44140625" customWidth="1"/>
    <col min="5" max="5" width="21.77734375" customWidth="1"/>
    <col min="6" max="6" width="19.77734375" customWidth="1"/>
    <col min="7" max="7" width="17.6640625" customWidth="1"/>
    <col min="8" max="8" width="17.109375" customWidth="1"/>
    <col min="9" max="9" width="14.44140625" customWidth="1"/>
    <col min="10" max="10" width="27.109375" bestFit="1" customWidth="1"/>
    <col min="11" max="11" width="24.109375" customWidth="1"/>
  </cols>
  <sheetData>
    <row r="2" spans="2:12" x14ac:dyDescent="0.3">
      <c r="B2" s="112" t="s">
        <v>146</v>
      </c>
      <c r="C2" s="112" t="s">
        <v>3</v>
      </c>
      <c r="D2" s="112" t="s">
        <v>148</v>
      </c>
      <c r="E2" s="112" t="s">
        <v>147</v>
      </c>
      <c r="F2" s="112" t="s">
        <v>149</v>
      </c>
      <c r="G2" s="112" t="s">
        <v>152</v>
      </c>
      <c r="H2" s="112" t="s">
        <v>151</v>
      </c>
      <c r="I2" s="112" t="s">
        <v>5</v>
      </c>
      <c r="J2" s="112" t="s">
        <v>153</v>
      </c>
      <c r="K2" s="112" t="s">
        <v>154</v>
      </c>
    </row>
    <row r="3" spans="2:12" ht="43.2" customHeight="1" x14ac:dyDescent="0.3">
      <c r="B3" s="5" t="s">
        <v>59</v>
      </c>
      <c r="C3" s="86" t="s">
        <v>61</v>
      </c>
      <c r="D3" s="5">
        <v>30</v>
      </c>
      <c r="E3" s="4">
        <v>45373</v>
      </c>
      <c r="F3" s="4">
        <f>E3+31</f>
        <v>45404</v>
      </c>
      <c r="G3" s="11">
        <f>73000</f>
        <v>73000</v>
      </c>
      <c r="H3" s="57">
        <f>25000</f>
        <v>25000</v>
      </c>
      <c r="I3" s="5" t="s">
        <v>150</v>
      </c>
      <c r="J3" s="89">
        <f>G3-H3</f>
        <v>48000</v>
      </c>
      <c r="K3" s="108" t="s">
        <v>155</v>
      </c>
    </row>
    <row r="4" spans="2:12" s="26" customFormat="1" ht="43.2" customHeight="1" x14ac:dyDescent="0.3">
      <c r="B4" s="5" t="s">
        <v>162</v>
      </c>
      <c r="C4" s="86" t="s">
        <v>137</v>
      </c>
      <c r="D4" s="5">
        <v>5</v>
      </c>
      <c r="E4" s="4">
        <v>45411</v>
      </c>
      <c r="F4" s="4">
        <v>45418</v>
      </c>
      <c r="G4" s="11">
        <v>58000</v>
      </c>
      <c r="H4" s="57">
        <v>40000</v>
      </c>
      <c r="I4" s="5" t="s">
        <v>200</v>
      </c>
      <c r="J4" s="101">
        <f>G4-H4</f>
        <v>18000</v>
      </c>
      <c r="K4" s="108" t="s">
        <v>201</v>
      </c>
    </row>
    <row r="5" spans="2:12" ht="43.2" customHeight="1" x14ac:dyDescent="0.3">
      <c r="B5" s="175" t="s">
        <v>100</v>
      </c>
      <c r="C5" s="86" t="s">
        <v>102</v>
      </c>
      <c r="D5" s="5">
        <v>15</v>
      </c>
      <c r="E5" s="4">
        <v>45414</v>
      </c>
      <c r="F5" s="4">
        <v>45429</v>
      </c>
      <c r="G5" s="11">
        <v>47000</v>
      </c>
      <c r="H5" s="57">
        <v>27000</v>
      </c>
      <c r="I5" s="5" t="s">
        <v>200</v>
      </c>
      <c r="J5" s="101">
        <f>G5-H5</f>
        <v>20000</v>
      </c>
      <c r="K5" s="108" t="s">
        <v>262</v>
      </c>
    </row>
    <row r="6" spans="2:12" ht="49.8" customHeight="1" x14ac:dyDescent="0.3">
      <c r="B6" s="5" t="s">
        <v>162</v>
      </c>
      <c r="C6" s="86" t="s">
        <v>137</v>
      </c>
      <c r="D6" s="5">
        <v>5</v>
      </c>
      <c r="E6" s="4">
        <v>45439</v>
      </c>
      <c r="F6" s="4">
        <v>45446</v>
      </c>
      <c r="G6" s="11">
        <v>18000</v>
      </c>
      <c r="H6" s="57">
        <v>18000</v>
      </c>
      <c r="I6" s="5" t="s">
        <v>200</v>
      </c>
      <c r="J6" s="190">
        <f>18000+757.21</f>
        <v>18757.21</v>
      </c>
      <c r="K6" s="108" t="s">
        <v>314</v>
      </c>
      <c r="L6" t="s">
        <v>313</v>
      </c>
    </row>
    <row r="7" spans="2:12" ht="43.2" x14ac:dyDescent="0.3">
      <c r="B7" s="175" t="s">
        <v>100</v>
      </c>
      <c r="C7" s="86" t="s">
        <v>102</v>
      </c>
      <c r="D7" s="5">
        <v>15</v>
      </c>
      <c r="E7" s="4">
        <v>45414</v>
      </c>
      <c r="F7" s="4">
        <v>45429</v>
      </c>
      <c r="G7" s="11">
        <v>20000</v>
      </c>
      <c r="H7" s="57">
        <v>20000</v>
      </c>
      <c r="I7" s="5" t="s">
        <v>200</v>
      </c>
      <c r="J7" s="101">
        <f>20000+1242.09</f>
        <v>21242.09</v>
      </c>
      <c r="K7" s="232" t="s">
        <v>315</v>
      </c>
      <c r="L7" t="s">
        <v>313</v>
      </c>
    </row>
  </sheetData>
  <phoneticPr fontId="6" type="noConversion"/>
  <hyperlinks>
    <hyperlink ref="B5" r:id="rId1" xr:uid="{0E837467-DDD8-4530-9A78-697552DA9F9E}"/>
    <hyperlink ref="B7" r:id="rId2" xr:uid="{678011A9-CD6A-4ABB-96CA-09299FFDB933}"/>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3807A-1C78-4E75-B1BB-915A7AA17971}">
  <dimension ref="A1:AF22"/>
  <sheetViews>
    <sheetView showGridLines="0" topLeftCell="F9" zoomScale="70" zoomScaleNormal="70" workbookViewId="0">
      <selection activeCell="K17" sqref="K17"/>
    </sheetView>
  </sheetViews>
  <sheetFormatPr defaultColWidth="8.6640625" defaultRowHeight="14.4" x14ac:dyDescent="0.3"/>
  <cols>
    <col min="1" max="1" width="3.44140625" customWidth="1"/>
    <col min="2" max="2" width="36.77734375" customWidth="1"/>
    <col min="3" max="3" width="16.6640625" customWidth="1"/>
    <col min="4" max="4" width="29.44140625" customWidth="1"/>
    <col min="5" max="5" width="18.44140625" customWidth="1"/>
    <col min="6" max="6" width="23.109375" customWidth="1"/>
    <col min="7" max="7" width="24.6640625" customWidth="1"/>
    <col min="8" max="8" width="13.6640625" hidden="1" customWidth="1"/>
    <col min="9" max="9" width="13.44140625" hidden="1" customWidth="1"/>
    <col min="10" max="10" width="13.6640625" hidden="1" customWidth="1"/>
    <col min="11" max="11" width="26.44140625" customWidth="1"/>
    <col min="12" max="12" width="29.44140625" customWidth="1"/>
    <col min="13" max="13" width="22.6640625" customWidth="1"/>
    <col min="14" max="18" width="15.77734375" customWidth="1"/>
    <col min="19" max="25" width="15.44140625" customWidth="1"/>
    <col min="26" max="26" width="15" bestFit="1" customWidth="1"/>
    <col min="32" max="32" width="0" hidden="1" customWidth="1"/>
  </cols>
  <sheetData>
    <row r="1" spans="1:32" s="3" customFormat="1" ht="14.55" hidden="1" customHeight="1" x14ac:dyDescent="0.3">
      <c r="L1" s="44"/>
      <c r="N1" s="45"/>
      <c r="O1" s="45"/>
      <c r="P1" s="45"/>
      <c r="Q1" s="45"/>
      <c r="R1" s="45"/>
      <c r="S1" s="45"/>
      <c r="T1" s="45"/>
      <c r="U1" s="45"/>
      <c r="V1" s="45"/>
      <c r="W1" s="45"/>
      <c r="X1" s="45"/>
      <c r="Y1" s="45"/>
      <c r="AF1" s="3" t="s">
        <v>106</v>
      </c>
    </row>
    <row r="2" spans="1:32" x14ac:dyDescent="0.3">
      <c r="A2" s="20"/>
      <c r="B2" s="21" t="s">
        <v>1</v>
      </c>
      <c r="C2" s="21" t="s">
        <v>2</v>
      </c>
      <c r="D2" s="21" t="s">
        <v>3</v>
      </c>
      <c r="E2" s="21" t="s">
        <v>4</v>
      </c>
      <c r="F2" s="21" t="s">
        <v>5</v>
      </c>
      <c r="G2" s="21" t="s">
        <v>107</v>
      </c>
      <c r="H2" s="21" t="s">
        <v>7</v>
      </c>
      <c r="I2" s="21" t="s">
        <v>8</v>
      </c>
      <c r="J2" s="21" t="s">
        <v>10</v>
      </c>
      <c r="K2" s="21" t="s">
        <v>11</v>
      </c>
      <c r="L2" s="21" t="s">
        <v>108</v>
      </c>
      <c r="M2" s="21" t="s">
        <v>13</v>
      </c>
      <c r="N2" s="24">
        <v>45292</v>
      </c>
      <c r="O2" s="24">
        <v>45323</v>
      </c>
      <c r="P2" s="24">
        <v>45352</v>
      </c>
      <c r="Q2" s="24">
        <v>45383</v>
      </c>
      <c r="R2" s="24">
        <v>45413</v>
      </c>
      <c r="S2" s="24">
        <v>45444</v>
      </c>
      <c r="T2" s="24">
        <v>45474</v>
      </c>
      <c r="U2" s="24">
        <v>45505</v>
      </c>
      <c r="V2" s="24">
        <v>45536</v>
      </c>
      <c r="W2" s="24">
        <v>45566</v>
      </c>
      <c r="X2" s="24">
        <v>45597</v>
      </c>
      <c r="Y2" s="24">
        <v>45627</v>
      </c>
      <c r="AF2" t="s">
        <v>109</v>
      </c>
    </row>
    <row r="3" spans="1:32" ht="48.45" customHeight="1" x14ac:dyDescent="0.3">
      <c r="A3" s="50">
        <v>1</v>
      </c>
      <c r="B3" s="218" t="s">
        <v>43</v>
      </c>
      <c r="C3" s="10" t="s">
        <v>44</v>
      </c>
      <c r="D3" s="29" t="s">
        <v>45</v>
      </c>
      <c r="E3" s="11">
        <f>50000+44000+30000+172000</f>
        <v>296000</v>
      </c>
      <c r="F3" s="11" t="s">
        <v>20</v>
      </c>
      <c r="G3" s="25">
        <v>45383</v>
      </c>
      <c r="H3" s="4">
        <v>45260</v>
      </c>
      <c r="I3" s="7">
        <v>45626</v>
      </c>
      <c r="J3" s="12">
        <v>36</v>
      </c>
      <c r="K3" s="5" t="s">
        <v>48</v>
      </c>
      <c r="L3" s="13">
        <f>E3*1%</f>
        <v>2960</v>
      </c>
      <c r="M3" s="5" t="s">
        <v>19</v>
      </c>
      <c r="N3" s="55">
        <f>50000*1%</f>
        <v>500</v>
      </c>
      <c r="O3" s="55">
        <f>500+(440/30)*19</f>
        <v>778.66666666666663</v>
      </c>
      <c r="P3" s="55">
        <f>940+((30000*1%)/30)*23</f>
        <v>1170</v>
      </c>
      <c r="Q3" s="55">
        <f>124000*1%</f>
        <v>1240</v>
      </c>
      <c r="R3" s="55">
        <f>296000*1%</f>
        <v>2960</v>
      </c>
      <c r="S3" s="55">
        <f>296000*1%</f>
        <v>2960</v>
      </c>
      <c r="T3" s="28"/>
      <c r="U3" s="28"/>
      <c r="V3" s="28"/>
      <c r="W3" s="28"/>
      <c r="X3" s="28"/>
      <c r="Y3" s="28"/>
      <c r="AF3" t="s">
        <v>110</v>
      </c>
    </row>
    <row r="4" spans="1:32" ht="17.7" customHeight="1" x14ac:dyDescent="0.3">
      <c r="A4" s="20"/>
      <c r="B4" s="18"/>
      <c r="C4" s="14"/>
      <c r="D4" s="23"/>
      <c r="E4" s="15"/>
      <c r="F4" s="15"/>
      <c r="G4" s="16"/>
      <c r="H4" s="16"/>
      <c r="I4" s="16"/>
      <c r="J4" s="17"/>
      <c r="K4" s="18"/>
      <c r="L4" s="19"/>
      <c r="M4" s="18"/>
      <c r="N4" s="108" t="s">
        <v>106</v>
      </c>
      <c r="O4" s="108" t="s">
        <v>106</v>
      </c>
      <c r="P4" s="108" t="s">
        <v>106</v>
      </c>
      <c r="Q4" s="54" t="s">
        <v>106</v>
      </c>
      <c r="R4" s="18" t="s">
        <v>106</v>
      </c>
      <c r="S4" s="18" t="s">
        <v>106</v>
      </c>
      <c r="T4" s="18" t="s">
        <v>109</v>
      </c>
      <c r="U4" s="18" t="s">
        <v>109</v>
      </c>
      <c r="V4" s="18" t="s">
        <v>109</v>
      </c>
      <c r="W4" s="18" t="s">
        <v>109</v>
      </c>
      <c r="X4" s="18" t="s">
        <v>109</v>
      </c>
      <c r="Y4" s="18" t="s">
        <v>109</v>
      </c>
    </row>
    <row r="5" spans="1:32" ht="49.95" customHeight="1" x14ac:dyDescent="0.3">
      <c r="A5" s="50">
        <v>2</v>
      </c>
      <c r="B5" s="218" t="s">
        <v>49</v>
      </c>
      <c r="C5" s="10" t="s">
        <v>50</v>
      </c>
      <c r="D5" s="22" t="s">
        <v>51</v>
      </c>
      <c r="E5" s="11">
        <f>88000+20000</f>
        <v>108000</v>
      </c>
      <c r="F5" s="11" t="s">
        <v>20</v>
      </c>
      <c r="G5" s="25">
        <v>45310</v>
      </c>
      <c r="H5" s="4">
        <v>45261</v>
      </c>
      <c r="I5" s="7">
        <v>45627</v>
      </c>
      <c r="J5" s="12">
        <v>36</v>
      </c>
      <c r="K5" s="5" t="s">
        <v>36</v>
      </c>
      <c r="L5" s="13">
        <f>E5*1.5%</f>
        <v>1620</v>
      </c>
      <c r="M5" s="5" t="s">
        <v>19</v>
      </c>
      <c r="N5" s="56">
        <f>1320</f>
        <v>1320</v>
      </c>
      <c r="O5" s="55">
        <f>1320+(300/30)*12</f>
        <v>1440</v>
      </c>
      <c r="P5" s="55">
        <f>E5*1.5%</f>
        <v>1620</v>
      </c>
      <c r="Q5" s="55">
        <f>108000*1.5%</f>
        <v>1620</v>
      </c>
      <c r="R5" s="55">
        <f>108000*1.5%</f>
        <v>1620</v>
      </c>
      <c r="S5" s="55">
        <f>108000*1.5%</f>
        <v>1620</v>
      </c>
      <c r="T5" s="28"/>
      <c r="U5" s="28"/>
      <c r="V5" s="28"/>
      <c r="W5" s="28"/>
      <c r="X5" s="28"/>
      <c r="Y5" s="28"/>
    </row>
    <row r="6" spans="1:32" ht="17.7" customHeight="1" x14ac:dyDescent="0.3">
      <c r="A6" s="50"/>
      <c r="B6" s="18"/>
      <c r="C6" s="14"/>
      <c r="D6" s="23"/>
      <c r="E6" s="15"/>
      <c r="F6" s="15"/>
      <c r="G6" s="16"/>
      <c r="H6" s="16"/>
      <c r="I6" s="16"/>
      <c r="J6" s="17"/>
      <c r="K6" s="18"/>
      <c r="L6" s="19"/>
      <c r="M6" s="18"/>
      <c r="N6" s="108" t="s">
        <v>106</v>
      </c>
      <c r="O6" s="108" t="s">
        <v>106</v>
      </c>
      <c r="P6" s="108" t="s">
        <v>106</v>
      </c>
      <c r="Q6" s="54" t="s">
        <v>106</v>
      </c>
      <c r="R6" s="18" t="s">
        <v>106</v>
      </c>
      <c r="S6" s="18" t="s">
        <v>106</v>
      </c>
      <c r="T6" s="18" t="s">
        <v>109</v>
      </c>
      <c r="U6" s="18" t="s">
        <v>109</v>
      </c>
      <c r="V6" s="18" t="s">
        <v>109</v>
      </c>
      <c r="W6" s="18" t="s">
        <v>109</v>
      </c>
      <c r="X6" s="18" t="s">
        <v>109</v>
      </c>
      <c r="Y6" s="18" t="s">
        <v>109</v>
      </c>
    </row>
    <row r="7" spans="1:32" ht="60.45" customHeight="1" x14ac:dyDescent="0.3">
      <c r="A7" s="50">
        <v>3</v>
      </c>
      <c r="B7" s="218" t="s">
        <v>52</v>
      </c>
      <c r="C7" s="10" t="s">
        <v>53</v>
      </c>
      <c r="D7" s="22" t="s">
        <v>54</v>
      </c>
      <c r="E7" s="11">
        <f>75000+10000</f>
        <v>85000</v>
      </c>
      <c r="F7" s="11" t="s">
        <v>20</v>
      </c>
      <c r="G7" s="25">
        <v>45338</v>
      </c>
      <c r="H7" s="5" t="s">
        <v>55</v>
      </c>
      <c r="I7" s="8" t="s">
        <v>46</v>
      </c>
      <c r="J7" s="46">
        <v>36</v>
      </c>
      <c r="K7" s="5" t="s">
        <v>56</v>
      </c>
      <c r="L7" s="13">
        <v>1200</v>
      </c>
      <c r="M7" s="5" t="s">
        <v>19</v>
      </c>
      <c r="N7" s="56">
        <f>1200</f>
        <v>1200</v>
      </c>
      <c r="O7" s="55">
        <f>N7</f>
        <v>1200</v>
      </c>
      <c r="P7" s="55">
        <f>1200+(10000*1.6%/30)*13</f>
        <v>1269.3333333333333</v>
      </c>
      <c r="Q7" s="55">
        <f>85000*1.6%</f>
        <v>1360</v>
      </c>
      <c r="R7" s="55">
        <f>85000*1.6%</f>
        <v>1360</v>
      </c>
      <c r="S7" s="55">
        <f>85000*1.6%</f>
        <v>1360</v>
      </c>
      <c r="T7" s="28"/>
      <c r="U7" s="28"/>
      <c r="V7" s="28"/>
      <c r="W7" s="28"/>
      <c r="X7" s="28"/>
      <c r="Y7" s="42"/>
    </row>
    <row r="8" spans="1:32" s="3" customFormat="1" ht="17.7" customHeight="1" x14ac:dyDescent="0.3">
      <c r="A8" s="50"/>
      <c r="B8" s="18"/>
      <c r="C8" s="14"/>
      <c r="D8" s="23"/>
      <c r="E8" s="15"/>
      <c r="F8" s="15"/>
      <c r="G8" s="16"/>
      <c r="H8" s="18"/>
      <c r="I8" s="18"/>
      <c r="J8" s="17"/>
      <c r="K8" s="18"/>
      <c r="L8" s="19"/>
      <c r="M8" s="18"/>
      <c r="N8" s="108" t="s">
        <v>106</v>
      </c>
      <c r="O8" s="108" t="s">
        <v>106</v>
      </c>
      <c r="P8" s="108" t="s">
        <v>106</v>
      </c>
      <c r="Q8" s="54" t="s">
        <v>106</v>
      </c>
      <c r="R8" s="18" t="s">
        <v>106</v>
      </c>
      <c r="S8" s="18" t="s">
        <v>106</v>
      </c>
      <c r="T8" s="18" t="s">
        <v>109</v>
      </c>
      <c r="U8" s="18" t="s">
        <v>109</v>
      </c>
      <c r="V8" s="18" t="s">
        <v>109</v>
      </c>
      <c r="W8" s="18" t="s">
        <v>109</v>
      </c>
      <c r="X8" s="18" t="s">
        <v>109</v>
      </c>
      <c r="Y8" s="18" t="s">
        <v>109</v>
      </c>
    </row>
    <row r="9" spans="1:32" ht="55.2" customHeight="1" x14ac:dyDescent="0.3">
      <c r="A9" s="50">
        <v>4</v>
      </c>
      <c r="B9" s="218" t="s">
        <v>59</v>
      </c>
      <c r="C9" s="10" t="s">
        <v>60</v>
      </c>
      <c r="D9" s="22" t="s">
        <v>61</v>
      </c>
      <c r="E9" s="11">
        <f>48000</f>
        <v>48000</v>
      </c>
      <c r="F9" s="11" t="s">
        <v>20</v>
      </c>
      <c r="G9" s="25">
        <v>45321</v>
      </c>
      <c r="H9" s="4">
        <v>45265</v>
      </c>
      <c r="I9" s="7">
        <v>46361</v>
      </c>
      <c r="J9" s="12" t="s">
        <v>111</v>
      </c>
      <c r="K9" s="5" t="s">
        <v>62</v>
      </c>
      <c r="L9" s="13">
        <f>E9*1.2%</f>
        <v>576</v>
      </c>
      <c r="M9" s="5" t="s">
        <v>19</v>
      </c>
      <c r="N9" s="124">
        <f>(240/30)*26</f>
        <v>208</v>
      </c>
      <c r="O9" s="55">
        <f>240+((53000*1.2%)/30*1)</f>
        <v>261.2</v>
      </c>
      <c r="P9" s="55">
        <f>73000*1.2%</f>
        <v>876</v>
      </c>
      <c r="Q9" s="56">
        <f>((73000*1.2%/30)*22)+((48000*1.2%/30)*9)</f>
        <v>815.19999999999993</v>
      </c>
      <c r="R9" s="56">
        <f>48000*1.2%</f>
        <v>576</v>
      </c>
      <c r="S9" s="56">
        <f>48000*1.2%</f>
        <v>576</v>
      </c>
      <c r="T9" s="27"/>
      <c r="U9" s="27"/>
      <c r="V9" s="27"/>
      <c r="W9" s="27"/>
      <c r="X9" s="27"/>
      <c r="Y9" s="27"/>
    </row>
    <row r="10" spans="1:32" ht="17.7" customHeight="1" x14ac:dyDescent="0.3">
      <c r="A10" s="50"/>
      <c r="B10" s="128"/>
      <c r="C10" s="20"/>
      <c r="D10" s="20"/>
      <c r="E10" s="20"/>
      <c r="F10" s="20"/>
      <c r="G10" s="20"/>
      <c r="H10" s="20"/>
      <c r="I10" s="20"/>
      <c r="J10" s="20"/>
      <c r="K10" s="20"/>
      <c r="L10" s="20"/>
      <c r="M10" s="20"/>
      <c r="N10" s="108" t="s">
        <v>106</v>
      </c>
      <c r="O10" s="108" t="s">
        <v>106</v>
      </c>
      <c r="P10" s="108" t="s">
        <v>106</v>
      </c>
      <c r="Q10" s="18" t="s">
        <v>106</v>
      </c>
      <c r="R10" s="18" t="s">
        <v>106</v>
      </c>
      <c r="S10" s="18" t="s">
        <v>106</v>
      </c>
      <c r="T10" s="18" t="s">
        <v>109</v>
      </c>
      <c r="U10" s="18" t="s">
        <v>109</v>
      </c>
      <c r="V10" s="18" t="s">
        <v>109</v>
      </c>
      <c r="W10" s="18" t="s">
        <v>109</v>
      </c>
      <c r="X10" s="18" t="s">
        <v>109</v>
      </c>
      <c r="Y10" s="18" t="s">
        <v>109</v>
      </c>
    </row>
    <row r="11" spans="1:32" ht="55.2" customHeight="1" x14ac:dyDescent="0.3">
      <c r="A11" s="50">
        <v>5</v>
      </c>
      <c r="B11" s="219" t="s">
        <v>71</v>
      </c>
      <c r="C11" s="10" t="s">
        <v>72</v>
      </c>
      <c r="D11" s="29" t="s">
        <v>73</v>
      </c>
      <c r="E11" s="11">
        <f>30000+2000+11000</f>
        <v>43000</v>
      </c>
      <c r="F11" s="11" t="s">
        <v>20</v>
      </c>
      <c r="G11" s="25">
        <v>45358</v>
      </c>
      <c r="H11" s="4"/>
      <c r="I11" s="7"/>
      <c r="J11" s="12">
        <v>36</v>
      </c>
      <c r="K11" s="5" t="s">
        <v>18</v>
      </c>
      <c r="L11" s="13">
        <f>E11*1%</f>
        <v>430</v>
      </c>
      <c r="M11" s="5"/>
      <c r="N11" s="125">
        <v>0</v>
      </c>
      <c r="O11" s="55">
        <f>((300/30)*26)+((20/30)*19)</f>
        <v>272.66666666666669</v>
      </c>
      <c r="P11" s="55">
        <f>32000*1%</f>
        <v>320</v>
      </c>
      <c r="Q11" s="56">
        <f>320+(11000*1%/30)*24</f>
        <v>408</v>
      </c>
      <c r="R11" s="56">
        <f>43000*1%</f>
        <v>430</v>
      </c>
      <c r="S11" s="56">
        <f>43000*1%</f>
        <v>430</v>
      </c>
      <c r="T11" s="27"/>
      <c r="U11" s="27"/>
      <c r="V11" s="27"/>
      <c r="W11" s="27"/>
      <c r="X11" s="27"/>
      <c r="Y11" s="27"/>
    </row>
    <row r="12" spans="1:32" x14ac:dyDescent="0.3">
      <c r="A12" s="50"/>
      <c r="B12" s="128"/>
      <c r="C12" s="20"/>
      <c r="D12" s="20"/>
      <c r="E12" s="20"/>
      <c r="F12" s="20"/>
      <c r="G12" s="20"/>
      <c r="H12" s="20"/>
      <c r="I12" s="20"/>
      <c r="J12" s="20"/>
      <c r="K12" s="20"/>
      <c r="L12" s="20"/>
      <c r="M12" s="20"/>
      <c r="N12" s="126" t="s">
        <v>106</v>
      </c>
      <c r="O12" s="126" t="s">
        <v>106</v>
      </c>
      <c r="P12" s="126" t="s">
        <v>106</v>
      </c>
      <c r="Q12" s="30" t="s">
        <v>106</v>
      </c>
      <c r="R12" s="30" t="s">
        <v>106</v>
      </c>
      <c r="S12" s="30" t="s">
        <v>106</v>
      </c>
      <c r="T12" s="30" t="s">
        <v>109</v>
      </c>
      <c r="U12" s="30" t="s">
        <v>109</v>
      </c>
      <c r="V12" s="30" t="s">
        <v>109</v>
      </c>
      <c r="W12" s="30" t="s">
        <v>109</v>
      </c>
      <c r="X12" s="30" t="s">
        <v>109</v>
      </c>
      <c r="Y12" s="30" t="s">
        <v>109</v>
      </c>
    </row>
    <row r="13" spans="1:32" ht="55.2" customHeight="1" x14ac:dyDescent="0.3">
      <c r="A13" s="50">
        <v>6</v>
      </c>
      <c r="B13" s="219" t="s">
        <v>114</v>
      </c>
      <c r="C13" s="10" t="s">
        <v>77</v>
      </c>
      <c r="D13" s="29" t="s">
        <v>78</v>
      </c>
      <c r="E13" s="11">
        <v>80000</v>
      </c>
      <c r="F13" s="11" t="s">
        <v>20</v>
      </c>
      <c r="G13" s="25">
        <v>45303</v>
      </c>
      <c r="H13" s="5"/>
      <c r="I13" s="5"/>
      <c r="J13" s="5">
        <v>36</v>
      </c>
      <c r="K13" s="5" t="s">
        <v>36</v>
      </c>
      <c r="L13" s="13">
        <f>E13*1.5%</f>
        <v>1200</v>
      </c>
      <c r="M13" s="31"/>
      <c r="N13" s="125">
        <v>0</v>
      </c>
      <c r="O13" s="127">
        <f>(L13/30)*19</f>
        <v>760</v>
      </c>
      <c r="P13" s="127">
        <f>E13*1.5%</f>
        <v>1200</v>
      </c>
      <c r="Q13" s="57">
        <f>80000*1.5%</f>
        <v>1200</v>
      </c>
      <c r="R13" s="57">
        <f>80000*1.5%</f>
        <v>1200</v>
      </c>
      <c r="S13" s="57">
        <f>80000*1.5%</f>
        <v>1200</v>
      </c>
      <c r="T13" s="5"/>
      <c r="U13" s="5"/>
      <c r="V13" s="5"/>
      <c r="W13" s="5"/>
      <c r="X13" s="5"/>
      <c r="Y13" s="5"/>
    </row>
    <row r="14" spans="1:32" s="3" customFormat="1" ht="14.7" customHeight="1" x14ac:dyDescent="0.3">
      <c r="A14" s="50"/>
      <c r="B14" s="129"/>
      <c r="C14" s="34"/>
      <c r="D14" s="35"/>
      <c r="E14" s="36"/>
      <c r="F14" s="36"/>
      <c r="G14" s="37"/>
      <c r="H14" s="30"/>
      <c r="I14" s="30"/>
      <c r="J14" s="30"/>
      <c r="K14" s="30"/>
      <c r="L14" s="38"/>
      <c r="M14" s="39"/>
      <c r="N14" s="126" t="s">
        <v>106</v>
      </c>
      <c r="O14" s="126" t="s">
        <v>106</v>
      </c>
      <c r="P14" s="126" t="s">
        <v>106</v>
      </c>
      <c r="Q14" s="33" t="s">
        <v>106</v>
      </c>
      <c r="R14" s="33" t="s">
        <v>106</v>
      </c>
      <c r="S14" s="33" t="s">
        <v>106</v>
      </c>
      <c r="T14" s="33" t="s">
        <v>109</v>
      </c>
      <c r="U14" s="33" t="s">
        <v>109</v>
      </c>
      <c r="V14" s="33" t="s">
        <v>109</v>
      </c>
      <c r="W14" s="33" t="s">
        <v>109</v>
      </c>
      <c r="X14" s="33" t="s">
        <v>109</v>
      </c>
      <c r="Y14" s="33" t="s">
        <v>109</v>
      </c>
    </row>
    <row r="15" spans="1:32" ht="55.2" customHeight="1" x14ac:dyDescent="0.3">
      <c r="A15" s="50">
        <v>7</v>
      </c>
      <c r="B15" s="219" t="s">
        <v>87</v>
      </c>
      <c r="C15" s="10" t="s">
        <v>88</v>
      </c>
      <c r="D15" s="49" t="s">
        <v>89</v>
      </c>
      <c r="E15" s="11">
        <f>12000+8000</f>
        <v>20000</v>
      </c>
      <c r="F15" s="5" t="s">
        <v>20</v>
      </c>
      <c r="G15" s="25">
        <v>45343</v>
      </c>
      <c r="H15" s="5"/>
      <c r="I15" s="5"/>
      <c r="J15" s="5">
        <v>36</v>
      </c>
      <c r="K15" s="5" t="s">
        <v>18</v>
      </c>
      <c r="L15" s="13">
        <f>E15*1%</f>
        <v>200</v>
      </c>
      <c r="M15" s="31"/>
      <c r="N15" s="125">
        <v>0</v>
      </c>
      <c r="O15" s="57">
        <f>(120/30)*13</f>
        <v>52</v>
      </c>
      <c r="P15" s="57">
        <f>120+(8000*1%/30)*8</f>
        <v>141.33333333333334</v>
      </c>
      <c r="Q15" s="57">
        <f>20000*1%</f>
        <v>200</v>
      </c>
      <c r="R15" s="57">
        <f>20000*1%</f>
        <v>200</v>
      </c>
      <c r="S15" s="57">
        <f>20000*1%</f>
        <v>200</v>
      </c>
      <c r="T15" s="11"/>
      <c r="U15" s="11"/>
      <c r="V15" s="11"/>
      <c r="W15" s="11"/>
      <c r="X15" s="11"/>
      <c r="Y15" s="11"/>
    </row>
    <row r="16" spans="1:32" x14ac:dyDescent="0.3">
      <c r="A16" s="50"/>
      <c r="B16" s="128"/>
      <c r="C16" s="20"/>
      <c r="D16" s="20"/>
      <c r="E16" s="20"/>
      <c r="F16" s="20"/>
      <c r="G16" s="20"/>
      <c r="H16" s="20"/>
      <c r="I16" s="20"/>
      <c r="J16" s="20"/>
      <c r="K16" s="20"/>
      <c r="L16" s="20"/>
      <c r="N16" s="126" t="s">
        <v>106</v>
      </c>
      <c r="O16" s="126" t="s">
        <v>106</v>
      </c>
      <c r="P16" s="126" t="s">
        <v>106</v>
      </c>
      <c r="Q16" s="33" t="s">
        <v>106</v>
      </c>
      <c r="R16" s="33" t="s">
        <v>106</v>
      </c>
      <c r="S16" s="33" t="s">
        <v>106</v>
      </c>
      <c r="T16" s="33" t="s">
        <v>109</v>
      </c>
      <c r="U16" s="33" t="s">
        <v>109</v>
      </c>
      <c r="V16" s="33" t="s">
        <v>109</v>
      </c>
      <c r="W16" s="33" t="s">
        <v>109</v>
      </c>
      <c r="X16" s="33" t="s">
        <v>109</v>
      </c>
      <c r="Y16" s="33" t="s">
        <v>109</v>
      </c>
    </row>
    <row r="17" spans="1:26" s="3" customFormat="1" ht="43.2" x14ac:dyDescent="0.3">
      <c r="A17" s="50">
        <v>8</v>
      </c>
      <c r="B17" s="219" t="s">
        <v>94</v>
      </c>
      <c r="C17" s="10" t="s">
        <v>95</v>
      </c>
      <c r="D17" s="40" t="s">
        <v>96</v>
      </c>
      <c r="E17" s="11">
        <v>106000</v>
      </c>
      <c r="F17" s="5" t="s">
        <v>20</v>
      </c>
      <c r="G17" s="25">
        <v>45387</v>
      </c>
      <c r="H17" s="47"/>
      <c r="I17" s="47"/>
      <c r="J17" s="5">
        <v>36</v>
      </c>
      <c r="K17" s="5" t="s">
        <v>36</v>
      </c>
      <c r="L17" s="13">
        <f>E17*1.5%</f>
        <v>1590</v>
      </c>
      <c r="M17" s="47"/>
      <c r="N17" s="57">
        <f>0</f>
        <v>0</v>
      </c>
      <c r="O17" s="57">
        <f>0</f>
        <v>0</v>
      </c>
      <c r="P17" s="57">
        <f>30000*1.5%</f>
        <v>450</v>
      </c>
      <c r="Q17" s="57">
        <f>86000*1.5%</f>
        <v>1290</v>
      </c>
      <c r="R17" s="57">
        <f>86000*1.5%+(20000/30)*1.5%*25</f>
        <v>1540</v>
      </c>
      <c r="S17" s="57">
        <f>106000*1.5%</f>
        <v>1590</v>
      </c>
      <c r="T17" s="11"/>
      <c r="U17" s="11"/>
      <c r="V17" s="11"/>
      <c r="W17" s="11"/>
      <c r="X17" s="11"/>
      <c r="Y17" s="11"/>
    </row>
    <row r="18" spans="1:26" x14ac:dyDescent="0.3">
      <c r="A18" s="50"/>
      <c r="B18" s="48"/>
      <c r="C18" s="48"/>
      <c r="D18" s="48"/>
      <c r="E18" s="48"/>
      <c r="F18" s="48"/>
      <c r="G18" s="48"/>
      <c r="H18" s="48"/>
      <c r="I18" s="48"/>
      <c r="J18" s="48"/>
      <c r="K18" s="48"/>
      <c r="L18" s="48"/>
      <c r="M18" s="31"/>
      <c r="N18" s="6" t="s">
        <v>106</v>
      </c>
      <c r="O18" s="41" t="s">
        <v>106</v>
      </c>
      <c r="P18" s="6" t="s">
        <v>106</v>
      </c>
      <c r="Q18" s="6" t="s">
        <v>106</v>
      </c>
      <c r="R18" s="6" t="s">
        <v>106</v>
      </c>
      <c r="S18" s="6" t="s">
        <v>106</v>
      </c>
      <c r="T18" s="6" t="s">
        <v>109</v>
      </c>
      <c r="U18" s="6" t="s">
        <v>109</v>
      </c>
      <c r="V18" s="6" t="s">
        <v>109</v>
      </c>
      <c r="W18" s="6" t="s">
        <v>109</v>
      </c>
      <c r="X18" s="6" t="s">
        <v>109</v>
      </c>
      <c r="Y18" s="6" t="s">
        <v>109</v>
      </c>
    </row>
    <row r="19" spans="1:26" ht="43.2" customHeight="1" x14ac:dyDescent="0.3">
      <c r="A19" s="50">
        <v>9</v>
      </c>
      <c r="B19" s="219" t="s">
        <v>263</v>
      </c>
      <c r="C19" s="10" t="s">
        <v>264</v>
      </c>
      <c r="D19" s="215" t="s">
        <v>266</v>
      </c>
      <c r="E19" s="32">
        <v>300000</v>
      </c>
      <c r="F19" s="5" t="s">
        <v>20</v>
      </c>
      <c r="G19" s="25">
        <v>45433</v>
      </c>
      <c r="H19" s="47"/>
      <c r="I19" s="47"/>
      <c r="J19" s="6">
        <v>36</v>
      </c>
      <c r="K19" s="6" t="s">
        <v>267</v>
      </c>
      <c r="L19" s="13">
        <f>E19*1.2%</f>
        <v>3600</v>
      </c>
      <c r="M19" s="47"/>
      <c r="N19" s="216">
        <v>0</v>
      </c>
      <c r="O19" s="216">
        <v>0</v>
      </c>
      <c r="P19" s="216"/>
      <c r="Q19" s="216"/>
      <c r="R19" s="216"/>
      <c r="S19" s="57">
        <f>(300000/30)*10*1.2%</f>
        <v>1200</v>
      </c>
      <c r="T19" s="32"/>
      <c r="U19" s="32"/>
      <c r="V19" s="32"/>
      <c r="W19" s="32"/>
      <c r="X19" s="32"/>
      <c r="Y19" s="32"/>
    </row>
    <row r="20" spans="1:26" x14ac:dyDescent="0.3">
      <c r="A20" s="48"/>
      <c r="B20" s="48"/>
      <c r="C20" s="48"/>
      <c r="D20" s="48"/>
      <c r="E20" s="48"/>
      <c r="F20" s="48"/>
      <c r="G20" s="48"/>
      <c r="H20" s="48"/>
      <c r="I20" s="48"/>
      <c r="J20" s="48"/>
      <c r="K20" s="18"/>
      <c r="L20" s="18"/>
      <c r="M20" s="6" t="s">
        <v>106</v>
      </c>
      <c r="N20" s="6"/>
      <c r="O20" s="6"/>
      <c r="P20" s="6"/>
      <c r="Q20" s="6"/>
      <c r="R20" s="6"/>
      <c r="S20" s="6" t="s">
        <v>106</v>
      </c>
      <c r="T20" s="6"/>
      <c r="U20" s="6"/>
      <c r="V20" s="6"/>
      <c r="Z20" s="26" t="s">
        <v>112</v>
      </c>
    </row>
    <row r="21" spans="1:26" x14ac:dyDescent="0.3">
      <c r="B21" s="191" t="s">
        <v>113</v>
      </c>
      <c r="C21" s="192"/>
      <c r="D21" s="192"/>
      <c r="E21" s="192"/>
      <c r="F21" s="192"/>
      <c r="G21" s="192"/>
      <c r="H21" s="192"/>
      <c r="I21" s="192"/>
      <c r="J21" s="192"/>
      <c r="K21" s="192"/>
      <c r="L21" s="192"/>
      <c r="M21" s="51"/>
      <c r="N21" s="52">
        <f>SUM(N3+N5+N7+N9+N11+N13+N15)</f>
        <v>3228</v>
      </c>
      <c r="O21" s="52">
        <f t="shared" ref="O21:Y21" si="0">SUM(O3+O5+O7+O9+O11+O13+O15)</f>
        <v>4764.5333333333328</v>
      </c>
      <c r="P21" s="52">
        <f>SUM(P3+P5+P7+P9+P11+P13+P15+P17)</f>
        <v>7046.6666666666661</v>
      </c>
      <c r="Q21" s="52">
        <f>SUM(Q3+Q5+Q7+Q9+Q11+Q13+Q15+Q17)</f>
        <v>8133.2</v>
      </c>
      <c r="R21" s="52">
        <f>SUM(R3+R5+R7+R9+R11+R13+R15+R17)</f>
        <v>9886</v>
      </c>
      <c r="S21" s="52">
        <f>SUM(S3+S5+S7+S9+S11+S13+S15+S17+S19)</f>
        <v>11136</v>
      </c>
      <c r="T21" s="52">
        <f t="shared" si="0"/>
        <v>0</v>
      </c>
      <c r="U21" s="52">
        <f t="shared" si="0"/>
        <v>0</v>
      </c>
      <c r="V21" s="52">
        <f t="shared" si="0"/>
        <v>0</v>
      </c>
      <c r="W21" s="52">
        <f t="shared" si="0"/>
        <v>0</v>
      </c>
      <c r="X21" s="52">
        <f t="shared" si="0"/>
        <v>0</v>
      </c>
      <c r="Y21" s="52">
        <f t="shared" si="0"/>
        <v>0</v>
      </c>
      <c r="Z21" s="52">
        <f>SUM(N21:Y21)</f>
        <v>44194.399999999994</v>
      </c>
    </row>
    <row r="22" spans="1:26" x14ac:dyDescent="0.3">
      <c r="S22" s="217" t="s">
        <v>296</v>
      </c>
    </row>
  </sheetData>
  <autoFilter ref="B2:AF21" xr:uid="{6FA3807A-1C78-4E75-B1BB-915A7AA17971}"/>
  <phoneticPr fontId="6" type="noConversion"/>
  <conditionalFormatting sqref="N1:Y19 K20:Y20 N21:Y1048576">
    <cfRule type="cellIs" dxfId="48" priority="19" operator="equal">
      <formula>$AF$3</formula>
    </cfRule>
    <cfRule type="cellIs" dxfId="47" priority="20" operator="equal">
      <formula>$AF$2</formula>
    </cfRule>
    <cfRule type="cellIs" dxfId="46" priority="21" operator="equal">
      <formula>$AF$1</formula>
    </cfRule>
  </conditionalFormatting>
  <conditionalFormatting sqref="N6:Y6">
    <cfRule type="cellIs" dxfId="45" priority="16" operator="equal">
      <formula>$AF$3</formula>
    </cfRule>
    <cfRule type="cellIs" dxfId="44" priority="17" operator="equal">
      <formula>$AF$2</formula>
    </cfRule>
    <cfRule type="cellIs" dxfId="43" priority="18" operator="equal">
      <formula>$AF$1</formula>
    </cfRule>
  </conditionalFormatting>
  <conditionalFormatting sqref="N8:Y8">
    <cfRule type="cellIs" dxfId="42" priority="13" operator="equal">
      <formula>$AF$3</formula>
    </cfRule>
    <cfRule type="cellIs" dxfId="41" priority="14" operator="equal">
      <formula>$AF$2</formula>
    </cfRule>
    <cfRule type="cellIs" dxfId="40" priority="15" operator="equal">
      <formula>$AF$1</formula>
    </cfRule>
  </conditionalFormatting>
  <conditionalFormatting sqref="N10:Y10">
    <cfRule type="cellIs" dxfId="39" priority="10" operator="equal">
      <formula>$AF$3</formula>
    </cfRule>
    <cfRule type="cellIs" dxfId="38" priority="11" operator="equal">
      <formula>$AF$2</formula>
    </cfRule>
    <cfRule type="cellIs" dxfId="37" priority="12" operator="equal">
      <formula>$AF$1</formula>
    </cfRule>
  </conditionalFormatting>
  <conditionalFormatting sqref="N12:Y12">
    <cfRule type="cellIs" dxfId="36" priority="7" operator="equal">
      <formula>$AF$3</formula>
    </cfRule>
    <cfRule type="cellIs" dxfId="35" priority="8" operator="equal">
      <formula>$AF$2</formula>
    </cfRule>
    <cfRule type="cellIs" dxfId="34" priority="9" operator="equal">
      <formula>$AF$1</formula>
    </cfRule>
  </conditionalFormatting>
  <conditionalFormatting sqref="N14:Y14">
    <cfRule type="cellIs" dxfId="33" priority="4" operator="equal">
      <formula>$AF$3</formula>
    </cfRule>
    <cfRule type="cellIs" dxfId="32" priority="5" operator="equal">
      <formula>$AF$2</formula>
    </cfRule>
    <cfRule type="cellIs" dxfId="31" priority="6" operator="equal">
      <formula>$AF$1</formula>
    </cfRule>
  </conditionalFormatting>
  <conditionalFormatting sqref="N16:Y16">
    <cfRule type="cellIs" dxfId="30" priority="1" operator="equal">
      <formula>$AF$3</formula>
    </cfRule>
    <cfRule type="cellIs" dxfId="29" priority="2" operator="equal">
      <formula>$AF$2</formula>
    </cfRule>
    <cfRule type="cellIs" dxfId="28" priority="3" operator="equal">
      <formula>$AF$1</formula>
    </cfRule>
  </conditionalFormatting>
  <dataValidations count="2">
    <dataValidation type="list" allowBlank="1" showInputMessage="1" showErrorMessage="1" sqref="F3:F9 F11 F13:F14" xr:uid="{53AA8B5A-B2AC-4A89-8EDA-4E9CA1EF0FAC}">
      <formula1>$T$7:$T$9</formula1>
    </dataValidation>
    <dataValidation type="list" allowBlank="1" showInputMessage="1" showErrorMessage="1" sqref="N4:Y4 K20:V20 N16:Y16 N14:Y14 N12:Y12 N10:Y10 N6:Y6 N8:Y8 N18:Y18" xr:uid="{5C86F396-13D5-4573-B31A-D87C68B9A2E5}">
      <formula1>$AF$1:$AF$3</formula1>
    </dataValidation>
  </dataValidations>
  <hyperlinks>
    <hyperlink ref="B3" r:id="rId1" xr:uid="{B7320A82-AC35-456D-841A-9D4DECFB1709}"/>
    <hyperlink ref="B5" r:id="rId2" xr:uid="{FDB9AF1B-926A-41CC-A39F-5A593DC881C9}"/>
    <hyperlink ref="B7" r:id="rId3" xr:uid="{91F6F6AD-A008-4840-8205-325BC4A495C1}"/>
    <hyperlink ref="B9" r:id="rId4" xr:uid="{C98E8705-5A86-4117-8D2C-FAF040C2192E}"/>
    <hyperlink ref="B11" r:id="rId5" xr:uid="{32CB86EF-B66B-41F3-B25D-AFB107B9A824}"/>
    <hyperlink ref="B13" r:id="rId6" display="Maria Teresa Resende de Seabra Santos" xr:uid="{7DD44042-6F28-4144-99EA-E51A7DD604CC}"/>
    <hyperlink ref="B15" r:id="rId7" xr:uid="{4F8F2148-C516-41FA-B49A-9B1E50123553}"/>
    <hyperlink ref="B17" r:id="rId8" xr:uid="{2E19C6AE-B20C-44FE-B753-CA28FBDF43E1}"/>
    <hyperlink ref="B19" r:id="rId9" xr:uid="{A5C45671-FB0C-4450-906E-C0BBF7726BD4}"/>
  </hyperlinks>
  <pageMargins left="0.511811024" right="0.511811024" top="0.78740157499999996" bottom="0.78740157499999996" header="0.31496062000000002" footer="0.31496062000000002"/>
  <legacy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6259F-CDE3-42A8-AF0C-E4E835E0B0EC}">
  <dimension ref="B2:L25"/>
  <sheetViews>
    <sheetView showGridLines="0" topLeftCell="A10" workbookViewId="0">
      <selection activeCell="K19" sqref="K19"/>
    </sheetView>
  </sheetViews>
  <sheetFormatPr defaultColWidth="8.77734375" defaultRowHeight="14.4" x14ac:dyDescent="0.3"/>
  <cols>
    <col min="2" max="2" width="15.77734375" customWidth="1"/>
    <col min="6" max="6" width="10.44140625" bestFit="1" customWidth="1"/>
  </cols>
  <sheetData>
    <row r="2" spans="2:12" x14ac:dyDescent="0.3">
      <c r="B2" t="s">
        <v>293</v>
      </c>
      <c r="L2" t="s">
        <v>294</v>
      </c>
    </row>
    <row r="3" spans="2:12" x14ac:dyDescent="0.3">
      <c r="B3" s="122" t="s">
        <v>272</v>
      </c>
      <c r="C3" s="122"/>
      <c r="D3" s="122"/>
      <c r="E3" s="122"/>
    </row>
    <row r="4" spans="2:12" x14ac:dyDescent="0.3">
      <c r="B4" s="194" t="s">
        <v>273</v>
      </c>
      <c r="C4" s="195"/>
      <c r="D4" s="195"/>
      <c r="E4" s="176"/>
      <c r="F4" s="207">
        <v>45387</v>
      </c>
      <c r="G4" s="123">
        <f>F5-F4</f>
        <v>24</v>
      </c>
      <c r="H4" s="31" t="s">
        <v>278</v>
      </c>
      <c r="I4" s="122" t="s">
        <v>280</v>
      </c>
    </row>
    <row r="5" spans="2:12" x14ac:dyDescent="0.3">
      <c r="B5" s="113" t="s">
        <v>274</v>
      </c>
      <c r="E5" s="177"/>
      <c r="F5" s="208">
        <v>45411</v>
      </c>
    </row>
    <row r="6" spans="2:12" x14ac:dyDescent="0.3">
      <c r="B6" s="185" t="s">
        <v>275</v>
      </c>
      <c r="C6" s="196"/>
      <c r="D6" s="196"/>
      <c r="E6" s="178"/>
    </row>
    <row r="7" spans="2:12" x14ac:dyDescent="0.3">
      <c r="B7" s="204" t="s">
        <v>289</v>
      </c>
      <c r="C7" s="205"/>
      <c r="D7" s="205"/>
      <c r="E7" s="206"/>
    </row>
    <row r="8" spans="2:12" x14ac:dyDescent="0.3">
      <c r="B8" s="194" t="s">
        <v>276</v>
      </c>
      <c r="C8" s="195"/>
      <c r="D8" s="195"/>
      <c r="E8" s="176"/>
      <c r="F8" s="207">
        <v>45412</v>
      </c>
      <c r="G8" s="197">
        <f>F9-F8</f>
        <v>27</v>
      </c>
      <c r="H8" s="31" t="s">
        <v>279</v>
      </c>
      <c r="I8" s="122" t="s">
        <v>281</v>
      </c>
    </row>
    <row r="9" spans="2:12" x14ac:dyDescent="0.3">
      <c r="B9" s="113" t="s">
        <v>274</v>
      </c>
      <c r="E9" s="177"/>
      <c r="F9" s="208">
        <v>45439</v>
      </c>
    </row>
    <row r="10" spans="2:12" x14ac:dyDescent="0.3">
      <c r="B10" s="185" t="s">
        <v>277</v>
      </c>
      <c r="C10" s="196"/>
      <c r="D10" s="196"/>
      <c r="E10" s="178"/>
    </row>
    <row r="13" spans="2:12" x14ac:dyDescent="0.3">
      <c r="B13" s="199" t="s">
        <v>282</v>
      </c>
      <c r="D13" s="200" t="s">
        <v>285</v>
      </c>
      <c r="E13" s="201"/>
    </row>
    <row r="14" spans="2:12" x14ac:dyDescent="0.3">
      <c r="B14" s="119" t="s">
        <v>288</v>
      </c>
      <c r="D14" s="209">
        <v>18556.8</v>
      </c>
      <c r="E14" s="177"/>
    </row>
    <row r="15" spans="2:12" x14ac:dyDescent="0.3">
      <c r="B15" s="119" t="s">
        <v>283</v>
      </c>
      <c r="D15" s="113" t="s">
        <v>283</v>
      </c>
      <c r="E15" s="177"/>
    </row>
    <row r="16" spans="2:12" x14ac:dyDescent="0.3">
      <c r="B16" s="119" t="s">
        <v>284</v>
      </c>
      <c r="D16" s="113" t="s">
        <v>286</v>
      </c>
      <c r="E16" s="177"/>
    </row>
    <row r="17" spans="2:8" x14ac:dyDescent="0.3">
      <c r="B17" s="198" t="s">
        <v>287</v>
      </c>
      <c r="D17" s="202" t="s">
        <v>292</v>
      </c>
      <c r="E17" s="203"/>
    </row>
    <row r="21" spans="2:8" x14ac:dyDescent="0.3">
      <c r="B21" s="210">
        <f>18757.21</f>
        <v>18757.21</v>
      </c>
      <c r="C21" s="193" t="s">
        <v>290</v>
      </c>
      <c r="F21">
        <f>58000*1.2%*(25/30)</f>
        <v>580</v>
      </c>
    </row>
    <row r="22" spans="2:8" x14ac:dyDescent="0.3">
      <c r="B22" s="210">
        <f>18000+180+384+193.0656</f>
        <v>18757.065600000002</v>
      </c>
      <c r="C22" s="193" t="s">
        <v>291</v>
      </c>
    </row>
    <row r="23" spans="2:8" x14ac:dyDescent="0.3">
      <c r="F23">
        <f>40000*1.2%*24/30</f>
        <v>384</v>
      </c>
      <c r="H23">
        <f>(18000+180+384)*1.2%*26/30</f>
        <v>193.06559999999999</v>
      </c>
    </row>
    <row r="24" spans="2:8" x14ac:dyDescent="0.3">
      <c r="F24">
        <f>18000*1.2%*25/30</f>
        <v>180</v>
      </c>
    </row>
    <row r="25" spans="2:8" x14ac:dyDescent="0.3">
      <c r="F25">
        <f>SUM(F23:F24)</f>
        <v>564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00D81-E3E3-45C0-818D-DE7533E221A4}">
  <dimension ref="B1:BH48"/>
  <sheetViews>
    <sheetView showGridLines="0" zoomScale="90" zoomScaleNormal="90" workbookViewId="0">
      <selection activeCell="BM54" sqref="BM54"/>
    </sheetView>
  </sheetViews>
  <sheetFormatPr defaultColWidth="8.77734375" defaultRowHeight="14.4" x14ac:dyDescent="0.3"/>
  <cols>
    <col min="1" max="1" width="1.77734375" customWidth="1"/>
    <col min="2" max="2" width="3.109375" bestFit="1" customWidth="1"/>
    <col min="3" max="3" width="41.109375" bestFit="1" customWidth="1"/>
    <col min="4" max="4" width="18" bestFit="1" customWidth="1"/>
    <col min="5" max="5" width="21.109375" bestFit="1" customWidth="1"/>
    <col min="6" max="6" width="18.77734375" bestFit="1" customWidth="1"/>
    <col min="8" max="8" width="27.109375" bestFit="1" customWidth="1"/>
    <col min="9" max="9" width="28.6640625" bestFit="1" customWidth="1"/>
    <col min="10" max="10" width="5.109375" customWidth="1"/>
    <col min="11" max="11" width="3.44140625" customWidth="1"/>
    <col min="12" max="12" width="34" bestFit="1" customWidth="1"/>
    <col min="13" max="13" width="18" bestFit="1" customWidth="1"/>
    <col min="14" max="14" width="21.109375" bestFit="1" customWidth="1"/>
    <col min="15" max="15" width="18.77734375" bestFit="1" customWidth="1"/>
    <col min="16" max="16" width="6.77734375" bestFit="1" customWidth="1"/>
    <col min="17" max="17" width="27.109375" bestFit="1" customWidth="1"/>
    <col min="19" max="19" width="9.109375" customWidth="1"/>
    <col min="20" max="20" width="9.77734375" customWidth="1"/>
    <col min="21" max="21" width="19.33203125" bestFit="1" customWidth="1"/>
    <col min="22" max="22" width="16.77734375" bestFit="1" customWidth="1"/>
    <col min="35" max="35" width="24.109375" customWidth="1"/>
    <col min="41" max="41" width="12.77734375" customWidth="1"/>
    <col min="46" max="46" width="21.77734375" customWidth="1"/>
    <col min="57" max="57" width="21.6640625" customWidth="1"/>
  </cols>
  <sheetData>
    <row r="1" spans="2:57" ht="15" thickBot="1" x14ac:dyDescent="0.35"/>
    <row r="2" spans="2:57" ht="15.6" x14ac:dyDescent="0.3">
      <c r="B2" s="138"/>
      <c r="C2" s="263" t="s">
        <v>181</v>
      </c>
      <c r="D2" s="264"/>
      <c r="E2" s="264"/>
      <c r="F2" s="264"/>
      <c r="G2" s="264"/>
      <c r="H2" s="264"/>
      <c r="I2" s="265"/>
      <c r="K2" s="162"/>
      <c r="L2" s="266" t="s">
        <v>183</v>
      </c>
      <c r="M2" s="266"/>
      <c r="N2" s="266"/>
      <c r="O2" s="266"/>
      <c r="P2" s="266"/>
      <c r="Q2" s="267"/>
      <c r="S2" s="253" t="s">
        <v>188</v>
      </c>
      <c r="T2" s="253"/>
      <c r="U2" s="253"/>
      <c r="V2" s="253"/>
      <c r="W2" s="253"/>
    </row>
    <row r="3" spans="2:57" x14ac:dyDescent="0.3">
      <c r="B3" s="132" t="s">
        <v>187</v>
      </c>
      <c r="C3" s="148" t="s">
        <v>182</v>
      </c>
      <c r="D3" s="132" t="s">
        <v>180</v>
      </c>
      <c r="E3" s="132" t="s">
        <v>167</v>
      </c>
      <c r="F3" s="132" t="s">
        <v>4</v>
      </c>
      <c r="G3" s="132" t="s">
        <v>10</v>
      </c>
      <c r="H3" s="132" t="s">
        <v>11</v>
      </c>
      <c r="I3" s="149" t="s">
        <v>12</v>
      </c>
      <c r="K3" s="163" t="s">
        <v>187</v>
      </c>
      <c r="L3" s="145" t="s">
        <v>182</v>
      </c>
      <c r="M3" s="145" t="s">
        <v>180</v>
      </c>
      <c r="N3" s="145" t="s">
        <v>167</v>
      </c>
      <c r="O3" s="145" t="s">
        <v>4</v>
      </c>
      <c r="P3" s="145" t="s">
        <v>10</v>
      </c>
      <c r="Q3" s="164" t="s">
        <v>11</v>
      </c>
      <c r="S3" s="173" t="s">
        <v>189</v>
      </c>
      <c r="T3" s="173" t="s">
        <v>190</v>
      </c>
      <c r="U3" s="173" t="s">
        <v>191</v>
      </c>
      <c r="V3" s="173" t="s">
        <v>199</v>
      </c>
      <c r="W3" s="174" t="s">
        <v>192</v>
      </c>
    </row>
    <row r="4" spans="2:57" x14ac:dyDescent="0.3">
      <c r="B4" s="114">
        <v>1</v>
      </c>
      <c r="C4" s="150" t="s">
        <v>15</v>
      </c>
      <c r="D4" s="58" t="s">
        <v>177</v>
      </c>
      <c r="E4" s="58" t="s">
        <v>168</v>
      </c>
      <c r="F4" s="32">
        <v>40000</v>
      </c>
      <c r="G4" s="98">
        <v>12.2</v>
      </c>
      <c r="H4" s="6" t="s">
        <v>18</v>
      </c>
      <c r="I4" s="151">
        <v>45073.001205278793</v>
      </c>
      <c r="K4" s="165">
        <v>1</v>
      </c>
      <c r="L4" s="140" t="s">
        <v>43</v>
      </c>
      <c r="M4" s="6" t="s">
        <v>171</v>
      </c>
      <c r="N4" s="6" t="s">
        <v>172</v>
      </c>
      <c r="O4" s="146">
        <f>296000</f>
        <v>296000</v>
      </c>
      <c r="P4" s="5">
        <v>36</v>
      </c>
      <c r="Q4" s="166" t="s">
        <v>18</v>
      </c>
      <c r="S4" s="186">
        <v>0.01</v>
      </c>
      <c r="T4" s="74" t="s">
        <v>193</v>
      </c>
      <c r="U4" s="74" t="s">
        <v>197</v>
      </c>
      <c r="V4" s="187" t="s">
        <v>178</v>
      </c>
      <c r="W4" s="187" t="s">
        <v>173</v>
      </c>
    </row>
    <row r="5" spans="2:57" x14ac:dyDescent="0.3">
      <c r="B5" s="114">
        <v>2</v>
      </c>
      <c r="C5" s="150" t="s">
        <v>21</v>
      </c>
      <c r="D5" s="58" t="s">
        <v>177</v>
      </c>
      <c r="E5" s="58" t="s">
        <v>168</v>
      </c>
      <c r="F5" s="32">
        <v>100000</v>
      </c>
      <c r="G5" s="98">
        <v>12.2</v>
      </c>
      <c r="H5" s="6" t="s">
        <v>18</v>
      </c>
      <c r="I5" s="151">
        <v>112682.50301319698</v>
      </c>
      <c r="K5" s="165">
        <v>2</v>
      </c>
      <c r="L5" s="139" t="s">
        <v>49</v>
      </c>
      <c r="M5" s="58" t="s">
        <v>171</v>
      </c>
      <c r="N5" s="58" t="s">
        <v>172</v>
      </c>
      <c r="O5" s="146">
        <v>108000</v>
      </c>
      <c r="P5" s="5">
        <v>36</v>
      </c>
      <c r="Q5" s="166" t="s">
        <v>36</v>
      </c>
      <c r="S5" s="186">
        <v>1.2E-2</v>
      </c>
      <c r="T5" s="74" t="s">
        <v>194</v>
      </c>
      <c r="U5" s="74" t="s">
        <v>198</v>
      </c>
      <c r="V5" s="187" t="s">
        <v>173</v>
      </c>
      <c r="W5" s="187" t="s">
        <v>174</v>
      </c>
    </row>
    <row r="6" spans="2:57" x14ac:dyDescent="0.3">
      <c r="B6" s="114">
        <v>3</v>
      </c>
      <c r="C6" s="150" t="s">
        <v>23</v>
      </c>
      <c r="D6" s="58" t="s">
        <v>177</v>
      </c>
      <c r="E6" s="58" t="s">
        <v>169</v>
      </c>
      <c r="F6" s="32">
        <v>40000</v>
      </c>
      <c r="G6" s="98">
        <v>12.2</v>
      </c>
      <c r="H6" s="6" t="s">
        <v>18</v>
      </c>
      <c r="I6" s="151">
        <v>45073.001205278793</v>
      </c>
      <c r="K6" s="165">
        <v>3</v>
      </c>
      <c r="L6" s="140" t="s">
        <v>52</v>
      </c>
      <c r="M6" s="6" t="s">
        <v>171</v>
      </c>
      <c r="N6" s="6" t="s">
        <v>172</v>
      </c>
      <c r="O6" s="11">
        <v>85000</v>
      </c>
      <c r="P6" s="5">
        <v>36</v>
      </c>
      <c r="Q6" s="166" t="s">
        <v>184</v>
      </c>
      <c r="S6" s="186">
        <v>1.4999999999999999E-2</v>
      </c>
      <c r="T6" s="74" t="s">
        <v>195</v>
      </c>
      <c r="U6" s="74"/>
      <c r="V6" s="187" t="s">
        <v>174</v>
      </c>
      <c r="W6" s="187" t="s">
        <v>172</v>
      </c>
    </row>
    <row r="7" spans="2:57" x14ac:dyDescent="0.3">
      <c r="B7" s="114">
        <v>4</v>
      </c>
      <c r="C7" s="150" t="s">
        <v>25</v>
      </c>
      <c r="D7" s="58" t="s">
        <v>177</v>
      </c>
      <c r="E7" s="58" t="s">
        <v>168</v>
      </c>
      <c r="F7" s="32">
        <v>95000</v>
      </c>
      <c r="G7" s="98">
        <v>12.2</v>
      </c>
      <c r="H7" s="6" t="s">
        <v>18</v>
      </c>
      <c r="I7" s="151">
        <v>107048.37786253713</v>
      </c>
      <c r="K7" s="165">
        <v>4</v>
      </c>
      <c r="L7" s="139" t="s">
        <v>114</v>
      </c>
      <c r="M7" s="6" t="s">
        <v>173</v>
      </c>
      <c r="N7" s="6" t="s">
        <v>172</v>
      </c>
      <c r="O7" s="11">
        <v>80000</v>
      </c>
      <c r="P7" s="5">
        <v>36</v>
      </c>
      <c r="Q7" s="166" t="s">
        <v>185</v>
      </c>
      <c r="S7" s="188">
        <v>1.6E-2</v>
      </c>
      <c r="T7" s="71" t="s">
        <v>196</v>
      </c>
      <c r="U7" s="71"/>
      <c r="V7" s="189" t="s">
        <v>172</v>
      </c>
      <c r="W7" s="189"/>
    </row>
    <row r="8" spans="2:57" x14ac:dyDescent="0.3">
      <c r="B8" s="114">
        <v>5</v>
      </c>
      <c r="C8" s="150" t="s">
        <v>21</v>
      </c>
      <c r="D8" s="58" t="s">
        <v>177</v>
      </c>
      <c r="E8" s="58" t="s">
        <v>168</v>
      </c>
      <c r="F8" s="32">
        <v>30000</v>
      </c>
      <c r="G8" s="98">
        <v>6.0666666666666664</v>
      </c>
      <c r="H8" s="6" t="s">
        <v>18</v>
      </c>
      <c r="I8" s="151">
        <v>31845.604518030003</v>
      </c>
      <c r="K8" s="165">
        <v>5</v>
      </c>
      <c r="L8" s="139" t="s">
        <v>94</v>
      </c>
      <c r="M8" s="6" t="s">
        <v>171</v>
      </c>
      <c r="N8" s="6" t="s">
        <v>172</v>
      </c>
      <c r="O8" s="11">
        <v>106000</v>
      </c>
      <c r="P8" s="5">
        <v>36</v>
      </c>
      <c r="Q8" s="166" t="s">
        <v>36</v>
      </c>
    </row>
    <row r="9" spans="2:57" x14ac:dyDescent="0.3">
      <c r="B9" s="114">
        <v>6</v>
      </c>
      <c r="C9" s="150" t="s">
        <v>27</v>
      </c>
      <c r="D9" s="58" t="s">
        <v>177</v>
      </c>
      <c r="E9" s="58" t="s">
        <v>168</v>
      </c>
      <c r="F9" s="32">
        <v>30000</v>
      </c>
      <c r="G9" s="98">
        <v>12.2</v>
      </c>
      <c r="H9" s="6" t="s">
        <v>18</v>
      </c>
      <c r="I9" s="151">
        <v>33804.750903959095</v>
      </c>
      <c r="K9" s="165">
        <v>6</v>
      </c>
      <c r="L9" s="139" t="s">
        <v>71</v>
      </c>
      <c r="M9" s="6" t="s">
        <v>171</v>
      </c>
      <c r="N9" s="6" t="s">
        <v>172</v>
      </c>
      <c r="O9" s="147">
        <v>43000</v>
      </c>
      <c r="P9" s="5">
        <v>36</v>
      </c>
      <c r="Q9" s="166" t="s">
        <v>39</v>
      </c>
    </row>
    <row r="10" spans="2:57" x14ac:dyDescent="0.3">
      <c r="B10" s="114">
        <v>7</v>
      </c>
      <c r="C10" s="152" t="s">
        <v>30</v>
      </c>
      <c r="D10" s="141" t="s">
        <v>177</v>
      </c>
      <c r="E10" s="141" t="s">
        <v>170</v>
      </c>
      <c r="F10" s="142">
        <v>30000</v>
      </c>
      <c r="G10" s="143">
        <v>4.0333333333333332</v>
      </c>
      <c r="H10" s="144" t="s">
        <v>18</v>
      </c>
      <c r="I10" s="153">
        <v>31218.120300000002</v>
      </c>
      <c r="K10" s="165">
        <v>7</v>
      </c>
      <c r="L10" s="139" t="s">
        <v>87</v>
      </c>
      <c r="M10" s="58" t="s">
        <v>171</v>
      </c>
      <c r="N10" s="58" t="s">
        <v>172</v>
      </c>
      <c r="O10" s="147">
        <v>20000</v>
      </c>
      <c r="P10" s="5">
        <v>36</v>
      </c>
      <c r="Q10" s="166" t="s">
        <v>39</v>
      </c>
      <c r="S10" s="256" t="s">
        <v>225</v>
      </c>
      <c r="T10" s="256"/>
      <c r="U10" s="256"/>
      <c r="V10" s="256"/>
      <c r="W10" s="256"/>
      <c r="AE10" s="256" t="s">
        <v>224</v>
      </c>
      <c r="AF10" s="256"/>
      <c r="AG10" s="256"/>
      <c r="AH10" s="256"/>
      <c r="AI10" s="256"/>
      <c r="AP10" s="256" t="s">
        <v>238</v>
      </c>
      <c r="AQ10" s="256"/>
      <c r="AR10" s="256"/>
      <c r="AS10" s="256"/>
      <c r="AT10" s="256"/>
      <c r="BA10" s="256" t="s">
        <v>249</v>
      </c>
      <c r="BB10" s="256"/>
      <c r="BC10" s="256"/>
      <c r="BD10" s="256"/>
      <c r="BE10" s="256"/>
    </row>
    <row r="11" spans="2:57" ht="15" thickBot="1" x14ac:dyDescent="0.35">
      <c r="B11" s="114">
        <v>8</v>
      </c>
      <c r="C11" s="150" t="s">
        <v>33</v>
      </c>
      <c r="D11" s="58" t="s">
        <v>177</v>
      </c>
      <c r="E11" s="58" t="s">
        <v>168</v>
      </c>
      <c r="F11" s="32">
        <v>20000</v>
      </c>
      <c r="G11" s="98">
        <v>6.0666666666666664</v>
      </c>
      <c r="H11" s="6" t="s">
        <v>36</v>
      </c>
      <c r="I11" s="151">
        <v>21868.865278852794</v>
      </c>
      <c r="K11" s="167">
        <v>8</v>
      </c>
      <c r="L11" s="168" t="s">
        <v>59</v>
      </c>
      <c r="M11" s="160" t="s">
        <v>171</v>
      </c>
      <c r="N11" s="160" t="s">
        <v>172</v>
      </c>
      <c r="O11" s="169">
        <v>48000</v>
      </c>
      <c r="P11" s="170">
        <v>36</v>
      </c>
      <c r="Q11" s="171" t="s">
        <v>186</v>
      </c>
    </row>
    <row r="12" spans="2:57" ht="15.6" x14ac:dyDescent="0.3">
      <c r="B12" s="114">
        <v>9</v>
      </c>
      <c r="C12" s="150" t="s">
        <v>37</v>
      </c>
      <c r="D12" s="58" t="s">
        <v>177</v>
      </c>
      <c r="E12" s="58" t="s">
        <v>168</v>
      </c>
      <c r="F12" s="32">
        <v>40000</v>
      </c>
      <c r="G12" s="98">
        <v>12.2</v>
      </c>
      <c r="H12" s="6" t="s">
        <v>39</v>
      </c>
      <c r="I12" s="151">
        <v>45073.001205278793</v>
      </c>
      <c r="S12" s="253" t="s">
        <v>202</v>
      </c>
      <c r="T12" s="253"/>
      <c r="U12" s="253"/>
      <c r="V12" s="253"/>
      <c r="W12" s="253"/>
      <c r="AE12" s="253" t="s">
        <v>202</v>
      </c>
      <c r="AF12" s="253"/>
      <c r="AG12" s="253"/>
      <c r="AH12" s="253"/>
      <c r="AI12" s="253"/>
      <c r="AP12" s="253" t="s">
        <v>202</v>
      </c>
      <c r="AQ12" s="253"/>
      <c r="AR12" s="253"/>
      <c r="AS12" s="253"/>
      <c r="AT12" s="253"/>
      <c r="BA12" s="253" t="s">
        <v>202</v>
      </c>
      <c r="BB12" s="253"/>
      <c r="BC12" s="253"/>
      <c r="BD12" s="253"/>
      <c r="BE12" s="253"/>
    </row>
    <row r="13" spans="2:57" x14ac:dyDescent="0.3">
      <c r="B13" s="114">
        <v>10</v>
      </c>
      <c r="C13" s="150" t="s">
        <v>40</v>
      </c>
      <c r="D13" s="58" t="s">
        <v>177</v>
      </c>
      <c r="E13" s="58" t="s">
        <v>168</v>
      </c>
      <c r="F13" s="32">
        <v>40000</v>
      </c>
      <c r="G13" s="98">
        <v>12.2</v>
      </c>
      <c r="H13" s="6" t="s">
        <v>18</v>
      </c>
      <c r="I13" s="151">
        <v>45073.001205278793</v>
      </c>
      <c r="S13" s="238" t="s">
        <v>203</v>
      </c>
      <c r="T13" s="239"/>
      <c r="U13" s="239"/>
      <c r="V13" s="239"/>
      <c r="W13" s="240"/>
      <c r="AE13" s="238" t="s">
        <v>203</v>
      </c>
      <c r="AF13" s="239"/>
      <c r="AG13" s="239"/>
      <c r="AH13" s="239"/>
      <c r="AI13" s="240"/>
      <c r="AP13" s="238" t="s">
        <v>203</v>
      </c>
      <c r="AQ13" s="239"/>
      <c r="AR13" s="239"/>
      <c r="AS13" s="239"/>
      <c r="AT13" s="240"/>
      <c r="BA13" s="238" t="s">
        <v>203</v>
      </c>
      <c r="BB13" s="239"/>
      <c r="BC13" s="239"/>
      <c r="BD13" s="239"/>
      <c r="BE13" s="240"/>
    </row>
    <row r="14" spans="2:57" x14ac:dyDescent="0.3">
      <c r="B14" s="114">
        <v>11</v>
      </c>
      <c r="C14" s="150" t="s">
        <v>57</v>
      </c>
      <c r="D14" s="58" t="s">
        <v>177</v>
      </c>
      <c r="E14" s="58" t="s">
        <v>168</v>
      </c>
      <c r="F14" s="32">
        <v>20000</v>
      </c>
      <c r="G14" s="98">
        <v>12.2</v>
      </c>
      <c r="H14" s="6" t="s">
        <v>18</v>
      </c>
      <c r="I14" s="151">
        <v>22536.500602639397</v>
      </c>
      <c r="K14" s="172"/>
      <c r="L14" s="172"/>
      <c r="M14" s="172"/>
      <c r="N14" s="172"/>
      <c r="O14" s="3"/>
      <c r="P14" s="3"/>
      <c r="Q14" s="3"/>
      <c r="S14" s="183" t="s">
        <v>204</v>
      </c>
      <c r="T14" s="176"/>
      <c r="U14" s="241" t="s">
        <v>212</v>
      </c>
      <c r="V14" s="242"/>
      <c r="W14" s="243"/>
      <c r="AE14" s="183" t="s">
        <v>230</v>
      </c>
      <c r="AF14" s="176"/>
      <c r="AG14" s="241" t="s">
        <v>231</v>
      </c>
      <c r="AH14" s="242"/>
      <c r="AI14" s="243"/>
      <c r="AP14" s="183" t="s">
        <v>239</v>
      </c>
      <c r="AQ14" s="176"/>
      <c r="AR14" s="241" t="s">
        <v>231</v>
      </c>
      <c r="AS14" s="242"/>
      <c r="AT14" s="243"/>
      <c r="BA14" s="183" t="s">
        <v>250</v>
      </c>
      <c r="BB14" s="176"/>
      <c r="BC14" s="241" t="s">
        <v>231</v>
      </c>
      <c r="BD14" s="242"/>
      <c r="BE14" s="243"/>
    </row>
    <row r="15" spans="2:57" x14ac:dyDescent="0.3">
      <c r="B15" s="114">
        <v>12</v>
      </c>
      <c r="C15" s="154" t="s">
        <v>63</v>
      </c>
      <c r="D15" s="58" t="s">
        <v>171</v>
      </c>
      <c r="E15" s="58" t="s">
        <v>172</v>
      </c>
      <c r="F15" s="32">
        <v>10000</v>
      </c>
      <c r="G15" s="98">
        <v>36</v>
      </c>
      <c r="H15" s="6" t="s">
        <v>18</v>
      </c>
      <c r="I15" s="151">
        <v>14307.687835915809</v>
      </c>
      <c r="M15" s="3"/>
      <c r="N15" s="3"/>
      <c r="O15" s="3"/>
      <c r="P15" s="3"/>
      <c r="Q15" s="3"/>
      <c r="S15" s="184" t="s">
        <v>205</v>
      </c>
      <c r="T15" s="177"/>
      <c r="U15" s="244"/>
      <c r="V15" s="245"/>
      <c r="W15" s="246"/>
      <c r="Z15" t="s">
        <v>233</v>
      </c>
      <c r="AE15" s="184" t="s">
        <v>205</v>
      </c>
      <c r="AF15" s="177"/>
      <c r="AG15" s="244"/>
      <c r="AH15" s="245"/>
      <c r="AI15" s="246"/>
      <c r="AP15" s="184" t="s">
        <v>205</v>
      </c>
      <c r="AQ15" s="177"/>
      <c r="AR15" s="244"/>
      <c r="AS15" s="245"/>
      <c r="AT15" s="246"/>
      <c r="BA15" s="184" t="s">
        <v>205</v>
      </c>
      <c r="BB15" s="177"/>
      <c r="BC15" s="244"/>
      <c r="BD15" s="245"/>
      <c r="BE15" s="246"/>
    </row>
    <row r="16" spans="2:57" x14ac:dyDescent="0.3">
      <c r="B16" s="114">
        <v>13</v>
      </c>
      <c r="C16" s="154" t="s">
        <v>66</v>
      </c>
      <c r="D16" s="58" t="s">
        <v>173</v>
      </c>
      <c r="E16" s="58" t="s">
        <v>173</v>
      </c>
      <c r="F16" s="32">
        <v>60000</v>
      </c>
      <c r="G16" s="98">
        <v>36</v>
      </c>
      <c r="H16" s="6" t="s">
        <v>18</v>
      </c>
      <c r="I16" s="151">
        <v>85846.127015494858</v>
      </c>
      <c r="S16" s="185" t="s">
        <v>206</v>
      </c>
      <c r="T16" s="178"/>
      <c r="U16" s="247"/>
      <c r="V16" s="248"/>
      <c r="W16" s="249"/>
      <c r="AE16" s="185" t="s">
        <v>206</v>
      </c>
      <c r="AF16" s="178"/>
      <c r="AG16" s="247"/>
      <c r="AH16" s="248"/>
      <c r="AI16" s="249"/>
      <c r="AP16" s="185" t="s">
        <v>206</v>
      </c>
      <c r="AQ16" s="178"/>
      <c r="AR16" s="247"/>
      <c r="AS16" s="248"/>
      <c r="AT16" s="249"/>
      <c r="BA16" s="185" t="s">
        <v>206</v>
      </c>
      <c r="BB16" s="178"/>
      <c r="BC16" s="247"/>
      <c r="BD16" s="248"/>
      <c r="BE16" s="249"/>
    </row>
    <row r="17" spans="2:60" x14ac:dyDescent="0.3">
      <c r="B17" s="114">
        <v>14</v>
      </c>
      <c r="C17" s="150" t="s">
        <v>15</v>
      </c>
      <c r="D17" s="58" t="s">
        <v>177</v>
      </c>
      <c r="E17" s="58" t="s">
        <v>168</v>
      </c>
      <c r="F17" s="32">
        <v>120000</v>
      </c>
      <c r="G17" s="98">
        <v>12</v>
      </c>
      <c r="H17" s="6" t="s">
        <v>48</v>
      </c>
      <c r="I17" s="151">
        <v>135219.00361583638</v>
      </c>
      <c r="S17" s="179" t="s">
        <v>208</v>
      </c>
      <c r="T17" s="180"/>
      <c r="U17" s="180"/>
      <c r="V17" s="180"/>
      <c r="W17" s="181"/>
      <c r="AE17" s="179" t="s">
        <v>232</v>
      </c>
      <c r="AF17" s="180"/>
      <c r="AG17" s="180"/>
      <c r="AH17" s="180"/>
      <c r="AI17" s="181"/>
      <c r="AP17" s="179" t="s">
        <v>232</v>
      </c>
      <c r="AQ17" s="180"/>
      <c r="AR17" s="180"/>
      <c r="AS17" s="180"/>
      <c r="AT17" s="181"/>
      <c r="BA17" s="179" t="s">
        <v>232</v>
      </c>
      <c r="BB17" s="180"/>
      <c r="BC17" s="180"/>
      <c r="BD17" s="180"/>
      <c r="BE17" s="181"/>
    </row>
    <row r="18" spans="2:60" x14ac:dyDescent="0.3">
      <c r="B18" s="114">
        <v>15</v>
      </c>
      <c r="C18" s="150" t="s">
        <v>30</v>
      </c>
      <c r="D18" s="58" t="s">
        <v>173</v>
      </c>
      <c r="E18" s="58" t="s">
        <v>172</v>
      </c>
      <c r="F18" s="32">
        <v>79000</v>
      </c>
      <c r="G18" s="98">
        <v>36</v>
      </c>
      <c r="H18" s="6" t="s">
        <v>18</v>
      </c>
      <c r="I18" s="151">
        <v>113030.7339037349</v>
      </c>
    </row>
    <row r="19" spans="2:60" ht="15.6" x14ac:dyDescent="0.3">
      <c r="B19" s="114">
        <v>16</v>
      </c>
      <c r="C19" s="150" t="s">
        <v>57</v>
      </c>
      <c r="D19" s="58" t="s">
        <v>177</v>
      </c>
      <c r="E19" s="58" t="s">
        <v>168</v>
      </c>
      <c r="F19" s="32">
        <v>10000</v>
      </c>
      <c r="G19" s="98">
        <v>12.2</v>
      </c>
      <c r="H19" s="6" t="s">
        <v>18</v>
      </c>
      <c r="I19" s="151">
        <v>11268.250301319698</v>
      </c>
      <c r="S19" s="253" t="s">
        <v>202</v>
      </c>
      <c r="T19" s="253"/>
      <c r="U19" s="253"/>
      <c r="V19" s="253"/>
      <c r="W19" s="253"/>
      <c r="AE19" s="253" t="s">
        <v>202</v>
      </c>
      <c r="AF19" s="253"/>
      <c r="AG19" s="253"/>
      <c r="AH19" s="253"/>
      <c r="AI19" s="253"/>
      <c r="AP19" s="253" t="s">
        <v>202</v>
      </c>
      <c r="AQ19" s="253"/>
      <c r="AR19" s="253"/>
      <c r="AS19" s="253"/>
      <c r="AT19" s="253"/>
      <c r="BA19" s="253" t="s">
        <v>202</v>
      </c>
      <c r="BB19" s="253"/>
      <c r="BC19" s="253"/>
      <c r="BD19" s="253"/>
      <c r="BE19" s="253"/>
    </row>
    <row r="20" spans="2:60" x14ac:dyDescent="0.3">
      <c r="B20" s="114">
        <v>17</v>
      </c>
      <c r="C20" s="154" t="s">
        <v>74</v>
      </c>
      <c r="D20" s="58" t="s">
        <v>177</v>
      </c>
      <c r="E20" s="58" t="s">
        <v>174</v>
      </c>
      <c r="F20" s="32">
        <v>35000</v>
      </c>
      <c r="G20" s="98">
        <v>12.2</v>
      </c>
      <c r="H20" s="6" t="s">
        <v>18</v>
      </c>
      <c r="I20" s="151">
        <v>39438.876054618944</v>
      </c>
      <c r="S20" s="238" t="s">
        <v>203</v>
      </c>
      <c r="T20" s="239"/>
      <c r="U20" s="239"/>
      <c r="V20" s="239"/>
      <c r="W20" s="240"/>
      <c r="AE20" s="238" t="s">
        <v>203</v>
      </c>
      <c r="AF20" s="239"/>
      <c r="AG20" s="239"/>
      <c r="AH20" s="239"/>
      <c r="AI20" s="240"/>
      <c r="AP20" s="238" t="s">
        <v>203</v>
      </c>
      <c r="AQ20" s="239"/>
      <c r="AR20" s="239"/>
      <c r="AS20" s="239"/>
      <c r="AT20" s="240"/>
      <c r="BA20" s="238" t="s">
        <v>203</v>
      </c>
      <c r="BB20" s="239"/>
      <c r="BC20" s="239"/>
      <c r="BD20" s="239"/>
      <c r="BE20" s="240"/>
    </row>
    <row r="21" spans="2:60" ht="14.55" customHeight="1" x14ac:dyDescent="0.3">
      <c r="B21" s="114">
        <v>18</v>
      </c>
      <c r="C21" s="154" t="s">
        <v>79</v>
      </c>
      <c r="D21" s="58" t="s">
        <v>177</v>
      </c>
      <c r="E21" s="49" t="s">
        <v>171</v>
      </c>
      <c r="F21" s="32">
        <v>200000</v>
      </c>
      <c r="G21" s="98">
        <v>12</v>
      </c>
      <c r="H21" s="6" t="s">
        <v>18</v>
      </c>
      <c r="I21" s="151">
        <v>225365.00602639397</v>
      </c>
      <c r="S21" s="183" t="s">
        <v>204</v>
      </c>
      <c r="T21" s="176"/>
      <c r="U21" s="241" t="s">
        <v>213</v>
      </c>
      <c r="V21" s="242"/>
      <c r="W21" s="243"/>
      <c r="AE21" s="183" t="s">
        <v>230</v>
      </c>
      <c r="AF21" s="176"/>
      <c r="AG21" s="241" t="s">
        <v>231</v>
      </c>
      <c r="AH21" s="242"/>
      <c r="AI21" s="243"/>
      <c r="AP21" s="183" t="s">
        <v>239</v>
      </c>
      <c r="AQ21" s="176"/>
      <c r="AR21" s="241" t="s">
        <v>244</v>
      </c>
      <c r="AS21" s="242"/>
      <c r="AT21" s="243"/>
      <c r="BA21" s="183" t="s">
        <v>250</v>
      </c>
      <c r="BB21" s="176"/>
      <c r="BC21" s="241" t="s">
        <v>231</v>
      </c>
      <c r="BD21" s="242"/>
      <c r="BE21" s="243"/>
    </row>
    <row r="22" spans="2:60" x14ac:dyDescent="0.3">
      <c r="B22" s="114">
        <v>19</v>
      </c>
      <c r="C22" s="154" t="s">
        <v>33</v>
      </c>
      <c r="D22" s="58" t="s">
        <v>171</v>
      </c>
      <c r="E22" s="58" t="s">
        <v>172</v>
      </c>
      <c r="F22" s="32">
        <v>196000</v>
      </c>
      <c r="G22" s="98">
        <v>36</v>
      </c>
      <c r="H22" s="6" t="s">
        <v>56</v>
      </c>
      <c r="I22" s="151">
        <v>347079.97498652636</v>
      </c>
      <c r="S22" s="184" t="s">
        <v>209</v>
      </c>
      <c r="T22" s="177"/>
      <c r="U22" s="244"/>
      <c r="V22" s="245"/>
      <c r="W22" s="246"/>
      <c r="Z22" t="s">
        <v>234</v>
      </c>
      <c r="AE22" s="184" t="s">
        <v>209</v>
      </c>
      <c r="AF22" s="177"/>
      <c r="AG22" s="244"/>
      <c r="AH22" s="245"/>
      <c r="AI22" s="246"/>
      <c r="AP22" s="184" t="s">
        <v>209</v>
      </c>
      <c r="AQ22" s="177"/>
      <c r="AR22" s="244"/>
      <c r="AS22" s="245"/>
      <c r="AT22" s="246"/>
      <c r="AW22" t="s">
        <v>233</v>
      </c>
      <c r="BA22" s="184" t="s">
        <v>209</v>
      </c>
      <c r="BB22" s="177"/>
      <c r="BC22" s="244"/>
      <c r="BD22" s="245"/>
      <c r="BE22" s="246"/>
    </row>
    <row r="23" spans="2:60" x14ac:dyDescent="0.3">
      <c r="B23" s="114">
        <v>20</v>
      </c>
      <c r="C23" s="154" t="s">
        <v>82</v>
      </c>
      <c r="D23" s="58" t="s">
        <v>173</v>
      </c>
      <c r="E23" s="58" t="s">
        <v>176</v>
      </c>
      <c r="F23" s="32">
        <v>87000</v>
      </c>
      <c r="G23" s="98">
        <v>36</v>
      </c>
      <c r="H23" s="6" t="s">
        <v>18</v>
      </c>
      <c r="I23" s="151">
        <v>124476.88417246754</v>
      </c>
      <c r="S23" s="185" t="s">
        <v>206</v>
      </c>
      <c r="T23" s="178"/>
      <c r="U23" s="247"/>
      <c r="V23" s="248"/>
      <c r="W23" s="249"/>
      <c r="AE23" s="185" t="s">
        <v>206</v>
      </c>
      <c r="AF23" s="178"/>
      <c r="AG23" s="247"/>
      <c r="AH23" s="248"/>
      <c r="AI23" s="249"/>
      <c r="AP23" s="185" t="s">
        <v>206</v>
      </c>
      <c r="AQ23" s="178"/>
      <c r="AR23" s="247"/>
      <c r="AS23" s="248"/>
      <c r="AT23" s="249"/>
      <c r="AW23" s="130"/>
      <c r="BA23" s="185" t="s">
        <v>206</v>
      </c>
      <c r="BB23" s="178"/>
      <c r="BC23" s="247"/>
      <c r="BD23" s="248"/>
      <c r="BE23" s="249"/>
      <c r="BH23" s="130"/>
    </row>
    <row r="24" spans="2:60" x14ac:dyDescent="0.3">
      <c r="B24" s="114">
        <v>21</v>
      </c>
      <c r="C24" s="154" t="s">
        <v>90</v>
      </c>
      <c r="D24" s="58" t="s">
        <v>177</v>
      </c>
      <c r="E24" s="133" t="s">
        <v>168</v>
      </c>
      <c r="F24" s="135">
        <v>75000</v>
      </c>
      <c r="G24" s="136">
        <v>12.2</v>
      </c>
      <c r="H24" s="134" t="s">
        <v>18</v>
      </c>
      <c r="I24" s="155">
        <v>84511.877259897738</v>
      </c>
      <c r="S24" s="179" t="s">
        <v>210</v>
      </c>
      <c r="T24" s="180"/>
      <c r="U24" s="180"/>
      <c r="V24" s="180"/>
      <c r="W24" s="181"/>
      <c r="AE24" s="179" t="s">
        <v>232</v>
      </c>
      <c r="AF24" s="180"/>
      <c r="AG24" s="180"/>
      <c r="AH24" s="180"/>
      <c r="AI24" s="181"/>
      <c r="AP24" s="179" t="s">
        <v>245</v>
      </c>
      <c r="AQ24" s="180"/>
      <c r="AR24" s="180"/>
      <c r="AS24" s="180"/>
      <c r="AT24" s="181"/>
      <c r="BA24" s="179" t="s">
        <v>232</v>
      </c>
      <c r="BB24" s="180"/>
      <c r="BC24" s="180"/>
      <c r="BD24" s="180"/>
      <c r="BE24" s="181"/>
    </row>
    <row r="25" spans="2:60" x14ac:dyDescent="0.3">
      <c r="B25" s="114">
        <v>22</v>
      </c>
      <c r="C25" s="154" t="s">
        <v>90</v>
      </c>
      <c r="D25" s="58" t="s">
        <v>177</v>
      </c>
      <c r="E25" s="133" t="s">
        <v>168</v>
      </c>
      <c r="F25" s="135">
        <v>75000</v>
      </c>
      <c r="G25" s="137">
        <v>12</v>
      </c>
      <c r="H25" s="134" t="s">
        <v>18</v>
      </c>
      <c r="I25" s="155">
        <v>84511.877259897738</v>
      </c>
    </row>
    <row r="26" spans="2:60" ht="15.6" x14ac:dyDescent="0.3">
      <c r="B26" s="114">
        <v>23</v>
      </c>
      <c r="C26" s="154" t="s">
        <v>100</v>
      </c>
      <c r="D26" s="133" t="s">
        <v>174</v>
      </c>
      <c r="E26" s="133" t="s">
        <v>174</v>
      </c>
      <c r="F26" s="135">
        <v>47000</v>
      </c>
      <c r="G26" s="137">
        <v>36</v>
      </c>
      <c r="H26" s="134" t="s">
        <v>18</v>
      </c>
      <c r="I26" s="155">
        <v>67246.132828804301</v>
      </c>
      <c r="S26" s="253" t="s">
        <v>202</v>
      </c>
      <c r="T26" s="253"/>
      <c r="U26" s="253"/>
      <c r="V26" s="253"/>
      <c r="W26" s="253"/>
      <c r="AE26" s="253" t="s">
        <v>202</v>
      </c>
      <c r="AF26" s="253"/>
      <c r="AG26" s="253"/>
      <c r="AH26" s="253"/>
      <c r="AI26" s="253"/>
      <c r="AP26" s="253" t="s">
        <v>202</v>
      </c>
      <c r="AQ26" s="253"/>
      <c r="AR26" s="253"/>
      <c r="AS26" s="253"/>
      <c r="AT26" s="253"/>
      <c r="BA26" s="253" t="s">
        <v>202</v>
      </c>
      <c r="BB26" s="253"/>
      <c r="BC26" s="253"/>
      <c r="BD26" s="253"/>
      <c r="BE26" s="253"/>
    </row>
    <row r="27" spans="2:60" x14ac:dyDescent="0.3">
      <c r="B27" s="114">
        <v>24</v>
      </c>
      <c r="C27" s="154" t="s">
        <v>103</v>
      </c>
      <c r="D27" s="134" t="s">
        <v>174</v>
      </c>
      <c r="E27" s="134" t="s">
        <v>174</v>
      </c>
      <c r="F27" s="135">
        <v>18000</v>
      </c>
      <c r="G27" s="137">
        <v>36</v>
      </c>
      <c r="H27" s="134" t="s">
        <v>18</v>
      </c>
      <c r="I27" s="155">
        <v>25753.838104648457</v>
      </c>
      <c r="S27" s="238" t="s">
        <v>203</v>
      </c>
      <c r="T27" s="239"/>
      <c r="U27" s="239"/>
      <c r="V27" s="239"/>
      <c r="W27" s="240"/>
      <c r="AE27" s="238" t="s">
        <v>203</v>
      </c>
      <c r="AF27" s="239"/>
      <c r="AG27" s="239"/>
      <c r="AH27" s="239"/>
      <c r="AI27" s="240"/>
      <c r="AP27" s="238" t="s">
        <v>203</v>
      </c>
      <c r="AQ27" s="239"/>
      <c r="AR27" s="239"/>
      <c r="AS27" s="239"/>
      <c r="AT27" s="240"/>
      <c r="BA27" s="238" t="s">
        <v>203</v>
      </c>
      <c r="BB27" s="239"/>
      <c r="BC27" s="239"/>
      <c r="BD27" s="239"/>
      <c r="BE27" s="240"/>
    </row>
    <row r="28" spans="2:60" x14ac:dyDescent="0.3">
      <c r="B28" s="114">
        <v>25</v>
      </c>
      <c r="C28" s="154" t="s">
        <v>27</v>
      </c>
      <c r="D28" s="58" t="s">
        <v>171</v>
      </c>
      <c r="E28" s="58" t="s">
        <v>172</v>
      </c>
      <c r="F28" s="135">
        <v>22000</v>
      </c>
      <c r="G28" s="137">
        <v>36</v>
      </c>
      <c r="H28" s="134" t="s">
        <v>18</v>
      </c>
      <c r="I28" s="155">
        <v>31476.913239014782</v>
      </c>
      <c r="S28" s="183" t="s">
        <v>204</v>
      </c>
      <c r="T28" s="176"/>
      <c r="U28" s="241" t="s">
        <v>256</v>
      </c>
      <c r="V28" s="242"/>
      <c r="W28" s="243"/>
      <c r="Z28" t="s">
        <v>257</v>
      </c>
      <c r="AE28" s="183" t="s">
        <v>230</v>
      </c>
      <c r="AF28" s="176"/>
      <c r="AG28" s="241" t="s">
        <v>231</v>
      </c>
      <c r="AH28" s="242"/>
      <c r="AI28" s="243"/>
      <c r="AP28" s="183" t="s">
        <v>239</v>
      </c>
      <c r="AQ28" s="176"/>
      <c r="AR28" s="241" t="s">
        <v>231</v>
      </c>
      <c r="AS28" s="242"/>
      <c r="AT28" s="243"/>
      <c r="BA28" s="183" t="s">
        <v>250</v>
      </c>
      <c r="BB28" s="176"/>
      <c r="BC28" s="241" t="s">
        <v>231</v>
      </c>
      <c r="BD28" s="242"/>
      <c r="BE28" s="243"/>
    </row>
    <row r="29" spans="2:60" x14ac:dyDescent="0.3">
      <c r="B29" s="114">
        <v>26</v>
      </c>
      <c r="C29" s="154" t="s">
        <v>82</v>
      </c>
      <c r="D29" s="58" t="s">
        <v>173</v>
      </c>
      <c r="E29" s="58" t="s">
        <v>176</v>
      </c>
      <c r="F29" s="32">
        <v>14000</v>
      </c>
      <c r="G29" s="92">
        <v>36</v>
      </c>
      <c r="H29" s="6" t="s">
        <v>18</v>
      </c>
      <c r="I29" s="155">
        <v>20030.762970282132</v>
      </c>
      <c r="S29" s="184" t="s">
        <v>211</v>
      </c>
      <c r="T29" s="177"/>
      <c r="U29" s="244"/>
      <c r="V29" s="245"/>
      <c r="W29" s="246"/>
      <c r="Z29" s="130" t="s">
        <v>218</v>
      </c>
      <c r="AE29" s="184" t="s">
        <v>211</v>
      </c>
      <c r="AF29" s="177"/>
      <c r="AG29" s="244"/>
      <c r="AH29" s="245"/>
      <c r="AI29" s="246"/>
      <c r="AL29" s="130"/>
      <c r="AP29" s="184" t="s">
        <v>211</v>
      </c>
      <c r="AQ29" s="177"/>
      <c r="AR29" s="244"/>
      <c r="AS29" s="245"/>
      <c r="AT29" s="246"/>
      <c r="BA29" s="184" t="s">
        <v>211</v>
      </c>
      <c r="BB29" s="177"/>
      <c r="BC29" s="244"/>
      <c r="BD29" s="245"/>
      <c r="BE29" s="246"/>
    </row>
    <row r="30" spans="2:60" x14ac:dyDescent="0.3">
      <c r="B30" s="114">
        <v>27</v>
      </c>
      <c r="C30" s="150" t="s">
        <v>30</v>
      </c>
      <c r="D30" s="58" t="s">
        <v>171</v>
      </c>
      <c r="E30" s="58" t="s">
        <v>172</v>
      </c>
      <c r="F30" s="32">
        <v>31000</v>
      </c>
      <c r="G30" s="92">
        <v>36</v>
      </c>
      <c r="H30" s="6" t="s">
        <v>18</v>
      </c>
      <c r="I30" s="151">
        <v>44353.832291339007</v>
      </c>
      <c r="S30" s="185" t="s">
        <v>206</v>
      </c>
      <c r="T30" s="178"/>
      <c r="U30" s="247"/>
      <c r="V30" s="248"/>
      <c r="W30" s="249"/>
      <c r="Z30" s="130" t="s">
        <v>219</v>
      </c>
      <c r="AE30" s="185" t="s">
        <v>206</v>
      </c>
      <c r="AF30" s="178"/>
      <c r="AG30" s="247"/>
      <c r="AH30" s="248"/>
      <c r="AI30" s="249"/>
      <c r="AL30" s="130"/>
      <c r="AP30" s="185" t="s">
        <v>206</v>
      </c>
      <c r="AQ30" s="178"/>
      <c r="AR30" s="247"/>
      <c r="AS30" s="248"/>
      <c r="AT30" s="249"/>
      <c r="BA30" s="185" t="s">
        <v>206</v>
      </c>
      <c r="BB30" s="178"/>
      <c r="BC30" s="247"/>
      <c r="BD30" s="248"/>
      <c r="BE30" s="249"/>
    </row>
    <row r="31" spans="2:60" ht="93" customHeight="1" x14ac:dyDescent="0.3">
      <c r="B31" s="114">
        <v>28</v>
      </c>
      <c r="C31" s="154" t="s">
        <v>66</v>
      </c>
      <c r="D31" s="58" t="s">
        <v>173</v>
      </c>
      <c r="E31" s="58" t="s">
        <v>173</v>
      </c>
      <c r="F31" s="32">
        <v>20000</v>
      </c>
      <c r="G31" s="92">
        <v>36</v>
      </c>
      <c r="H31" s="6" t="s">
        <v>18</v>
      </c>
      <c r="I31" s="151">
        <v>28615.375671831618</v>
      </c>
      <c r="S31" s="260" t="s">
        <v>214</v>
      </c>
      <c r="T31" s="261"/>
      <c r="U31" s="261"/>
      <c r="V31" s="261"/>
      <c r="W31" s="262"/>
      <c r="AE31" s="250" t="s">
        <v>232</v>
      </c>
      <c r="AF31" s="251"/>
      <c r="AG31" s="251"/>
      <c r="AH31" s="251"/>
      <c r="AI31" s="252"/>
      <c r="AP31" s="250" t="s">
        <v>232</v>
      </c>
      <c r="AQ31" s="251"/>
      <c r="AR31" s="251"/>
      <c r="AS31" s="251"/>
      <c r="AT31" s="252"/>
      <c r="BA31" s="250" t="s">
        <v>232</v>
      </c>
      <c r="BB31" s="251"/>
      <c r="BC31" s="251"/>
      <c r="BD31" s="251"/>
      <c r="BE31" s="252"/>
    </row>
    <row r="32" spans="2:60" x14ac:dyDescent="0.3">
      <c r="B32" s="114">
        <v>29</v>
      </c>
      <c r="C32" s="154" t="s">
        <v>115</v>
      </c>
      <c r="D32" s="133" t="s">
        <v>171</v>
      </c>
      <c r="E32" s="133" t="s">
        <v>176</v>
      </c>
      <c r="F32" s="135">
        <v>20000</v>
      </c>
      <c r="G32" s="137">
        <v>36</v>
      </c>
      <c r="H32" s="134" t="s">
        <v>18</v>
      </c>
      <c r="I32" s="155">
        <v>28615.375671831618</v>
      </c>
      <c r="S32" s="182"/>
      <c r="AE32" s="182"/>
      <c r="AP32" s="182"/>
      <c r="BA32" s="182"/>
    </row>
    <row r="33" spans="2:60" ht="15.6" x14ac:dyDescent="0.3">
      <c r="B33" s="114">
        <v>30</v>
      </c>
      <c r="C33" s="154" t="s">
        <v>90</v>
      </c>
      <c r="D33" s="134" t="s">
        <v>174</v>
      </c>
      <c r="E33" s="134" t="s">
        <v>174</v>
      </c>
      <c r="F33" s="135">
        <v>20000</v>
      </c>
      <c r="G33" s="137">
        <v>36</v>
      </c>
      <c r="H33" s="134" t="s">
        <v>18</v>
      </c>
      <c r="I33" s="155">
        <v>28615.375671831618</v>
      </c>
      <c r="S33" s="253" t="s">
        <v>202</v>
      </c>
      <c r="T33" s="253"/>
      <c r="U33" s="253"/>
      <c r="V33" s="253"/>
      <c r="W33" s="253"/>
      <c r="AE33" s="253" t="s">
        <v>202</v>
      </c>
      <c r="AF33" s="253"/>
      <c r="AG33" s="253"/>
      <c r="AH33" s="253"/>
      <c r="AI33" s="253"/>
      <c r="AP33" s="253" t="s">
        <v>202</v>
      </c>
      <c r="AQ33" s="253"/>
      <c r="AR33" s="253"/>
      <c r="AS33" s="253"/>
      <c r="AT33" s="253"/>
      <c r="BA33" s="253" t="s">
        <v>202</v>
      </c>
      <c r="BB33" s="253"/>
      <c r="BC33" s="253"/>
      <c r="BD33" s="253"/>
      <c r="BE33" s="253"/>
    </row>
    <row r="34" spans="2:60" x14ac:dyDescent="0.3">
      <c r="B34" s="114">
        <v>31</v>
      </c>
      <c r="C34" s="154" t="s">
        <v>115</v>
      </c>
      <c r="D34" s="6" t="s">
        <v>171</v>
      </c>
      <c r="E34" s="6" t="s">
        <v>176</v>
      </c>
      <c r="F34" s="32">
        <v>5000</v>
      </c>
      <c r="G34" s="92">
        <v>36</v>
      </c>
      <c r="H34" s="6" t="s">
        <v>18</v>
      </c>
      <c r="I34" s="151">
        <v>7153.8439179579045</v>
      </c>
      <c r="S34" s="238" t="s">
        <v>203</v>
      </c>
      <c r="T34" s="239"/>
      <c r="U34" s="239"/>
      <c r="V34" s="239"/>
      <c r="W34" s="240"/>
      <c r="Z34" t="s">
        <v>221</v>
      </c>
      <c r="AE34" s="238" t="s">
        <v>203</v>
      </c>
      <c r="AF34" s="239"/>
      <c r="AG34" s="239"/>
      <c r="AH34" s="239"/>
      <c r="AI34" s="240"/>
      <c r="AP34" s="238" t="s">
        <v>203</v>
      </c>
      <c r="AQ34" s="239"/>
      <c r="AR34" s="239"/>
      <c r="AS34" s="239"/>
      <c r="AT34" s="240"/>
      <c r="BA34" s="238" t="s">
        <v>203</v>
      </c>
      <c r="BB34" s="239"/>
      <c r="BC34" s="239"/>
      <c r="BD34" s="239"/>
      <c r="BE34" s="240"/>
    </row>
    <row r="35" spans="2:60" ht="14.55" customHeight="1" x14ac:dyDescent="0.3">
      <c r="B35" s="114">
        <v>32</v>
      </c>
      <c r="C35" s="154" t="s">
        <v>133</v>
      </c>
      <c r="D35" s="134" t="s">
        <v>174</v>
      </c>
      <c r="E35" s="134" t="s">
        <v>174</v>
      </c>
      <c r="F35" s="135">
        <v>17500</v>
      </c>
      <c r="G35" s="137">
        <v>36</v>
      </c>
      <c r="H35" s="134" t="s">
        <v>18</v>
      </c>
      <c r="I35" s="155">
        <v>25038.453712852668</v>
      </c>
      <c r="S35" s="183" t="s">
        <v>204</v>
      </c>
      <c r="T35" s="176"/>
      <c r="U35" s="241" t="s">
        <v>216</v>
      </c>
      <c r="V35" s="242"/>
      <c r="W35" s="243"/>
      <c r="Z35" t="s">
        <v>220</v>
      </c>
      <c r="AE35" s="183" t="s">
        <v>230</v>
      </c>
      <c r="AF35" s="176"/>
      <c r="AG35" s="241" t="s">
        <v>235</v>
      </c>
      <c r="AH35" s="242"/>
      <c r="AI35" s="243"/>
      <c r="AP35" s="183" t="s">
        <v>239</v>
      </c>
      <c r="AQ35" s="176"/>
      <c r="AR35" s="241" t="s">
        <v>231</v>
      </c>
      <c r="AS35" s="242"/>
      <c r="AT35" s="243"/>
      <c r="BA35" s="183" t="s">
        <v>250</v>
      </c>
      <c r="BB35" s="176"/>
      <c r="BC35" s="241" t="s">
        <v>244</v>
      </c>
      <c r="BD35" s="242"/>
      <c r="BE35" s="243"/>
    </row>
    <row r="36" spans="2:60" x14ac:dyDescent="0.3">
      <c r="B36" s="114">
        <v>33</v>
      </c>
      <c r="C36" s="154" t="s">
        <v>100</v>
      </c>
      <c r="D36" s="6" t="s">
        <v>174</v>
      </c>
      <c r="E36" s="6" t="s">
        <v>174</v>
      </c>
      <c r="F36" s="32">
        <v>30000</v>
      </c>
      <c r="G36" s="92">
        <v>36</v>
      </c>
      <c r="H36" s="6" t="s">
        <v>18</v>
      </c>
      <c r="I36" s="151">
        <v>42923.063507747429</v>
      </c>
      <c r="S36" s="184" t="s">
        <v>215</v>
      </c>
      <c r="T36" s="177"/>
      <c r="U36" s="244"/>
      <c r="V36" s="245"/>
      <c r="W36" s="246"/>
      <c r="Z36" s="130" t="s">
        <v>222</v>
      </c>
      <c r="AE36" s="184" t="s">
        <v>215</v>
      </c>
      <c r="AF36" s="177"/>
      <c r="AG36" s="244"/>
      <c r="AH36" s="245"/>
      <c r="AI36" s="246"/>
      <c r="AL36" s="130" t="s">
        <v>237</v>
      </c>
      <c r="AP36" s="184" t="s">
        <v>215</v>
      </c>
      <c r="AQ36" s="177"/>
      <c r="AR36" s="244"/>
      <c r="AS36" s="245"/>
      <c r="AT36" s="246"/>
      <c r="BA36" s="184" t="s">
        <v>215</v>
      </c>
      <c r="BB36" s="177"/>
      <c r="BC36" s="244"/>
      <c r="BD36" s="245"/>
      <c r="BE36" s="246"/>
      <c r="BH36" s="130" t="s">
        <v>242</v>
      </c>
    </row>
    <row r="37" spans="2:60" x14ac:dyDescent="0.3">
      <c r="B37" s="114">
        <v>34</v>
      </c>
      <c r="C37" s="154" t="s">
        <v>162</v>
      </c>
      <c r="D37" s="134" t="s">
        <v>171</v>
      </c>
      <c r="E37" s="134" t="s">
        <v>176</v>
      </c>
      <c r="F37" s="135">
        <v>18564</v>
      </c>
      <c r="G37" s="137">
        <v>36</v>
      </c>
      <c r="H37" s="134" t="s">
        <v>138</v>
      </c>
      <c r="I37" s="155">
        <v>28521.345519284867</v>
      </c>
      <c r="S37" s="185" t="s">
        <v>206</v>
      </c>
      <c r="T37" s="178"/>
      <c r="U37" s="247"/>
      <c r="V37" s="248"/>
      <c r="W37" s="249"/>
      <c r="Z37" s="130" t="s">
        <v>223</v>
      </c>
      <c r="AE37" s="185" t="s">
        <v>206</v>
      </c>
      <c r="AF37" s="178"/>
      <c r="AG37" s="247"/>
      <c r="AH37" s="248"/>
      <c r="AI37" s="249"/>
      <c r="AL37" s="130"/>
      <c r="AP37" s="185" t="s">
        <v>206</v>
      </c>
      <c r="AQ37" s="178"/>
      <c r="AR37" s="247"/>
      <c r="AS37" s="248"/>
      <c r="AT37" s="249"/>
      <c r="BA37" s="185" t="s">
        <v>206</v>
      </c>
      <c r="BB37" s="178"/>
      <c r="BC37" s="247"/>
      <c r="BD37" s="248"/>
      <c r="BE37" s="249"/>
      <c r="BH37" s="130"/>
    </row>
    <row r="38" spans="2:60" ht="118.8" customHeight="1" x14ac:dyDescent="0.3">
      <c r="B38" s="114">
        <v>35</v>
      </c>
      <c r="C38" s="154" t="s">
        <v>103</v>
      </c>
      <c r="D38" s="134" t="s">
        <v>174</v>
      </c>
      <c r="E38" s="134" t="s">
        <v>174</v>
      </c>
      <c r="F38" s="135">
        <v>10000</v>
      </c>
      <c r="G38" s="137">
        <v>36</v>
      </c>
      <c r="H38" s="134" t="s">
        <v>18</v>
      </c>
      <c r="I38" s="155">
        <v>14307.687835915809</v>
      </c>
      <c r="S38" s="260" t="s">
        <v>217</v>
      </c>
      <c r="T38" s="261"/>
      <c r="U38" s="261"/>
      <c r="V38" s="261"/>
      <c r="W38" s="262"/>
      <c r="AE38" s="257" t="s">
        <v>236</v>
      </c>
      <c r="AF38" s="258"/>
      <c r="AG38" s="258"/>
      <c r="AH38" s="258"/>
      <c r="AI38" s="259"/>
      <c r="AP38" s="250" t="s">
        <v>232</v>
      </c>
      <c r="AQ38" s="251"/>
      <c r="AR38" s="251"/>
      <c r="AS38" s="251"/>
      <c r="AT38" s="252"/>
      <c r="BA38" s="250" t="s">
        <v>245</v>
      </c>
      <c r="BB38" s="251"/>
      <c r="BC38" s="251"/>
      <c r="BD38" s="251"/>
      <c r="BE38" s="252"/>
    </row>
    <row r="39" spans="2:60" x14ac:dyDescent="0.3">
      <c r="B39" s="114">
        <v>36</v>
      </c>
      <c r="C39" s="154" t="s">
        <v>162</v>
      </c>
      <c r="D39" s="134" t="s">
        <v>171</v>
      </c>
      <c r="E39" s="134" t="s">
        <v>176</v>
      </c>
      <c r="F39" s="135">
        <v>64000</v>
      </c>
      <c r="G39" s="137">
        <v>36</v>
      </c>
      <c r="H39" s="134" t="s">
        <v>62</v>
      </c>
      <c r="I39" s="155">
        <v>98328.275869113946</v>
      </c>
    </row>
    <row r="40" spans="2:60" x14ac:dyDescent="0.3">
      <c r="B40" s="114">
        <v>37</v>
      </c>
      <c r="C40" s="154" t="s">
        <v>90</v>
      </c>
      <c r="D40" s="134" t="s">
        <v>174</v>
      </c>
      <c r="E40" s="134" t="s">
        <v>174</v>
      </c>
      <c r="F40" s="135">
        <v>10000</v>
      </c>
      <c r="G40" s="137">
        <v>36</v>
      </c>
      <c r="H40" s="134" t="s">
        <v>18</v>
      </c>
      <c r="I40" s="155">
        <v>14307.687835915809</v>
      </c>
    </row>
    <row r="41" spans="2:60" x14ac:dyDescent="0.3">
      <c r="B41" s="114">
        <v>38</v>
      </c>
      <c r="C41" s="150" t="s">
        <v>21</v>
      </c>
      <c r="D41" s="58" t="s">
        <v>177</v>
      </c>
      <c r="E41" s="133" t="s">
        <v>168</v>
      </c>
      <c r="F41" s="135">
        <v>19000</v>
      </c>
      <c r="G41" s="137">
        <v>12</v>
      </c>
      <c r="H41" s="134" t="s">
        <v>18</v>
      </c>
      <c r="I41" s="155">
        <v>21409.675572507425</v>
      </c>
      <c r="S41" s="254" t="s">
        <v>226</v>
      </c>
      <c r="T41" s="254"/>
      <c r="U41" s="254"/>
      <c r="V41" s="254"/>
      <c r="W41" s="254"/>
      <c r="AE41" s="254" t="s">
        <v>240</v>
      </c>
      <c r="AF41" s="254"/>
      <c r="AG41" s="254"/>
      <c r="AH41" s="254"/>
      <c r="AI41" s="254"/>
      <c r="AP41" s="254" t="s">
        <v>246</v>
      </c>
      <c r="AQ41" s="254"/>
      <c r="AR41" s="254"/>
      <c r="AS41" s="254"/>
      <c r="AT41" s="254"/>
      <c r="BA41" s="254" t="s">
        <v>251</v>
      </c>
      <c r="BB41" s="254"/>
      <c r="BC41" s="254"/>
      <c r="BD41" s="254"/>
      <c r="BE41" s="254"/>
    </row>
    <row r="42" spans="2:60" x14ac:dyDescent="0.3">
      <c r="B42" s="114">
        <v>39</v>
      </c>
      <c r="C42" s="154" t="s">
        <v>133</v>
      </c>
      <c r="D42" s="134" t="s">
        <v>174</v>
      </c>
      <c r="E42" s="134" t="s">
        <v>174</v>
      </c>
      <c r="F42" s="135">
        <v>18000</v>
      </c>
      <c r="G42" s="137">
        <v>36</v>
      </c>
      <c r="H42" s="134" t="s">
        <v>18</v>
      </c>
      <c r="I42" s="155">
        <v>25753.838104648457</v>
      </c>
    </row>
    <row r="43" spans="2:60" ht="15.6" x14ac:dyDescent="0.3">
      <c r="B43" s="114">
        <v>40</v>
      </c>
      <c r="C43" s="154" t="s">
        <v>15</v>
      </c>
      <c r="D43" s="134" t="s">
        <v>179</v>
      </c>
      <c r="E43" s="134" t="s">
        <v>168</v>
      </c>
      <c r="F43" s="135">
        <v>21000</v>
      </c>
      <c r="G43" s="137">
        <v>6</v>
      </c>
      <c r="H43" s="134" t="s">
        <v>18</v>
      </c>
      <c r="I43" s="155">
        <v>22291.923162621002</v>
      </c>
      <c r="S43" s="255" t="s">
        <v>202</v>
      </c>
      <c r="T43" s="255"/>
      <c r="U43" s="255"/>
      <c r="V43" s="255"/>
      <c r="W43" s="255"/>
      <c r="AE43" s="255" t="s">
        <v>202</v>
      </c>
      <c r="AF43" s="255"/>
      <c r="AG43" s="255"/>
      <c r="AH43" s="255"/>
      <c r="AI43" s="255"/>
      <c r="AP43" s="255" t="s">
        <v>202</v>
      </c>
      <c r="AQ43" s="255"/>
      <c r="AR43" s="255"/>
      <c r="AS43" s="255"/>
      <c r="AT43" s="255"/>
      <c r="BA43" s="255" t="s">
        <v>202</v>
      </c>
      <c r="BB43" s="255"/>
      <c r="BC43" s="255"/>
      <c r="BD43" s="255"/>
      <c r="BE43" s="255"/>
    </row>
    <row r="44" spans="2:60" x14ac:dyDescent="0.3">
      <c r="B44" s="114">
        <v>41</v>
      </c>
      <c r="C44" s="154" t="s">
        <v>164</v>
      </c>
      <c r="D44" s="134" t="s">
        <v>179</v>
      </c>
      <c r="E44" s="134" t="s">
        <v>168</v>
      </c>
      <c r="F44" s="135">
        <v>30000</v>
      </c>
      <c r="G44" s="137">
        <v>12</v>
      </c>
      <c r="H44" s="134" t="s">
        <v>18</v>
      </c>
      <c r="I44" s="155">
        <v>33804.750903959095</v>
      </c>
      <c r="S44" s="238" t="s">
        <v>203</v>
      </c>
      <c r="T44" s="239"/>
      <c r="U44" s="239"/>
      <c r="V44" s="239"/>
      <c r="W44" s="240"/>
      <c r="AE44" s="238" t="s">
        <v>203</v>
      </c>
      <c r="AF44" s="239"/>
      <c r="AG44" s="239"/>
      <c r="AH44" s="239"/>
      <c r="AI44" s="240"/>
      <c r="AP44" s="238" t="s">
        <v>203</v>
      </c>
      <c r="AQ44" s="239"/>
      <c r="AR44" s="239"/>
      <c r="AS44" s="239"/>
      <c r="AT44" s="240"/>
      <c r="BA44" s="238" t="s">
        <v>203</v>
      </c>
      <c r="BB44" s="239"/>
      <c r="BC44" s="239"/>
      <c r="BD44" s="239"/>
      <c r="BE44" s="240"/>
    </row>
    <row r="45" spans="2:60" x14ac:dyDescent="0.3">
      <c r="B45" s="114">
        <v>42</v>
      </c>
      <c r="C45" s="154" t="s">
        <v>115</v>
      </c>
      <c r="D45" s="6" t="s">
        <v>171</v>
      </c>
      <c r="E45" s="6" t="s">
        <v>178</v>
      </c>
      <c r="F45" s="135">
        <v>5000</v>
      </c>
      <c r="G45" s="137">
        <v>36</v>
      </c>
      <c r="H45" s="134" t="s">
        <v>18</v>
      </c>
      <c r="I45" s="155">
        <v>7153.8439179579045</v>
      </c>
      <c r="S45" s="183" t="s">
        <v>204</v>
      </c>
      <c r="T45" s="176"/>
      <c r="U45" s="241" t="s">
        <v>227</v>
      </c>
      <c r="V45" s="242"/>
      <c r="W45" s="243"/>
      <c r="AE45" s="183" t="s">
        <v>230</v>
      </c>
      <c r="AF45" s="176"/>
      <c r="AG45" s="241" t="s">
        <v>253</v>
      </c>
      <c r="AH45" s="242"/>
      <c r="AI45" s="243"/>
      <c r="AP45" s="183" t="s">
        <v>239</v>
      </c>
      <c r="AQ45" s="176"/>
      <c r="AR45" s="241" t="s">
        <v>248</v>
      </c>
      <c r="AS45" s="242"/>
      <c r="AT45" s="243"/>
      <c r="BA45" s="183" t="s">
        <v>250</v>
      </c>
      <c r="BB45" s="176"/>
      <c r="BC45" s="241" t="s">
        <v>244</v>
      </c>
      <c r="BD45" s="242"/>
      <c r="BE45" s="243"/>
    </row>
    <row r="46" spans="2:60" ht="15" thickBot="1" x14ac:dyDescent="0.35">
      <c r="B46" s="114">
        <v>43</v>
      </c>
      <c r="C46" s="156" t="s">
        <v>82</v>
      </c>
      <c r="D46" s="157" t="s">
        <v>171</v>
      </c>
      <c r="E46" s="157" t="s">
        <v>178</v>
      </c>
      <c r="F46" s="158">
        <v>50000</v>
      </c>
      <c r="G46" s="159">
        <v>36</v>
      </c>
      <c r="H46" s="160" t="s">
        <v>18</v>
      </c>
      <c r="I46" s="161">
        <v>71538.439179579043</v>
      </c>
      <c r="S46" s="184" t="s">
        <v>215</v>
      </c>
      <c r="T46" s="177"/>
      <c r="U46" s="244"/>
      <c r="V46" s="245"/>
      <c r="W46" s="246"/>
      <c r="Z46" s="130" t="s">
        <v>254</v>
      </c>
      <c r="AE46" s="184" t="s">
        <v>215</v>
      </c>
      <c r="AF46" s="177"/>
      <c r="AG46" s="244"/>
      <c r="AH46" s="245"/>
      <c r="AI46" s="246"/>
      <c r="AL46" s="130" t="s">
        <v>243</v>
      </c>
      <c r="AP46" s="184" t="s">
        <v>215</v>
      </c>
      <c r="AQ46" s="177"/>
      <c r="AR46" s="244"/>
      <c r="AS46" s="245"/>
      <c r="AT46" s="246"/>
      <c r="AW46" s="130" t="s">
        <v>255</v>
      </c>
      <c r="BA46" s="184" t="s">
        <v>215</v>
      </c>
      <c r="BB46" s="177"/>
      <c r="BC46" s="244"/>
      <c r="BD46" s="245"/>
      <c r="BE46" s="246"/>
      <c r="BH46" s="130" t="s">
        <v>243</v>
      </c>
    </row>
    <row r="47" spans="2:60" x14ac:dyDescent="0.3">
      <c r="S47" s="185" t="s">
        <v>229</v>
      </c>
      <c r="T47" s="178"/>
      <c r="U47" s="247"/>
      <c r="V47" s="248"/>
      <c r="W47" s="249"/>
      <c r="Z47" s="130"/>
      <c r="AE47" s="185" t="s">
        <v>229</v>
      </c>
      <c r="AF47" s="178"/>
      <c r="AG47" s="247"/>
      <c r="AH47" s="248"/>
      <c r="AI47" s="249"/>
      <c r="AL47" s="130"/>
      <c r="AP47" s="185" t="s">
        <v>229</v>
      </c>
      <c r="AQ47" s="178"/>
      <c r="AR47" s="247"/>
      <c r="AS47" s="248"/>
      <c r="AT47" s="249"/>
      <c r="AW47" s="130"/>
      <c r="BA47" s="185" t="s">
        <v>229</v>
      </c>
      <c r="BB47" s="178"/>
      <c r="BC47" s="247"/>
      <c r="BD47" s="248"/>
      <c r="BE47" s="249"/>
      <c r="BH47" s="130"/>
    </row>
    <row r="48" spans="2:60" ht="28.8" customHeight="1" x14ac:dyDescent="0.3">
      <c r="S48" s="235" t="s">
        <v>228</v>
      </c>
      <c r="T48" s="236"/>
      <c r="U48" s="236"/>
      <c r="V48" s="236"/>
      <c r="W48" s="237"/>
      <c r="AE48" s="235" t="s">
        <v>241</v>
      </c>
      <c r="AF48" s="236"/>
      <c r="AG48" s="236"/>
      <c r="AH48" s="236"/>
      <c r="AI48" s="237"/>
      <c r="AP48" s="235" t="s">
        <v>247</v>
      </c>
      <c r="AQ48" s="236"/>
      <c r="AR48" s="236"/>
      <c r="AS48" s="236"/>
      <c r="AT48" s="237"/>
      <c r="BA48" s="235" t="s">
        <v>252</v>
      </c>
      <c r="BB48" s="236"/>
      <c r="BC48" s="236"/>
      <c r="BD48" s="236"/>
      <c r="BE48" s="237"/>
    </row>
  </sheetData>
  <autoFilter ref="B3:I46" xr:uid="{B6200D81-E3E3-45C0-818D-DE7533E221A4}"/>
  <mergeCells count="83">
    <mergeCell ref="C2:I2"/>
    <mergeCell ref="L2:Q2"/>
    <mergeCell ref="S2:W2"/>
    <mergeCell ref="S12:W12"/>
    <mergeCell ref="S13:W13"/>
    <mergeCell ref="S10:W10"/>
    <mergeCell ref="S19:W19"/>
    <mergeCell ref="S20:W20"/>
    <mergeCell ref="U21:W23"/>
    <mergeCell ref="S26:W26"/>
    <mergeCell ref="U14:W16"/>
    <mergeCell ref="AE20:AI20"/>
    <mergeCell ref="S31:W31"/>
    <mergeCell ref="S33:W33"/>
    <mergeCell ref="S34:W34"/>
    <mergeCell ref="U35:W37"/>
    <mergeCell ref="S27:W27"/>
    <mergeCell ref="U28:W30"/>
    <mergeCell ref="AE33:AI33"/>
    <mergeCell ref="AE10:AI10"/>
    <mergeCell ref="AE12:AI12"/>
    <mergeCell ref="AE13:AI13"/>
    <mergeCell ref="AG14:AI16"/>
    <mergeCell ref="AE19:AI19"/>
    <mergeCell ref="S38:W38"/>
    <mergeCell ref="AE41:AI41"/>
    <mergeCell ref="AE43:AI43"/>
    <mergeCell ref="AE44:AI44"/>
    <mergeCell ref="AG21:AI23"/>
    <mergeCell ref="AE26:AI26"/>
    <mergeCell ref="AE27:AI27"/>
    <mergeCell ref="AG28:AI30"/>
    <mergeCell ref="AE31:AI31"/>
    <mergeCell ref="U45:W47"/>
    <mergeCell ref="S48:W48"/>
    <mergeCell ref="AP10:AT10"/>
    <mergeCell ref="AP12:AT12"/>
    <mergeCell ref="AP13:AT13"/>
    <mergeCell ref="AR14:AT16"/>
    <mergeCell ref="AP19:AT19"/>
    <mergeCell ref="AP20:AT20"/>
    <mergeCell ref="AR21:AT23"/>
    <mergeCell ref="AP26:AT26"/>
    <mergeCell ref="AE34:AI34"/>
    <mergeCell ref="AG35:AI37"/>
    <mergeCell ref="AE38:AI38"/>
    <mergeCell ref="S41:W41"/>
    <mergeCell ref="S43:W43"/>
    <mergeCell ref="S44:W44"/>
    <mergeCell ref="AP27:AT27"/>
    <mergeCell ref="AR28:AT30"/>
    <mergeCell ref="AP31:AT31"/>
    <mergeCell ref="AP33:AT33"/>
    <mergeCell ref="AP34:AT34"/>
    <mergeCell ref="AG45:AI47"/>
    <mergeCell ref="AE48:AI48"/>
    <mergeCell ref="BA38:BE38"/>
    <mergeCell ref="AP48:AT48"/>
    <mergeCell ref="BA10:BE10"/>
    <mergeCell ref="BA12:BE12"/>
    <mergeCell ref="BA13:BE13"/>
    <mergeCell ref="BC14:BE16"/>
    <mergeCell ref="BA19:BE19"/>
    <mergeCell ref="BA20:BE20"/>
    <mergeCell ref="BC21:BE23"/>
    <mergeCell ref="BA26:BE26"/>
    <mergeCell ref="BA27:BE27"/>
    <mergeCell ref="AP38:AT38"/>
    <mergeCell ref="AP41:AT41"/>
    <mergeCell ref="AP43:AT43"/>
    <mergeCell ref="BA48:BE48"/>
    <mergeCell ref="AP44:AT44"/>
    <mergeCell ref="AR45:AT47"/>
    <mergeCell ref="BC28:BE30"/>
    <mergeCell ref="BA31:BE31"/>
    <mergeCell ref="BA33:BE33"/>
    <mergeCell ref="BA34:BE34"/>
    <mergeCell ref="BC35:BE37"/>
    <mergeCell ref="BA41:BE41"/>
    <mergeCell ref="BA43:BE43"/>
    <mergeCell ref="BA44:BE44"/>
    <mergeCell ref="BC45:BE47"/>
    <mergeCell ref="AR35:AT37"/>
  </mergeCells>
  <phoneticPr fontId="6" type="noConversion"/>
  <hyperlinks>
    <hyperlink ref="C4" r:id="rId1" xr:uid="{4E8B1D26-F6F2-4D80-95E4-9547AA89FC2F}"/>
    <hyperlink ref="C5" r:id="rId2" xr:uid="{A46655D7-21C7-40BC-8962-F455834DB890}"/>
    <hyperlink ref="C6" r:id="rId3" xr:uid="{4542649A-B81C-4661-8272-AAD5D4CC051C}"/>
    <hyperlink ref="C7" r:id="rId4" xr:uid="{D9D90435-5460-4B2E-A14B-C5A4DFED609A}"/>
    <hyperlink ref="C8" r:id="rId5" xr:uid="{4EEAEA04-B4A2-4B6C-8F37-6E504C4D9A6E}"/>
    <hyperlink ref="C9" r:id="rId6" xr:uid="{BDB1FC0C-3D55-4C74-9ADB-366A97CBAA62}"/>
    <hyperlink ref="C10" r:id="rId7" xr:uid="{963C2B00-4A15-4B7C-BE22-2CDAF700C64C}"/>
    <hyperlink ref="C11" r:id="rId8" xr:uid="{75A7DEFC-4278-4471-BE54-0D7A5ECB2422}"/>
    <hyperlink ref="C12" r:id="rId9" xr:uid="{740B098D-6360-4A1C-B83D-75DAB4812087}"/>
    <hyperlink ref="C13" r:id="rId10" xr:uid="{041C79A6-C05C-4CB1-A60B-39279DBB6B4C}"/>
    <hyperlink ref="C14" r:id="rId11" xr:uid="{363C0F5C-39B0-4CAF-B59E-C8EA3BFCC30E}"/>
    <hyperlink ref="C15" r:id="rId12" xr:uid="{CAAEB8CA-C3E8-4EB3-998B-974FC9C54659}"/>
    <hyperlink ref="C16" r:id="rId13" xr:uid="{87F9BCF7-F8EF-4C03-BF52-43BE6169F21D}"/>
    <hyperlink ref="C17" r:id="rId14" xr:uid="{DCF0C1BE-A449-4690-8F90-4F9011EE1A18}"/>
    <hyperlink ref="C18" r:id="rId15" xr:uid="{A9BA8B99-D279-4AC2-A47C-5E74B620BFE6}"/>
    <hyperlink ref="C19" r:id="rId16" xr:uid="{60AEDF64-030E-409C-9F2D-12A0D1F4EAC7}"/>
    <hyperlink ref="C20" r:id="rId17" xr:uid="{98C2050A-44F5-4D08-9B0D-B2A232D06DFC}"/>
    <hyperlink ref="C21" r:id="rId18" xr:uid="{DC7E183F-3D8D-4BD4-B1F1-98A8707A4544}"/>
    <hyperlink ref="C23" r:id="rId19" xr:uid="{520E8316-FB93-43DE-914A-1BDE2700BC01}"/>
    <hyperlink ref="C24" r:id="rId20" xr:uid="{B0E23D83-7192-4710-8DFB-99C1413DD4D9}"/>
    <hyperlink ref="C25" r:id="rId21" xr:uid="{9B6084A0-DC65-4554-B519-A5BB1A8938BD}"/>
    <hyperlink ref="C26" r:id="rId22" xr:uid="{03FEB11E-E773-4AFA-9F8A-3AE2078637A0}"/>
    <hyperlink ref="C27" r:id="rId23" xr:uid="{31D8F6A4-B5E3-431A-B9DE-A9E11A434536}"/>
    <hyperlink ref="C28" r:id="rId24" xr:uid="{D56438E8-B753-446D-A7B8-90C12072C695}"/>
    <hyperlink ref="C29" r:id="rId25" xr:uid="{5F80CEAC-9088-44AE-B5E5-43C2052E3E22}"/>
    <hyperlink ref="C30" r:id="rId26" xr:uid="{48E6E0F4-184B-44F3-8D1F-2FE6727FC399}"/>
    <hyperlink ref="C31" r:id="rId27" xr:uid="{95ACC508-9E0A-4379-B7DF-35A480305085}"/>
    <hyperlink ref="C32" r:id="rId28" xr:uid="{61134B9E-76A7-47E3-95EB-549F30B732D6}"/>
    <hyperlink ref="C33" r:id="rId29" xr:uid="{AB896D32-204B-4B64-911F-B9587C3AECA0}"/>
    <hyperlink ref="C34" r:id="rId30" xr:uid="{DD510A23-5449-43EE-ADA3-4C95F12DA001}"/>
    <hyperlink ref="C36" r:id="rId31" xr:uid="{B472B3A2-ADD9-4BCC-8D4F-22BAD5B93ECC}"/>
    <hyperlink ref="C38" r:id="rId32" xr:uid="{2725AF5B-D526-4E64-AEB3-D9FEC14D4594}"/>
    <hyperlink ref="C40" r:id="rId33" xr:uid="{93F8AAE8-969C-47BB-A7AB-2E86CC8933B3}"/>
    <hyperlink ref="C41" r:id="rId34" xr:uid="{FC2C6049-0AE6-4A98-BC22-81FA32B854F5}"/>
    <hyperlink ref="C43" r:id="rId35" xr:uid="{55094F3D-BDB5-4F0B-80FE-9F6FD1AE5CE9}"/>
    <hyperlink ref="C44" r:id="rId36" xr:uid="{0845406F-2F0B-4BF6-B15E-31E3048F78EB}"/>
    <hyperlink ref="C45" r:id="rId37" xr:uid="{6B89FBD2-C71B-4405-9815-917F639E64B5}"/>
    <hyperlink ref="C46" r:id="rId38" xr:uid="{ED12BD00-1D70-45C2-A6F2-DE57EB92E592}"/>
    <hyperlink ref="L4" r:id="rId39" xr:uid="{59F6556E-1E48-4DE6-A5C5-A70C26E46117}"/>
    <hyperlink ref="L5" r:id="rId40" xr:uid="{F49BA5F8-7182-4BF6-85B4-F098B99FCD93}"/>
    <hyperlink ref="L6" r:id="rId41" xr:uid="{DF2B9B2E-840F-4135-A7E3-649B88BB3543}"/>
    <hyperlink ref="L7" r:id="rId42" display="Maria Teresa Resende de Seabra Santos" xr:uid="{A2AA7913-10CD-4BD1-B3F4-91263D8B4992}"/>
    <hyperlink ref="L8" r:id="rId43" xr:uid="{C6B0649E-44DB-4F28-AE10-8FCA9F7E88E2}"/>
    <hyperlink ref="L9" r:id="rId44" xr:uid="{18282432-37DA-4D41-B10A-17845ECAFF6A}"/>
    <hyperlink ref="L10" r:id="rId45" xr:uid="{CAA8AC42-2832-4D8E-836A-754A3F6C3269}"/>
    <hyperlink ref="L11" r:id="rId46" xr:uid="{720132F2-6258-453F-BEFD-A33649529CF3}"/>
  </hyperlinks>
  <pageMargins left="0.511811024" right="0.511811024" top="0.78740157499999996" bottom="0.78740157499999996" header="0.31496062000000002" footer="0.31496062000000002"/>
  <drawing r:id="rId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A483C-D1C4-43E9-A26F-155F20DDDAC0}">
  <dimension ref="B3:G21"/>
  <sheetViews>
    <sheetView showGridLines="0" workbookViewId="0">
      <selection activeCell="H16" sqref="H16"/>
    </sheetView>
  </sheetViews>
  <sheetFormatPr defaultColWidth="8.77734375" defaultRowHeight="14.4" x14ac:dyDescent="0.3"/>
  <cols>
    <col min="7" max="7" width="9.44140625" bestFit="1" customWidth="1"/>
  </cols>
  <sheetData>
    <row r="3" spans="2:7" x14ac:dyDescent="0.3">
      <c r="B3" s="122" t="s">
        <v>157</v>
      </c>
      <c r="C3" s="122"/>
      <c r="D3" s="122"/>
      <c r="E3" s="122"/>
      <c r="F3" s="122"/>
      <c r="G3" s="123" t="s">
        <v>10</v>
      </c>
    </row>
    <row r="4" spans="2:7" x14ac:dyDescent="0.3">
      <c r="B4" s="268" t="s">
        <v>158</v>
      </c>
      <c r="C4" s="269"/>
      <c r="D4" s="269"/>
      <c r="E4" s="269"/>
      <c r="F4" s="270"/>
      <c r="G4" s="211">
        <f>180/30</f>
        <v>6</v>
      </c>
    </row>
    <row r="5" spans="2:7" x14ac:dyDescent="0.3">
      <c r="B5" s="271" t="s">
        <v>159</v>
      </c>
      <c r="C5" s="272"/>
      <c r="D5" s="272"/>
      <c r="E5" s="272"/>
      <c r="F5" s="273"/>
      <c r="G5" s="212">
        <v>12</v>
      </c>
    </row>
    <row r="6" spans="2:7" x14ac:dyDescent="0.3">
      <c r="B6" s="271" t="s">
        <v>160</v>
      </c>
      <c r="C6" s="272"/>
      <c r="D6" s="272"/>
      <c r="E6" s="272"/>
      <c r="F6" s="273"/>
      <c r="G6" s="213">
        <f>720/30</f>
        <v>24</v>
      </c>
    </row>
    <row r="7" spans="2:7" x14ac:dyDescent="0.3">
      <c r="B7" s="274" t="s">
        <v>161</v>
      </c>
      <c r="C7" s="275"/>
      <c r="D7" s="275"/>
      <c r="E7" s="275"/>
      <c r="F7" s="276"/>
      <c r="G7" s="214" t="s">
        <v>295</v>
      </c>
    </row>
    <row r="21" spans="4:4" x14ac:dyDescent="0.3">
      <c r="D21">
        <v>30</v>
      </c>
    </row>
  </sheetData>
  <mergeCells count="4">
    <mergeCell ref="B4:F4"/>
    <mergeCell ref="B5:F5"/>
    <mergeCell ref="B6:F6"/>
    <mergeCell ref="B7:F7"/>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E4845-5EC3-4881-A4E6-095E4810F004}">
  <dimension ref="B2:I21"/>
  <sheetViews>
    <sheetView showGridLines="0" workbookViewId="0">
      <selection activeCell="D34" sqref="D34"/>
    </sheetView>
  </sheetViews>
  <sheetFormatPr defaultColWidth="8.77734375" defaultRowHeight="14.4" x14ac:dyDescent="0.3"/>
  <cols>
    <col min="1" max="2" width="2.6640625" customWidth="1"/>
    <col min="3" max="3" width="34" bestFit="1" customWidth="1"/>
    <col min="4" max="4" width="3.77734375" customWidth="1"/>
    <col min="5" max="5" width="3.109375" customWidth="1"/>
    <col min="6" max="6" width="42.6640625" customWidth="1"/>
  </cols>
  <sheetData>
    <row r="2" spans="2:9" x14ac:dyDescent="0.3">
      <c r="B2" s="50"/>
      <c r="C2" s="60" t="s">
        <v>120</v>
      </c>
      <c r="E2" s="60"/>
      <c r="F2" s="60" t="s">
        <v>121</v>
      </c>
      <c r="G2" s="3"/>
      <c r="H2" s="3"/>
      <c r="I2" s="3"/>
    </row>
    <row r="3" spans="2:9" x14ac:dyDescent="0.3">
      <c r="B3" s="50">
        <v>1</v>
      </c>
      <c r="C3" s="31" t="s">
        <v>43</v>
      </c>
      <c r="E3" s="50">
        <v>1</v>
      </c>
      <c r="F3" s="31" t="s">
        <v>15</v>
      </c>
      <c r="G3" s="3"/>
      <c r="H3" s="3"/>
      <c r="I3" s="3"/>
    </row>
    <row r="4" spans="2:9" x14ac:dyDescent="0.3">
      <c r="B4" s="50">
        <v>2</v>
      </c>
      <c r="C4" s="31" t="s">
        <v>49</v>
      </c>
      <c r="E4" s="50">
        <v>2</v>
      </c>
      <c r="F4" s="31" t="s">
        <v>21</v>
      </c>
    </row>
    <row r="5" spans="2:9" x14ac:dyDescent="0.3">
      <c r="B5" s="50">
        <v>3</v>
      </c>
      <c r="C5" s="31" t="s">
        <v>52</v>
      </c>
      <c r="E5" s="50">
        <v>3</v>
      </c>
      <c r="F5" s="31" t="s">
        <v>23</v>
      </c>
    </row>
    <row r="6" spans="2:9" x14ac:dyDescent="0.3">
      <c r="B6" s="50">
        <v>4</v>
      </c>
      <c r="C6" s="31" t="s">
        <v>59</v>
      </c>
      <c r="E6" s="50">
        <v>4</v>
      </c>
      <c r="F6" s="31" t="s">
        <v>25</v>
      </c>
    </row>
    <row r="7" spans="2:9" x14ac:dyDescent="0.3">
      <c r="B7" s="50">
        <v>5</v>
      </c>
      <c r="C7" s="31" t="s">
        <v>71</v>
      </c>
      <c r="E7" s="50">
        <v>5</v>
      </c>
      <c r="F7" s="31" t="s">
        <v>27</v>
      </c>
    </row>
    <row r="8" spans="2:9" x14ac:dyDescent="0.3">
      <c r="B8" s="50">
        <v>6</v>
      </c>
      <c r="C8" s="31" t="s">
        <v>114</v>
      </c>
      <c r="E8" s="50">
        <v>6</v>
      </c>
      <c r="F8" s="31" t="s">
        <v>30</v>
      </c>
    </row>
    <row r="9" spans="2:9" x14ac:dyDescent="0.3">
      <c r="B9" s="50">
        <v>7</v>
      </c>
      <c r="C9" s="31" t="s">
        <v>87</v>
      </c>
      <c r="E9" s="50">
        <v>7</v>
      </c>
      <c r="F9" s="31" t="s">
        <v>33</v>
      </c>
    </row>
    <row r="10" spans="2:9" x14ac:dyDescent="0.3">
      <c r="B10" s="50">
        <v>8</v>
      </c>
      <c r="C10" s="31" t="s">
        <v>94</v>
      </c>
      <c r="E10" s="50">
        <v>8</v>
      </c>
      <c r="F10" s="31" t="s">
        <v>37</v>
      </c>
    </row>
    <row r="11" spans="2:9" x14ac:dyDescent="0.3">
      <c r="E11" s="50">
        <v>9</v>
      </c>
      <c r="F11" s="31" t="s">
        <v>40</v>
      </c>
    </row>
    <row r="12" spans="2:9" x14ac:dyDescent="0.3">
      <c r="E12" s="50">
        <v>10</v>
      </c>
      <c r="F12" s="31" t="s">
        <v>57</v>
      </c>
    </row>
    <row r="13" spans="2:9" x14ac:dyDescent="0.3">
      <c r="E13" s="50">
        <v>11</v>
      </c>
      <c r="F13" s="31" t="s">
        <v>63</v>
      </c>
    </row>
    <row r="14" spans="2:9" x14ac:dyDescent="0.3">
      <c r="E14" s="50">
        <v>12</v>
      </c>
      <c r="F14" s="31" t="s">
        <v>66</v>
      </c>
    </row>
    <row r="15" spans="2:9" x14ac:dyDescent="0.3">
      <c r="E15" s="50">
        <v>13</v>
      </c>
      <c r="F15" s="31" t="s">
        <v>74</v>
      </c>
    </row>
    <row r="16" spans="2:9" x14ac:dyDescent="0.3">
      <c r="E16" s="50">
        <v>14</v>
      </c>
      <c r="F16" s="31" t="s">
        <v>79</v>
      </c>
    </row>
    <row r="17" spans="5:6" x14ac:dyDescent="0.3">
      <c r="E17" s="50">
        <v>15</v>
      </c>
      <c r="F17" s="31" t="s">
        <v>82</v>
      </c>
    </row>
    <row r="18" spans="5:6" x14ac:dyDescent="0.3">
      <c r="E18" s="50">
        <v>16</v>
      </c>
      <c r="F18" s="31" t="s">
        <v>90</v>
      </c>
    </row>
    <row r="19" spans="5:6" x14ac:dyDescent="0.3">
      <c r="E19" s="50">
        <v>17</v>
      </c>
      <c r="F19" s="31" t="s">
        <v>100</v>
      </c>
    </row>
    <row r="20" spans="5:6" x14ac:dyDescent="0.3">
      <c r="E20" s="50">
        <v>18</v>
      </c>
      <c r="F20" s="31" t="s">
        <v>103</v>
      </c>
    </row>
    <row r="21" spans="5:6" x14ac:dyDescent="0.3">
      <c r="E21" s="50">
        <v>19</v>
      </c>
      <c r="F21" s="31" t="s">
        <v>115</v>
      </c>
    </row>
  </sheetData>
  <hyperlinks>
    <hyperlink ref="C5" r:id="rId1" xr:uid="{42FB0F0B-CD82-46F5-AF6B-7CB353BEFC23}"/>
    <hyperlink ref="C8" r:id="rId2" display="Maria Teresa Resende de Seabra Santos" xr:uid="{D29441B3-55B8-4835-98E9-8354DF1B9352}"/>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Clientes</vt:lpstr>
      <vt:lpstr>Solicitação de Resgate</vt:lpstr>
      <vt:lpstr>Clientes Mensais</vt:lpstr>
      <vt:lpstr>Cálculo Leandro</vt:lpstr>
      <vt:lpstr>Variáveis Contratos</vt:lpstr>
      <vt:lpstr>Faixa de Tributação</vt:lpstr>
      <vt:lpstr>Status Clientes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Paola Gebauer</dc:creator>
  <cp:keywords/>
  <dc:description/>
  <cp:lastModifiedBy>Paola Gebauer</cp:lastModifiedBy>
  <cp:revision/>
  <dcterms:created xsi:type="dcterms:W3CDTF">2023-09-18T16:32:59Z</dcterms:created>
  <dcterms:modified xsi:type="dcterms:W3CDTF">2024-06-18T20:18:37Z</dcterms:modified>
  <cp:category/>
  <cp:contentStatus/>
</cp:coreProperties>
</file>