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Gustavo\Dropbox\Trabalho\Websis\AGU\OS49\"/>
    </mc:Choice>
  </mc:AlternateContent>
  <bookViews>
    <workbookView xWindow="0" yWindow="0" windowWidth="20490" windowHeight="7755" tabRatio="570"/>
  </bookViews>
  <sheets>
    <sheet name="Contagem" sheetId="1" r:id="rId1"/>
    <sheet name="Funções" sheetId="2" r:id="rId2"/>
    <sheet name="Sumário" sheetId="5" r:id="rId3"/>
    <sheet name="tabela" sheetId="4" state="hidden" r:id="rId4"/>
  </sheets>
  <externalReferences>
    <externalReference r:id="rId5"/>
    <externalReference r:id="rId6"/>
  </externalReferences>
  <definedNames>
    <definedName name="_xlnm.Print_Area" localSheetId="0">Contagem!$A$1:$AA$61</definedName>
    <definedName name="_xlnm.Print_Area" localSheetId="1">Funções!$A$1:$U$18</definedName>
    <definedName name="_xlnm.Print_Area" localSheetId="2">Sumário!$A$1:$L$59</definedName>
    <definedName name="CF">Funções!$L$8:$L$18</definedName>
    <definedName name="Data">Contagem!$W$7</definedName>
    <definedName name="FPA">[1]Início!$C$15</definedName>
    <definedName name="Projeto" localSheetId="2">[2]Contagem!#REF!</definedName>
    <definedName name="Projeto">Contagem!#REF!</definedName>
    <definedName name="Responsável">Contagem!$E$7</definedName>
    <definedName name="Revisão">Contagem!$W$8</definedName>
    <definedName name="Revisor">Contagem!$E$8</definedName>
    <definedName name="sisp2.0" localSheetId="2">[2]tabela!$A$3:$C$28</definedName>
    <definedName name="sisp2.0">tabela!$A$3:$C$28</definedName>
    <definedName name="tabela_itens_nm">tabela!$IB$4:$IC$33</definedName>
    <definedName name="_xlnm.Print_Titles" localSheetId="1">Funções!$1:$7</definedName>
    <definedName name="UFPB">Contagem!#REF!</definedName>
    <definedName name="VAF" localSheetId="2">#REF!</definedName>
    <definedName name="VAF">#REF!</definedName>
    <definedName name="VAFA" localSheetId="2">#REF!</definedName>
    <definedName name="VAFA">#REF!</definedName>
    <definedName name="VAFB" localSheetId="2">#REF!</definedName>
    <definedName name="VAFB">#REF!</definedName>
  </definedNames>
  <calcPr calcId="152511" concurrentCalc="0"/>
</workbook>
</file>

<file path=xl/calcChain.xml><?xml version="1.0" encoding="utf-8"?>
<calcChain xmlns="http://schemas.openxmlformats.org/spreadsheetml/2006/main">
  <c r="C11" i="5" l="1"/>
  <c r="C12" i="5"/>
  <c r="C10" i="5"/>
  <c r="E58" i="5"/>
  <c r="R43" i="1"/>
  <c r="E57" i="5"/>
  <c r="R42" i="1"/>
  <c r="E55" i="5"/>
  <c r="R40" i="1"/>
  <c r="M8" i="2"/>
  <c r="P8" i="2"/>
  <c r="Q8" i="2"/>
  <c r="R8" i="2"/>
  <c r="S8" i="2"/>
  <c r="E56" i="5"/>
  <c r="R41" i="1"/>
  <c r="X43" i="1"/>
  <c r="X42" i="1"/>
  <c r="X41" i="1"/>
  <c r="X40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Q9" i="2"/>
  <c r="R9" i="2"/>
  <c r="S9" i="2"/>
  <c r="Q10" i="2"/>
  <c r="S10" i="2"/>
  <c r="Q11" i="2"/>
  <c r="S11" i="2"/>
  <c r="Q12" i="2"/>
  <c r="S12" i="2"/>
  <c r="Q13" i="2"/>
  <c r="S13" i="2"/>
  <c r="Q14" i="2"/>
  <c r="S14" i="2"/>
  <c r="Q15" i="2"/>
  <c r="S15" i="2"/>
  <c r="Q16" i="2"/>
  <c r="S16" i="2"/>
  <c r="Q17" i="2"/>
  <c r="S17" i="2"/>
  <c r="Q18" i="2"/>
  <c r="S18" i="2"/>
  <c r="V5" i="1"/>
  <c r="K56" i="5"/>
  <c r="K6" i="5"/>
  <c r="V6" i="1"/>
  <c r="P6" i="2"/>
  <c r="F58" i="5"/>
  <c r="G58" i="5"/>
  <c r="F57" i="5"/>
  <c r="G57" i="5"/>
  <c r="F56" i="5"/>
  <c r="G56" i="5"/>
  <c r="F55" i="5"/>
  <c r="G55" i="5"/>
  <c r="C31" i="5"/>
  <c r="C32" i="5"/>
  <c r="C33" i="5"/>
  <c r="C38" i="5"/>
  <c r="C39" i="5"/>
  <c r="C40" i="5"/>
  <c r="G47" i="5"/>
  <c r="C17" i="5"/>
  <c r="C18" i="5"/>
  <c r="C19" i="5"/>
  <c r="C24" i="5"/>
  <c r="C25" i="5"/>
  <c r="C26" i="5"/>
  <c r="G46" i="5"/>
  <c r="G10" i="5"/>
  <c r="G11" i="5"/>
  <c r="G12" i="5"/>
  <c r="G14" i="5"/>
  <c r="G17" i="5"/>
  <c r="G18" i="5"/>
  <c r="G19" i="5"/>
  <c r="G21" i="5"/>
  <c r="G24" i="5"/>
  <c r="G25" i="5"/>
  <c r="G26" i="5"/>
  <c r="G28" i="5"/>
  <c r="G31" i="5"/>
  <c r="G32" i="5"/>
  <c r="G33" i="5"/>
  <c r="G35" i="5"/>
  <c r="G38" i="5"/>
  <c r="G39" i="5"/>
  <c r="G40" i="5"/>
  <c r="G42" i="5"/>
  <c r="G45" i="5"/>
  <c r="I42" i="5"/>
  <c r="C42" i="5"/>
  <c r="I35" i="5"/>
  <c r="C35" i="5"/>
  <c r="I28" i="5"/>
  <c r="C28" i="5"/>
  <c r="I21" i="5"/>
  <c r="C21" i="5"/>
  <c r="I14" i="5"/>
  <c r="C14" i="5"/>
  <c r="H6" i="5"/>
  <c r="F6" i="5"/>
  <c r="A6" i="5"/>
  <c r="F5" i="5"/>
  <c r="A5" i="5"/>
  <c r="F4" i="5"/>
  <c r="A4" i="5"/>
  <c r="U8" i="2"/>
  <c r="M9" i="2"/>
  <c r="P9" i="2"/>
  <c r="R10" i="2"/>
  <c r="R11" i="2"/>
  <c r="R12" i="2"/>
  <c r="R13" i="2"/>
  <c r="R14" i="2"/>
  <c r="R15" i="2"/>
  <c r="R16" i="2"/>
  <c r="R17" i="2"/>
  <c r="R18" i="2"/>
  <c r="G5" i="2"/>
  <c r="G4" i="2"/>
  <c r="O8" i="2"/>
  <c r="O9" i="2"/>
  <c r="M10" i="2"/>
  <c r="L10" i="2"/>
  <c r="O10" i="2"/>
  <c r="P10" i="2"/>
  <c r="M11" i="2"/>
  <c r="L11" i="2"/>
  <c r="O11" i="2"/>
  <c r="P11" i="2"/>
  <c r="M12" i="2"/>
  <c r="L12" i="2"/>
  <c r="O12" i="2"/>
  <c r="P12" i="2"/>
  <c r="M13" i="2"/>
  <c r="L13" i="2"/>
  <c r="O13" i="2"/>
  <c r="P13" i="2"/>
  <c r="M14" i="2"/>
  <c r="L14" i="2"/>
  <c r="O14" i="2"/>
  <c r="P14" i="2"/>
  <c r="M15" i="2"/>
  <c r="L15" i="2"/>
  <c r="O15" i="2"/>
  <c r="P15" i="2"/>
  <c r="M16" i="2"/>
  <c r="L16" i="2"/>
  <c r="O16" i="2"/>
  <c r="P16" i="2"/>
  <c r="M17" i="2"/>
  <c r="L17" i="2"/>
  <c r="O17" i="2"/>
  <c r="P17" i="2"/>
  <c r="M18" i="2"/>
  <c r="L18" i="2"/>
  <c r="O18" i="2"/>
  <c r="P18" i="2"/>
  <c r="A4" i="2"/>
  <c r="F6" i="2"/>
  <c r="A5" i="2"/>
  <c r="A6" i="2"/>
  <c r="V4" i="1"/>
  <c r="H6" i="2"/>
</calcChain>
</file>

<file path=xl/comments1.xml><?xml version="1.0" encoding="utf-8"?>
<comments xmlns="http://schemas.openxmlformats.org/spreadsheetml/2006/main">
  <authors>
    <author/>
  </authors>
  <commentList>
    <comment ref="J45" authorId="0" shapeId="0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  <author>Adm</author>
    <author>Rogerio Sousa</author>
    <author>infra</author>
  </authors>
  <commentList>
    <comment ref="A7" authorId="0" shapeId="0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H7" authorId="1" shapeId="0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  </t>
        </r>
        <r>
          <rPr>
            <b/>
            <sz val="8"/>
            <color indexed="81"/>
            <rFont val="Tahoma"/>
            <family val="2"/>
          </rPr>
          <t>T</t>
        </r>
        <r>
          <rPr>
            <sz val="8"/>
            <color indexed="81"/>
            <rFont val="Tahoma"/>
            <family val="2"/>
          </rPr>
          <t>- Teste</t>
        </r>
      </text>
    </comment>
    <comment ref="I7" authorId="0" shapeId="0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J7" authorId="0" shapeId="0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  <comment ref="K7" authorId="2" shapeId="0">
      <text>
        <r>
          <rPr>
            <b/>
            <sz val="9"/>
            <color indexed="81"/>
            <rFont val="Calibri"/>
            <family val="2"/>
          </rPr>
          <t>Fator de Impacto:
A:</t>
        </r>
        <r>
          <rPr>
            <sz val="9"/>
            <color indexed="81"/>
            <rFont val="Calibri"/>
            <family val="2"/>
          </rPr>
          <t>Não se aplica FI</t>
        </r>
        <r>
          <rPr>
            <b/>
            <sz val="9"/>
            <color indexed="81"/>
            <rFont val="Calibri"/>
            <family val="2"/>
          </rPr>
          <t xml:space="preserve">      B:</t>
        </r>
        <r>
          <rPr>
            <sz val="9"/>
            <color indexed="81"/>
            <rFont val="Calibri"/>
            <family val="2"/>
          </rPr>
          <t>50%</t>
        </r>
        <r>
          <rPr>
            <b/>
            <sz val="9"/>
            <color indexed="81"/>
            <rFont val="Calibri"/>
            <family val="2"/>
          </rPr>
          <t xml:space="preserve">   C:</t>
        </r>
        <r>
          <rPr>
            <sz val="9"/>
            <color indexed="81"/>
            <rFont val="Calibri"/>
            <family val="2"/>
          </rPr>
          <t>75%</t>
        </r>
        <r>
          <rPr>
            <b/>
            <sz val="9"/>
            <color indexed="81"/>
            <rFont val="Calibri"/>
            <family val="2"/>
          </rPr>
          <t xml:space="preserve">   D:</t>
        </r>
        <r>
          <rPr>
            <sz val="9"/>
            <color indexed="81"/>
            <rFont val="Calibri"/>
            <family val="2"/>
          </rPr>
          <t>100%</t>
        </r>
      </text>
    </comment>
    <comment ref="N7" authorId="2" shapeId="0">
      <text>
        <r>
          <rPr>
            <b/>
            <sz val="9"/>
            <color indexed="81"/>
            <rFont val="Calibri"/>
            <family val="2"/>
          </rPr>
          <t>Itens não mensuráveis:
E:</t>
        </r>
        <r>
          <rPr>
            <sz val="9"/>
            <color indexed="81"/>
            <rFont val="Calibri"/>
            <family val="2"/>
          </rPr>
          <t xml:space="preserve">60%    </t>
        </r>
        <r>
          <rPr>
            <b/>
            <sz val="9"/>
            <color indexed="81"/>
            <rFont val="Calibri"/>
            <family val="2"/>
          </rPr>
          <t xml:space="preserve">     H:</t>
        </r>
        <r>
          <rPr>
            <sz val="9"/>
            <color indexed="81"/>
            <rFont val="Calibri"/>
            <family val="2"/>
          </rPr>
          <t>50%</t>
        </r>
        <r>
          <rPr>
            <b/>
            <sz val="9"/>
            <color indexed="81"/>
            <rFont val="Calibri"/>
            <family val="2"/>
          </rPr>
          <t xml:space="preserve">         K:</t>
        </r>
        <r>
          <rPr>
            <sz val="9"/>
            <color indexed="81"/>
            <rFont val="Calibri"/>
            <family val="2"/>
          </rPr>
          <t xml:space="preserve">70% </t>
        </r>
        <r>
          <rPr>
            <b/>
            <sz val="9"/>
            <color indexed="81"/>
            <rFont val="Calibri"/>
            <family val="2"/>
          </rPr>
          <t xml:space="preserve">  
F:</t>
        </r>
        <r>
          <rPr>
            <sz val="9"/>
            <color indexed="81"/>
            <rFont val="Calibri"/>
            <family val="2"/>
          </rPr>
          <t>70%</t>
        </r>
        <r>
          <rPr>
            <b/>
            <sz val="9"/>
            <color indexed="81"/>
            <rFont val="Calibri"/>
            <family val="2"/>
          </rPr>
          <t xml:space="preserve">         I:</t>
        </r>
        <r>
          <rPr>
            <sz val="9"/>
            <color indexed="81"/>
            <rFont val="Calibri"/>
            <family val="2"/>
          </rPr>
          <t>40%</t>
        </r>
        <r>
          <rPr>
            <b/>
            <sz val="9"/>
            <color indexed="81"/>
            <rFont val="Calibri"/>
            <family val="2"/>
          </rPr>
          <t xml:space="preserve">           L:</t>
        </r>
        <r>
          <rPr>
            <sz val="9"/>
            <color indexed="81"/>
            <rFont val="Calibri"/>
            <family val="2"/>
          </rPr>
          <t xml:space="preserve">80%   </t>
        </r>
        <r>
          <rPr>
            <b/>
            <sz val="9"/>
            <color indexed="81"/>
            <rFont val="Calibri"/>
            <family val="2"/>
          </rPr>
          <t xml:space="preserve">
G:</t>
        </r>
        <r>
          <rPr>
            <sz val="9"/>
            <color indexed="81"/>
            <rFont val="Calibri"/>
            <family val="2"/>
          </rPr>
          <t>80%</t>
        </r>
        <r>
          <rPr>
            <b/>
            <sz val="9"/>
            <color indexed="81"/>
            <rFont val="Calibri"/>
            <family val="2"/>
          </rPr>
          <t xml:space="preserve">         J:</t>
        </r>
        <r>
          <rPr>
            <sz val="9"/>
            <color indexed="81"/>
            <rFont val="Calibri"/>
            <family val="2"/>
          </rPr>
          <t xml:space="preserve">10%  </t>
        </r>
        <r>
          <rPr>
            <b/>
            <sz val="9"/>
            <color indexed="81"/>
            <rFont val="Calibri"/>
            <family val="2"/>
          </rPr>
          <t xml:space="preserve">        M:</t>
        </r>
        <r>
          <rPr>
            <sz val="9"/>
            <color indexed="81"/>
            <rFont val="Calibri"/>
            <family val="2"/>
          </rPr>
          <t>100%</t>
        </r>
        <r>
          <rPr>
            <b/>
            <sz val="9"/>
            <color indexed="81"/>
            <rFont val="Calibri"/>
            <family val="2"/>
          </rPr>
          <t xml:space="preserve">   
N:</t>
        </r>
        <r>
          <rPr>
            <sz val="9"/>
            <color indexed="81"/>
            <rFont val="Calibri"/>
            <family val="2"/>
          </rPr>
          <t>60%</t>
        </r>
        <r>
          <rPr>
            <b/>
            <sz val="9"/>
            <color indexed="81"/>
            <rFont val="Calibri"/>
            <family val="2"/>
          </rPr>
          <t xml:space="preserve">         Q:</t>
        </r>
        <r>
          <rPr>
            <sz val="9"/>
            <color indexed="81"/>
            <rFont val="Calibri"/>
            <family val="2"/>
          </rPr>
          <t>10%</t>
        </r>
        <r>
          <rPr>
            <b/>
            <sz val="9"/>
            <color indexed="81"/>
            <rFont val="Calibri"/>
            <family val="2"/>
          </rPr>
          <t xml:space="preserve">         T:</t>
        </r>
        <r>
          <rPr>
            <sz val="9"/>
            <color indexed="81"/>
            <rFont val="Calibri"/>
            <family val="2"/>
          </rPr>
          <t xml:space="preserve">25% </t>
        </r>
        <r>
          <rPr>
            <b/>
            <sz val="9"/>
            <color indexed="81"/>
            <rFont val="Calibri"/>
            <family val="2"/>
          </rPr>
          <t xml:space="preserve">   
O:</t>
        </r>
        <r>
          <rPr>
            <sz val="9"/>
            <color indexed="81"/>
            <rFont val="Calibri"/>
            <family val="2"/>
          </rPr>
          <t>100%</t>
        </r>
        <r>
          <rPr>
            <b/>
            <sz val="9"/>
            <color indexed="81"/>
            <rFont val="Calibri"/>
            <family val="2"/>
          </rPr>
          <t xml:space="preserve">      R:</t>
        </r>
        <r>
          <rPr>
            <sz val="9"/>
            <color indexed="81"/>
            <rFont val="Calibri"/>
            <family val="2"/>
          </rPr>
          <t xml:space="preserve">50% </t>
        </r>
        <r>
          <rPr>
            <b/>
            <sz val="9"/>
            <color indexed="81"/>
            <rFont val="Calibri"/>
            <family val="2"/>
          </rPr>
          <t xml:space="preserve">         U:</t>
        </r>
        <r>
          <rPr>
            <sz val="9"/>
            <color indexed="81"/>
            <rFont val="Calibri"/>
            <family val="2"/>
          </rPr>
          <t xml:space="preserve">100%  </t>
        </r>
        <r>
          <rPr>
            <b/>
            <sz val="9"/>
            <color indexed="81"/>
            <rFont val="Calibri"/>
            <family val="2"/>
          </rPr>
          <t xml:space="preserve"> 
P:</t>
        </r>
        <r>
          <rPr>
            <sz val="9"/>
            <color indexed="81"/>
            <rFont val="Calibri"/>
            <family val="2"/>
          </rPr>
          <t xml:space="preserve">10% </t>
        </r>
        <r>
          <rPr>
            <b/>
            <sz val="9"/>
            <color indexed="81"/>
            <rFont val="Calibri"/>
            <family val="2"/>
          </rPr>
          <t xml:space="preserve">        S:</t>
        </r>
        <r>
          <rPr>
            <sz val="9"/>
            <color indexed="81"/>
            <rFont val="Calibri"/>
            <family val="2"/>
          </rPr>
          <t>20%</t>
        </r>
      </text>
    </comment>
    <comment ref="J8" authorId="3" shapeId="0">
      <text>
        <r>
          <rPr>
            <b/>
            <sz val="9"/>
            <color indexed="81"/>
            <rFont val="Tahoma"/>
            <family val="2"/>
          </rPr>
          <t>infra:</t>
        </r>
        <r>
          <rPr>
            <sz val="9"/>
            <color indexed="81"/>
            <rFont val="Tahoma"/>
            <family val="2"/>
          </rPr>
          <t xml:space="preserve">
Eventos
</t>
        </r>
      </text>
    </comment>
    <comment ref="J9" authorId="3" shapeId="0">
      <text>
        <r>
          <rPr>
            <b/>
            <sz val="9"/>
            <color indexed="81"/>
            <rFont val="Tahoma"/>
            <family val="2"/>
          </rPr>
          <t>infra:</t>
        </r>
        <r>
          <rPr>
            <sz val="9"/>
            <color indexed="81"/>
            <rFont val="Tahoma"/>
            <family val="2"/>
          </rPr>
          <t xml:space="preserve">
Eventos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<sst xmlns="http://schemas.openxmlformats.org/spreadsheetml/2006/main" count="246" uniqueCount="184">
  <si>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</si>
  <si>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</si>
  <si>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</si>
  <si>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</si>
  <si>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</si>
  <si>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</si>
  <si>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</si>
  <si>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</si>
  <si>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</si>
  <si>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</si>
  <si>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</si>
  <si>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</si>
  <si>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</si>
  <si>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</si>
  <si>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PF não Ajustado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</si>
  <si>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</si>
  <si>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</si>
  <si>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</si>
  <si>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</si>
  <si>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</si>
  <si>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</si>
  <si>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</si>
  <si>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</si>
  <si>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</si>
  <si>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Processo Elementar ou Grupo de Dados</t>
  </si>
  <si>
    <t>Tipo</t>
  </si>
  <si>
    <t>TD</t>
  </si>
  <si>
    <t>AR/TR</t>
  </si>
  <si>
    <t>ctl</t>
  </si>
  <si>
    <t>C</t>
  </si>
  <si>
    <t>Complex.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</si>
  <si>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</si>
  <si>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</si>
  <si>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</si>
  <si>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</si>
  <si>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</si>
  <si>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</si>
  <si>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</si>
  <si>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</si>
  <si>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</si>
  <si>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</si>
  <si>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</si>
  <si>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</si>
  <si>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</si>
  <si>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</si>
  <si>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</si>
  <si>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</si>
  <si>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</si>
  <si>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</si>
  <si>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</si>
  <si>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</si>
  <si>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</si>
  <si>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Total PF não ajustados (contagem detalhada)</t>
  </si>
  <si>
    <t>Total PF não ajustados (contagem estimativa)</t>
  </si>
  <si>
    <t>Total PF não ajustados (contagem indicativa)</t>
  </si>
  <si>
    <t>NÃO AJS</t>
  </si>
  <si>
    <t>DFL</t>
  </si>
  <si>
    <t>INCLUSÃO (ADD)</t>
  </si>
  <si>
    <t>TOTAL</t>
  </si>
  <si>
    <t>ALTERAÇÃO (CHG)</t>
  </si>
  <si>
    <t>EXCLUSÃO (DEL)</t>
  </si>
  <si>
    <t>TST</t>
  </si>
  <si>
    <t>TESTE (TST)</t>
  </si>
  <si>
    <t>(I/A/E/T)</t>
  </si>
  <si>
    <t>PF Local</t>
  </si>
  <si>
    <t>LOCAL</t>
  </si>
  <si>
    <t>Total de PF Local</t>
  </si>
  <si>
    <t xml:space="preserve"> Planilha de contagem de ponto de função - Versão 2.0</t>
  </si>
  <si>
    <t>x</t>
  </si>
  <si>
    <t>I</t>
  </si>
  <si>
    <t>A</t>
  </si>
  <si>
    <t>B</t>
  </si>
  <si>
    <t>FI</t>
  </si>
  <si>
    <t>PF Final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</si>
  <si>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</si>
  <si>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</si>
  <si>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</si>
  <si>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</si>
  <si>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</si>
  <si>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</si>
  <si>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</si>
  <si>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</si>
  <si>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</si>
  <si>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</si>
  <si>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</si>
  <si>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4. Itens Não Mensuráveis</t>
  </si>
  <si>
    <t>% de Ajuste</t>
  </si>
  <si>
    <t>P</t>
  </si>
  <si>
    <t>Q</t>
  </si>
  <si>
    <t>R</t>
  </si>
  <si>
    <t>S</t>
  </si>
  <si>
    <t>T</t>
  </si>
  <si>
    <t>U</t>
  </si>
  <si>
    <t>INM</t>
  </si>
  <si>
    <t>PF Bruto</t>
  </si>
  <si>
    <t>PF Liquido</t>
  </si>
  <si>
    <t>Premissa</t>
  </si>
  <si>
    <t>Essa contagem foi desenvolvida seguindo o CPM 4.3.1. e SISP v2.0</t>
  </si>
  <si>
    <t>Artefato</t>
  </si>
  <si>
    <t>Websis Teconologia e sistemas Ltda ME</t>
  </si>
  <si>
    <t>Luiz Fernando Carvalho Mendonça</t>
  </si>
  <si>
    <t>4.1 Projeto de Desenvolvimento</t>
  </si>
  <si>
    <t>4.2 Projeto de Melhoria</t>
  </si>
  <si>
    <t>4.3 Projetos de Migração de Dados</t>
  </si>
  <si>
    <t>Funcionalidade de conversão de dados aplicados a novos projetos e projetos de melhoria diversos.</t>
  </si>
  <si>
    <t>4.4 Manutenção Corretiva</t>
  </si>
  <si>
    <t>4.5 Mudança de Plataforma</t>
  </si>
  <si>
    <t>4.6 Atualização de Versão</t>
  </si>
  <si>
    <t>4.7 Manutenção em Interface</t>
  </si>
  <si>
    <t>4.8 Adaptação em Funcionalidades sem Alteração de Requisitos
Funcionais</t>
  </si>
  <si>
    <t>4.9 Apuração Especial</t>
  </si>
  <si>
    <t>4.10 Atualização de Dados</t>
  </si>
  <si>
    <t>4.11 Desenvolvimento, Manutenção e Publicação de Páginas Estáticas
de Intranet, Internet ou Portal</t>
  </si>
  <si>
    <t>V</t>
  </si>
  <si>
    <t>4.12 Manutenção de Documentação de Sistemas Legados</t>
  </si>
  <si>
    <t>W</t>
  </si>
  <si>
    <t>4.13 Verificação de Erros</t>
  </si>
  <si>
    <t>X</t>
  </si>
  <si>
    <t>4.14 Pontos de Função de Testes</t>
  </si>
  <si>
    <t>Y</t>
  </si>
  <si>
    <t>4.15 Componente Interno Reusável</t>
  </si>
  <si>
    <t>Z</t>
  </si>
  <si>
    <t>Funcionalidade de projeto de desenvolvimento</t>
  </si>
  <si>
    <t>Funcionalidade de projeto de melhoria,desenvolvida/mantida, pela empresa contratada</t>
  </si>
  <si>
    <t>Funcionalidade de projeto de melhoria, não desenvolvida/mantida, pela empresa contratada c/ documentação atualizada</t>
  </si>
  <si>
    <t>Funcionalidade de projeto de melhoria, não desenvolvida/mantida, pela empresa contratada s/ documentação atualizada</t>
  </si>
  <si>
    <t>Funcionalidade de projeto correção quando estiver fora da garantia e a correção for feita pela mesma empresa que desenvolveu a funcionalidade.
(PF = PF_ALTERADO x 0,50)</t>
  </si>
  <si>
    <t>Funcionalidade de projeto correção  quando estiver fora da garantia e a correção for feita por empresa iferente daquela que desenvolveu a funcionalidade.
(PF = PF_ALTERADO x 0,75)</t>
  </si>
  <si>
    <t>4.5.1 Atualização de Plataforma - Linguagem de Programação 
(PF = PF_INCLUÍDO + PF CONVERSÃO)</t>
  </si>
  <si>
    <t>4.5.2 Atualização de Plataforma - Banco de Dados Hierárquico Relacional
(PF = PF_INCLUÍDO + PF CONVERSÃO)</t>
  </si>
  <si>
    <t>4.5.2 Atualização de Plataforma - Banco de Dados Relacional para outro Relacional
(PF = (PF_ALTERADO x 0,30) + PF CONVERSÃO)</t>
  </si>
  <si>
    <t>4.6.1 Funcionalidade de Atualização de Versão – Linguagem de Programação
(PF = PF_ALTERADO x 0,30)</t>
  </si>
  <si>
    <t>4.6.2 Funcionalidade de Atualização de Versão – Browser
(PF = PF_ALTERADO x 0,30)</t>
  </si>
  <si>
    <t>4.6.3 Funcionalidade de Atualização de Versão – Banco de Dados
(PF = PF_ALTERADO x 0,30)</t>
  </si>
  <si>
    <t>4.7 Funcionalidade de manutenção em interface, denominada na literatura de manutenção cosmética, é associada às demandas de alterações de interface.
(PF = QTD_FUNÇÕES_TRNS x 0,6)</t>
  </si>
  <si>
    <t>4.8 Funcionalidade de manutenção adaptativa associadas a solicitações que envolvem aspectos não funcionais, sem alteração em requisitos funcionais. Desenvolvida pela empresa contratada.
(PF = PF_ALTERADO x 0,50)</t>
  </si>
  <si>
    <t>4.8 Funcionalidade de manutenção em interface, denominada na literatura de manutenção cosmética, é associada às demandas de alterações de interface. Não desenvolvida pela empresa contratada.
(PF = PF_ALTERADO x 0,75)</t>
  </si>
  <si>
    <t>4.9.1 Apuração Especial – Base de Dados EE
(PF = PF_NÃO_AJUSTADO)</t>
  </si>
  <si>
    <t>4.9.1 Apuração Especial – Base de Dados CE ou SE  
(PF = PF_NÃO_AJUSTADO x 0,60)</t>
  </si>
  <si>
    <t>4.9.2 Apuração Especial – Geração de Relatórios  
(PF = PF_NÃO_AJUSTADO)</t>
  </si>
  <si>
    <t>4.9.3 Apuração Especial – Reexecução  
(PF = PF_NÃO_AJUSTADO x 0,10)</t>
  </si>
  <si>
    <t>4.10 Atualização de Dados  (PF = PF_NÃO_AJUSTADO x 0,10)</t>
  </si>
  <si>
    <t>4.11 Manutenção em Páginas Estáticas de Intranet, Internet ou Portal  (PF [CE Simples - 3 PF] = PF_NÃO_AJUSTADO x 0,20)</t>
  </si>
  <si>
    <t>4.12 Manutenção de Documentação de Sistemas Legados
 (PF = PF_NÃO_AJUSTADO x 0,25)</t>
  </si>
  <si>
    <t>4.13 Verificação de Erros
 (PF = PF_NÃO_AJUSTADO x 0,20)</t>
  </si>
  <si>
    <t>4.14 Pontos de Função de Teste  
(PF = PF_NÃO_AJUSTADO x 0,15)</t>
  </si>
  <si>
    <t>4.15 Manutenção de Componentes 
(PF =  PF_NÃO_AJUSTADO)</t>
  </si>
  <si>
    <t>SISP 2.0</t>
  </si>
  <si>
    <t>item</t>
  </si>
  <si>
    <t>descrição</t>
  </si>
  <si>
    <t>percentual</t>
  </si>
  <si>
    <t>%INM</t>
  </si>
  <si>
    <t>Descrição item SISP se aplicável</t>
  </si>
  <si>
    <r>
      <t xml:space="preserve">Funcionalidade de projeto de </t>
    </r>
    <r>
      <rPr>
        <b/>
        <sz val="8"/>
        <color indexed="12"/>
        <rFont val="Ecofont_Spranq_eco_Sans"/>
        <family val="2"/>
      </rPr>
      <t>desenvolvimento</t>
    </r>
  </si>
  <si>
    <r>
      <t xml:space="preserve">Funcionalidade de projeto de </t>
    </r>
    <r>
      <rPr>
        <b/>
        <sz val="8"/>
        <color indexed="12"/>
        <rFont val="Ecofont_Spranq_eco_Sans"/>
        <family val="2"/>
      </rPr>
      <t>melhoria</t>
    </r>
    <r>
      <rPr>
        <sz val="8"/>
        <color indexed="12"/>
        <rFont val="Ecofont_Spranq_eco_Sans"/>
        <family val="2"/>
      </rPr>
      <t>,desenvolvida/mantida, pela empresa contratada</t>
    </r>
  </si>
  <si>
    <r>
      <t xml:space="preserve">Funcionalidade de projeto de </t>
    </r>
    <r>
      <rPr>
        <b/>
        <sz val="8"/>
        <color indexed="12"/>
        <rFont val="Ecofont_Spranq_eco_Sans"/>
        <family val="2"/>
      </rPr>
      <t>melhoria</t>
    </r>
    <r>
      <rPr>
        <sz val="8"/>
        <color indexed="12"/>
        <rFont val="Ecofont_Spranq_eco_Sans"/>
        <family val="2"/>
      </rPr>
      <t>, não desenvolvida/mantida, pela empresa contratada c/ documentação atualizada</t>
    </r>
  </si>
  <si>
    <r>
      <t xml:space="preserve">Funcionalidade de projeto de </t>
    </r>
    <r>
      <rPr>
        <b/>
        <sz val="8"/>
        <color indexed="12"/>
        <rFont val="Ecofont_Spranq_eco_Sans"/>
        <family val="2"/>
      </rPr>
      <t>melhoria</t>
    </r>
    <r>
      <rPr>
        <sz val="8"/>
        <color indexed="12"/>
        <rFont val="Ecofont_Spranq_eco_Sans"/>
        <family val="2"/>
      </rPr>
      <t>, não desenvolvida/mantida, pela empresa contratada s/ documentação atualizada</t>
    </r>
  </si>
  <si>
    <r>
      <t xml:space="preserve">Funcionalidade de projeto </t>
    </r>
    <r>
      <rPr>
        <b/>
        <sz val="8"/>
        <color indexed="12"/>
        <rFont val="Ecofont_Spranq_eco_Sans"/>
        <family val="2"/>
      </rPr>
      <t>correção</t>
    </r>
    <r>
      <rPr>
        <sz val="8"/>
        <color indexed="12"/>
        <rFont val="Ecofont_Spranq_eco_Sans"/>
        <family val="2"/>
      </rPr>
      <t xml:space="preserve"> quando estiver fora da garantia e a correção for feita pela mesma empresa que desenvolveu a funcionalidade.
(PF = PF_ALTERADO x 0,50)</t>
    </r>
  </si>
  <si>
    <r>
      <t xml:space="preserve">Funcionalidade de projeto </t>
    </r>
    <r>
      <rPr>
        <b/>
        <sz val="8"/>
        <color indexed="12"/>
        <rFont val="Ecofont_Spranq_eco_Sans"/>
        <family val="2"/>
      </rPr>
      <t>correção</t>
    </r>
    <r>
      <rPr>
        <sz val="8"/>
        <color indexed="12"/>
        <rFont val="Ecofont_Spranq_eco_Sans"/>
        <family val="2"/>
      </rPr>
      <t xml:space="preserve">  quando estiver fora da garantia e a correção for feita por empresa iferente daquela que desenvolveu a funcionalidade.
(PF = PF_ALTERADO x 0,75)</t>
    </r>
  </si>
  <si>
    <r>
      <t xml:space="preserve">4.5.1 Atualização de Plataforma - </t>
    </r>
    <r>
      <rPr>
        <sz val="8"/>
        <color indexed="12"/>
        <rFont val="Ecofont_Spranq_eco_Sans"/>
        <family val="2"/>
      </rPr>
      <t>Linguagem de Programação 
(PF = PF_INCLUÍDO + PF CONVERSÃO)</t>
    </r>
  </si>
  <si>
    <r>
      <t xml:space="preserve">4.5.2 Atualização de Plataforma - </t>
    </r>
    <r>
      <rPr>
        <sz val="8"/>
        <color indexed="12"/>
        <rFont val="Ecofont_Spranq_eco_Sans"/>
        <family val="2"/>
      </rPr>
      <t>Banco de Dados Hierárquico Relacional
(PF = PF_INCLUÍDO + PF CONVERSÃO)</t>
    </r>
  </si>
  <si>
    <r>
      <t xml:space="preserve">4.5.2 Atualização de Plataforma - </t>
    </r>
    <r>
      <rPr>
        <sz val="8"/>
        <color indexed="12"/>
        <rFont val="Ecofont_Spranq_eco_Sans"/>
        <family val="2"/>
      </rPr>
      <t>Banco de Dados Relacional para outro Relacional
(PF = (PF_ALTERADO x 0,30) + PF CONVERSÃO)</t>
    </r>
  </si>
  <si>
    <r>
      <rPr>
        <b/>
        <sz val="8"/>
        <color indexed="12"/>
        <rFont val="Ecofont_Spranq_eco_Sans"/>
        <family val="2"/>
      </rPr>
      <t>4.6.1 Funcionalidade de Atualização de Versão</t>
    </r>
    <r>
      <rPr>
        <sz val="8"/>
        <color indexed="12"/>
        <rFont val="Ecofont_Spranq_eco_Sans"/>
        <family val="2"/>
      </rPr>
      <t xml:space="preserve"> – Linguagem de Programação
(PF = PF_ALTERADO x 0,30)</t>
    </r>
  </si>
  <si>
    <r>
      <rPr>
        <b/>
        <sz val="8"/>
        <color indexed="12"/>
        <rFont val="Ecofont_Spranq_eco_Sans"/>
        <family val="2"/>
      </rPr>
      <t>4.6.2 Funcionalidade de Atualização de Versão</t>
    </r>
    <r>
      <rPr>
        <sz val="8"/>
        <color indexed="12"/>
        <rFont val="Ecofont_Spranq_eco_Sans"/>
        <family val="2"/>
      </rPr>
      <t xml:space="preserve"> – Browser
(PF = PF_ALTERADO x 0,30)</t>
    </r>
  </si>
  <si>
    <r>
      <rPr>
        <b/>
        <sz val="8"/>
        <color indexed="12"/>
        <rFont val="Ecofont_Spranq_eco_Sans"/>
        <family val="2"/>
      </rPr>
      <t>4.6.3 Funcionalidade de Atualização de Versão</t>
    </r>
    <r>
      <rPr>
        <sz val="8"/>
        <color indexed="12"/>
        <rFont val="Ecofont_Spranq_eco_Sans"/>
        <family val="2"/>
      </rPr>
      <t xml:space="preserve"> – Banco de Dados
(PF = PF_ALTERADO x 0,30)</t>
    </r>
  </si>
  <si>
    <r>
      <rPr>
        <b/>
        <sz val="8"/>
        <color indexed="12"/>
        <rFont val="Ecofont_Spranq_eco_Sans"/>
        <family val="2"/>
      </rPr>
      <t>4.7 Funcionalidade de manutenção em interface</t>
    </r>
    <r>
      <rPr>
        <sz val="8"/>
        <color indexed="12"/>
        <rFont val="Ecofont_Spranq_eco_Sans"/>
        <family val="2"/>
      </rPr>
      <t>, denominada na literatura de manutenção cosmética, é associada às demandas de alterações de interface.
(PF = QTD_FUNÇÕES_TRNS x 0,6)</t>
    </r>
  </si>
  <si>
    <r>
      <rPr>
        <b/>
        <sz val="8"/>
        <color indexed="12"/>
        <rFont val="Ecofont_Spranq_eco_Sans"/>
        <family val="2"/>
      </rPr>
      <t>4.8 Funcionalidade de manutenção adaptativa</t>
    </r>
    <r>
      <rPr>
        <sz val="8"/>
        <color indexed="12"/>
        <rFont val="Ecofont_Spranq_eco_Sans"/>
        <family val="2"/>
      </rPr>
      <t xml:space="preserve"> associadas a solicitações que envolvem aspectos não funcionais, sem alteração em requisitos funcionais. Desenvolvida pela empresa contratada.
(PF = PF_ALTERADO x 0,50)</t>
    </r>
  </si>
  <si>
    <r>
      <rPr>
        <b/>
        <sz val="8"/>
        <color indexed="12"/>
        <rFont val="Ecofont_Spranq_eco_Sans"/>
        <family val="2"/>
      </rPr>
      <t>4.8 Funcionalidade de manutenção em interface</t>
    </r>
    <r>
      <rPr>
        <sz val="8"/>
        <color indexed="12"/>
        <rFont val="Ecofont_Spranq_eco_Sans"/>
        <family val="2"/>
      </rPr>
      <t>, denominada na literatura de manutenção cosmética, é associada às demandas de alterações de interface. Não desenvolvida pela empresa contratada.
(PF = PF_ALTERADO x 0,75)</t>
    </r>
  </si>
  <si>
    <r>
      <rPr>
        <b/>
        <sz val="8"/>
        <color indexed="12"/>
        <rFont val="Ecofont_Spranq_eco_Sans"/>
        <family val="2"/>
      </rPr>
      <t>4.9.1 Apuração Especial</t>
    </r>
    <r>
      <rPr>
        <sz val="8"/>
        <color indexed="12"/>
        <rFont val="Ecofont_Spranq_eco_Sans"/>
        <family val="2"/>
      </rPr>
      <t xml:space="preserve"> – Base de Dados EE
(PF = PF_NÃO_AJUSTADO)</t>
    </r>
  </si>
  <si>
    <r>
      <rPr>
        <b/>
        <sz val="8"/>
        <color indexed="12"/>
        <rFont val="Ecofont_Spranq_eco_Sans"/>
        <family val="2"/>
      </rPr>
      <t>4.9.1 Apuração Especial</t>
    </r>
    <r>
      <rPr>
        <sz val="8"/>
        <color indexed="12"/>
        <rFont val="Ecofont_Spranq_eco_Sans"/>
        <family val="2"/>
      </rPr>
      <t xml:space="preserve"> – Base de Dados CE ou SE  
(PF = PF_NÃO_AJUSTADO x 0,60)</t>
    </r>
  </si>
  <si>
    <r>
      <rPr>
        <b/>
        <sz val="8"/>
        <color indexed="12"/>
        <rFont val="Ecofont_Spranq_eco_Sans"/>
        <family val="2"/>
      </rPr>
      <t>4.9.2 Apuração Especial</t>
    </r>
    <r>
      <rPr>
        <sz val="8"/>
        <color indexed="12"/>
        <rFont val="Ecofont_Spranq_eco_Sans"/>
        <family val="2"/>
      </rPr>
      <t xml:space="preserve"> – Geração de Relatórios  
(PF = PF_NÃO_AJUSTADO)</t>
    </r>
  </si>
  <si>
    <r>
      <rPr>
        <b/>
        <sz val="8"/>
        <color indexed="12"/>
        <rFont val="Ecofont_Spranq_eco_Sans"/>
        <family val="2"/>
      </rPr>
      <t>4.9.3 Apuração Especial</t>
    </r>
    <r>
      <rPr>
        <sz val="8"/>
        <color indexed="12"/>
        <rFont val="Ecofont_Spranq_eco_Sans"/>
        <family val="2"/>
      </rPr>
      <t xml:space="preserve"> – Reexecução  
(PF = PF_NÃO_AJUSTADO x 0,10)</t>
    </r>
  </si>
  <si>
    <r>
      <rPr>
        <b/>
        <sz val="8"/>
        <color indexed="12"/>
        <rFont val="Ecofont_Spranq_eco_Sans"/>
        <family val="2"/>
      </rPr>
      <t>4.10 Atualização de Dados</t>
    </r>
    <r>
      <rPr>
        <sz val="8"/>
        <color indexed="12"/>
        <rFont val="Ecofont_Spranq_eco_Sans"/>
        <family val="2"/>
      </rPr>
      <t xml:space="preserve">  (PF = PF_NÃO_AJUSTADO x 0,10)</t>
    </r>
  </si>
  <si>
    <r>
      <rPr>
        <b/>
        <sz val="8"/>
        <color indexed="12"/>
        <rFont val="Ecofont_Spranq_eco_Sans"/>
        <family val="2"/>
      </rPr>
      <t>4.11 Manutenção em Páginas Estáticas de Intranet</t>
    </r>
    <r>
      <rPr>
        <sz val="8"/>
        <color indexed="12"/>
        <rFont val="Ecofont_Spranq_eco_Sans"/>
        <family val="2"/>
      </rPr>
      <t>, Internet ou Portal  (PF [CE Simples - 3 PF] = PF_NÃO_AJUSTADO x 0,20)</t>
    </r>
  </si>
  <si>
    <r>
      <rPr>
        <b/>
        <sz val="8"/>
        <color indexed="12"/>
        <rFont val="Ecofont_Spranq_eco_Sans"/>
        <family val="2"/>
      </rPr>
      <t>4.12 Manutenção de Documentação de Sistemas Legados</t>
    </r>
    <r>
      <rPr>
        <sz val="8"/>
        <color indexed="12"/>
        <rFont val="Ecofont_Spranq_eco_Sans"/>
        <family val="2"/>
      </rPr>
      <t xml:space="preserve">
 (PF = PF_NÃO_AJUSTADO x 0,25)</t>
    </r>
  </si>
  <si>
    <r>
      <rPr>
        <b/>
        <sz val="8"/>
        <color indexed="12"/>
        <rFont val="Ecofont_Spranq_eco_Sans"/>
        <family val="2"/>
      </rPr>
      <t>4.13 Verificação de Erros</t>
    </r>
    <r>
      <rPr>
        <sz val="8"/>
        <color indexed="12"/>
        <rFont val="Ecofont_Spranq_eco_Sans"/>
        <family val="2"/>
      </rPr>
      <t xml:space="preserve">
 (PF = PF_NÃO_AJUSTADO x 0,20)</t>
    </r>
  </si>
  <si>
    <r>
      <rPr>
        <b/>
        <sz val="8"/>
        <color indexed="12"/>
        <rFont val="Ecofont_Spranq_eco_Sans"/>
        <family val="2"/>
      </rPr>
      <t>4.14 Pontos de Função de Teste</t>
    </r>
    <r>
      <rPr>
        <sz val="8"/>
        <color indexed="12"/>
        <rFont val="Ecofont_Spranq_eco_Sans"/>
        <family val="2"/>
      </rPr>
      <t xml:space="preserve">  
(PF = PF_NÃO_AJUSTADO x 0,15)</t>
    </r>
  </si>
  <si>
    <r>
      <rPr>
        <b/>
        <sz val="8"/>
        <color indexed="12"/>
        <rFont val="Ecofont_Spranq_eco_Sans"/>
        <family val="2"/>
      </rPr>
      <t>4.15 Manutenção de Componentes</t>
    </r>
    <r>
      <rPr>
        <sz val="8"/>
        <color indexed="12"/>
        <rFont val="Ecofont_Spranq_eco_Sans"/>
        <family val="2"/>
      </rPr>
      <t xml:space="preserve"> 
(PF =  PF_NÃO_AJUSTADO)</t>
    </r>
  </si>
  <si>
    <t>Luiz Gustavo Queiroga Pena</t>
  </si>
  <si>
    <t>SIMH</t>
  </si>
  <si>
    <t>OS49</t>
  </si>
  <si>
    <t>Inclusão de unidade PSFN Ipatinga no SIMH.</t>
  </si>
  <si>
    <t>Foi criado um script sql para realizar a inclusão da unidade no ALI ESTRUTURA.</t>
  </si>
  <si>
    <t>Inserir dados 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</si>
</sst>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6">
    <font>
      <sz val="10"/>
      <name val="Arial"/>
      <family val="2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8"/>
      <color indexed="9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D4"/>
      <name val="Ecofont_Spranq_eco_Sans"/>
      <family val="2"/>
    </font>
    <font>
      <sz val="8"/>
      <color rgb="FF0000D4"/>
      <name val="Ecofont_Spranq_eco_Sans"/>
      <family val="2"/>
    </font>
    <font>
      <b/>
      <sz val="8"/>
      <color indexed="12"/>
      <name val="Ecofont_Spranq_eco_Sans"/>
      <family val="2"/>
    </font>
    <font>
      <sz val="8"/>
      <color indexed="12"/>
      <name val="Ecofont_Spranq_eco_Sans"/>
      <family val="2"/>
    </font>
    <font>
      <b/>
      <i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3"/>
        <bgColor indexed="55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5" fillId="0" borderId="0" applyFill="0" applyBorder="0" applyAlignment="0" applyProtection="0"/>
    <xf numFmtId="0" fontId="18" fillId="0" borderId="0"/>
    <xf numFmtId="9" fontId="15" fillId="0" borderId="0" applyFill="0" applyBorder="0" applyAlignment="0" applyProtection="0"/>
    <xf numFmtId="165" fontId="15" fillId="0" borderId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7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 applyBorder="1"/>
    <xf numFmtId="0" fontId="4" fillId="0" borderId="1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6" fontId="4" fillId="0" borderId="0" xfId="3" applyNumberFormat="1" applyFont="1" applyFill="1" applyBorder="1" applyAlignment="1" applyProtection="1"/>
    <xf numFmtId="0" fontId="4" fillId="0" borderId="11" xfId="0" applyFont="1" applyBorder="1"/>
    <xf numFmtId="10" fontId="4" fillId="0" borderId="11" xfId="0" applyNumberFormat="1" applyFont="1" applyBorder="1"/>
    <xf numFmtId="0" fontId="6" fillId="0" borderId="0" xfId="0" applyFont="1" applyFill="1" applyBorder="1"/>
    <xf numFmtId="166" fontId="4" fillId="4" borderId="0" xfId="3" applyNumberFormat="1" applyFont="1" applyFill="1" applyBorder="1" applyAlignment="1" applyProtection="1"/>
    <xf numFmtId="9" fontId="4" fillId="0" borderId="0" xfId="3" applyFont="1" applyFill="1" applyBorder="1" applyAlignment="1" applyProtection="1"/>
    <xf numFmtId="0" fontId="4" fillId="0" borderId="12" xfId="0" applyFont="1" applyBorder="1"/>
    <xf numFmtId="0" fontId="4" fillId="0" borderId="10" xfId="0" applyFont="1" applyBorder="1"/>
    <xf numFmtId="0" fontId="4" fillId="0" borderId="13" xfId="0" applyFont="1" applyBorder="1"/>
    <xf numFmtId="166" fontId="4" fillId="5" borderId="0" xfId="3" applyNumberFormat="1" applyFont="1" applyFill="1" applyBorder="1" applyAlignment="1" applyProtection="1"/>
    <xf numFmtId="166" fontId="4" fillId="6" borderId="0" xfId="3" applyNumberFormat="1" applyFont="1" applyFill="1" applyBorder="1" applyAlignment="1" applyProtection="1"/>
    <xf numFmtId="166" fontId="4" fillId="7" borderId="0" xfId="3" applyNumberFormat="1" applyFont="1" applyFill="1" applyBorder="1" applyAlignment="1" applyProtection="1"/>
    <xf numFmtId="166" fontId="4" fillId="8" borderId="0" xfId="3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3" applyNumberFormat="1" applyFont="1" applyFill="1" applyBorder="1" applyAlignment="1" applyProtection="1">
      <alignment horizontal="center"/>
    </xf>
    <xf numFmtId="2" fontId="4" fillId="0" borderId="0" xfId="3" applyNumberFormat="1" applyFont="1" applyFill="1" applyBorder="1" applyAlignment="1" applyProtection="1"/>
    <xf numFmtId="2" fontId="4" fillId="0" borderId="1" xfId="3" applyNumberFormat="1" applyFont="1" applyFill="1" applyBorder="1" applyAlignment="1" applyProtection="1">
      <alignment horizontal="center"/>
    </xf>
    <xf numFmtId="2" fontId="6" fillId="9" borderId="1" xfId="3" applyNumberFormat="1" applyFont="1" applyFill="1" applyBorder="1" applyAlignment="1" applyProtection="1"/>
    <xf numFmtId="0" fontId="4" fillId="0" borderId="14" xfId="0" applyFont="1" applyBorder="1"/>
    <xf numFmtId="0" fontId="6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2" fontId="4" fillId="0" borderId="15" xfId="3" applyNumberFormat="1" applyFont="1" applyFill="1" applyBorder="1" applyAlignment="1" applyProtection="1">
      <alignment horizontal="center"/>
    </xf>
    <xf numFmtId="2" fontId="4" fillId="0" borderId="15" xfId="3" applyNumberFormat="1" applyFont="1" applyFill="1" applyBorder="1" applyAlignment="1" applyProtection="1"/>
    <xf numFmtId="2" fontId="6" fillId="0" borderId="15" xfId="3" applyNumberFormat="1" applyFont="1" applyFill="1" applyBorder="1" applyAlignment="1" applyProtection="1"/>
    <xf numFmtId="0" fontId="4" fillId="0" borderId="16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Fill="1" applyBorder="1" applyAlignment="1" applyProtection="1">
      <alignment horizontal="center"/>
    </xf>
    <xf numFmtId="2" fontId="6" fillId="0" borderId="0" xfId="3" applyNumberFormat="1" applyFont="1" applyFill="1" applyBorder="1" applyAlignment="1" applyProtection="1"/>
    <xf numFmtId="2" fontId="4" fillId="0" borderId="1" xfId="0" applyNumberFormat="1" applyFont="1" applyBorder="1" applyAlignment="1" applyProtection="1">
      <alignment horizontal="right"/>
      <protection locked="0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/>
    </xf>
    <xf numFmtId="4" fontId="10" fillId="2" borderId="18" xfId="0" applyNumberFormat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0" fillId="10" borderId="21" xfId="0" applyFont="1" applyFill="1" applyBorder="1" applyAlignment="1">
      <alignment horizontal="left" vertical="center"/>
    </xf>
    <xf numFmtId="0" fontId="10" fillId="10" borderId="4" xfId="0" applyFont="1" applyFill="1" applyBorder="1" applyAlignment="1">
      <alignment horizontal="left" vertical="center"/>
    </xf>
    <xf numFmtId="0" fontId="10" fillId="10" borderId="22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vertical="center"/>
    </xf>
    <xf numFmtId="0" fontId="6" fillId="0" borderId="3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justify" vertical="center"/>
    </xf>
    <xf numFmtId="0" fontId="11" fillId="3" borderId="1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justify"/>
    </xf>
    <xf numFmtId="9" fontId="15" fillId="0" borderId="17" xfId="3" applyBorder="1"/>
    <xf numFmtId="0" fontId="0" fillId="11" borderId="0" xfId="0" applyFill="1"/>
    <xf numFmtId="0" fontId="21" fillId="0" borderId="37" xfId="0" applyFont="1" applyFill="1" applyBorder="1" applyAlignment="1">
      <alignment horizontal="center" vertical="center" textRotation="90" wrapText="1"/>
    </xf>
    <xf numFmtId="0" fontId="21" fillId="0" borderId="38" xfId="0" applyFont="1" applyFill="1" applyBorder="1" applyAlignment="1">
      <alignment horizontal="center" vertical="center" textRotation="90" wrapText="1"/>
    </xf>
    <xf numFmtId="0" fontId="21" fillId="0" borderId="41" xfId="0" applyFont="1" applyFill="1" applyBorder="1" applyAlignment="1">
      <alignment horizontal="center" vertical="center" textRotation="90" wrapText="1"/>
    </xf>
    <xf numFmtId="0" fontId="21" fillId="0" borderId="42" xfId="0" applyFont="1" applyFill="1" applyBorder="1" applyAlignment="1">
      <alignment horizontal="center" vertical="center" textRotation="90" wrapText="1"/>
    </xf>
    <xf numFmtId="0" fontId="21" fillId="0" borderId="39" xfId="0" applyFont="1" applyFill="1" applyBorder="1" applyAlignment="1">
      <alignment horizontal="center" vertical="center" textRotation="90" wrapText="1"/>
    </xf>
    <xf numFmtId="0" fontId="21" fillId="0" borderId="40" xfId="0" applyFont="1" applyFill="1" applyBorder="1" applyAlignment="1">
      <alignment horizontal="center" vertical="center" textRotation="90" wrapText="1"/>
    </xf>
    <xf numFmtId="9" fontId="4" fillId="0" borderId="3" xfId="3" applyFont="1" applyFill="1" applyBorder="1" applyAlignment="1" applyProtection="1">
      <alignment horizontal="center" vertical="center"/>
    </xf>
    <xf numFmtId="9" fontId="4" fillId="0" borderId="5" xfId="3" applyFont="1" applyFill="1" applyBorder="1" applyAlignment="1" applyProtection="1">
      <alignment horizontal="center" vertical="center"/>
    </xf>
    <xf numFmtId="9" fontId="4" fillId="0" borderId="25" xfId="3" applyFont="1" applyFill="1" applyBorder="1" applyAlignment="1" applyProtection="1">
      <alignment horizontal="center" vertical="center"/>
    </xf>
    <xf numFmtId="0" fontId="21" fillId="0" borderId="33" xfId="0" applyFont="1" applyFill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4" fillId="2" borderId="1" xfId="4" applyFont="1" applyFill="1" applyBorder="1" applyAlignment="1" applyProtection="1"/>
    <xf numFmtId="0" fontId="3" fillId="0" borderId="1" xfId="0" applyFont="1" applyBorder="1" applyAlignment="1">
      <alignment horizontal="right"/>
    </xf>
    <xf numFmtId="2" fontId="4" fillId="0" borderId="1" xfId="0" applyNumberFormat="1" applyFont="1" applyFill="1" applyBorder="1" applyAlignment="1">
      <alignment horizontal="center"/>
    </xf>
    <xf numFmtId="0" fontId="22" fillId="0" borderId="34" xfId="0" applyFont="1" applyFill="1" applyBorder="1" applyAlignment="1">
      <alignment horizontal="justify" vertical="center" wrapText="1"/>
    </xf>
    <xf numFmtId="0" fontId="22" fillId="0" borderId="35" xfId="0" applyFont="1" applyFill="1" applyBorder="1" applyAlignment="1">
      <alignment horizontal="justify" vertical="center" wrapText="1"/>
    </xf>
    <xf numFmtId="0" fontId="22" fillId="0" borderId="47" xfId="0" applyFont="1" applyFill="1" applyBorder="1" applyAlignment="1">
      <alignment horizontal="justify" vertical="center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25" xfId="0" applyFont="1" applyBorder="1"/>
    <xf numFmtId="0" fontId="5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right"/>
    </xf>
    <xf numFmtId="0" fontId="5" fillId="0" borderId="1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4" fillId="0" borderId="25" xfId="0" applyFont="1" applyBorder="1" applyAlignment="1" applyProtection="1">
      <alignment horizontal="left"/>
      <protection locked="0"/>
    </xf>
    <xf numFmtId="164" fontId="4" fillId="2" borderId="1" xfId="1" applyFont="1" applyFill="1" applyBorder="1" applyAlignment="1" applyProtection="1">
      <alignment horizontal="right"/>
    </xf>
    <xf numFmtId="14" fontId="4" fillId="0" borderId="1" xfId="0" applyNumberFormat="1" applyFont="1" applyBorder="1" applyAlignment="1" applyProtection="1">
      <alignment horizontal="right"/>
      <protection locked="0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textRotation="90" wrapText="1"/>
    </xf>
    <xf numFmtId="0" fontId="21" fillId="0" borderId="36" xfId="0" applyFont="1" applyFill="1" applyBorder="1" applyAlignment="1">
      <alignment horizontal="center" vertical="center" textRotation="90" wrapText="1"/>
    </xf>
    <xf numFmtId="0" fontId="21" fillId="0" borderId="23" xfId="0" applyFont="1" applyFill="1" applyBorder="1" applyAlignment="1">
      <alignment horizontal="center" vertical="center" textRotation="90" wrapText="1"/>
    </xf>
    <xf numFmtId="0" fontId="21" fillId="0" borderId="24" xfId="0" applyFont="1" applyFill="1" applyBorder="1" applyAlignment="1">
      <alignment horizontal="center" vertical="center" textRotation="90" wrapText="1"/>
    </xf>
    <xf numFmtId="0" fontId="24" fillId="0" borderId="34" xfId="0" applyFont="1" applyFill="1" applyBorder="1" applyAlignment="1">
      <alignment horizontal="justify" vertical="center" wrapText="1"/>
    </xf>
    <xf numFmtId="0" fontId="22" fillId="0" borderId="43" xfId="0" applyFont="1" applyFill="1" applyBorder="1" applyAlignment="1">
      <alignment horizontal="justify" vertical="center" wrapText="1"/>
    </xf>
    <xf numFmtId="0" fontId="22" fillId="0" borderId="44" xfId="0" applyFont="1" applyFill="1" applyBorder="1" applyAlignment="1">
      <alignment horizontal="justify" vertical="center" wrapText="1"/>
    </xf>
    <xf numFmtId="0" fontId="22" fillId="0" borderId="45" xfId="0" applyFont="1" applyFill="1" applyBorder="1" applyAlignment="1">
      <alignment horizontal="justify" vertical="center" wrapText="1"/>
    </xf>
    <xf numFmtId="0" fontId="22" fillId="0" borderId="46" xfId="0" applyFont="1" applyFill="1" applyBorder="1" applyAlignment="1">
      <alignment horizontal="justify" vertical="center" wrapText="1"/>
    </xf>
    <xf numFmtId="0" fontId="21" fillId="0" borderId="34" xfId="0" applyFont="1" applyFill="1" applyBorder="1" applyAlignment="1">
      <alignment horizontal="justify" vertical="center" wrapText="1"/>
    </xf>
    <xf numFmtId="0" fontId="21" fillId="0" borderId="35" xfId="0" applyFont="1" applyFill="1" applyBorder="1" applyAlignment="1">
      <alignment horizontal="justify" vertical="center" wrapText="1"/>
    </xf>
    <xf numFmtId="0" fontId="21" fillId="0" borderId="47" xfId="0" applyFont="1" applyFill="1" applyBorder="1" applyAlignment="1">
      <alignment horizontal="justify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</cellXfs>
  <cellStyles count="5">
    <cellStyle name="Moeda" xfId="1" builtinId="4"/>
    <cellStyle name="Normal" xfId="0" builtinId="0"/>
    <cellStyle name="Normal 2" xfId="2"/>
    <cellStyle name="Porcentagem" xfId="3" builtinId="5"/>
    <cellStyle name="Vírgula" xfId="4" builtinId="3"/>
  </cellStyles>
  <dxfs count="3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63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540718876332327"/>
          <c:y val="0.50781249999999956"/>
          <c:w val="0.10810858367021969"/>
          <c:h val="0.18750000000000014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838216168924776"/>
          <c:y val="0.41406250000000028"/>
          <c:w val="9.0090563003950019E-2"/>
          <c:h val="0.51562499999999978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4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450000028" footer="0.4921259845000002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12700</xdr:rowOff>
    </xdr:from>
    <xdr:to>
      <xdr:col>3</xdr:col>
      <xdr:colOff>247651</xdr:colOff>
      <xdr:row>2</xdr:row>
      <xdr:rowOff>145815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2700"/>
          <a:ext cx="723900" cy="437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20</xdr:col>
      <xdr:colOff>190501</xdr:colOff>
      <xdr:row>0</xdr:row>
      <xdr:rowOff>25400</xdr:rowOff>
    </xdr:from>
    <xdr:ext cx="1069041" cy="336550"/>
    <xdr:pic>
      <xdr:nvPicPr>
        <xdr:cNvPr id="3" name="Imagem 2" descr="webs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6951" y="25400"/>
          <a:ext cx="1069041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TD_Modelo_PlanilhaEstimativasold1.xl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z.fernando/Desktop/websis/agu/documentos_fabrica/102013%20faturamento/planilhas/OS42/Contagem_Detalhada_OS42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Tipo de Contagem"/>
      <sheetName val="Tipo de Dados"/>
      <sheetName val="Funcionalidades"/>
      <sheetName val="Fator de Ajuste"/>
      <sheetName val="Sumário"/>
      <sheetName val="Insumos"/>
      <sheetName val="Estimativa"/>
      <sheetName val="EsforçoPadrão"/>
      <sheetName val="Custo"/>
    </sheetNames>
    <sheetDataSet>
      <sheetData sheetId="0">
        <row r="15">
          <cell r="C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em"/>
      <sheetName val="Funções"/>
      <sheetName val="Sumário"/>
      <sheetName val="tabela"/>
    </sheetNames>
    <sheetDataSet>
      <sheetData sheetId="0">
        <row r="4">
          <cell r="A4" t="str">
            <v>Empresa</v>
          </cell>
          <cell r="E4" t="str">
            <v>Websis Teconologia e sistemas Ltda ME</v>
          </cell>
          <cell r="Q4" t="str">
            <v>R$/PF</v>
          </cell>
          <cell r="S4">
            <v>279.99</v>
          </cell>
          <cell r="V4">
            <v>1469.9475</v>
          </cell>
        </row>
        <row r="5">
          <cell r="A5" t="str">
            <v>Aplicação</v>
          </cell>
          <cell r="E5" t="str">
            <v>AGU Gestor</v>
          </cell>
        </row>
        <row r="6">
          <cell r="A6" t="str">
            <v>Projeto</v>
          </cell>
          <cell r="E6" t="str">
            <v>OS42 AGU Gestor</v>
          </cell>
        </row>
        <row r="7">
          <cell r="A7" t="str">
            <v>Responsável</v>
          </cell>
          <cell r="E7" t="str">
            <v>Welington Leles, CFPS</v>
          </cell>
        </row>
        <row r="8">
          <cell r="A8" t="str">
            <v>Revisor</v>
          </cell>
          <cell r="E8" t="str">
            <v>Luiz Fernando Carvalho Mendonça</v>
          </cell>
        </row>
        <row r="42">
          <cell r="T42">
            <v>1</v>
          </cell>
        </row>
        <row r="43">
          <cell r="T43">
            <v>1</v>
          </cell>
        </row>
        <row r="44">
          <cell r="T44">
            <v>0.4</v>
          </cell>
        </row>
        <row r="45">
          <cell r="T45">
            <v>0.2</v>
          </cell>
        </row>
      </sheetData>
      <sheetData sheetId="1">
        <row r="1">
          <cell r="L1">
            <v>0</v>
          </cell>
        </row>
        <row r="2">
          <cell r="L2">
            <v>0</v>
          </cell>
        </row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 t="str">
            <v>ctl</v>
          </cell>
        </row>
        <row r="8">
          <cell r="L8" t="str">
            <v>CEL</v>
          </cell>
        </row>
        <row r="9">
          <cell r="L9" t="str">
            <v>CEL</v>
          </cell>
        </row>
        <row r="10">
          <cell r="L10" t="str">
            <v/>
          </cell>
        </row>
        <row r="11">
          <cell r="L11" t="str">
            <v/>
          </cell>
        </row>
        <row r="12">
          <cell r="L12" t="str">
            <v/>
          </cell>
        </row>
        <row r="13">
          <cell r="L13" t="str">
            <v/>
          </cell>
        </row>
        <row r="14">
          <cell r="L14" t="str">
            <v/>
          </cell>
        </row>
        <row r="15">
          <cell r="L15" t="str">
            <v/>
          </cell>
        </row>
        <row r="16">
          <cell r="L16" t="str">
            <v/>
          </cell>
        </row>
        <row r="17">
          <cell r="L17" t="str">
            <v/>
          </cell>
        </row>
        <row r="18">
          <cell r="L18" t="str">
            <v/>
          </cell>
        </row>
        <row r="19">
          <cell r="L19" t="str">
            <v/>
          </cell>
        </row>
        <row r="20">
          <cell r="L20" t="str">
            <v/>
          </cell>
        </row>
        <row r="21">
          <cell r="L21" t="str">
            <v/>
          </cell>
        </row>
        <row r="22">
          <cell r="L22" t="str">
            <v/>
          </cell>
        </row>
        <row r="23">
          <cell r="L23" t="str">
            <v/>
          </cell>
        </row>
        <row r="24">
          <cell r="L24" t="str">
            <v/>
          </cell>
        </row>
        <row r="25">
          <cell r="L25" t="str">
            <v/>
          </cell>
        </row>
      </sheetData>
      <sheetData sheetId="2"/>
      <sheetData sheetId="3">
        <row r="3">
          <cell r="A3" t="str">
            <v>A</v>
          </cell>
          <cell r="B3" t="str">
            <v>Funcionalidade de projeto de desenvolvimento</v>
          </cell>
          <cell r="C3">
            <v>1</v>
          </cell>
        </row>
        <row r="4">
          <cell r="A4" t="str">
            <v>B</v>
          </cell>
          <cell r="B4" t="str">
            <v>Funcionalidade de projeto de melhoria,desenvolvida/mantida, pela empresa contratada</v>
          </cell>
          <cell r="C4">
            <v>0.5</v>
          </cell>
        </row>
        <row r="5">
          <cell r="A5" t="str">
            <v>C</v>
          </cell>
          <cell r="B5" t="str">
            <v>Funcionalidade de projeto de melhoria, não desenvolvida/mantida, pela empresa contratada c/ documentação atualizada</v>
          </cell>
          <cell r="C5">
            <v>0.75</v>
          </cell>
        </row>
        <row r="6">
          <cell r="A6" t="str">
            <v>D</v>
          </cell>
          <cell r="B6" t="str">
            <v>Funcionalidade de projeto de melhoria, não desenvolvida/mantida, pela empresa contratada s/ documentação atualizada</v>
          </cell>
          <cell r="C6">
            <v>0.9</v>
          </cell>
        </row>
        <row r="7">
          <cell r="A7" t="str">
            <v>E</v>
          </cell>
          <cell r="B7" t="str">
            <v>Funcionalidade de conversão de dados aplicados a novos projetos e projetos de melhoria diversos.</v>
          </cell>
          <cell r="C7">
            <v>1</v>
          </cell>
        </row>
        <row r="8">
          <cell r="A8" t="str">
            <v>F</v>
          </cell>
          <cell r="B8" t="str">
            <v>Funcionalidade de projeto correção quando estiver fora da garantia e a correção for feita pela mesma empresa que desenvolveu a funcionalidade.
(PF = PF_ALTERADO x 0,50)</v>
          </cell>
          <cell r="C8">
            <v>0.5</v>
          </cell>
        </row>
        <row r="9">
          <cell r="A9" t="str">
            <v>G</v>
          </cell>
          <cell r="B9" t="str">
            <v>Funcionalidade de projeto correção  quando estiver fora da garantia e a correção for feita por empresa iferente daquela que desenvolveu a funcionalidade.
(PF = PF_ALTERADO x 0,75)</v>
          </cell>
          <cell r="C9">
            <v>0.75</v>
          </cell>
        </row>
        <row r="10">
          <cell r="A10" t="str">
            <v>H</v>
          </cell>
          <cell r="B10" t="str">
            <v>4.5.1 Atualização de Plataforma - Linguagem de Programação 
(PF = PF_INCLUÍDO + PF CONVERSÃO)</v>
          </cell>
          <cell r="C10">
            <v>1</v>
          </cell>
        </row>
        <row r="11">
          <cell r="A11" t="str">
            <v>I</v>
          </cell>
          <cell r="B11" t="str">
            <v>4.5.2 Atualização de Plataforma - Banco de Dados Hierárquico Relacional
(PF = PF_INCLUÍDO + PF CONVERSÃO)</v>
          </cell>
          <cell r="C11">
            <v>1</v>
          </cell>
        </row>
        <row r="12">
          <cell r="A12" t="str">
            <v>J</v>
          </cell>
          <cell r="B12" t="str">
            <v>4.5.2 Atualização de Plataforma - Banco de Dados Relacional para outro Relacional
(PF = (PF_ALTERADO x 0,30) + PF CONVERSÃO)</v>
          </cell>
          <cell r="C12">
            <v>0.3</v>
          </cell>
        </row>
        <row r="13">
          <cell r="A13" t="str">
            <v>K</v>
          </cell>
          <cell r="B13" t="str">
            <v>4.6.1 Funcionalidade de Atualização de Versão – Linguagem de Programação
(PF = PF_ALTERADO x 0,30)</v>
          </cell>
          <cell r="C13">
            <v>0.3</v>
          </cell>
        </row>
        <row r="14">
          <cell r="A14" t="str">
            <v>L</v>
          </cell>
          <cell r="B14" t="str">
            <v>4.6.2 Funcionalidade de Atualização de Versão – Browser
(PF = PF_ALTERADO x 0,30)</v>
          </cell>
          <cell r="C14">
            <v>0.3</v>
          </cell>
        </row>
        <row r="15">
          <cell r="A15" t="str">
            <v>M</v>
          </cell>
          <cell r="B15" t="str">
            <v>4.6.3 Funcionalidade de Atualização de Versão – Banco de Dados
(PF = PF_ALTERADO x 0,30)</v>
          </cell>
          <cell r="C15">
            <v>0.3</v>
          </cell>
        </row>
        <row r="16">
          <cell r="A16" t="str">
            <v>N</v>
          </cell>
          <cell r="B16" t="str">
            <v>4.7 Funcionalidade de manutenção em interface, denominada na literatura de manutenção cosmética, é associada às demandas de alterações de interface.
(PF = QTD_FUNÇÕES_TRNS x 0,6)</v>
          </cell>
          <cell r="C16">
            <v>0.6</v>
          </cell>
        </row>
        <row r="17">
          <cell r="A17" t="str">
            <v>O</v>
          </cell>
          <cell r="B17" t="str">
            <v>4.8 Funcionalidade de manutenção adaptativa associadas a solicitações que envolvem aspectos não funcionais, sem alteração em requisitos funcionais. Desenvolvida pela empresa contratada.
(PF = PF_ALTERADO x 0,50)</v>
          </cell>
          <cell r="C17">
            <v>0.5</v>
          </cell>
        </row>
        <row r="18">
          <cell r="A18" t="str">
            <v>P</v>
          </cell>
          <cell r="B18" t="str">
            <v>4.8 Funcionalidade de manutenção em interface, denominada na literatura de manutenção cosmética, é associada às demandas de alterações de interface. Não desenvolvida pela empresa contratada.
(PF = PF_ALTERADO x 0,75)</v>
          </cell>
          <cell r="C18">
            <v>0.75</v>
          </cell>
        </row>
        <row r="19">
          <cell r="A19" t="str">
            <v>Q</v>
          </cell>
          <cell r="B19" t="str">
            <v>4.9.1 Apuração Especial – Base de Dados EE
(PF = PF_NÃO_AJUSTADO)</v>
          </cell>
          <cell r="C19">
            <v>1</v>
          </cell>
        </row>
        <row r="20">
          <cell r="A20" t="str">
            <v>R</v>
          </cell>
          <cell r="B20" t="str">
            <v>4.9.1 Apuração Especial – Base de Dados CE ou SE  
(PF = PF_NÃO_AJUSTADO x 0,60)</v>
          </cell>
          <cell r="C20">
            <v>0.6</v>
          </cell>
        </row>
        <row r="21">
          <cell r="A21" t="str">
            <v>S</v>
          </cell>
          <cell r="B21" t="str">
            <v>4.9.2 Apuração Especial – Geração de Relatórios  
(PF = PF_NÃO_AJUSTADO)</v>
          </cell>
          <cell r="C21">
            <v>1</v>
          </cell>
        </row>
        <row r="22">
          <cell r="A22" t="str">
            <v>T</v>
          </cell>
          <cell r="B22" t="str">
            <v>4.9.3 Apuração Especial – Reexecução  
(PF = PF_NÃO_AJUSTADO x 0,10)</v>
          </cell>
          <cell r="C22">
            <v>0.1</v>
          </cell>
        </row>
        <row r="23">
          <cell r="A23" t="str">
            <v>U</v>
          </cell>
          <cell r="B23" t="str">
            <v>4.10 Atualização de Dados  (PF = PF_NÃO_AJUSTADO x 0,10)</v>
          </cell>
          <cell r="C23">
            <v>0.1</v>
          </cell>
        </row>
        <row r="24">
          <cell r="A24" t="str">
            <v>V</v>
          </cell>
          <cell r="B24" t="str">
            <v>4.11 Manutenção em Páginas Estáticas de Intranet, Internet ou Portal  (PF [CE Simples - 3 PF] = PF_NÃO_AJUSTADO x 0,20)</v>
          </cell>
          <cell r="C24">
            <v>0.2</v>
          </cell>
        </row>
        <row r="25">
          <cell r="A25" t="str">
            <v>W</v>
          </cell>
          <cell r="B25" t="str">
            <v>4.12 Manutenção de Documentação de Sistemas Legados
 (PF = PF_NÃO_AJUSTADO x 0,25)</v>
          </cell>
          <cell r="C25">
            <v>0.25</v>
          </cell>
        </row>
        <row r="26">
          <cell r="A26" t="str">
            <v>X</v>
          </cell>
          <cell r="B26" t="str">
            <v>4.13 Verificação de Erros
 (PF = PF_NÃO_AJUSTADO x 0,20)</v>
          </cell>
          <cell r="C26">
            <v>0.2</v>
          </cell>
        </row>
        <row r="27">
          <cell r="A27" t="str">
            <v>Y</v>
          </cell>
          <cell r="B27" t="str">
            <v>4.14 Pontos de Função de Teste  
(PF = PF_NÃO_AJUSTADO x 0,15)</v>
          </cell>
          <cell r="C27">
            <v>0.15</v>
          </cell>
        </row>
        <row r="28">
          <cell r="A28" t="str">
            <v>Z</v>
          </cell>
          <cell r="B28" t="str">
            <v>4.15 Manutenção de Componentes 
(PF =  PF_NÃO_AJUSTADO)</v>
          </cell>
          <cell r="C2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AA61"/>
  <sheetViews>
    <sheetView showGridLines="0" tabSelected="1" zoomScale="150" zoomScaleSheetLayoutView="100" workbookViewId="0">
      <selection activeCell="W8" sqref="W8:AA8"/>
    </sheetView>
  </sheetViews>
  <sheetFormatPr defaultRowHeight="13.5"/>
  <cols>
    <col min="1" max="1" width="2.7109375" style="1" customWidth="1"/>
    <col min="2" max="2" width="1.85546875" style="1" customWidth="1"/>
    <col min="3" max="3" width="2.7109375" style="1" customWidth="1"/>
    <col min="4" max="4" width="4" style="1" customWidth="1"/>
    <col min="5" max="14" width="2.7109375" style="1" customWidth="1"/>
    <col min="15" max="15" width="0.85546875" style="1" customWidth="1"/>
    <col min="16" max="16" width="2.7109375" style="1" customWidth="1"/>
    <col min="17" max="17" width="4.28515625" style="1" customWidth="1"/>
    <col min="18" max="18" width="3.42578125" style="1" customWidth="1"/>
    <col min="19" max="19" width="6.7109375" style="1" customWidth="1"/>
    <col min="20" max="20" width="5.140625" style="1" customWidth="1"/>
    <col min="21" max="21" width="4.140625" style="1" customWidth="1"/>
    <col min="22" max="75" width="2.7109375" style="1" customWidth="1"/>
    <col min="76" max="16384" width="9.140625" style="1"/>
  </cols>
  <sheetData>
    <row r="1" spans="1:27" ht="12" customHeigh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 spans="1:27" ht="12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3" spans="1:27" ht="12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</row>
    <row r="4" spans="1:27">
      <c r="A4" s="103" t="s">
        <v>1</v>
      </c>
      <c r="B4" s="103"/>
      <c r="C4" s="103"/>
      <c r="D4" s="103"/>
      <c r="E4" s="106" t="s">
        <v>99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  <c r="Q4" s="91" t="s">
        <v>2</v>
      </c>
      <c r="R4" s="91"/>
      <c r="S4" s="58">
        <v>279.99</v>
      </c>
      <c r="T4" s="91" t="s">
        <v>3</v>
      </c>
      <c r="U4" s="91"/>
      <c r="V4" s="109">
        <f>V5*S4</f>
        <v>839.97</v>
      </c>
      <c r="W4" s="109"/>
      <c r="X4" s="109"/>
      <c r="Y4" s="109"/>
      <c r="Z4" s="109"/>
      <c r="AA4" s="109"/>
    </row>
    <row r="5" spans="1:27">
      <c r="A5" s="103" t="s">
        <v>4</v>
      </c>
      <c r="B5" s="103"/>
      <c r="C5" s="103"/>
      <c r="D5" s="103"/>
      <c r="E5" s="1" t="s">
        <v>179</v>
      </c>
      <c r="T5" s="91" t="s">
        <v>95</v>
      </c>
      <c r="U5" s="91"/>
      <c r="V5" s="92">
        <f>SUM(Funções!S8:S18)</f>
        <v>3</v>
      </c>
      <c r="W5" s="92"/>
      <c r="X5" s="92"/>
      <c r="Y5" s="92"/>
      <c r="Z5" s="92"/>
      <c r="AA5" s="92"/>
    </row>
    <row r="6" spans="1:27">
      <c r="A6" s="103" t="s">
        <v>6</v>
      </c>
      <c r="B6" s="103"/>
      <c r="C6" s="103"/>
      <c r="D6" s="103"/>
      <c r="E6" s="104" t="s">
        <v>180</v>
      </c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91" t="s">
        <v>94</v>
      </c>
      <c r="U6" s="91"/>
      <c r="V6" s="92">
        <f>SUM(Funções!Q8:Q18)</f>
        <v>3</v>
      </c>
      <c r="W6" s="92"/>
      <c r="X6" s="92"/>
      <c r="Y6" s="92"/>
      <c r="Z6" s="92"/>
      <c r="AA6" s="92"/>
    </row>
    <row r="7" spans="1:27">
      <c r="A7" s="103" t="s">
        <v>7</v>
      </c>
      <c r="B7" s="103"/>
      <c r="C7" s="103"/>
      <c r="D7" s="103"/>
      <c r="E7" s="104" t="s">
        <v>178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93" t="s">
        <v>8</v>
      </c>
      <c r="U7" s="93"/>
      <c r="V7" s="93"/>
      <c r="W7" s="110">
        <v>41668</v>
      </c>
      <c r="X7" s="110"/>
      <c r="Y7" s="110"/>
      <c r="Z7" s="110"/>
      <c r="AA7" s="110"/>
    </row>
    <row r="8" spans="1:27">
      <c r="A8" s="103" t="s">
        <v>9</v>
      </c>
      <c r="B8" s="103"/>
      <c r="C8" s="103"/>
      <c r="D8" s="103"/>
      <c r="E8" s="104" t="s">
        <v>100</v>
      </c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93" t="s">
        <v>10</v>
      </c>
      <c r="U8" s="93"/>
      <c r="V8" s="93"/>
      <c r="W8" s="110">
        <v>41668</v>
      </c>
      <c r="X8" s="110"/>
      <c r="Y8" s="110"/>
      <c r="Z8" s="110"/>
      <c r="AA8" s="110"/>
    </row>
    <row r="10" spans="1:27" ht="12" customHeight="1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 t="s">
        <v>86</v>
      </c>
      <c r="U10" s="114"/>
      <c r="V10" s="114"/>
      <c r="W10" s="114"/>
      <c r="X10" s="114"/>
      <c r="Y10" s="114"/>
      <c r="Z10" s="114"/>
      <c r="AA10" s="75"/>
    </row>
    <row r="11" spans="1:27" ht="71.25" customHeight="1">
      <c r="A11" s="111" t="s">
        <v>85</v>
      </c>
      <c r="B11" s="111"/>
      <c r="C11" s="89" t="s">
        <v>101</v>
      </c>
      <c r="D11" s="89"/>
      <c r="E11" s="121" t="s">
        <v>153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3"/>
      <c r="T11" s="86">
        <f t="shared" ref="T11:T36" si="0">VLOOKUP(AA11,sisp2.0,3,FALSE)</f>
        <v>1</v>
      </c>
      <c r="U11" s="87"/>
      <c r="V11" s="87"/>
      <c r="W11" s="87"/>
      <c r="X11" s="87"/>
      <c r="Y11" s="87"/>
      <c r="Z11" s="88"/>
      <c r="AA11" s="72" t="s">
        <v>70</v>
      </c>
    </row>
    <row r="12" spans="1:27" ht="28.5" customHeight="1">
      <c r="A12" s="112"/>
      <c r="B12" s="112"/>
      <c r="C12" s="89" t="s">
        <v>102</v>
      </c>
      <c r="D12" s="89"/>
      <c r="E12" s="121" t="s">
        <v>154</v>
      </c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3"/>
      <c r="T12" s="86">
        <f t="shared" si="0"/>
        <v>0.5</v>
      </c>
      <c r="U12" s="87"/>
      <c r="V12" s="87"/>
      <c r="W12" s="87"/>
      <c r="X12" s="87"/>
      <c r="Y12" s="87"/>
      <c r="Z12" s="88"/>
      <c r="AA12" s="72" t="s">
        <v>71</v>
      </c>
    </row>
    <row r="13" spans="1:27" ht="36" customHeight="1">
      <c r="A13" s="112"/>
      <c r="B13" s="112"/>
      <c r="C13" s="89"/>
      <c r="D13" s="89"/>
      <c r="E13" s="121" t="s">
        <v>155</v>
      </c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3"/>
      <c r="T13" s="86">
        <f t="shared" si="0"/>
        <v>0.75</v>
      </c>
      <c r="U13" s="87"/>
      <c r="V13" s="87"/>
      <c r="W13" s="87"/>
      <c r="X13" s="87"/>
      <c r="Y13" s="87"/>
      <c r="Z13" s="88"/>
      <c r="AA13" s="72" t="s">
        <v>29</v>
      </c>
    </row>
    <row r="14" spans="1:27" ht="37.5" customHeight="1">
      <c r="A14" s="112"/>
      <c r="B14" s="112"/>
      <c r="C14" s="89"/>
      <c r="D14" s="89"/>
      <c r="E14" s="95" t="s">
        <v>156</v>
      </c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7"/>
      <c r="T14" s="86">
        <f t="shared" si="0"/>
        <v>0.9</v>
      </c>
      <c r="U14" s="87"/>
      <c r="V14" s="87"/>
      <c r="W14" s="87"/>
      <c r="X14" s="87"/>
      <c r="Y14" s="87"/>
      <c r="Z14" s="88"/>
      <c r="AA14" s="72" t="s">
        <v>74</v>
      </c>
    </row>
    <row r="15" spans="1:27" ht="63" customHeight="1">
      <c r="A15" s="112"/>
      <c r="B15" s="112"/>
      <c r="C15" s="115" t="s">
        <v>103</v>
      </c>
      <c r="D15" s="116"/>
      <c r="E15" s="95" t="s">
        <v>104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7"/>
      <c r="T15" s="86">
        <f t="shared" si="0"/>
        <v>1</v>
      </c>
      <c r="U15" s="87"/>
      <c r="V15" s="87"/>
      <c r="W15" s="87"/>
      <c r="X15" s="87"/>
      <c r="Y15" s="87"/>
      <c r="Z15" s="88"/>
      <c r="AA15" s="72" t="s">
        <v>75</v>
      </c>
    </row>
    <row r="16" spans="1:27" ht="50.25" customHeight="1">
      <c r="A16" s="112"/>
      <c r="B16" s="112"/>
      <c r="C16" s="80" t="s">
        <v>105</v>
      </c>
      <c r="D16" s="81"/>
      <c r="E16" s="95" t="s">
        <v>157</v>
      </c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7"/>
      <c r="T16" s="86">
        <f t="shared" si="0"/>
        <v>0.5</v>
      </c>
      <c r="U16" s="87"/>
      <c r="V16" s="87"/>
      <c r="W16" s="87"/>
      <c r="X16" s="87"/>
      <c r="Y16" s="87"/>
      <c r="Z16" s="88"/>
      <c r="AA16" s="72" t="s">
        <v>76</v>
      </c>
    </row>
    <row r="17" spans="1:27" ht="45.75" customHeight="1">
      <c r="A17" s="112"/>
      <c r="B17" s="112"/>
      <c r="C17" s="84"/>
      <c r="D17" s="85"/>
      <c r="E17" s="95" t="s">
        <v>158</v>
      </c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7"/>
      <c r="T17" s="86">
        <f t="shared" si="0"/>
        <v>0.75</v>
      </c>
      <c r="U17" s="87"/>
      <c r="V17" s="87"/>
      <c r="W17" s="87"/>
      <c r="X17" s="87"/>
      <c r="Y17" s="87"/>
      <c r="Z17" s="88"/>
      <c r="AA17" s="72" t="s">
        <v>77</v>
      </c>
    </row>
    <row r="18" spans="1:27" ht="37.5" customHeight="1">
      <c r="A18" s="112"/>
      <c r="B18" s="112"/>
      <c r="C18" s="80" t="s">
        <v>106</v>
      </c>
      <c r="D18" s="81"/>
      <c r="E18" s="124" t="s">
        <v>159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6"/>
      <c r="T18" s="86">
        <f t="shared" si="0"/>
        <v>1</v>
      </c>
      <c r="U18" s="87"/>
      <c r="V18" s="87"/>
      <c r="W18" s="87"/>
      <c r="X18" s="87"/>
      <c r="Y18" s="87"/>
      <c r="Z18" s="88"/>
      <c r="AA18" s="72" t="s">
        <v>78</v>
      </c>
    </row>
    <row r="19" spans="1:27" ht="37.5" customHeight="1">
      <c r="A19" s="112"/>
      <c r="B19" s="112"/>
      <c r="C19" s="82"/>
      <c r="D19" s="83"/>
      <c r="E19" s="124" t="s">
        <v>160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6"/>
      <c r="T19" s="86">
        <f t="shared" si="0"/>
        <v>1</v>
      </c>
      <c r="U19" s="87"/>
      <c r="V19" s="87"/>
      <c r="W19" s="87"/>
      <c r="X19" s="87"/>
      <c r="Y19" s="87"/>
      <c r="Z19" s="88"/>
      <c r="AA19" s="72" t="s">
        <v>69</v>
      </c>
    </row>
    <row r="20" spans="1:27" ht="37.5" customHeight="1">
      <c r="A20" s="112"/>
      <c r="B20" s="112"/>
      <c r="C20" s="84"/>
      <c r="D20" s="85"/>
      <c r="E20" s="124" t="s">
        <v>161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6"/>
      <c r="T20" s="86">
        <f t="shared" si="0"/>
        <v>0.3</v>
      </c>
      <c r="U20" s="87"/>
      <c r="V20" s="87"/>
      <c r="W20" s="87"/>
      <c r="X20" s="87"/>
      <c r="Y20" s="87"/>
      <c r="Z20" s="88"/>
      <c r="AA20" s="72" t="s">
        <v>79</v>
      </c>
    </row>
    <row r="21" spans="1:27" ht="38.25" customHeight="1">
      <c r="A21" s="112"/>
      <c r="B21" s="112"/>
      <c r="C21" s="89" t="s">
        <v>107</v>
      </c>
      <c r="D21" s="89"/>
      <c r="E21" s="95" t="s">
        <v>162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7"/>
      <c r="T21" s="86">
        <f t="shared" si="0"/>
        <v>0.3</v>
      </c>
      <c r="U21" s="87"/>
      <c r="V21" s="87"/>
      <c r="W21" s="87"/>
      <c r="X21" s="87"/>
      <c r="Y21" s="87"/>
      <c r="Z21" s="88"/>
      <c r="AA21" s="72" t="s">
        <v>80</v>
      </c>
    </row>
    <row r="22" spans="1:27" ht="38.25" customHeight="1">
      <c r="A22" s="112"/>
      <c r="B22" s="112"/>
      <c r="C22" s="89"/>
      <c r="D22" s="89"/>
      <c r="E22" s="95" t="s">
        <v>163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7"/>
      <c r="T22" s="86">
        <f t="shared" si="0"/>
        <v>0.3</v>
      </c>
      <c r="U22" s="87"/>
      <c r="V22" s="87"/>
      <c r="W22" s="87"/>
      <c r="X22" s="87"/>
      <c r="Y22" s="87"/>
      <c r="Z22" s="88"/>
      <c r="AA22" s="72" t="s">
        <v>81</v>
      </c>
    </row>
    <row r="23" spans="1:27" ht="38.25" customHeight="1">
      <c r="A23" s="112"/>
      <c r="B23" s="112"/>
      <c r="C23" s="89"/>
      <c r="D23" s="89"/>
      <c r="E23" s="95" t="s">
        <v>164</v>
      </c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7"/>
      <c r="T23" s="86">
        <f t="shared" si="0"/>
        <v>0.3</v>
      </c>
      <c r="U23" s="87"/>
      <c r="V23" s="87"/>
      <c r="W23" s="87"/>
      <c r="X23" s="87"/>
      <c r="Y23" s="87"/>
      <c r="Z23" s="88"/>
      <c r="AA23" s="72" t="s">
        <v>82</v>
      </c>
    </row>
    <row r="24" spans="1:27" ht="67.5" customHeight="1">
      <c r="A24" s="112"/>
      <c r="B24" s="112"/>
      <c r="C24" s="115" t="s">
        <v>108</v>
      </c>
      <c r="D24" s="116"/>
      <c r="E24" s="95" t="s">
        <v>165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7"/>
      <c r="T24" s="86">
        <f t="shared" si="0"/>
        <v>0.6</v>
      </c>
      <c r="U24" s="87"/>
      <c r="V24" s="87"/>
      <c r="W24" s="87"/>
      <c r="X24" s="87"/>
      <c r="Y24" s="87"/>
      <c r="Z24" s="88"/>
      <c r="AA24" s="72" t="s">
        <v>83</v>
      </c>
    </row>
    <row r="25" spans="1:27" ht="62.25" customHeight="1">
      <c r="A25" s="112"/>
      <c r="B25" s="112"/>
      <c r="C25" s="80" t="s">
        <v>109</v>
      </c>
      <c r="D25" s="81"/>
      <c r="E25" s="95" t="s">
        <v>166</v>
      </c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86">
        <f t="shared" si="0"/>
        <v>0.5</v>
      </c>
      <c r="U25" s="87"/>
      <c r="V25" s="87"/>
      <c r="W25" s="87"/>
      <c r="X25" s="87"/>
      <c r="Y25" s="87"/>
      <c r="Z25" s="88"/>
      <c r="AA25" s="72" t="s">
        <v>84</v>
      </c>
    </row>
    <row r="26" spans="1:27" ht="62.25" customHeight="1">
      <c r="A26" s="112"/>
      <c r="B26" s="112"/>
      <c r="C26" s="84"/>
      <c r="D26" s="85"/>
      <c r="E26" s="95" t="s">
        <v>167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7"/>
      <c r="T26" s="86">
        <f t="shared" si="0"/>
        <v>0.75</v>
      </c>
      <c r="U26" s="87"/>
      <c r="V26" s="87"/>
      <c r="W26" s="87"/>
      <c r="X26" s="87"/>
      <c r="Y26" s="87"/>
      <c r="Z26" s="88"/>
      <c r="AA26" s="72" t="s">
        <v>87</v>
      </c>
    </row>
    <row r="27" spans="1:27" ht="37.5" customHeight="1">
      <c r="A27" s="112"/>
      <c r="B27" s="112"/>
      <c r="C27" s="80" t="s">
        <v>110</v>
      </c>
      <c r="D27" s="81"/>
      <c r="E27" s="95" t="s">
        <v>168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6">
        <f t="shared" si="0"/>
        <v>1</v>
      </c>
      <c r="U27" s="87"/>
      <c r="V27" s="87"/>
      <c r="W27" s="87"/>
      <c r="X27" s="87"/>
      <c r="Y27" s="87"/>
      <c r="Z27" s="88"/>
      <c r="AA27" s="72" t="s">
        <v>88</v>
      </c>
    </row>
    <row r="28" spans="1:27" ht="37.5" customHeight="1">
      <c r="A28" s="112"/>
      <c r="B28" s="112"/>
      <c r="C28" s="82"/>
      <c r="D28" s="83"/>
      <c r="E28" s="95" t="s">
        <v>169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7"/>
      <c r="T28" s="86">
        <f t="shared" si="0"/>
        <v>0.6</v>
      </c>
      <c r="U28" s="87"/>
      <c r="V28" s="87"/>
      <c r="W28" s="87"/>
      <c r="X28" s="87"/>
      <c r="Y28" s="87"/>
      <c r="Z28" s="88"/>
      <c r="AA28" s="72" t="s">
        <v>89</v>
      </c>
    </row>
    <row r="29" spans="1:27" ht="37.5" customHeight="1">
      <c r="A29" s="112"/>
      <c r="B29" s="112"/>
      <c r="C29" s="82"/>
      <c r="D29" s="83"/>
      <c r="E29" s="95" t="s">
        <v>170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6">
        <f t="shared" si="0"/>
        <v>1</v>
      </c>
      <c r="U29" s="87"/>
      <c r="V29" s="87"/>
      <c r="W29" s="87"/>
      <c r="X29" s="87"/>
      <c r="Y29" s="87"/>
      <c r="Z29" s="88"/>
      <c r="AA29" s="72" t="s">
        <v>90</v>
      </c>
    </row>
    <row r="30" spans="1:27" ht="37.5" customHeight="1">
      <c r="A30" s="112"/>
      <c r="B30" s="112"/>
      <c r="C30" s="82"/>
      <c r="D30" s="83"/>
      <c r="E30" s="95" t="s">
        <v>171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7"/>
      <c r="T30" s="86">
        <f t="shared" si="0"/>
        <v>0.1</v>
      </c>
      <c r="U30" s="87"/>
      <c r="V30" s="87"/>
      <c r="W30" s="87"/>
      <c r="X30" s="87"/>
      <c r="Y30" s="87"/>
      <c r="Z30" s="88"/>
      <c r="AA30" s="72" t="s">
        <v>91</v>
      </c>
    </row>
    <row r="31" spans="1:27" ht="35.25" customHeight="1">
      <c r="A31" s="112"/>
      <c r="B31" s="112"/>
      <c r="C31" s="80" t="s">
        <v>111</v>
      </c>
      <c r="D31" s="81"/>
      <c r="E31" s="119" t="s">
        <v>172</v>
      </c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6">
        <f t="shared" si="0"/>
        <v>0.1</v>
      </c>
      <c r="U31" s="87"/>
      <c r="V31" s="87"/>
      <c r="W31" s="87"/>
      <c r="X31" s="87"/>
      <c r="Y31" s="87"/>
      <c r="Z31" s="88"/>
      <c r="AA31" s="72" t="s">
        <v>92</v>
      </c>
    </row>
    <row r="32" spans="1:27" ht="35.25" customHeight="1">
      <c r="A32" s="112"/>
      <c r="B32" s="112"/>
      <c r="C32" s="117" t="s">
        <v>112</v>
      </c>
      <c r="D32" s="118"/>
      <c r="E32" s="120" t="s">
        <v>173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7"/>
      <c r="T32" s="86">
        <f t="shared" si="0"/>
        <v>0.2</v>
      </c>
      <c r="U32" s="87"/>
      <c r="V32" s="87"/>
      <c r="W32" s="87"/>
      <c r="X32" s="87"/>
      <c r="Y32" s="87"/>
      <c r="Z32" s="88"/>
      <c r="AA32" s="72" t="s">
        <v>113</v>
      </c>
    </row>
    <row r="33" spans="1:27" ht="35.25" customHeight="1">
      <c r="A33" s="112"/>
      <c r="B33" s="112"/>
      <c r="C33" s="117" t="s">
        <v>114</v>
      </c>
      <c r="D33" s="118"/>
      <c r="E33" s="120" t="s">
        <v>174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T33" s="86">
        <f t="shared" si="0"/>
        <v>0.25</v>
      </c>
      <c r="U33" s="87"/>
      <c r="V33" s="87"/>
      <c r="W33" s="87"/>
      <c r="X33" s="87"/>
      <c r="Y33" s="87"/>
      <c r="Z33" s="88"/>
      <c r="AA33" s="72" t="s">
        <v>115</v>
      </c>
    </row>
    <row r="34" spans="1:27" ht="35.25" customHeight="1">
      <c r="A34" s="112"/>
      <c r="B34" s="112"/>
      <c r="C34" s="117" t="s">
        <v>116</v>
      </c>
      <c r="D34" s="118"/>
      <c r="E34" s="120" t="s">
        <v>175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7"/>
      <c r="T34" s="86">
        <f t="shared" si="0"/>
        <v>0.2</v>
      </c>
      <c r="U34" s="87"/>
      <c r="V34" s="87"/>
      <c r="W34" s="87"/>
      <c r="X34" s="87"/>
      <c r="Y34" s="87"/>
      <c r="Z34" s="88"/>
      <c r="AA34" s="72" t="s">
        <v>117</v>
      </c>
    </row>
    <row r="35" spans="1:27" ht="35.25" customHeight="1">
      <c r="A35" s="112"/>
      <c r="B35" s="112"/>
      <c r="C35" s="117" t="s">
        <v>118</v>
      </c>
      <c r="D35" s="118"/>
      <c r="E35" s="120" t="s">
        <v>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86">
        <f t="shared" si="0"/>
        <v>0.15</v>
      </c>
      <c r="U35" s="87"/>
      <c r="V35" s="87"/>
      <c r="W35" s="87"/>
      <c r="X35" s="87"/>
      <c r="Y35" s="87"/>
      <c r="Z35" s="88"/>
      <c r="AA35" s="72" t="s">
        <v>119</v>
      </c>
    </row>
    <row r="36" spans="1:27" ht="35.25" customHeight="1">
      <c r="A36" s="113"/>
      <c r="B36" s="113"/>
      <c r="C36" s="117" t="s">
        <v>120</v>
      </c>
      <c r="D36" s="118"/>
      <c r="E36" s="120" t="s">
        <v>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7"/>
      <c r="T36" s="86">
        <f t="shared" si="0"/>
        <v>1</v>
      </c>
      <c r="U36" s="87"/>
      <c r="V36" s="87"/>
      <c r="W36" s="87"/>
      <c r="X36" s="87"/>
      <c r="Y36" s="87"/>
      <c r="Z36" s="88"/>
      <c r="AA36" s="72" t="s">
        <v>121</v>
      </c>
    </row>
    <row r="39" spans="1:27">
      <c r="A39" s="102" t="s">
        <v>11</v>
      </c>
      <c r="B39" s="102"/>
      <c r="C39" s="99" t="s">
        <v>12</v>
      </c>
      <c r="D39" s="99"/>
      <c r="E39" s="99"/>
      <c r="F39" s="99"/>
      <c r="G39" s="99"/>
      <c r="H39" s="99"/>
      <c r="I39" s="99"/>
      <c r="J39" s="99"/>
      <c r="K39" s="2"/>
      <c r="L39" s="3"/>
      <c r="M39" s="3"/>
      <c r="N39" s="100" t="s">
        <v>13</v>
      </c>
      <c r="O39" s="100"/>
      <c r="P39" s="91" t="s">
        <v>14</v>
      </c>
      <c r="Q39" s="91"/>
      <c r="R39" s="91"/>
      <c r="S39" s="91"/>
      <c r="T39" s="91" t="s">
        <v>15</v>
      </c>
      <c r="U39" s="91"/>
      <c r="V39" s="91"/>
      <c r="W39" s="91"/>
      <c r="X39" s="91" t="s">
        <v>64</v>
      </c>
      <c r="Y39" s="91"/>
      <c r="Z39" s="91"/>
      <c r="AA39" s="91"/>
    </row>
    <row r="40" spans="1:27">
      <c r="A40" s="102"/>
      <c r="B40" s="102"/>
      <c r="C40" s="99" t="s">
        <v>16</v>
      </c>
      <c r="D40" s="99"/>
      <c r="E40" s="99"/>
      <c r="F40" s="99"/>
      <c r="G40" s="99"/>
      <c r="H40" s="99"/>
      <c r="I40" s="99"/>
      <c r="J40" s="99"/>
      <c r="K40" s="2"/>
      <c r="L40" s="3"/>
      <c r="M40" s="3"/>
      <c r="N40" s="100"/>
      <c r="O40" s="100"/>
      <c r="P40" s="93" t="s">
        <v>17</v>
      </c>
      <c r="Q40" s="93"/>
      <c r="R40" s="92">
        <f>Sumário!E55</f>
        <v>0</v>
      </c>
      <c r="S40" s="92"/>
      <c r="T40" s="94">
        <v>1</v>
      </c>
      <c r="U40" s="94"/>
      <c r="V40" s="94"/>
      <c r="W40" s="94"/>
      <c r="X40" s="92">
        <f>R40*T40</f>
        <v>0</v>
      </c>
      <c r="Y40" s="92"/>
      <c r="Z40" s="92"/>
      <c r="AA40" s="92"/>
    </row>
    <row r="41" spans="1:27">
      <c r="A41" s="102"/>
      <c r="B41" s="102"/>
      <c r="C41" s="99" t="s">
        <v>18</v>
      </c>
      <c r="D41" s="99"/>
      <c r="E41" s="99"/>
      <c r="F41" s="99"/>
      <c r="G41" s="99"/>
      <c r="H41" s="99"/>
      <c r="I41" s="99"/>
      <c r="J41" s="99"/>
      <c r="K41" s="2" t="s">
        <v>68</v>
      </c>
      <c r="L41" s="3"/>
      <c r="M41" s="3"/>
      <c r="N41" s="100"/>
      <c r="O41" s="100"/>
      <c r="P41" s="101" t="s">
        <v>19</v>
      </c>
      <c r="Q41" s="101"/>
      <c r="R41" s="92">
        <f>Sumário!E56</f>
        <v>3</v>
      </c>
      <c r="S41" s="92"/>
      <c r="T41" s="94">
        <v>1</v>
      </c>
      <c r="U41" s="94"/>
      <c r="V41" s="94"/>
      <c r="W41" s="94"/>
      <c r="X41" s="92">
        <f>R41*T41</f>
        <v>3</v>
      </c>
      <c r="Y41" s="92"/>
      <c r="Z41" s="92"/>
      <c r="AA41" s="92"/>
    </row>
    <row r="42" spans="1:27">
      <c r="A42" s="102"/>
      <c r="B42" s="102"/>
      <c r="C42" s="99" t="s">
        <v>20</v>
      </c>
      <c r="D42" s="99"/>
      <c r="E42" s="99"/>
      <c r="F42" s="99"/>
      <c r="G42" s="99"/>
      <c r="H42" s="99"/>
      <c r="I42" s="99"/>
      <c r="J42" s="99"/>
      <c r="K42" s="2"/>
      <c r="L42" s="3"/>
      <c r="M42" s="3"/>
      <c r="N42" s="100"/>
      <c r="O42" s="100"/>
      <c r="P42" s="101" t="s">
        <v>21</v>
      </c>
      <c r="Q42" s="101"/>
      <c r="R42" s="92">
        <f>Sumário!E57</f>
        <v>0</v>
      </c>
      <c r="S42" s="92"/>
      <c r="T42" s="94">
        <v>0.4</v>
      </c>
      <c r="U42" s="94"/>
      <c r="V42" s="94"/>
      <c r="W42" s="94"/>
      <c r="X42" s="92">
        <f>R42*T42</f>
        <v>0</v>
      </c>
      <c r="Y42" s="92"/>
      <c r="Z42" s="92"/>
      <c r="AA42" s="92"/>
    </row>
    <row r="43" spans="1:27">
      <c r="A43" s="102"/>
      <c r="B43" s="102"/>
      <c r="L43" s="3"/>
      <c r="M43" s="3"/>
      <c r="N43" s="100"/>
      <c r="O43" s="100"/>
      <c r="P43" s="101" t="s">
        <v>61</v>
      </c>
      <c r="Q43" s="101"/>
      <c r="R43" s="92">
        <f>Sumário!E58</f>
        <v>0</v>
      </c>
      <c r="S43" s="92"/>
      <c r="T43" s="94">
        <v>0.2</v>
      </c>
      <c r="U43" s="94"/>
      <c r="V43" s="94"/>
      <c r="W43" s="94"/>
      <c r="X43" s="92">
        <f>R43*T43</f>
        <v>0</v>
      </c>
      <c r="Y43" s="92"/>
      <c r="Z43" s="92"/>
      <c r="AA43" s="92"/>
    </row>
    <row r="44" spans="1:27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  <c r="R44" s="5"/>
    </row>
    <row r="45" spans="1:27" ht="16.5">
      <c r="B45" s="7"/>
      <c r="C45" s="7"/>
      <c r="E45" s="7"/>
      <c r="F45" s="7"/>
      <c r="G45" s="7"/>
      <c r="H45" s="7"/>
      <c r="I45" s="5"/>
      <c r="J45" s="90" t="s">
        <v>22</v>
      </c>
      <c r="K45" s="90"/>
      <c r="L45" s="90"/>
      <c r="M45" s="90"/>
      <c r="N45" s="90"/>
      <c r="O45" s="90"/>
      <c r="P45" s="90"/>
      <c r="Q45" s="90"/>
      <c r="R45" s="90"/>
    </row>
    <row r="46" spans="1:27">
      <c r="A46" s="98" t="s">
        <v>181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</row>
    <row r="47" spans="1:27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</row>
    <row r="48" spans="1:27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</row>
    <row r="49" spans="1:27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</row>
    <row r="50" spans="1:27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</row>
    <row r="51" spans="1:27">
      <c r="A51" s="5"/>
      <c r="B51" s="5"/>
      <c r="C51" s="5"/>
      <c r="D51" s="5"/>
      <c r="E51" s="5"/>
      <c r="F51" s="5"/>
      <c r="G51" s="5"/>
      <c r="H51" s="5"/>
      <c r="I51" s="5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90" t="s">
        <v>23</v>
      </c>
      <c r="K52" s="90"/>
      <c r="L52" s="90"/>
      <c r="M52" s="90"/>
      <c r="N52" s="90"/>
      <c r="O52" s="90"/>
      <c r="P52" s="90"/>
      <c r="Q52" s="90"/>
      <c r="R52" s="90"/>
    </row>
    <row r="53" spans="1:27">
      <c r="A53" s="98" t="s">
        <v>182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</row>
    <row r="54" spans="1:27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</row>
    <row r="55" spans="1:27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</row>
    <row r="56" spans="1:27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</row>
    <row r="57" spans="1:27">
      <c r="B57" s="5"/>
      <c r="C57" s="5"/>
      <c r="D57" s="5"/>
      <c r="E57" s="5"/>
      <c r="F57" s="5"/>
      <c r="G57" s="5"/>
      <c r="H57" s="5"/>
      <c r="I57" s="5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90" t="s">
        <v>96</v>
      </c>
      <c r="K58" s="90"/>
      <c r="L58" s="90"/>
      <c r="M58" s="90"/>
      <c r="N58" s="90"/>
      <c r="O58" s="90"/>
      <c r="P58" s="90"/>
      <c r="Q58" s="90"/>
      <c r="R58" s="90"/>
    </row>
    <row r="59" spans="1:27">
      <c r="A59" s="98" t="s">
        <v>97</v>
      </c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</row>
    <row r="60" spans="1:27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</row>
    <row r="61" spans="1:27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</row>
  </sheetData>
  <mergeCells count="123">
    <mergeCell ref="E35:S35"/>
    <mergeCell ref="E36:S36"/>
    <mergeCell ref="C35:D35"/>
    <mergeCell ref="T35:Z35"/>
    <mergeCell ref="C36:D36"/>
    <mergeCell ref="T36:Z36"/>
    <mergeCell ref="E11:S11"/>
    <mergeCell ref="E12:S12"/>
    <mergeCell ref="E13:S13"/>
    <mergeCell ref="E14:S14"/>
    <mergeCell ref="E15:S15"/>
    <mergeCell ref="E16:S16"/>
    <mergeCell ref="E17:S17"/>
    <mergeCell ref="E18:S18"/>
    <mergeCell ref="E19:S19"/>
    <mergeCell ref="E20:S20"/>
    <mergeCell ref="E21:S21"/>
    <mergeCell ref="E22:S22"/>
    <mergeCell ref="E23:S23"/>
    <mergeCell ref="E24:S24"/>
    <mergeCell ref="E25:S25"/>
    <mergeCell ref="E26:S26"/>
    <mergeCell ref="E27:S27"/>
    <mergeCell ref="E28:S28"/>
    <mergeCell ref="C32:D32"/>
    <mergeCell ref="T32:Z32"/>
    <mergeCell ref="C33:D33"/>
    <mergeCell ref="T33:Z33"/>
    <mergeCell ref="C34:D34"/>
    <mergeCell ref="T34:Z34"/>
    <mergeCell ref="E31:S31"/>
    <mergeCell ref="E32:S32"/>
    <mergeCell ref="E33:S33"/>
    <mergeCell ref="E34:S34"/>
    <mergeCell ref="A8:D8"/>
    <mergeCell ref="E8:S8"/>
    <mergeCell ref="T8:V8"/>
    <mergeCell ref="W8:AA8"/>
    <mergeCell ref="A11:B36"/>
    <mergeCell ref="A10:D10"/>
    <mergeCell ref="E10:S10"/>
    <mergeCell ref="T10:Z10"/>
    <mergeCell ref="C11:D11"/>
    <mergeCell ref="T11:Z11"/>
    <mergeCell ref="C12:D14"/>
    <mergeCell ref="T12:Z12"/>
    <mergeCell ref="T13:Z13"/>
    <mergeCell ref="T14:Z14"/>
    <mergeCell ref="C15:D15"/>
    <mergeCell ref="T15:Z15"/>
    <mergeCell ref="C16:D17"/>
    <mergeCell ref="T16:Z16"/>
    <mergeCell ref="T17:Z17"/>
    <mergeCell ref="T18:Z18"/>
    <mergeCell ref="C24:D24"/>
    <mergeCell ref="C25:D26"/>
    <mergeCell ref="T25:Z25"/>
    <mergeCell ref="T26:Z26"/>
    <mergeCell ref="T5:U5"/>
    <mergeCell ref="V5:AA5"/>
    <mergeCell ref="A7:D7"/>
    <mergeCell ref="E7:S7"/>
    <mergeCell ref="A1:AA3"/>
    <mergeCell ref="A4:D4"/>
    <mergeCell ref="E4:P4"/>
    <mergeCell ref="Q4:R4"/>
    <mergeCell ref="T4:U4"/>
    <mergeCell ref="A6:D6"/>
    <mergeCell ref="V4:AA4"/>
    <mergeCell ref="A5:D5"/>
    <mergeCell ref="E6:S6"/>
    <mergeCell ref="T6:U6"/>
    <mergeCell ref="V6:AA6"/>
    <mergeCell ref="T7:V7"/>
    <mergeCell ref="W7:AA7"/>
    <mergeCell ref="A59:AA61"/>
    <mergeCell ref="C39:J39"/>
    <mergeCell ref="N39:O43"/>
    <mergeCell ref="P39:S39"/>
    <mergeCell ref="T42:W42"/>
    <mergeCell ref="C40:J40"/>
    <mergeCell ref="R42:S42"/>
    <mergeCell ref="A53:AA56"/>
    <mergeCell ref="T41:W41"/>
    <mergeCell ref="X41:AA41"/>
    <mergeCell ref="P43:Q43"/>
    <mergeCell ref="R43:S43"/>
    <mergeCell ref="T43:W43"/>
    <mergeCell ref="X43:AA43"/>
    <mergeCell ref="J45:R45"/>
    <mergeCell ref="J52:R52"/>
    <mergeCell ref="A46:AA50"/>
    <mergeCell ref="X42:AA42"/>
    <mergeCell ref="C42:J42"/>
    <mergeCell ref="P42:Q42"/>
    <mergeCell ref="A39:B43"/>
    <mergeCell ref="C41:J41"/>
    <mergeCell ref="P41:Q41"/>
    <mergeCell ref="T39:W39"/>
    <mergeCell ref="C18:D20"/>
    <mergeCell ref="T19:Z19"/>
    <mergeCell ref="T20:Z20"/>
    <mergeCell ref="C21:D23"/>
    <mergeCell ref="T22:Z22"/>
    <mergeCell ref="T23:Z23"/>
    <mergeCell ref="T24:Z24"/>
    <mergeCell ref="T28:Z28"/>
    <mergeCell ref="J58:R58"/>
    <mergeCell ref="T21:Z21"/>
    <mergeCell ref="X39:AA39"/>
    <mergeCell ref="X40:AA40"/>
    <mergeCell ref="R41:S41"/>
    <mergeCell ref="P40:Q40"/>
    <mergeCell ref="R40:S40"/>
    <mergeCell ref="T40:W40"/>
    <mergeCell ref="C27:D30"/>
    <mergeCell ref="T27:Z27"/>
    <mergeCell ref="T29:Z29"/>
    <mergeCell ref="T30:Z30"/>
    <mergeCell ref="E29:S29"/>
    <mergeCell ref="E30:S30"/>
    <mergeCell ref="C31:D31"/>
    <mergeCell ref="T31:Z31"/>
  </mergeCells>
  <phoneticPr fontId="0" type="noConversion"/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U18"/>
  <sheetViews>
    <sheetView showGridLines="0" zoomScale="125" zoomScaleNormal="125" zoomScaleSheetLayoutView="100" workbookViewId="0">
      <pane ySplit="7" topLeftCell="A8" activePane="bottomLeft" state="frozen"/>
      <selection activeCell="K57" sqref="K57"/>
      <selection pane="bottomLeft" activeCell="N9" sqref="N9"/>
    </sheetView>
  </sheetViews>
  <sheetFormatPr defaultRowHeight="12.75"/>
  <cols>
    <col min="1" max="1" width="15.5703125" style="8" bestFit="1" customWidth="1"/>
    <col min="2" max="3" width="7.7109375" style="8" customWidth="1"/>
    <col min="4" max="4" width="3.5703125" style="8" customWidth="1"/>
    <col min="5" max="5" width="4.28515625" style="8" customWidth="1"/>
    <col min="6" max="6" width="11" style="8" customWidth="1"/>
    <col min="7" max="7" width="5.42578125" style="8" customWidth="1"/>
    <col min="8" max="8" width="7" style="8" bestFit="1" customWidth="1"/>
    <col min="9" max="9" width="3.7109375" style="8" customWidth="1"/>
    <col min="10" max="11" width="5.42578125" style="8" customWidth="1"/>
    <col min="12" max="12" width="3.85546875" style="8" customWidth="1"/>
    <col min="13" max="13" width="1.85546875" style="8" customWidth="1"/>
    <col min="14" max="14" width="5.42578125" style="8" customWidth="1"/>
    <col min="15" max="15" width="7.28515625" style="8" bestFit="1" customWidth="1"/>
    <col min="16" max="16" width="2.85546875" style="8" bestFit="1" customWidth="1"/>
    <col min="17" max="17" width="6.85546875" style="8" bestFit="1" customWidth="1"/>
    <col min="18" max="18" width="9.42578125" style="8" hidden="1" customWidth="1"/>
    <col min="19" max="19" width="6.7109375" style="8" bestFit="1" customWidth="1"/>
    <col min="20" max="20" width="47.140625" style="70" customWidth="1"/>
    <col min="21" max="21" width="35.7109375" style="8" customWidth="1"/>
    <col min="22" max="22" width="12.7109375" style="8" customWidth="1"/>
    <col min="23" max="16384" width="9.140625" style="8"/>
  </cols>
  <sheetData>
    <row r="1" spans="1:21" s="1" customFormat="1" ht="12" customHeight="1">
      <c r="A1" s="132" t="s">
        <v>67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68"/>
      <c r="U1" s="9"/>
    </row>
    <row r="2" spans="1:21" s="1" customFormat="1" ht="12" customHeight="1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68"/>
      <c r="U2" s="9"/>
    </row>
    <row r="3" spans="1:21" s="1" customFormat="1" ht="12" customHeight="1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68"/>
      <c r="U3" s="9"/>
    </row>
    <row r="4" spans="1:21" s="1" customFormat="1" ht="12" customHeight="1">
      <c r="A4" s="133" t="str">
        <f>Contagem!A5&amp;" : "&amp;Contagem!E6</f>
        <v>Aplicação : OS49</v>
      </c>
      <c r="B4" s="133"/>
      <c r="C4" s="133"/>
      <c r="D4" s="133"/>
      <c r="E4" s="133"/>
      <c r="F4" s="133"/>
      <c r="G4" s="129" t="str">
        <f>Contagem!A6&amp;" : "&amp;Contagem!E5</f>
        <v>Projeto : SIMH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spans="1:21" s="10" customFormat="1" ht="12" customHeight="1">
      <c r="A5" s="134" t="str">
        <f>Contagem!A7&amp;" : "&amp;Contagem!E7</f>
        <v>Responsável : Luiz Gustavo Queiroga Pena</v>
      </c>
      <c r="B5" s="134"/>
      <c r="C5" s="134"/>
      <c r="D5" s="134"/>
      <c r="E5" s="134"/>
      <c r="F5" s="134"/>
      <c r="G5" s="135" t="str">
        <f>Contagem!A8&amp;" : "&amp;Contagem!E8</f>
        <v>Revisor : Luiz Fernando Carvalho Mendonça</v>
      </c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</row>
    <row r="6" spans="1:21" s="10" customFormat="1" ht="12" customHeight="1">
      <c r="A6" s="128" t="str">
        <f>Contagem!A4&amp;" : "&amp;Contagem!E4</f>
        <v>Empresa : Websis Teconologia e sistemas Ltda ME</v>
      </c>
      <c r="B6" s="128"/>
      <c r="C6" s="128"/>
      <c r="D6" s="128"/>
      <c r="E6" s="128"/>
      <c r="F6" s="129" t="str">
        <f>Contagem!Q4&amp;" = "&amp;VALUE(Contagem!S4)</f>
        <v>R$/PF = 279,99</v>
      </c>
      <c r="G6" s="129"/>
      <c r="H6" s="130" t="str">
        <f>" Custo= "&amp;DOLLAR(Contagem!V4)</f>
        <v xml:space="preserve"> Custo= R$ 839,97</v>
      </c>
      <c r="I6" s="130"/>
      <c r="J6" s="130"/>
      <c r="K6" s="130"/>
      <c r="L6" s="130"/>
      <c r="M6" s="130"/>
      <c r="N6" s="130"/>
      <c r="O6" s="130"/>
      <c r="P6" s="131" t="str">
        <f>"PF  = "&amp;VALUE(Contagem!V5)</f>
        <v>PF  = 3</v>
      </c>
      <c r="Q6" s="131"/>
      <c r="R6" s="131"/>
      <c r="S6" s="131"/>
      <c r="T6" s="69"/>
      <c r="U6" s="11"/>
    </row>
    <row r="7" spans="1:21" s="14" customFormat="1" ht="12" customHeight="1">
      <c r="A7" s="127" t="s">
        <v>24</v>
      </c>
      <c r="B7" s="127"/>
      <c r="C7" s="127"/>
      <c r="D7" s="127"/>
      <c r="E7" s="127"/>
      <c r="F7" s="127"/>
      <c r="G7" s="12" t="s">
        <v>25</v>
      </c>
      <c r="H7" s="13" t="s">
        <v>63</v>
      </c>
      <c r="I7" s="12" t="s">
        <v>26</v>
      </c>
      <c r="J7" s="12" t="s">
        <v>27</v>
      </c>
      <c r="K7" s="12" t="s">
        <v>72</v>
      </c>
      <c r="L7" s="12" t="s">
        <v>28</v>
      </c>
      <c r="M7" s="12" t="s">
        <v>29</v>
      </c>
      <c r="N7" s="12" t="s">
        <v>93</v>
      </c>
      <c r="O7" s="12" t="s">
        <v>30</v>
      </c>
      <c r="P7" s="12" t="s">
        <v>5</v>
      </c>
      <c r="Q7" s="64" t="s">
        <v>64</v>
      </c>
      <c r="R7" s="64" t="s">
        <v>151</v>
      </c>
      <c r="S7" s="64" t="s">
        <v>73</v>
      </c>
      <c r="T7" s="64" t="s">
        <v>98</v>
      </c>
      <c r="U7" s="64" t="s">
        <v>152</v>
      </c>
    </row>
    <row r="8" spans="1:21" ht="12" customHeight="1">
      <c r="A8" s="65" t="s">
        <v>183</v>
      </c>
      <c r="B8" s="66"/>
      <c r="C8" s="66"/>
      <c r="D8" s="66"/>
      <c r="E8" s="66"/>
      <c r="F8" s="67"/>
      <c r="G8" s="59" t="s">
        <v>36</v>
      </c>
      <c r="H8" s="59" t="s">
        <v>70</v>
      </c>
      <c r="I8" s="59">
        <v>11</v>
      </c>
      <c r="J8" s="59">
        <v>1</v>
      </c>
      <c r="K8" s="59"/>
      <c r="L8" s="59"/>
      <c r="M8" s="60" t="str">
        <f t="shared" ref="M8:M18" si="0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N8" s="59" t="s">
        <v>88</v>
      </c>
      <c r="O8" s="61" t="str">
        <f t="shared" ref="O8:O18" si="1">IF(M8="L","Baixa",IF(M8="A","Média",IF(M8="","","Alta")))</f>
        <v>Baixa</v>
      </c>
      <c r="P8" s="62">
        <f t="shared" ref="P8:P18" si="2">IF(ISBLANK(G8),"",IF(G8="ALI",IF(M8="L",7,IF(M8="A",10,15)),IF(G8="AIE",IF(M8="L",5,IF(M8="A",7,10)),IF(G8="SE",IF(M8="L",4,IF(M8="A",5,7)),IF(OR(G8="EE",G8="CE"),IF(M8="L",3,IF(M8="A",4,6)))))))</f>
        <v>3</v>
      </c>
      <c r="Q8" s="63">
        <f>IF($H8="I",$P8*Contagem!#REF!,IF($H8="E",$P8*Contagem!#REF!,IF($H8="A",IF($K8="B",$P8*Contagem!#REF!,IF($K8="C",$P8*Contagem!#REF!,IF($K8="D",$P8*Contagem!#REF!,$P8))),IF($H8="T",$P8*Contagem!#REF!,""))))</f>
        <v>3</v>
      </c>
      <c r="R8" s="63">
        <f t="shared" ref="R8:R18" si="3">IF(Q8&lt;&gt;"",IF(N8&lt;&gt;"",VLOOKUP(N8,sisp2.0,3,FALSE),1),"")</f>
        <v>1</v>
      </c>
      <c r="S8" s="63">
        <f>IF(Q8&lt;&gt;"",Q8*R8,"")</f>
        <v>3</v>
      </c>
      <c r="T8" s="73" t="s">
        <v>182</v>
      </c>
      <c r="U8" s="74" t="str">
        <f>IF(N8&lt;&gt;"",VLOOKUP(N8,sisp2.0,2,FALSE),"")</f>
        <v>4.9.1 Apuração Especial – Base de Dados EE
(PF = PF_NÃO_AJUSTADO)</v>
      </c>
    </row>
    <row r="9" spans="1:21" ht="12" customHeight="1">
      <c r="A9" s="65"/>
      <c r="B9" s="66"/>
      <c r="C9" s="66"/>
      <c r="D9" s="66"/>
      <c r="E9" s="66"/>
      <c r="F9" s="67"/>
      <c r="G9" s="59"/>
      <c r="H9" s="59"/>
      <c r="I9" s="59"/>
      <c r="J9" s="59"/>
      <c r="K9" s="59"/>
      <c r="L9" s="59"/>
      <c r="M9" s="60" t="str">
        <f t="shared" si="0"/>
        <v/>
      </c>
      <c r="N9" s="59"/>
      <c r="O9" s="61" t="str">
        <f t="shared" si="1"/>
        <v/>
      </c>
      <c r="P9" s="62" t="str">
        <f t="shared" si="2"/>
        <v/>
      </c>
      <c r="Q9" s="63" t="str">
        <f>IF($H9="I",$P9*Contagem!#REF!,IF($H9="E",$P9*Contagem!#REF!,IF($H9="A",IF($K9="B",$P9*Contagem!#REF!,IF($K9="C",$P9*Contagem!#REF!,IF($K9="D",$P9*Contagem!#REF!,$P9))),IF($H9="T",$P9*Contagem!#REF!,""))))</f>
        <v/>
      </c>
      <c r="R9" s="63" t="str">
        <f t="shared" si="3"/>
        <v/>
      </c>
      <c r="S9" s="63" t="str">
        <f t="shared" ref="S9:S18" si="4">IF(Q9&lt;&gt;"",Q9*R9,"")</f>
        <v/>
      </c>
      <c r="T9" s="73"/>
      <c r="U9" s="74"/>
    </row>
    <row r="10" spans="1:21" ht="12" customHeight="1">
      <c r="A10" s="65"/>
      <c r="B10" s="66"/>
      <c r="C10" s="66"/>
      <c r="D10" s="66"/>
      <c r="E10" s="66"/>
      <c r="F10" s="67"/>
      <c r="G10" s="59"/>
      <c r="H10" s="59"/>
      <c r="I10" s="59"/>
      <c r="J10" s="59"/>
      <c r="K10" s="59"/>
      <c r="L10" s="59" t="str">
        <f t="shared" ref="L10:L18" si="5">CONCATENATE(G10,M10)</f>
        <v/>
      </c>
      <c r="M10" s="60" t="str">
        <f t="shared" si="0"/>
        <v/>
      </c>
      <c r="N10" s="59"/>
      <c r="O10" s="61" t="str">
        <f t="shared" si="1"/>
        <v/>
      </c>
      <c r="P10" s="62" t="str">
        <f t="shared" si="2"/>
        <v/>
      </c>
      <c r="Q10" s="63" t="str">
        <f>IF($H10="I",$P10*Contagem!#REF!,IF($H10="E",$P10*Contagem!#REF!,IF($H10="A",IF($K10="B",$P10*Contagem!#REF!,IF($K10="C",$P10*Contagem!#REF!,IF($K10="D",$P10*Contagem!#REF!,$P10))),IF($H10="T",$P10*Contagem!#REF!,""))))</f>
        <v/>
      </c>
      <c r="R10" s="63" t="str">
        <f t="shared" si="3"/>
        <v/>
      </c>
      <c r="S10" s="63" t="str">
        <f t="shared" si="4"/>
        <v/>
      </c>
      <c r="T10" s="73"/>
      <c r="U10" s="74"/>
    </row>
    <row r="11" spans="1:21" ht="12" customHeight="1">
      <c r="A11" s="65"/>
      <c r="B11" s="66"/>
      <c r="C11" s="66"/>
      <c r="D11" s="66"/>
      <c r="E11" s="66"/>
      <c r="F11" s="67"/>
      <c r="G11" s="59"/>
      <c r="H11" s="59"/>
      <c r="I11" s="59"/>
      <c r="J11" s="59"/>
      <c r="K11" s="59"/>
      <c r="L11" s="59" t="str">
        <f t="shared" si="5"/>
        <v/>
      </c>
      <c r="M11" s="60" t="str">
        <f t="shared" si="0"/>
        <v/>
      </c>
      <c r="N11" s="59"/>
      <c r="O11" s="61" t="str">
        <f t="shared" si="1"/>
        <v/>
      </c>
      <c r="P11" s="62" t="str">
        <f t="shared" si="2"/>
        <v/>
      </c>
      <c r="Q11" s="63" t="str">
        <f>IF($H11="I",$P11*Contagem!#REF!,IF($H11="E",$P11*Contagem!#REF!,IF($H11="A",IF($K11="B",$P11*Contagem!#REF!,IF($K11="C",$P11*Contagem!#REF!,IF($K11="D",$P11*Contagem!#REF!,$P11))),IF($H11="T",$P11*Contagem!#REF!,""))))</f>
        <v/>
      </c>
      <c r="R11" s="63" t="str">
        <f t="shared" si="3"/>
        <v/>
      </c>
      <c r="S11" s="63" t="str">
        <f t="shared" si="4"/>
        <v/>
      </c>
      <c r="T11" s="73"/>
      <c r="U11" s="74"/>
    </row>
    <row r="12" spans="1:21" ht="12" customHeight="1">
      <c r="A12" s="65"/>
      <c r="B12" s="66"/>
      <c r="C12" s="66"/>
      <c r="D12" s="66"/>
      <c r="E12" s="66"/>
      <c r="F12" s="67"/>
      <c r="G12" s="59"/>
      <c r="H12" s="59"/>
      <c r="I12" s="59"/>
      <c r="J12" s="59"/>
      <c r="K12" s="59"/>
      <c r="L12" s="59" t="str">
        <f t="shared" si="5"/>
        <v/>
      </c>
      <c r="M12" s="60" t="str">
        <f t="shared" si="0"/>
        <v/>
      </c>
      <c r="N12" s="59"/>
      <c r="O12" s="61" t="str">
        <f t="shared" si="1"/>
        <v/>
      </c>
      <c r="P12" s="62" t="str">
        <f t="shared" si="2"/>
        <v/>
      </c>
      <c r="Q12" s="63" t="str">
        <f>IF($H12="I",$P12*Contagem!#REF!,IF($H12="E",$P12*Contagem!#REF!,IF($H12="A",IF($K12="B",$P12*Contagem!#REF!,IF($K12="C",$P12*Contagem!#REF!,IF($K12="D",$P12*Contagem!#REF!,$P12))),IF($H12="T",$P12*Contagem!#REF!,""))))</f>
        <v/>
      </c>
      <c r="R12" s="63" t="str">
        <f t="shared" si="3"/>
        <v/>
      </c>
      <c r="S12" s="63" t="str">
        <f t="shared" si="4"/>
        <v/>
      </c>
      <c r="T12" s="73"/>
      <c r="U12" s="74"/>
    </row>
    <row r="13" spans="1:21" ht="12" customHeight="1">
      <c r="A13" s="65"/>
      <c r="B13" s="66"/>
      <c r="C13" s="66"/>
      <c r="D13" s="66"/>
      <c r="E13" s="66"/>
      <c r="F13" s="67"/>
      <c r="G13" s="59"/>
      <c r="H13" s="59"/>
      <c r="I13" s="59"/>
      <c r="J13" s="59"/>
      <c r="K13" s="59"/>
      <c r="L13" s="59" t="str">
        <f t="shared" si="5"/>
        <v/>
      </c>
      <c r="M13" s="60" t="str">
        <f t="shared" si="0"/>
        <v/>
      </c>
      <c r="N13" s="59"/>
      <c r="O13" s="61" t="str">
        <f t="shared" si="1"/>
        <v/>
      </c>
      <c r="P13" s="62" t="str">
        <f t="shared" si="2"/>
        <v/>
      </c>
      <c r="Q13" s="63" t="str">
        <f>IF($H13="I",$P13*Contagem!#REF!,IF($H13="E",$P13*Contagem!#REF!,IF($H13="A",IF($K13="B",$P13*Contagem!#REF!,IF($K13="C",$P13*Contagem!#REF!,IF($K13="D",$P13*Contagem!#REF!,$P13))),IF($H13="T",$P13*Contagem!#REF!,""))))</f>
        <v/>
      </c>
      <c r="R13" s="63" t="str">
        <f t="shared" si="3"/>
        <v/>
      </c>
      <c r="S13" s="63" t="str">
        <f t="shared" si="4"/>
        <v/>
      </c>
      <c r="T13" s="73"/>
      <c r="U13" s="74"/>
    </row>
    <row r="14" spans="1:21" ht="12" customHeight="1">
      <c r="A14" s="65"/>
      <c r="B14" s="66"/>
      <c r="C14" s="66"/>
      <c r="D14" s="66"/>
      <c r="E14" s="66"/>
      <c r="F14" s="67"/>
      <c r="G14" s="59"/>
      <c r="H14" s="59"/>
      <c r="I14" s="59"/>
      <c r="J14" s="59"/>
      <c r="K14" s="59"/>
      <c r="L14" s="59" t="str">
        <f t="shared" si="5"/>
        <v/>
      </c>
      <c r="M14" s="60" t="str">
        <f t="shared" si="0"/>
        <v/>
      </c>
      <c r="N14" s="59"/>
      <c r="O14" s="61" t="str">
        <f t="shared" si="1"/>
        <v/>
      </c>
      <c r="P14" s="62" t="str">
        <f t="shared" si="2"/>
        <v/>
      </c>
      <c r="Q14" s="63" t="str">
        <f>IF($H14="I",$P14*Contagem!#REF!,IF($H14="E",$P14*Contagem!#REF!,IF($H14="A",IF($K14="B",$P14*Contagem!#REF!,IF($K14="C",$P14*Contagem!#REF!,IF($K14="D",$P14*Contagem!#REF!,$P14))),IF($H14="T",$P14*Contagem!#REF!,""))))</f>
        <v/>
      </c>
      <c r="R14" s="63" t="str">
        <f t="shared" si="3"/>
        <v/>
      </c>
      <c r="S14" s="63" t="str">
        <f t="shared" si="4"/>
        <v/>
      </c>
      <c r="T14" s="73"/>
      <c r="U14" s="74"/>
    </row>
    <row r="15" spans="1:21" ht="12" customHeight="1">
      <c r="A15" s="65"/>
      <c r="B15" s="66"/>
      <c r="C15" s="66"/>
      <c r="D15" s="66"/>
      <c r="E15" s="66"/>
      <c r="F15" s="67"/>
      <c r="G15" s="59"/>
      <c r="H15" s="59"/>
      <c r="I15" s="59"/>
      <c r="J15" s="59"/>
      <c r="K15" s="59"/>
      <c r="L15" s="59" t="str">
        <f t="shared" si="5"/>
        <v/>
      </c>
      <c r="M15" s="60" t="str">
        <f t="shared" si="0"/>
        <v/>
      </c>
      <c r="N15" s="59"/>
      <c r="O15" s="61" t="str">
        <f t="shared" si="1"/>
        <v/>
      </c>
      <c r="P15" s="62" t="str">
        <f t="shared" si="2"/>
        <v/>
      </c>
      <c r="Q15" s="63" t="str">
        <f>IF($H15="I",$P15*Contagem!#REF!,IF($H15="E",$P15*Contagem!#REF!,IF($H15="A",IF($K15="B",$P15*Contagem!#REF!,IF($K15="C",$P15*Contagem!#REF!,IF($K15="D",$P15*Contagem!#REF!,$P15))),IF($H15="T",$P15*Contagem!#REF!,""))))</f>
        <v/>
      </c>
      <c r="R15" s="63" t="str">
        <f t="shared" si="3"/>
        <v/>
      </c>
      <c r="S15" s="63" t="str">
        <f t="shared" si="4"/>
        <v/>
      </c>
      <c r="T15" s="73"/>
      <c r="U15" s="74"/>
    </row>
    <row r="16" spans="1:21" ht="12" customHeight="1">
      <c r="A16" s="65"/>
      <c r="B16" s="66"/>
      <c r="C16" s="66"/>
      <c r="D16" s="66"/>
      <c r="E16" s="66"/>
      <c r="F16" s="67"/>
      <c r="G16" s="59"/>
      <c r="H16" s="59"/>
      <c r="I16" s="59"/>
      <c r="J16" s="59"/>
      <c r="K16" s="59"/>
      <c r="L16" s="59" t="str">
        <f t="shared" si="5"/>
        <v/>
      </c>
      <c r="M16" s="60" t="str">
        <f t="shared" si="0"/>
        <v/>
      </c>
      <c r="N16" s="59"/>
      <c r="O16" s="61" t="str">
        <f t="shared" si="1"/>
        <v/>
      </c>
      <c r="P16" s="62" t="str">
        <f t="shared" si="2"/>
        <v/>
      </c>
      <c r="Q16" s="63" t="str">
        <f>IF($H16="I",$P16*Contagem!#REF!,IF($H16="E",$P16*Contagem!#REF!,IF($H16="A",IF($K16="B",$P16*Contagem!#REF!,IF($K16="C",$P16*Contagem!#REF!,IF($K16="D",$P16*Contagem!#REF!,$P16))),IF($H16="T",$P16*Contagem!#REF!,""))))</f>
        <v/>
      </c>
      <c r="R16" s="63" t="str">
        <f t="shared" si="3"/>
        <v/>
      </c>
      <c r="S16" s="63" t="str">
        <f t="shared" si="4"/>
        <v/>
      </c>
      <c r="T16" s="73"/>
      <c r="U16" s="74"/>
    </row>
    <row r="17" spans="1:21" ht="12" customHeight="1">
      <c r="A17" s="65"/>
      <c r="B17" s="66"/>
      <c r="C17" s="66"/>
      <c r="D17" s="66"/>
      <c r="E17" s="66"/>
      <c r="F17" s="67"/>
      <c r="G17" s="59"/>
      <c r="H17" s="59"/>
      <c r="I17" s="59"/>
      <c r="J17" s="59"/>
      <c r="K17" s="59"/>
      <c r="L17" s="59" t="str">
        <f t="shared" si="5"/>
        <v/>
      </c>
      <c r="M17" s="60" t="str">
        <f t="shared" si="0"/>
        <v/>
      </c>
      <c r="N17" s="59"/>
      <c r="O17" s="61" t="str">
        <f t="shared" si="1"/>
        <v/>
      </c>
      <c r="P17" s="62" t="str">
        <f t="shared" si="2"/>
        <v/>
      </c>
      <c r="Q17" s="63" t="str">
        <f>IF($H17="I",$P17*Contagem!#REF!,IF($H17="E",$P17*Contagem!#REF!,IF($H17="A",IF($K17="B",$P17*Contagem!#REF!,IF($K17="C",$P17*Contagem!#REF!,IF($K17="D",$P17*Contagem!#REF!,$P17))),IF($H17="T",$P17*Contagem!#REF!,""))))</f>
        <v/>
      </c>
      <c r="R17" s="63" t="str">
        <f t="shared" si="3"/>
        <v/>
      </c>
      <c r="S17" s="63" t="str">
        <f t="shared" si="4"/>
        <v/>
      </c>
      <c r="T17" s="73"/>
      <c r="U17" s="74"/>
    </row>
    <row r="18" spans="1:21" ht="12" customHeight="1">
      <c r="A18" s="65"/>
      <c r="B18" s="66"/>
      <c r="C18" s="66"/>
      <c r="D18" s="66"/>
      <c r="E18" s="66"/>
      <c r="F18" s="67"/>
      <c r="G18" s="59"/>
      <c r="H18" s="59"/>
      <c r="I18" s="59"/>
      <c r="J18" s="59"/>
      <c r="K18" s="59"/>
      <c r="L18" s="59" t="str">
        <f t="shared" si="5"/>
        <v/>
      </c>
      <c r="M18" s="60" t="str">
        <f t="shared" si="0"/>
        <v/>
      </c>
      <c r="N18" s="59"/>
      <c r="O18" s="61" t="str">
        <f t="shared" si="1"/>
        <v/>
      </c>
      <c r="P18" s="62" t="str">
        <f t="shared" si="2"/>
        <v/>
      </c>
      <c r="Q18" s="63" t="str">
        <f>IF($H18="I",$P18*Contagem!#REF!,IF($H18="E",$P18*Contagem!#REF!,IF($H18="A",IF($K18="B",$P18*Contagem!#REF!,IF($K18="C",$P18*Contagem!#REF!,IF($K18="D",$P18*Contagem!#REF!,$P18))),IF($H18="T",$P18*Contagem!#REF!,""))))</f>
        <v/>
      </c>
      <c r="R18" s="63" t="str">
        <f t="shared" si="3"/>
        <v/>
      </c>
      <c r="S18" s="63" t="str">
        <f t="shared" si="4"/>
        <v/>
      </c>
      <c r="T18" s="73"/>
      <c r="U18" s="74"/>
    </row>
  </sheetData>
  <mergeCells count="10">
    <mergeCell ref="A1:S3"/>
    <mergeCell ref="A4:F4"/>
    <mergeCell ref="G4:U4"/>
    <mergeCell ref="A5:F5"/>
    <mergeCell ref="G5:U5"/>
    <mergeCell ref="A7:F7"/>
    <mergeCell ref="A6:E6"/>
    <mergeCell ref="F6:G6"/>
    <mergeCell ref="H6:O6"/>
    <mergeCell ref="P6:S6"/>
  </mergeCells>
  <phoneticPr fontId="0" type="noConversion"/>
  <conditionalFormatting sqref="H8:H18">
    <cfRule type="cellIs" dxfId="2" priority="532" stopIfTrue="1" operator="equal">
      <formula>"I"</formula>
    </cfRule>
    <cfRule type="cellIs" dxfId="1" priority="533" stopIfTrue="1" operator="equal">
      <formula>"A"</formula>
    </cfRule>
    <cfRule type="cellIs" dxfId="0" priority="534" stopIfTrue="1" operator="equal">
      <formula>"E"</formula>
    </cfRule>
  </conditionalFormatting>
  <dataValidations xWindow="653" yWindow="172" count="2">
    <dataValidation allowBlank="1" showInputMessage="1" showErrorMessage="1" promptTitle="Tipo da Função" prompt="ALI, AIE, EE, SE, CE" sqref="G8:G18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H8:H18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Footer>&amp;L&amp;P/&amp;N&amp;C&amp;D&amp;R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showGridLines="0" topLeftCell="A31" zoomScaleSheetLayoutView="100" workbookViewId="0">
      <selection activeCell="G47" sqref="G47"/>
    </sheetView>
  </sheetViews>
  <sheetFormatPr defaultRowHeight="12.75"/>
  <cols>
    <col min="1" max="1" width="2.85546875" style="3" customWidth="1"/>
    <col min="2" max="2" width="8.28515625" style="3" customWidth="1"/>
    <col min="3" max="3" width="10.7109375" style="3" customWidth="1"/>
    <col min="4" max="4" width="2.28515625" style="3" customWidth="1"/>
    <col min="5" max="5" width="7.7109375" style="3" customWidth="1"/>
    <col min="6" max="6" width="5" style="3" customWidth="1"/>
    <col min="7" max="7" width="10.7109375" style="3" customWidth="1"/>
    <col min="8" max="8" width="4.7109375" style="3" customWidth="1"/>
    <col min="9" max="9" width="11.5703125" style="3" customWidth="1"/>
    <col min="10" max="10" width="4.7109375" style="3" customWidth="1"/>
    <col min="11" max="11" width="9.85546875" style="3" customWidth="1"/>
    <col min="12" max="12" width="7.28515625" style="3" customWidth="1"/>
    <col min="13" max="16384" width="9.140625" style="3"/>
  </cols>
  <sheetData>
    <row r="1" spans="1:15" ht="12" customHeight="1" thickBot="1">
      <c r="A1" s="142" t="s">
        <v>31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5" ht="12" customHeight="1" thickBo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5" ht="12" customHeigh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5" ht="12" customHeight="1">
      <c r="A4" s="143" t="str">
        <f>[2]Contagem!A5&amp;" : "&amp;[2]Contagem!E6</f>
        <v>Aplicação : OS42 AGU Gestor</v>
      </c>
      <c r="B4" s="143"/>
      <c r="C4" s="143"/>
      <c r="D4" s="143"/>
      <c r="E4" s="143"/>
      <c r="F4" s="144" t="str">
        <f>[2]Contagem!A6&amp;" : "&amp;[2]Contagem!E5</f>
        <v>Projeto : AGU Gestor</v>
      </c>
      <c r="G4" s="144"/>
      <c r="H4" s="144"/>
      <c r="I4" s="144"/>
      <c r="J4" s="144"/>
      <c r="K4" s="144"/>
      <c r="L4" s="144"/>
    </row>
    <row r="5" spans="1:15" ht="12" customHeight="1">
      <c r="A5" s="133" t="str">
        <f>[2]Contagem!A7&amp;" : "&amp;[2]Contagem!E7</f>
        <v>Responsável : Welington Leles, CFPS</v>
      </c>
      <c r="B5" s="133"/>
      <c r="C5" s="133"/>
      <c r="D5" s="133"/>
      <c r="E5" s="133"/>
      <c r="F5" s="144" t="str">
        <f>[2]Contagem!A8&amp;" : "&amp;[2]Contagem!E8</f>
        <v>Revisor : Luiz Fernando Carvalho Mendonça</v>
      </c>
      <c r="G5" s="144"/>
      <c r="H5" s="144"/>
      <c r="I5" s="144"/>
      <c r="J5" s="144"/>
      <c r="K5" s="144"/>
      <c r="L5" s="144"/>
    </row>
    <row r="6" spans="1:15" ht="12" customHeight="1">
      <c r="A6" s="71" t="str">
        <f>[2]Contagem!A4&amp;" : "&amp;[2]Contagem!E4</f>
        <v>Empresa : Websis Teconologia e sistemas Ltda ME</v>
      </c>
      <c r="B6" s="15"/>
      <c r="C6" s="15"/>
      <c r="D6" s="16"/>
      <c r="E6" s="16"/>
      <c r="F6" s="145" t="str">
        <f>[2]Contagem!Q4&amp;" = "&amp;VALUE([2]Contagem!S4)</f>
        <v>R$/PF = 279,99</v>
      </c>
      <c r="G6" s="145"/>
      <c r="H6" s="145" t="str">
        <f>" Custo= "&amp;DOLLAR([2]Contagem!V4)</f>
        <v xml:space="preserve"> Custo= R$ 1.469,95</v>
      </c>
      <c r="I6" s="145"/>
      <c r="J6" s="145"/>
      <c r="K6" s="146" t="str">
        <f>"PF  = "&amp;VALUE(Contagem!V5)</f>
        <v>PF  = 3</v>
      </c>
      <c r="L6" s="146"/>
    </row>
    <row r="7" spans="1:15" ht="12" customHeight="1">
      <c r="A7" s="138" t="s">
        <v>32</v>
      </c>
      <c r="B7" s="138"/>
      <c r="C7" s="139" t="s">
        <v>33</v>
      </c>
      <c r="D7" s="139"/>
      <c r="E7" s="139"/>
      <c r="F7" s="139"/>
      <c r="G7" s="140" t="s">
        <v>34</v>
      </c>
      <c r="H7" s="140"/>
      <c r="I7" s="141" t="s">
        <v>35</v>
      </c>
      <c r="J7" s="141"/>
      <c r="K7" s="141"/>
      <c r="L7" s="141"/>
    </row>
    <row r="8" spans="1:15" ht="12" customHeight="1">
      <c r="A8" s="138"/>
      <c r="B8" s="138"/>
      <c r="C8" s="139"/>
      <c r="D8" s="139"/>
      <c r="E8" s="139"/>
      <c r="F8" s="139"/>
      <c r="G8" s="140"/>
      <c r="H8" s="140"/>
      <c r="I8" s="140"/>
      <c r="J8" s="141"/>
      <c r="K8" s="141"/>
      <c r="L8" s="141"/>
    </row>
    <row r="9" spans="1:15" ht="12" customHeight="1">
      <c r="A9" s="17"/>
      <c r="B9" s="18"/>
      <c r="C9" s="19"/>
      <c r="D9" s="19"/>
      <c r="E9" s="19"/>
      <c r="F9" s="19"/>
      <c r="G9" s="19"/>
      <c r="H9" s="19"/>
      <c r="I9" s="19"/>
      <c r="J9" s="19"/>
      <c r="K9" s="19"/>
      <c r="L9" s="20"/>
    </row>
    <row r="10" spans="1:15" ht="12" customHeight="1">
      <c r="A10" s="21"/>
      <c r="B10" s="22" t="s">
        <v>36</v>
      </c>
      <c r="C10" s="23">
        <f>COUNTIF(CF,"EEL")</f>
        <v>0</v>
      </c>
      <c r="D10" s="24"/>
      <c r="E10" s="25" t="s">
        <v>37</v>
      </c>
      <c r="F10" s="25" t="s">
        <v>38</v>
      </c>
      <c r="G10" s="23">
        <f>C10*3</f>
        <v>0</v>
      </c>
      <c r="H10" s="24"/>
      <c r="I10" s="26"/>
      <c r="J10" s="24"/>
      <c r="K10" s="24"/>
      <c r="L10" s="27"/>
    </row>
    <row r="11" spans="1:15" ht="12" customHeight="1">
      <c r="A11" s="21"/>
      <c r="B11" s="22"/>
      <c r="C11" s="23">
        <f>COUNTIF(CF,"EEL")</f>
        <v>0</v>
      </c>
      <c r="D11" s="24"/>
      <c r="E11" s="25" t="s">
        <v>39</v>
      </c>
      <c r="F11" s="25" t="s">
        <v>40</v>
      </c>
      <c r="G11" s="23">
        <f>C11*4</f>
        <v>0</v>
      </c>
      <c r="H11" s="24"/>
      <c r="I11" s="26"/>
      <c r="J11" s="24"/>
      <c r="K11" s="24"/>
      <c r="L11" s="27"/>
    </row>
    <row r="12" spans="1:15" ht="12" customHeight="1">
      <c r="A12" s="21"/>
      <c r="B12" s="22"/>
      <c r="C12" s="23">
        <f>COUNTIF(CF,"EEL")</f>
        <v>0</v>
      </c>
      <c r="D12" s="24"/>
      <c r="E12" s="25" t="s">
        <v>41</v>
      </c>
      <c r="F12" s="25" t="s">
        <v>42</v>
      </c>
      <c r="G12" s="23">
        <f>C12*6</f>
        <v>0</v>
      </c>
      <c r="H12" s="24"/>
      <c r="I12" s="26"/>
      <c r="J12" s="24"/>
      <c r="L12" s="28"/>
    </row>
    <row r="13" spans="1:15" ht="6.75" customHeight="1">
      <c r="A13" s="21"/>
      <c r="B13" s="22"/>
      <c r="C13" s="19"/>
      <c r="D13" s="24"/>
      <c r="E13" s="24"/>
      <c r="F13" s="24"/>
      <c r="G13" s="19"/>
      <c r="H13" s="24"/>
      <c r="I13" s="24"/>
      <c r="J13" s="24"/>
      <c r="K13" s="24"/>
      <c r="L13" s="27"/>
    </row>
    <row r="14" spans="1:15" ht="12" customHeight="1">
      <c r="A14" s="21"/>
      <c r="B14" s="29" t="s">
        <v>43</v>
      </c>
      <c r="C14" s="23">
        <f>SUM(C10:C12)</f>
        <v>0</v>
      </c>
      <c r="D14" s="24"/>
      <c r="E14" s="24"/>
      <c r="F14" s="29" t="s">
        <v>43</v>
      </c>
      <c r="G14" s="23">
        <f>SUM(G10:G12)</f>
        <v>0</v>
      </c>
      <c r="H14" s="24"/>
      <c r="I14" s="30" t="e">
        <f>IF($G$45&lt;&gt;0,G14/$G$45,"")</f>
        <v>#VALUE!</v>
      </c>
      <c r="J14" s="24"/>
      <c r="K14" s="24"/>
      <c r="L14" s="27"/>
      <c r="O14" s="31"/>
    </row>
    <row r="15" spans="1:15" ht="6" customHeight="1">
      <c r="A15" s="32"/>
      <c r="B15" s="33"/>
      <c r="C15" s="23"/>
      <c r="D15" s="23"/>
      <c r="E15" s="23"/>
      <c r="F15" s="23"/>
      <c r="G15" s="23"/>
      <c r="H15" s="23"/>
      <c r="I15" s="23"/>
      <c r="J15" s="23"/>
      <c r="K15" s="23"/>
      <c r="L15" s="34"/>
    </row>
    <row r="16" spans="1:15" ht="12" customHeight="1">
      <c r="A16" s="21"/>
      <c r="B16" s="22"/>
      <c r="C16" s="24"/>
      <c r="D16" s="24"/>
      <c r="E16" s="24"/>
      <c r="F16" s="24"/>
      <c r="G16" s="24"/>
      <c r="H16" s="24"/>
      <c r="I16" s="24"/>
      <c r="J16" s="24"/>
      <c r="K16" s="24"/>
      <c r="L16" s="27"/>
    </row>
    <row r="17" spans="1:12" ht="12" customHeight="1">
      <c r="A17" s="21"/>
      <c r="B17" s="22" t="s">
        <v>44</v>
      </c>
      <c r="C17" s="23" t="e">
        <f>COUNTIF([2]Funções!L:L,"SEL")</f>
        <v>#VALUE!</v>
      </c>
      <c r="D17" s="24"/>
      <c r="E17" s="25" t="s">
        <v>37</v>
      </c>
      <c r="F17" s="25" t="s">
        <v>40</v>
      </c>
      <c r="G17" s="23" t="e">
        <f>C17*4</f>
        <v>#VALUE!</v>
      </c>
      <c r="H17" s="24"/>
      <c r="I17" s="24"/>
      <c r="J17" s="24"/>
      <c r="K17" s="24"/>
      <c r="L17" s="27"/>
    </row>
    <row r="18" spans="1:12" ht="12" customHeight="1">
      <c r="A18" s="21"/>
      <c r="B18" s="22"/>
      <c r="C18" s="23" t="e">
        <f>COUNTIF([2]Funções!L:L,"SEA")</f>
        <v>#VALUE!</v>
      </c>
      <c r="D18" s="24"/>
      <c r="E18" s="25" t="s">
        <v>39</v>
      </c>
      <c r="F18" s="25" t="s">
        <v>45</v>
      </c>
      <c r="G18" s="23" t="e">
        <f>C18*5</f>
        <v>#VALUE!</v>
      </c>
      <c r="H18" s="24"/>
      <c r="I18" s="24"/>
      <c r="J18" s="24"/>
      <c r="K18" s="24"/>
      <c r="L18" s="27"/>
    </row>
    <row r="19" spans="1:12" ht="12" customHeight="1">
      <c r="A19" s="21"/>
      <c r="B19" s="22"/>
      <c r="C19" s="23" t="e">
        <f>COUNTIF([2]Funções!L:L,"SEH")</f>
        <v>#VALUE!</v>
      </c>
      <c r="D19" s="24"/>
      <c r="E19" s="25" t="s">
        <v>41</v>
      </c>
      <c r="F19" s="25" t="s">
        <v>46</v>
      </c>
      <c r="G19" s="23" t="e">
        <f>C19*7</f>
        <v>#VALUE!</v>
      </c>
      <c r="H19" s="24"/>
      <c r="I19" s="24"/>
      <c r="J19" s="24"/>
      <c r="K19" s="24"/>
      <c r="L19" s="28"/>
    </row>
    <row r="20" spans="1:12" ht="6.75" customHeight="1">
      <c r="A20" s="21"/>
      <c r="B20" s="22"/>
      <c r="C20" s="19"/>
      <c r="D20" s="24"/>
      <c r="E20" s="24"/>
      <c r="F20" s="24"/>
      <c r="G20" s="19"/>
      <c r="H20" s="24"/>
      <c r="I20" s="24"/>
      <c r="J20" s="24"/>
      <c r="K20" s="24"/>
      <c r="L20" s="27"/>
    </row>
    <row r="21" spans="1:12" ht="12" customHeight="1">
      <c r="A21" s="21"/>
      <c r="B21" s="29" t="s">
        <v>43</v>
      </c>
      <c r="C21" s="23" t="e">
        <f>SUM(C17:C19)</f>
        <v>#VALUE!</v>
      </c>
      <c r="D21" s="24"/>
      <c r="E21" s="24"/>
      <c r="F21" s="29" t="s">
        <v>43</v>
      </c>
      <c r="G21" s="23" t="e">
        <f>SUM(G17:G19)</f>
        <v>#VALUE!</v>
      </c>
      <c r="H21" s="24"/>
      <c r="I21" s="35" t="e">
        <f>IF($G$45&lt;&gt;0,G21/$G$45,"")</f>
        <v>#VALUE!</v>
      </c>
      <c r="J21" s="24"/>
      <c r="K21" s="24"/>
      <c r="L21" s="27"/>
    </row>
    <row r="22" spans="1:12" ht="6" customHeight="1">
      <c r="A22" s="32"/>
      <c r="B22" s="33"/>
      <c r="C22" s="23"/>
      <c r="D22" s="23"/>
      <c r="E22" s="23"/>
      <c r="F22" s="23"/>
      <c r="G22" s="23"/>
      <c r="H22" s="23"/>
      <c r="I22" s="23"/>
      <c r="J22" s="23"/>
      <c r="K22" s="23"/>
      <c r="L22" s="34"/>
    </row>
    <row r="23" spans="1:12" ht="12" customHeight="1">
      <c r="A23" s="17"/>
      <c r="B23" s="18"/>
      <c r="C23" s="24"/>
      <c r="D23" s="19"/>
      <c r="E23" s="19"/>
      <c r="F23" s="19"/>
      <c r="G23" s="24"/>
      <c r="H23" s="19"/>
      <c r="I23" s="19"/>
      <c r="J23" s="19"/>
      <c r="K23" s="19"/>
      <c r="L23" s="20"/>
    </row>
    <row r="24" spans="1:12" ht="12" customHeight="1">
      <c r="A24" s="21"/>
      <c r="B24" s="22" t="s">
        <v>47</v>
      </c>
      <c r="C24" s="23" t="e">
        <f>COUNTIF([2]Funções!L:L,"CEL")</f>
        <v>#VALUE!</v>
      </c>
      <c r="D24" s="24"/>
      <c r="E24" s="25" t="s">
        <v>37</v>
      </c>
      <c r="F24" s="25" t="s">
        <v>38</v>
      </c>
      <c r="G24" s="23" t="e">
        <f>C24*3</f>
        <v>#VALUE!</v>
      </c>
      <c r="H24" s="24"/>
      <c r="I24" s="24"/>
      <c r="J24" s="24"/>
      <c r="K24" s="24"/>
      <c r="L24" s="27"/>
    </row>
    <row r="25" spans="1:12" ht="12" customHeight="1">
      <c r="A25" s="21"/>
      <c r="B25" s="22"/>
      <c r="C25" s="23" t="e">
        <f>COUNTIF([2]Funções!L:L,"CEA")</f>
        <v>#VALUE!</v>
      </c>
      <c r="D25" s="24"/>
      <c r="E25" s="25" t="s">
        <v>39</v>
      </c>
      <c r="F25" s="25" t="s">
        <v>40</v>
      </c>
      <c r="G25" s="23" t="e">
        <f>C25*4</f>
        <v>#VALUE!</v>
      </c>
      <c r="H25" s="24"/>
      <c r="I25" s="24"/>
      <c r="J25" s="24"/>
      <c r="K25" s="24"/>
      <c r="L25" s="27"/>
    </row>
    <row r="26" spans="1:12" ht="12" customHeight="1">
      <c r="A26" s="21"/>
      <c r="B26" s="22"/>
      <c r="C26" s="23" t="e">
        <f>COUNTIF([2]Funções!L:L,"CEH")</f>
        <v>#VALUE!</v>
      </c>
      <c r="D26" s="24"/>
      <c r="E26" s="25" t="s">
        <v>41</v>
      </c>
      <c r="F26" s="25" t="s">
        <v>42</v>
      </c>
      <c r="G26" s="23" t="e">
        <f>C26*6</f>
        <v>#VALUE!</v>
      </c>
      <c r="H26" s="24"/>
      <c r="I26" s="24"/>
      <c r="J26" s="24"/>
      <c r="K26" s="24"/>
      <c r="L26" s="28"/>
    </row>
    <row r="27" spans="1:12" ht="6.75" customHeight="1">
      <c r="A27" s="21"/>
      <c r="B27" s="22"/>
      <c r="C27" s="19"/>
      <c r="D27" s="24"/>
      <c r="E27" s="24"/>
      <c r="F27" s="24"/>
      <c r="G27" s="19"/>
      <c r="H27" s="24"/>
      <c r="I27" s="24"/>
      <c r="J27" s="24"/>
      <c r="K27" s="24"/>
      <c r="L27" s="27"/>
    </row>
    <row r="28" spans="1:12" ht="12" customHeight="1">
      <c r="A28" s="21"/>
      <c r="B28" s="29" t="s">
        <v>43</v>
      </c>
      <c r="C28" s="23" t="e">
        <f>SUM(C24:C26)</f>
        <v>#VALUE!</v>
      </c>
      <c r="D28" s="24"/>
      <c r="E28" s="24"/>
      <c r="F28" s="29" t="s">
        <v>43</v>
      </c>
      <c r="G28" s="23" t="e">
        <f>SUM(G24:G26)</f>
        <v>#VALUE!</v>
      </c>
      <c r="H28" s="24"/>
      <c r="I28" s="36" t="e">
        <f>IF($G$45&lt;&gt;0,G28/$G$45,"")</f>
        <v>#VALUE!</v>
      </c>
      <c r="J28" s="24"/>
      <c r="K28" s="24"/>
      <c r="L28" s="27"/>
    </row>
    <row r="29" spans="1:12" ht="6" customHeight="1">
      <c r="A29" s="32"/>
      <c r="B29" s="33"/>
      <c r="C29" s="23"/>
      <c r="D29" s="23"/>
      <c r="E29" s="23"/>
      <c r="F29" s="23"/>
      <c r="G29" s="23"/>
      <c r="H29" s="23"/>
      <c r="I29" s="23"/>
      <c r="J29" s="23"/>
      <c r="K29" s="23"/>
      <c r="L29" s="34"/>
    </row>
    <row r="30" spans="1:12" ht="12" customHeight="1">
      <c r="A30" s="17"/>
      <c r="B30" s="18"/>
      <c r="C30" s="24"/>
      <c r="D30" s="19"/>
      <c r="E30" s="19"/>
      <c r="F30" s="19"/>
      <c r="G30" s="24"/>
      <c r="H30" s="19"/>
      <c r="I30" s="19"/>
      <c r="J30" s="19"/>
      <c r="K30" s="19"/>
      <c r="L30" s="20"/>
    </row>
    <row r="31" spans="1:12" ht="12" customHeight="1">
      <c r="A31" s="21"/>
      <c r="B31" s="22" t="s">
        <v>48</v>
      </c>
      <c r="C31" s="23" t="e">
        <f>COUNTIF([2]Funções!L:L,"ALIL")</f>
        <v>#VALUE!</v>
      </c>
      <c r="D31" s="24"/>
      <c r="E31" s="24" t="s">
        <v>37</v>
      </c>
      <c r="F31" s="24" t="s">
        <v>46</v>
      </c>
      <c r="G31" s="23" t="e">
        <f>C31*7</f>
        <v>#VALUE!</v>
      </c>
      <c r="H31" s="24"/>
      <c r="I31" s="24"/>
      <c r="J31" s="24"/>
      <c r="K31" s="24"/>
      <c r="L31" s="27"/>
    </row>
    <row r="32" spans="1:12" ht="12" customHeight="1">
      <c r="A32" s="21"/>
      <c r="B32" s="22"/>
      <c r="C32" s="23" t="e">
        <f>COUNTIF([2]Funções!L:L,"ALIA")</f>
        <v>#VALUE!</v>
      </c>
      <c r="D32" s="24"/>
      <c r="E32" s="24" t="s">
        <v>39</v>
      </c>
      <c r="F32" s="24" t="s">
        <v>49</v>
      </c>
      <c r="G32" s="23" t="e">
        <f>C32*10</f>
        <v>#VALUE!</v>
      </c>
      <c r="H32" s="24"/>
      <c r="I32" s="24"/>
      <c r="J32" s="24"/>
      <c r="K32" s="24"/>
      <c r="L32" s="27"/>
    </row>
    <row r="33" spans="1:12" ht="12" customHeight="1">
      <c r="A33" s="21"/>
      <c r="B33" s="22"/>
      <c r="C33" s="23" t="e">
        <f>COUNTIF([2]Funções!L:L,"ALIH")</f>
        <v>#VALUE!</v>
      </c>
      <c r="D33" s="24"/>
      <c r="E33" s="24" t="s">
        <v>41</v>
      </c>
      <c r="F33" s="24" t="s">
        <v>50</v>
      </c>
      <c r="G33" s="23" t="e">
        <f>C33*15</f>
        <v>#VALUE!</v>
      </c>
      <c r="H33" s="24"/>
      <c r="I33" s="24"/>
      <c r="J33" s="24"/>
      <c r="K33" s="24"/>
      <c r="L33" s="28"/>
    </row>
    <row r="34" spans="1:12" ht="6.75" customHeight="1">
      <c r="A34" s="21"/>
      <c r="B34" s="22"/>
      <c r="C34" s="19"/>
      <c r="D34" s="24"/>
      <c r="E34" s="24"/>
      <c r="F34" s="24"/>
      <c r="G34" s="19"/>
      <c r="H34" s="24"/>
      <c r="I34" s="24"/>
      <c r="J34" s="24"/>
      <c r="K34" s="24"/>
      <c r="L34" s="27"/>
    </row>
    <row r="35" spans="1:12" ht="12" customHeight="1">
      <c r="A35" s="21"/>
      <c r="B35" s="29" t="s">
        <v>43</v>
      </c>
      <c r="C35" s="23" t="e">
        <f>SUM(C31:C33)</f>
        <v>#VALUE!</v>
      </c>
      <c r="D35" s="24"/>
      <c r="E35" s="24"/>
      <c r="F35" s="29" t="s">
        <v>43</v>
      </c>
      <c r="G35" s="23" t="e">
        <f>SUM(G31:G33)</f>
        <v>#VALUE!</v>
      </c>
      <c r="H35" s="24"/>
      <c r="I35" s="37" t="e">
        <f>IF($G$45&lt;&gt;0,G35/$G$45,"")</f>
        <v>#VALUE!</v>
      </c>
      <c r="J35" s="24"/>
      <c r="K35" s="24"/>
      <c r="L35" s="27"/>
    </row>
    <row r="36" spans="1:12" ht="6" customHeight="1">
      <c r="A36" s="32"/>
      <c r="B36" s="33"/>
      <c r="C36" s="23"/>
      <c r="D36" s="23"/>
      <c r="E36" s="23"/>
      <c r="F36" s="23"/>
      <c r="G36" s="23"/>
      <c r="H36" s="23"/>
      <c r="I36" s="23"/>
      <c r="J36" s="23"/>
      <c r="K36" s="23"/>
      <c r="L36" s="34"/>
    </row>
    <row r="37" spans="1:12" ht="12" customHeight="1">
      <c r="A37" s="17"/>
      <c r="B37" s="18"/>
      <c r="C37" s="24"/>
      <c r="D37" s="19"/>
      <c r="E37" s="19"/>
      <c r="F37" s="19"/>
      <c r="G37" s="24"/>
      <c r="H37" s="19"/>
      <c r="I37" s="19"/>
      <c r="J37" s="19"/>
      <c r="K37" s="19"/>
      <c r="L37" s="20"/>
    </row>
    <row r="38" spans="1:12" ht="12" customHeight="1">
      <c r="A38" s="21"/>
      <c r="B38" s="22" t="s">
        <v>51</v>
      </c>
      <c r="C38" s="23" t="e">
        <f>COUNTIF([2]Funções!L:L,"AIEL")</f>
        <v>#VALUE!</v>
      </c>
      <c r="D38" s="24"/>
      <c r="E38" s="24" t="s">
        <v>37</v>
      </c>
      <c r="F38" s="24" t="s">
        <v>45</v>
      </c>
      <c r="G38" s="23" t="e">
        <f>C38*5</f>
        <v>#VALUE!</v>
      </c>
      <c r="H38" s="24"/>
      <c r="I38" s="24"/>
      <c r="J38" s="24"/>
      <c r="K38" s="24"/>
      <c r="L38" s="27"/>
    </row>
    <row r="39" spans="1:12" ht="12" customHeight="1">
      <c r="A39" s="21"/>
      <c r="B39" s="22"/>
      <c r="C39" s="23" t="e">
        <f>COUNTIF([2]Funções!L:L,"AIEA")</f>
        <v>#VALUE!</v>
      </c>
      <c r="D39" s="24"/>
      <c r="E39" s="24" t="s">
        <v>39</v>
      </c>
      <c r="F39" s="24" t="s">
        <v>46</v>
      </c>
      <c r="G39" s="23" t="e">
        <f>C39*7</f>
        <v>#VALUE!</v>
      </c>
      <c r="H39" s="24"/>
      <c r="I39" s="24"/>
      <c r="J39" s="24"/>
      <c r="K39" s="24"/>
      <c r="L39" s="27"/>
    </row>
    <row r="40" spans="1:12" ht="12" customHeight="1">
      <c r="A40" s="21"/>
      <c r="B40" s="22"/>
      <c r="C40" s="23" t="e">
        <f>COUNTIF([2]Funções!L:L,"AIEH")</f>
        <v>#VALUE!</v>
      </c>
      <c r="D40" s="24"/>
      <c r="E40" s="24" t="s">
        <v>41</v>
      </c>
      <c r="F40" s="24" t="s">
        <v>49</v>
      </c>
      <c r="G40" s="23" t="e">
        <f>C40*10</f>
        <v>#VALUE!</v>
      </c>
      <c r="H40" s="24"/>
      <c r="I40" s="24"/>
      <c r="J40" s="24"/>
      <c r="K40" s="24"/>
      <c r="L40" s="28"/>
    </row>
    <row r="41" spans="1:12" ht="6.75" customHeight="1">
      <c r="A41" s="21"/>
      <c r="B41" s="22"/>
      <c r="C41" s="19"/>
      <c r="D41" s="24"/>
      <c r="E41" s="24"/>
      <c r="F41" s="24"/>
      <c r="G41" s="19"/>
      <c r="H41" s="24"/>
      <c r="I41" s="24"/>
      <c r="J41" s="24"/>
      <c r="K41" s="24"/>
      <c r="L41" s="27"/>
    </row>
    <row r="42" spans="1:12" ht="12" customHeight="1">
      <c r="A42" s="21"/>
      <c r="B42" s="29" t="s">
        <v>43</v>
      </c>
      <c r="C42" s="23" t="e">
        <f>SUM(C38:C40)</f>
        <v>#VALUE!</v>
      </c>
      <c r="D42" s="24"/>
      <c r="E42" s="24"/>
      <c r="F42" s="29" t="s">
        <v>43</v>
      </c>
      <c r="G42" s="23" t="e">
        <f>SUM(G38:G40)</f>
        <v>#VALUE!</v>
      </c>
      <c r="H42" s="24"/>
      <c r="I42" s="38" t="e">
        <f>IF($G$45&lt;&gt;0,G42/$G$45,"")</f>
        <v>#VALUE!</v>
      </c>
      <c r="J42" s="24"/>
      <c r="K42" s="24"/>
      <c r="L42" s="27"/>
    </row>
    <row r="43" spans="1:12" ht="6" customHeight="1">
      <c r="A43" s="32"/>
      <c r="B43" s="33"/>
      <c r="C43" s="23"/>
      <c r="D43" s="23"/>
      <c r="E43" s="23"/>
      <c r="F43" s="23"/>
      <c r="G43" s="23"/>
      <c r="H43" s="23"/>
      <c r="I43" s="23"/>
      <c r="J43" s="23"/>
      <c r="K43" s="23"/>
      <c r="L43" s="34"/>
    </row>
    <row r="44" spans="1:12" ht="12" customHeight="1">
      <c r="A44" s="21"/>
      <c r="B44" s="22"/>
      <c r="C44" s="24"/>
      <c r="D44" s="24"/>
      <c r="E44" s="24"/>
      <c r="F44" s="24"/>
      <c r="G44" s="24"/>
      <c r="H44" s="24"/>
      <c r="I44" s="24"/>
      <c r="J44" s="24"/>
      <c r="K44" s="24"/>
      <c r="L44" s="27"/>
    </row>
    <row r="45" spans="1:12" ht="12" customHeight="1">
      <c r="A45" s="21"/>
      <c r="B45" s="22" t="s">
        <v>52</v>
      </c>
      <c r="C45" s="24"/>
      <c r="D45" s="24"/>
      <c r="E45" s="24"/>
      <c r="F45" s="24"/>
      <c r="G45" s="23" t="e">
        <f>SUM(G14+G21+G28+G35+G42)</f>
        <v>#VALUE!</v>
      </c>
      <c r="H45" s="24"/>
      <c r="I45" s="24"/>
      <c r="J45" s="24"/>
      <c r="K45" s="24"/>
      <c r="L45" s="27"/>
    </row>
    <row r="46" spans="1:12" ht="12" customHeight="1">
      <c r="A46" s="21"/>
      <c r="B46" s="22" t="s">
        <v>53</v>
      </c>
      <c r="C46" s="24"/>
      <c r="D46" s="24"/>
      <c r="E46" s="24"/>
      <c r="F46" s="24"/>
      <c r="G46" s="23" t="e">
        <f>(C10+C11+C12)*4+(C17+C18+C19)*5+(C24+C25+C26)*4+(C31+C32+C33)*7+(C38+C39+C40)*5</f>
        <v>#VALUE!</v>
      </c>
      <c r="H46" s="24"/>
      <c r="I46" s="24"/>
      <c r="J46" s="24"/>
      <c r="K46" s="24"/>
      <c r="L46" s="27"/>
    </row>
    <row r="47" spans="1:12" ht="12" customHeight="1">
      <c r="A47" s="21"/>
      <c r="B47" s="22" t="s">
        <v>54</v>
      </c>
      <c r="C47" s="24"/>
      <c r="D47" s="24"/>
      <c r="E47" s="24"/>
      <c r="F47" s="24"/>
      <c r="G47" s="23" t="e">
        <f>(C31+C32+C33)*35+(C38+C39+C40)*15</f>
        <v>#VALUE!</v>
      </c>
      <c r="H47" s="24"/>
      <c r="I47" s="24"/>
      <c r="J47" s="24"/>
      <c r="K47" s="24"/>
      <c r="L47" s="27"/>
    </row>
    <row r="48" spans="1:12" ht="12" customHeight="1">
      <c r="A48" s="21"/>
      <c r="B48" s="22"/>
      <c r="C48" s="24"/>
      <c r="D48" s="24"/>
      <c r="E48" s="24"/>
      <c r="F48" s="24"/>
      <c r="G48" s="24"/>
      <c r="H48" s="24"/>
      <c r="I48" s="24"/>
      <c r="J48" s="24"/>
      <c r="K48" s="24"/>
      <c r="L48" s="27"/>
    </row>
    <row r="49" spans="1:12" ht="12" customHeight="1">
      <c r="A49" s="21"/>
      <c r="B49" s="22"/>
      <c r="C49" s="24"/>
      <c r="D49" s="24"/>
      <c r="E49" s="24"/>
      <c r="F49" s="24"/>
      <c r="G49" s="24"/>
      <c r="H49" s="24"/>
      <c r="I49" s="24"/>
      <c r="J49" s="24"/>
      <c r="K49" s="24"/>
      <c r="L49" s="27"/>
    </row>
    <row r="50" spans="1:12" ht="12" customHeight="1">
      <c r="A50" s="21"/>
      <c r="H50" s="24"/>
      <c r="I50" s="24"/>
      <c r="J50" s="24"/>
      <c r="L50" s="27"/>
    </row>
    <row r="51" spans="1:12" ht="13.5" customHeight="1">
      <c r="A51" s="21"/>
      <c r="H51" s="24"/>
      <c r="I51" s="24"/>
      <c r="J51" s="24"/>
      <c r="L51" s="27"/>
    </row>
    <row r="52" spans="1:12" ht="12" customHeight="1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0"/>
    </row>
    <row r="53" spans="1:12" ht="12" customHeight="1">
      <c r="A53" s="21"/>
      <c r="B53" s="22" t="s">
        <v>66</v>
      </c>
      <c r="C53" s="22"/>
      <c r="D53" s="22"/>
      <c r="E53" s="22"/>
      <c r="F53" s="22"/>
      <c r="G53" s="22"/>
      <c r="H53" s="22"/>
      <c r="I53" s="22"/>
      <c r="J53" s="22"/>
      <c r="K53" s="22"/>
      <c r="L53" s="27"/>
    </row>
    <row r="54" spans="1:12" ht="12" customHeight="1">
      <c r="A54" s="21"/>
      <c r="B54" s="22"/>
      <c r="C54" s="22"/>
      <c r="D54" s="22"/>
      <c r="E54" s="39" t="s">
        <v>55</v>
      </c>
      <c r="F54" s="39" t="s">
        <v>56</v>
      </c>
      <c r="G54" s="39" t="s">
        <v>65</v>
      </c>
      <c r="H54" s="22"/>
      <c r="I54" s="22"/>
      <c r="J54" s="22"/>
      <c r="K54" s="22"/>
      <c r="L54" s="27"/>
    </row>
    <row r="55" spans="1:12" ht="12" customHeight="1">
      <c r="A55" s="21"/>
      <c r="B55" s="137" t="s">
        <v>57</v>
      </c>
      <c r="C55" s="137"/>
      <c r="D55" s="137"/>
      <c r="E55" s="4">
        <f>SUMIF(Funções!$H$8:$H$18,"I",Funções!$S$8:$S$18)</f>
        <v>0</v>
      </c>
      <c r="F55" s="4">
        <f>[2]Contagem!T42</f>
        <v>1</v>
      </c>
      <c r="G55" s="40">
        <f>F55*E55</f>
        <v>0</v>
      </c>
      <c r="H55" s="41"/>
      <c r="I55" s="41"/>
      <c r="J55" s="41"/>
      <c r="K55" s="42" t="s">
        <v>58</v>
      </c>
      <c r="L55" s="27"/>
    </row>
    <row r="56" spans="1:12" ht="12" customHeight="1">
      <c r="A56" s="21"/>
      <c r="B56" s="137" t="s">
        <v>59</v>
      </c>
      <c r="C56" s="137"/>
      <c r="D56" s="137"/>
      <c r="E56" s="4">
        <f>SUMIF(Funções!$H$8:$H$18,"A",Funções!$S$8:$S$18)</f>
        <v>3</v>
      </c>
      <c r="F56" s="4">
        <f>[2]Contagem!T43</f>
        <v>1</v>
      </c>
      <c r="G56" s="40">
        <f>F56*E56</f>
        <v>3</v>
      </c>
      <c r="H56" s="41"/>
      <c r="I56" s="41"/>
      <c r="J56" s="41"/>
      <c r="K56" s="43">
        <f>Contagem!V5</f>
        <v>3</v>
      </c>
      <c r="L56" s="27"/>
    </row>
    <row r="57" spans="1:12" ht="12" customHeight="1">
      <c r="A57" s="21"/>
      <c r="B57" s="137" t="s">
        <v>60</v>
      </c>
      <c r="C57" s="137"/>
      <c r="D57" s="137"/>
      <c r="E57" s="4">
        <f>SUMIF(Funções!$H$8:$H$18,"E",Funções!$S$8:$S$18)</f>
        <v>0</v>
      </c>
      <c r="F57" s="4">
        <f>[2]Contagem!T44</f>
        <v>0.4</v>
      </c>
      <c r="G57" s="40">
        <f>F57*E57</f>
        <v>0</v>
      </c>
      <c r="H57" s="41"/>
      <c r="I57" s="41"/>
      <c r="J57" s="41"/>
      <c r="K57" s="22"/>
      <c r="L57" s="27"/>
    </row>
    <row r="58" spans="1:12" ht="12" customHeight="1">
      <c r="A58" s="21"/>
      <c r="B58" s="137" t="s">
        <v>62</v>
      </c>
      <c r="C58" s="137"/>
      <c r="D58" s="137"/>
      <c r="E58" s="4">
        <f>SUMIF(Funções!$H$8:$H$18,"T",Funções!$S$8:$S$18)</f>
        <v>0</v>
      </c>
      <c r="F58" s="4">
        <f>[2]Contagem!T45</f>
        <v>0.2</v>
      </c>
      <c r="G58" s="40">
        <f>F58*E58</f>
        <v>0</v>
      </c>
      <c r="H58" s="41"/>
      <c r="I58" s="41"/>
      <c r="J58" s="41"/>
      <c r="K58" s="22"/>
      <c r="L58" s="27"/>
    </row>
    <row r="59" spans="1:12" ht="12" customHeight="1" thickBot="1">
      <c r="A59" s="44"/>
      <c r="B59" s="45"/>
      <c r="C59" s="46"/>
      <c r="D59" s="47"/>
      <c r="E59" s="48"/>
      <c r="F59" s="47"/>
      <c r="G59" s="49"/>
      <c r="H59" s="50"/>
      <c r="I59" s="50"/>
      <c r="J59" s="50"/>
      <c r="K59" s="51"/>
      <c r="L59" s="52"/>
    </row>
    <row r="60" spans="1:12" ht="12" customHeight="1">
      <c r="B60" s="53"/>
      <c r="C60" s="54"/>
      <c r="E60" s="55"/>
      <c r="G60" s="56"/>
      <c r="H60" s="41"/>
      <c r="I60" s="41"/>
      <c r="J60" s="41"/>
      <c r="K60" s="57"/>
    </row>
    <row r="61" spans="1:12" ht="12" customHeight="1">
      <c r="B61" s="53"/>
      <c r="C61" s="54"/>
      <c r="E61" s="55"/>
      <c r="G61" s="56"/>
      <c r="H61" s="41"/>
      <c r="I61" s="41"/>
      <c r="J61" s="41"/>
      <c r="K61" s="57"/>
    </row>
  </sheetData>
  <mergeCells count="18">
    <mergeCell ref="G7:G8"/>
    <mergeCell ref="H7:H8"/>
    <mergeCell ref="I7:J8"/>
    <mergeCell ref="K7:L8"/>
    <mergeCell ref="A1:L3"/>
    <mergeCell ref="A4:E4"/>
    <mergeCell ref="F4:L4"/>
    <mergeCell ref="A5:E5"/>
    <mergeCell ref="F5:L5"/>
    <mergeCell ref="F6:G6"/>
    <mergeCell ref="H6:J6"/>
    <mergeCell ref="K6:L6"/>
    <mergeCell ref="B55:D55"/>
    <mergeCell ref="B56:D56"/>
    <mergeCell ref="B57:D57"/>
    <mergeCell ref="B58:D58"/>
    <mergeCell ref="A7:B8"/>
    <mergeCell ref="C7:F8"/>
  </mergeCells>
  <pageMargins left="0.74791666666666667" right="0.74791666666666667" top="1.3097222222222222" bottom="0.98402777777777783" header="0.51180555555555562" footer="0.49236111111111114"/>
  <pageSetup paperSize="9" firstPageNumber="0" orientation="portrait" horizontalDpi="4294967295" verticalDpi="4294967295" r:id="rId1"/>
  <headerFooter alignWithMargins="0">
    <oddFooter>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3" sqref="B3"/>
    </sheetView>
  </sheetViews>
  <sheetFormatPr defaultRowHeight="12.75"/>
  <cols>
    <col min="2" max="2" width="67.7109375" customWidth="1"/>
  </cols>
  <sheetData>
    <row r="1" spans="1:3" ht="15">
      <c r="A1" s="147" t="s">
        <v>147</v>
      </c>
      <c r="B1" s="147"/>
      <c r="C1" s="147"/>
    </row>
    <row r="2" spans="1:3">
      <c r="A2" s="79" t="s">
        <v>148</v>
      </c>
      <c r="B2" s="79" t="s">
        <v>149</v>
      </c>
      <c r="C2" s="79" t="s">
        <v>150</v>
      </c>
    </row>
    <row r="3" spans="1:3">
      <c r="A3" s="76" t="s">
        <v>70</v>
      </c>
      <c r="B3" s="77" t="s">
        <v>122</v>
      </c>
      <c r="C3" s="78">
        <v>1</v>
      </c>
    </row>
    <row r="4" spans="1:3" ht="25.5">
      <c r="A4" s="76" t="s">
        <v>71</v>
      </c>
      <c r="B4" s="77" t="s">
        <v>123</v>
      </c>
      <c r="C4" s="78">
        <v>0.5</v>
      </c>
    </row>
    <row r="5" spans="1:3" ht="25.5">
      <c r="A5" s="76" t="s">
        <v>29</v>
      </c>
      <c r="B5" s="77" t="s">
        <v>124</v>
      </c>
      <c r="C5" s="78">
        <v>0.75</v>
      </c>
    </row>
    <row r="6" spans="1:3" ht="25.5">
      <c r="A6" s="76" t="s">
        <v>74</v>
      </c>
      <c r="B6" s="77" t="s">
        <v>125</v>
      </c>
      <c r="C6" s="78">
        <v>0.9</v>
      </c>
    </row>
    <row r="7" spans="1:3" ht="25.5">
      <c r="A7" s="76" t="s">
        <v>75</v>
      </c>
      <c r="B7" s="77" t="s">
        <v>104</v>
      </c>
      <c r="C7" s="78">
        <v>1</v>
      </c>
    </row>
    <row r="8" spans="1:3" ht="38.25">
      <c r="A8" s="76" t="s">
        <v>76</v>
      </c>
      <c r="B8" s="77" t="s">
        <v>126</v>
      </c>
      <c r="C8" s="78">
        <v>0.5</v>
      </c>
    </row>
    <row r="9" spans="1:3" ht="51">
      <c r="A9" s="76" t="s">
        <v>77</v>
      </c>
      <c r="B9" s="77" t="s">
        <v>127</v>
      </c>
      <c r="C9" s="78">
        <v>0.75</v>
      </c>
    </row>
    <row r="10" spans="1:3" ht="25.5">
      <c r="A10" s="76" t="s">
        <v>78</v>
      </c>
      <c r="B10" s="77" t="s">
        <v>128</v>
      </c>
      <c r="C10" s="78">
        <v>1</v>
      </c>
    </row>
    <row r="11" spans="1:3" ht="25.5">
      <c r="A11" s="76" t="s">
        <v>69</v>
      </c>
      <c r="B11" s="77" t="s">
        <v>129</v>
      </c>
      <c r="C11" s="78">
        <v>1</v>
      </c>
    </row>
    <row r="12" spans="1:3" ht="38.25">
      <c r="A12" s="76" t="s">
        <v>79</v>
      </c>
      <c r="B12" s="77" t="s">
        <v>130</v>
      </c>
      <c r="C12" s="78">
        <v>0.3</v>
      </c>
    </row>
    <row r="13" spans="1:3" ht="25.5">
      <c r="A13" s="76" t="s">
        <v>80</v>
      </c>
      <c r="B13" s="77" t="s">
        <v>131</v>
      </c>
      <c r="C13" s="78">
        <v>0.3</v>
      </c>
    </row>
    <row r="14" spans="1:3" ht="25.5">
      <c r="A14" s="76" t="s">
        <v>81</v>
      </c>
      <c r="B14" s="77" t="s">
        <v>132</v>
      </c>
      <c r="C14" s="78">
        <v>0.3</v>
      </c>
    </row>
    <row r="15" spans="1:3" ht="25.5">
      <c r="A15" s="76" t="s">
        <v>82</v>
      </c>
      <c r="B15" s="77" t="s">
        <v>133</v>
      </c>
      <c r="C15" s="78">
        <v>0.3</v>
      </c>
    </row>
    <row r="16" spans="1:3" ht="38.25">
      <c r="A16" s="76" t="s">
        <v>83</v>
      </c>
      <c r="B16" s="77" t="s">
        <v>134</v>
      </c>
      <c r="C16" s="78">
        <v>0.6</v>
      </c>
    </row>
    <row r="17" spans="1:3" ht="51">
      <c r="A17" s="76" t="s">
        <v>84</v>
      </c>
      <c r="B17" s="77" t="s">
        <v>135</v>
      </c>
      <c r="C17" s="78">
        <v>0.5</v>
      </c>
    </row>
    <row r="18" spans="1:3" ht="51">
      <c r="A18" s="76" t="s">
        <v>87</v>
      </c>
      <c r="B18" s="77" t="s">
        <v>136</v>
      </c>
      <c r="C18" s="78">
        <v>0.75</v>
      </c>
    </row>
    <row r="19" spans="1:3" ht="25.5">
      <c r="A19" s="76" t="s">
        <v>88</v>
      </c>
      <c r="B19" s="77" t="s">
        <v>137</v>
      </c>
      <c r="C19" s="78">
        <v>1</v>
      </c>
    </row>
    <row r="20" spans="1:3" ht="25.5">
      <c r="A20" s="76" t="s">
        <v>89</v>
      </c>
      <c r="B20" s="77" t="s">
        <v>138</v>
      </c>
      <c r="C20" s="78">
        <v>0.6</v>
      </c>
    </row>
    <row r="21" spans="1:3" ht="25.5">
      <c r="A21" s="76" t="s">
        <v>90</v>
      </c>
      <c r="B21" s="77" t="s">
        <v>139</v>
      </c>
      <c r="C21" s="78">
        <v>1</v>
      </c>
    </row>
    <row r="22" spans="1:3" ht="25.5">
      <c r="A22" s="76" t="s">
        <v>91</v>
      </c>
      <c r="B22" s="77" t="s">
        <v>140</v>
      </c>
      <c r="C22" s="78">
        <v>0.1</v>
      </c>
    </row>
    <row r="23" spans="1:3">
      <c r="A23" s="76" t="s">
        <v>92</v>
      </c>
      <c r="B23" s="77" t="s">
        <v>141</v>
      </c>
      <c r="C23" s="78">
        <v>0.1</v>
      </c>
    </row>
    <row r="24" spans="1:3" ht="25.5">
      <c r="A24" s="76" t="s">
        <v>113</v>
      </c>
      <c r="B24" s="77" t="s">
        <v>142</v>
      </c>
      <c r="C24" s="78">
        <v>0.2</v>
      </c>
    </row>
    <row r="25" spans="1:3" ht="25.5">
      <c r="A25" s="76" t="s">
        <v>115</v>
      </c>
      <c r="B25" s="77" t="s">
        <v>143</v>
      </c>
      <c r="C25" s="78">
        <v>0.25</v>
      </c>
    </row>
    <row r="26" spans="1:3" ht="25.5">
      <c r="A26" s="76" t="s">
        <v>117</v>
      </c>
      <c r="B26" s="77" t="s">
        <v>144</v>
      </c>
      <c r="C26" s="78">
        <v>0.2</v>
      </c>
    </row>
    <row r="27" spans="1:3" ht="25.5">
      <c r="A27" s="76" t="s">
        <v>119</v>
      </c>
      <c r="B27" s="77" t="s">
        <v>145</v>
      </c>
      <c r="C27" s="78">
        <v>0.15</v>
      </c>
    </row>
    <row r="28" spans="1:3" ht="25.5">
      <c r="A28" s="76" t="s">
        <v>121</v>
      </c>
      <c r="B28" s="77" t="s">
        <v>146</v>
      </c>
      <c r="C28" s="78">
        <v>1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11</vt:i4>
      </vt:variant>
    </vt:vector>
  </HeadingPairs>
  <TitlesOfParts>
    <vt:vector size="15" baseType="lpstr">
      <vt:lpstr>Contagem</vt:lpstr>
      <vt:lpstr>Funções</vt:lpstr>
      <vt:lpstr>Sumário</vt:lpstr>
      <vt:lpstr>tabela</vt:lpstr>
      <vt:lpstr>Contagem!Area_de_impressao</vt:lpstr>
      <vt:lpstr>Funções!Area_de_impressao</vt:lpstr>
      <vt:lpstr>Sumário!Area_de_impressao</vt:lpstr>
      <vt:lpstr>CF</vt:lpstr>
      <vt:lpstr>Data</vt:lpstr>
      <vt:lpstr>Responsável</vt:lpstr>
      <vt:lpstr>Revisão</vt:lpstr>
      <vt:lpstr>Revisor</vt:lpstr>
      <vt:lpstr>sisp2.0</vt:lpstr>
      <vt:lpstr>tabela_itens_nm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Gustavo</cp:lastModifiedBy>
  <cp:revision>1</cp:revision>
  <cp:lastPrinted>2013-12-26T18:38:58Z</cp:lastPrinted>
  <dcterms:created xsi:type="dcterms:W3CDTF">2001-07-23T10:50:56Z</dcterms:created>
  <dcterms:modified xsi:type="dcterms:W3CDTF">2014-01-30T12:20:00Z</dcterms:modified>
</cp:coreProperties>
</file>