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iago.pereira\Documents\GitHub\estatais-estados\dados\"/>
    </mc:Choice>
  </mc:AlternateContent>
  <xr:revisionPtr revIDLastSave="0" documentId="13_ncr:1_{2034C52F-0E4C-4DB5-8761-CD38304EF7C2}" xr6:coauthVersionLast="43" xr6:coauthVersionMax="43" xr10:uidLastSave="{00000000-0000-0000-0000-000000000000}"/>
  <bookViews>
    <workbookView xWindow="-120" yWindow="-120" windowWidth="24240" windowHeight="13140" xr2:uid="{6676EBA9-1B60-4743-AD0B-38828D275A1F}"/>
  </bookViews>
  <sheets>
    <sheet name="PL" sheetId="3" r:id="rId1"/>
    <sheet name="tab grafs" sheetId="12" r:id="rId2"/>
    <sheet name="grafs" sheetId="13" r:id="rId3"/>
    <sheet name="Planilha3" sheetId="11" r:id="rId4"/>
    <sheet name="Planilha1" sheetId="7" r:id="rId5"/>
    <sheet name="Planilha1 (2)" sheetId="9" r:id="rId6"/>
    <sheet name="Planilha5" sheetId="10" r:id="rId7"/>
    <sheet name="Planilha2" sheetId="6" r:id="rId8"/>
    <sheet name="Governança" sheetId="4" r:id="rId9"/>
    <sheet name="Setor Privado" sheetId="5" r:id="rId10"/>
  </sheets>
  <externalReferences>
    <externalReference r:id="rId11"/>
  </externalReferences>
  <definedNames>
    <definedName name="_xlnm._FilterDatabase" localSheetId="0" hidden="1">PL!$A$1:$N$259</definedName>
    <definedName name="_xlnm._FilterDatabase" localSheetId="6" hidden="1">Planilha5!$A$1:$B$21</definedName>
  </definedName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1" l="1"/>
  <c r="E29" i="11" s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" i="11"/>
  <c r="N242" i="3"/>
  <c r="N241" i="3"/>
  <c r="N240" i="3"/>
  <c r="N239" i="3"/>
  <c r="N238" i="3"/>
  <c r="N237" i="3"/>
  <c r="N232" i="3"/>
  <c r="N231" i="3"/>
  <c r="N230" i="3"/>
  <c r="N229" i="3"/>
  <c r="N228" i="3"/>
  <c r="N227" i="3"/>
  <c r="N226" i="3"/>
  <c r="N216" i="3"/>
  <c r="N215" i="3"/>
  <c r="N214" i="3"/>
  <c r="N213" i="3"/>
  <c r="N195" i="3"/>
  <c r="N190" i="3"/>
  <c r="N189" i="3"/>
  <c r="N188" i="3"/>
  <c r="N187" i="3"/>
  <c r="N186" i="3"/>
  <c r="N184" i="3"/>
  <c r="N183" i="3"/>
  <c r="N182" i="3"/>
  <c r="N181" i="3"/>
  <c r="N180" i="3"/>
  <c r="N179" i="3"/>
  <c r="N178" i="3"/>
  <c r="N177" i="3"/>
  <c r="N176" i="3"/>
  <c r="N175" i="3"/>
  <c r="N147" i="3"/>
  <c r="N146" i="3"/>
  <c r="N145" i="3"/>
  <c r="N144" i="3"/>
  <c r="N143" i="3"/>
  <c r="N142" i="3"/>
  <c r="N141" i="3"/>
  <c r="N138" i="3"/>
  <c r="N136" i="3"/>
  <c r="N135" i="3"/>
  <c r="N134" i="3"/>
  <c r="N133" i="3"/>
  <c r="N132" i="3"/>
  <c r="N131" i="3"/>
  <c r="N130" i="3"/>
  <c r="N129" i="3"/>
  <c r="N127" i="3"/>
  <c r="N126" i="3"/>
  <c r="N125" i="3"/>
  <c r="N124" i="3"/>
  <c r="N122" i="3"/>
  <c r="N120" i="3"/>
  <c r="N119" i="3"/>
  <c r="N118" i="3"/>
  <c r="N117" i="3"/>
  <c r="N116" i="3"/>
  <c r="N115" i="3"/>
  <c r="N111" i="3"/>
  <c r="N110" i="3"/>
  <c r="N93" i="3"/>
  <c r="N92" i="3"/>
  <c r="N91" i="3"/>
  <c r="N87" i="3"/>
  <c r="N86" i="3"/>
  <c r="N74" i="3"/>
  <c r="N73" i="3"/>
  <c r="N72" i="3"/>
  <c r="N71" i="3"/>
  <c r="N70" i="3"/>
  <c r="N65" i="3"/>
  <c r="N64" i="3"/>
  <c r="N57" i="3"/>
  <c r="N56" i="3"/>
  <c r="N55" i="3"/>
  <c r="N54" i="3"/>
  <c r="N53" i="3"/>
  <c r="N52" i="3"/>
  <c r="N51" i="3"/>
  <c r="N42" i="3"/>
  <c r="N41" i="3"/>
  <c r="N40" i="3"/>
  <c r="N39" i="3"/>
  <c r="N32" i="3"/>
  <c r="N31" i="3"/>
  <c r="N30" i="3"/>
  <c r="N29" i="3"/>
  <c r="N28" i="3"/>
  <c r="N27" i="3"/>
  <c r="N20" i="3"/>
  <c r="N19" i="3"/>
  <c r="N18" i="3"/>
  <c r="N12" i="3"/>
  <c r="N11" i="3"/>
  <c r="N10" i="3"/>
  <c r="N9" i="3"/>
  <c r="N8" i="3"/>
  <c r="N7" i="3"/>
  <c r="N6" i="3"/>
  <c r="N5" i="3"/>
  <c r="N4" i="3"/>
  <c r="N3" i="3"/>
  <c r="N2" i="3"/>
  <c r="H5" i="9"/>
  <c r="H9" i="9"/>
  <c r="H13" i="9"/>
  <c r="H17" i="9"/>
  <c r="H21" i="9"/>
  <c r="H25" i="9"/>
  <c r="H29" i="9"/>
  <c r="H16" i="9"/>
  <c r="H6" i="9"/>
  <c r="H10" i="9"/>
  <c r="H14" i="9"/>
  <c r="H18" i="9"/>
  <c r="H22" i="9"/>
  <c r="H26" i="9"/>
  <c r="H30" i="9"/>
  <c r="H12" i="9"/>
  <c r="H24" i="9"/>
  <c r="H7" i="9"/>
  <c r="H11" i="9"/>
  <c r="H15" i="9"/>
  <c r="H19" i="9"/>
  <c r="H23" i="9"/>
  <c r="H27" i="9"/>
  <c r="H31" i="9"/>
  <c r="H8" i="9"/>
  <c r="H20" i="9"/>
  <c r="H28" i="9"/>
  <c r="H4" i="9"/>
  <c r="B21" i="7" l="1"/>
  <c r="H8" i="6"/>
  <c r="D40" i="6"/>
  <c r="E3" i="6"/>
  <c r="E9" i="6"/>
  <c r="E15" i="6"/>
  <c r="E24" i="6"/>
  <c r="E29" i="6"/>
  <c r="G21" i="5" l="1"/>
  <c r="E21" i="5"/>
  <c r="F20" i="5"/>
  <c r="G20" i="5"/>
  <c r="E20" i="5"/>
  <c r="G19" i="5"/>
  <c r="F19" i="5"/>
  <c r="E19" i="5"/>
  <c r="G18" i="5"/>
  <c r="F18" i="5"/>
  <c r="E18" i="5"/>
  <c r="G17" i="5"/>
  <c r="F17" i="5"/>
  <c r="E17" i="5"/>
  <c r="F16" i="5"/>
  <c r="G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3" i="5"/>
  <c r="G4" i="5"/>
  <c r="G5" i="5"/>
  <c r="G6" i="5"/>
  <c r="G7" i="5"/>
  <c r="G8" i="5"/>
  <c r="G2" i="5"/>
  <c r="E8" i="5"/>
  <c r="F8" i="5"/>
  <c r="F7" i="5"/>
  <c r="E7" i="5"/>
  <c r="F6" i="5"/>
  <c r="E6" i="5"/>
  <c r="F5" i="5"/>
  <c r="E5" i="5"/>
  <c r="F4" i="5"/>
  <c r="E4" i="5"/>
  <c r="F2" i="5"/>
  <c r="F3" i="5"/>
  <c r="E2" i="5"/>
  <c r="E3" i="5"/>
  <c r="I6" i="4" l="1"/>
  <c r="C6" i="4" s="1"/>
  <c r="B6" i="4" l="1"/>
  <c r="D6" i="4"/>
  <c r="I4" i="4"/>
  <c r="B4" i="4" s="1"/>
  <c r="D4" i="4" l="1"/>
  <c r="C4" i="4"/>
  <c r="I22" i="4" l="1"/>
  <c r="D22" i="4" s="1"/>
  <c r="C22" i="4" l="1"/>
  <c r="B22" i="4"/>
  <c r="I19" i="4"/>
  <c r="B19" i="4" s="1"/>
  <c r="D19" i="4" l="1"/>
  <c r="C19" i="4"/>
  <c r="I18" i="4"/>
  <c r="C18" i="4" s="1"/>
  <c r="D18" i="4" l="1"/>
  <c r="B18" i="4"/>
  <c r="I13" i="4" l="1"/>
  <c r="B13" i="4" s="1"/>
  <c r="D13" i="4" l="1"/>
  <c r="C13" i="4"/>
  <c r="I3" i="4" l="1"/>
  <c r="B3" i="4" l="1"/>
  <c r="C3" i="4"/>
  <c r="D3" i="4"/>
  <c r="I10" i="4"/>
  <c r="B10" i="4" s="1"/>
  <c r="D10" i="4" l="1"/>
  <c r="C10" i="4"/>
  <c r="I5" i="4"/>
  <c r="B5" i="4" s="1"/>
  <c r="I7" i="4"/>
  <c r="C7" i="4" s="1"/>
  <c r="I8" i="4"/>
  <c r="D8" i="4" s="1"/>
  <c r="I9" i="4"/>
  <c r="B9" i="4" s="1"/>
  <c r="I11" i="4"/>
  <c r="B11" i="4" s="1"/>
  <c r="I12" i="4"/>
  <c r="C12" i="4" s="1"/>
  <c r="I14" i="4"/>
  <c r="D14" i="4" s="1"/>
  <c r="I15" i="4"/>
  <c r="B15" i="4" s="1"/>
  <c r="I16" i="4"/>
  <c r="B16" i="4" s="1"/>
  <c r="I17" i="4"/>
  <c r="C17" i="4" s="1"/>
  <c r="I20" i="4"/>
  <c r="D20" i="4" s="1"/>
  <c r="I21" i="4"/>
  <c r="B21" i="4" s="1"/>
  <c r="I23" i="4"/>
  <c r="B23" i="4" s="1"/>
  <c r="I2" i="4"/>
  <c r="C2" i="4" s="1"/>
  <c r="D2" i="4" l="1"/>
  <c r="D21" i="4"/>
  <c r="C20" i="4"/>
  <c r="B17" i="4"/>
  <c r="D15" i="4"/>
  <c r="C14" i="4"/>
  <c r="B12" i="4"/>
  <c r="D9" i="4"/>
  <c r="C8" i="4"/>
  <c r="B7" i="4"/>
  <c r="D23" i="4"/>
  <c r="C21" i="4"/>
  <c r="B20" i="4"/>
  <c r="D16" i="4"/>
  <c r="C15" i="4"/>
  <c r="B14" i="4"/>
  <c r="D11" i="4"/>
  <c r="C9" i="4"/>
  <c r="B8" i="4"/>
  <c r="D5" i="4"/>
  <c r="B2" i="4"/>
  <c r="C23" i="4"/>
  <c r="D17" i="4"/>
  <c r="C16" i="4"/>
  <c r="D12" i="4"/>
  <c r="C11" i="4"/>
  <c r="D7" i="4"/>
  <c r="C5" i="4"/>
  <c r="J58" i="3"/>
</calcChain>
</file>

<file path=xl/sharedStrings.xml><?xml version="1.0" encoding="utf-8"?>
<sst xmlns="http://schemas.openxmlformats.org/spreadsheetml/2006/main" count="1830" uniqueCount="424">
  <si>
    <t>Estado</t>
  </si>
  <si>
    <t>Segmento</t>
  </si>
  <si>
    <t>Empresa</t>
  </si>
  <si>
    <t>PL</t>
  </si>
  <si>
    <t>Lucros / Prejuízos</t>
  </si>
  <si>
    <t>Passivo Assumido</t>
  </si>
  <si>
    <t>Subvenção</t>
  </si>
  <si>
    <t>Reforço de Capital</t>
  </si>
  <si>
    <t>% empresas com Conselho Fiscal</t>
  </si>
  <si>
    <t>% empresas com Comitê de Auditoria</t>
  </si>
  <si>
    <t>Dependência</t>
  </si>
  <si>
    <t xml:space="preserve">Dividendos </t>
  </si>
  <si>
    <t>% empresas com Conselho de Adm.</t>
  </si>
  <si>
    <t>AL</t>
  </si>
  <si>
    <t>Companhia Alagoana de Recursos Humanos e Patrimoniais - CARHP</t>
  </si>
  <si>
    <t>Serviços de Engenharia do Estado de Alagoas - SERVEAL</t>
  </si>
  <si>
    <t>COMPANHIA DE SANEAMENTO DE ALAGOAS - CASAL</t>
  </si>
  <si>
    <t>GAS DE ALAGOAS S/A - ALGAS</t>
  </si>
  <si>
    <t>Laboratório Industrial Farmacêutico de Alagoas S.A. – LIFAL</t>
  </si>
  <si>
    <t>ALAGOAS ATIVOS S.A.</t>
  </si>
  <si>
    <t>Companhia de Edição, Impressão e Publicação de Alagoas - CEPAL</t>
  </si>
  <si>
    <t>Dependente</t>
  </si>
  <si>
    <t>Não Dependente</t>
  </si>
  <si>
    <t>DESENVOLVIMENTO</t>
  </si>
  <si>
    <t>SERVIÇOS PÚBLICOS</t>
  </si>
  <si>
    <t>ASSIS, TÉCNICA</t>
  </si>
  <si>
    <t>FINANCEIRO</t>
  </si>
  <si>
    <t>SANEAMENTO</t>
  </si>
  <si>
    <t>DISTRIBUIÇÃO DE GÁS</t>
  </si>
  <si>
    <t>OUTRO</t>
  </si>
  <si>
    <t>GESTÃO DE ATIVOS</t>
  </si>
  <si>
    <t>COMUNICAÇÕES</t>
  </si>
  <si>
    <t>AC</t>
  </si>
  <si>
    <t>AP</t>
  </si>
  <si>
    <t>EMPRESA BAIANA DAS ÁGUAS E SANEAMENTO</t>
  </si>
  <si>
    <t>BA</t>
  </si>
  <si>
    <t>COMPANHIA BAIANA DE PESQUISA MINERAL CBPM</t>
  </si>
  <si>
    <t>BAHIA PESCA S/A</t>
  </si>
  <si>
    <t>CAR</t>
  </si>
  <si>
    <t>CONDER</t>
  </si>
  <si>
    <t>CERB</t>
  </si>
  <si>
    <t>COMPANHIA  DE GAS DA BAHIA - BAHIAGAS</t>
  </si>
  <si>
    <t>BAHIAINVESTE - EMPRESA BAIANA DE ATIVOS S/A</t>
  </si>
  <si>
    <t>DESENBAHIA</t>
  </si>
  <si>
    <t>PRODEB</t>
  </si>
  <si>
    <t>EGBA</t>
  </si>
  <si>
    <t>URBIS</t>
  </si>
  <si>
    <t>ABASTECIMENTO</t>
  </si>
  <si>
    <t>URBANIZAÇÃO</t>
  </si>
  <si>
    <t>INFORMÁTICA</t>
  </si>
  <si>
    <t>CE</t>
  </si>
  <si>
    <t>DF</t>
  </si>
  <si>
    <t xml:space="preserve"> COMPANHIA DE DESENVOLVIMENTO DO  DF - CODEPLAN </t>
  </si>
  <si>
    <t xml:space="preserve"> COMPANHIA URBANIZADORA DA NOVA CAPITAL - NOVACAP</t>
  </si>
  <si>
    <t>TRASNPORTES COLETIVOS DE BRASILIA - TCB</t>
  </si>
  <si>
    <t xml:space="preserve"> COMPANHIA METROPOLITANA DO  DF - METRÔ DF</t>
  </si>
  <si>
    <t xml:space="preserve"> EMPRESA DE ASSISTENCIA TÉCNICA E EXTENSÃO RURAL DO DF - EMATER</t>
  </si>
  <si>
    <t>COMPANHIA DE DESENVOLVIMENTO HABITACIONAL DO DF - CODHAB</t>
  </si>
  <si>
    <t xml:space="preserve">SOCIEDADE DE ABASTECIMENTO DE BRASILIA - SAB </t>
  </si>
  <si>
    <t xml:space="preserve">BANCO DE BRASILIA - BRB </t>
  </si>
  <si>
    <t>COMPANHIA DE SANEAMENTO AMBIENTAL DO DF - CAESB</t>
  </si>
  <si>
    <t xml:space="preserve">COMPANHIA ENERGETICA DE BRASILIA - CEB </t>
  </si>
  <si>
    <t xml:space="preserve">CENTRAIS DE ABASTECIMENTO DO DISTRITO FEDERAL  - CEASA </t>
  </si>
  <si>
    <t>COMPANHIA IMOBILIARIA DE BRASILIA  - TERRACAP</t>
  </si>
  <si>
    <t xml:space="preserve">DF GESTÃO DE ATIVOS  S . A. </t>
  </si>
  <si>
    <t>TRANSPORTES</t>
  </si>
  <si>
    <t>ENERGIA</t>
  </si>
  <si>
    <t>ND</t>
  </si>
  <si>
    <t>ES</t>
  </si>
  <si>
    <t>Ceasa - Centrais de Abastecimento do Espirito Santo S/A</t>
  </si>
  <si>
    <t>Cohab - Companhia de Habitação e Urbanização do Estado do Espirito Santo - Em Liquidação</t>
  </si>
  <si>
    <t>Banestes - Banco do Estado do Espirito Santo</t>
  </si>
  <si>
    <t>Bandes - Banco de Desenvolvimento do Espírito Santo S/A</t>
  </si>
  <si>
    <t>Cesan - Companhia Espirito Santense de Saneamento</t>
  </si>
  <si>
    <t>Ceturb - Companhia Estadual de Transportes Coletivos de Passageiros do Espirito Santo</t>
  </si>
  <si>
    <t>GO</t>
  </si>
  <si>
    <t>CASEGO - COMPANHIA DE ARMAZÉM E SILOS DO ESTADO DE GOIÁS S/A</t>
  </si>
  <si>
    <t>EMATER - AGENCIA GOIANA DE ASSISTENCIA TECNICA, EXTENSAO RURAL E PESQUISA AGROPECUARIA</t>
  </si>
  <si>
    <t>GOIASTELECOM - GOIAS TELECOMUNICACOES S/A</t>
  </si>
  <si>
    <t>METAGO - METAIS DE GOIAS S/A</t>
  </si>
  <si>
    <t>PRODAGO - EMPRESA ESTADUAL DE PROCESSAMENTO DE DADOS DE GOIAS</t>
  </si>
  <si>
    <t>AGEHAB - AGENCIA GOIANA DE HABITAÇÃO S/A</t>
  </si>
  <si>
    <t>CAIXEGO - CAIXA ECONÔMICA DO ESTADO DE GOIÁS S/A</t>
  </si>
  <si>
    <t>CEASA - CENTRAIS DE ABASTECIMENTO DE GOIÁS</t>
  </si>
  <si>
    <t>CELGPAR - CIA CELG DE PARTICIPACOES</t>
  </si>
  <si>
    <t>CODEGO - COMPANHIA DE DESENVOLVIMENTO ECONÔMICO DE GOIÁS</t>
  </si>
  <si>
    <t>GOIASFOMENTO - AGENCIA DE FOMENTO DE GOIAS</t>
  </si>
  <si>
    <t>GOIASGAS - AGENCIA GOIANA DE GAS CANALIZADO S/A</t>
  </si>
  <si>
    <t>GOIASPARCERIAS - COMPANHIA DE INVESTIMENTO E PARCERIAS DO ESTADO DE GOIAS</t>
  </si>
  <si>
    <t>IQUEGO - INDÚSTRIA QUÍMICA DO ESTADO DE GOIÁS S/A</t>
  </si>
  <si>
    <t>METROBUS - METROBUS TRANSPORTE COLETIVO S/A</t>
  </si>
  <si>
    <t>SANEAGO - SANEAMENTO DE GOIAS S/A</t>
  </si>
  <si>
    <t>MA</t>
  </si>
  <si>
    <t>EMPRESA MARANHENSE DE ADMINISTRACAO D RECURSOS HUMANOS E NEGOCIOS PUBLICOS S.A</t>
  </si>
  <si>
    <t>EMPRESA MARANHENSE DE SERVIÇOS HOSPITALARES - EMSERH</t>
  </si>
  <si>
    <t>COMPANHIA DE SANEAMENTO AMBIENTAL DO MARANHÃO - CAEMA</t>
  </si>
  <si>
    <t>EMAP</t>
  </si>
  <si>
    <t>COMPANHIA MARANHENSE DE GAS - GASMAR</t>
  </si>
  <si>
    <t>SAÚDE</t>
  </si>
  <si>
    <t>MG</t>
  </si>
  <si>
    <t>MS</t>
  </si>
  <si>
    <t>EMPRESA DE SERVIÇOS AGROPECUÁRIOS DE MS (EM LIQUIDAÇÃO)</t>
  </si>
  <si>
    <t>EMPRESA DE GESTÃO DE RECURSOS MINERAIS DE MS - MS MINERAL</t>
  </si>
  <si>
    <t>EMPRESA DE SANEAMENTO DE MS S.A.-SANESUL</t>
  </si>
  <si>
    <t>COMPANHIA DE GAS DO ESTADO DE MATO GROSSO DO SUL - MSGAS</t>
  </si>
  <si>
    <t>CENTRAIS DE ABASTECIMENTO DE MATO GROSSO DO SUL S/A CEASA/ MS</t>
  </si>
  <si>
    <t>MT</t>
  </si>
  <si>
    <t>PA</t>
  </si>
  <si>
    <t>PB</t>
  </si>
  <si>
    <t>PE</t>
  </si>
  <si>
    <t>COMPANHIA ESTADUAL DE HABITAÇÃO E OBRAS - CEHAB</t>
  </si>
  <si>
    <t>CONSORCIO DE TRANSPORTES DA REGIAO METROPOLITANA DO RECIFE</t>
  </si>
  <si>
    <t>EMPRESA PERNAMBUCO DE COMUNICAÇÃO S/A - EPC</t>
  </si>
  <si>
    <t>INSTITUTO AGRONÔMICO DE PERNAMBUCO - IPA</t>
  </si>
  <si>
    <t>EMPRESA DE TURISMO DE PERNAMBUCO GOVERNADOR EDUARDO CAMPOS - EMPETUR</t>
  </si>
  <si>
    <t>EMPRESA PERNAMBUCANA DE TRANSPOSTE COLETIVO INTERMUNICIPAL</t>
  </si>
  <si>
    <t>PERNAMBUCO PARTICIPAÇÕES E INVESTIMENTOS S.A. - PERPART</t>
  </si>
  <si>
    <t>AGENCIA DE FOMENTO DO ESTADO DE PERNAMBUCO</t>
  </si>
  <si>
    <t>COMPANHIA EDITORA DE PERNAMBUCO</t>
  </si>
  <si>
    <t>COMPANHIA PERNAMBUCANA DE SANEAMENTO</t>
  </si>
  <si>
    <t>LABORATORIO FARMACEUTICO DO ESTADO DE PERNAMBUCO GOVERNADOR MIGUEL ARRAES S/A - LAFEPE</t>
  </si>
  <si>
    <t>SUAPE COMPLEXO INDUSTRIAL PORTUÁRIO GOVERNADOR ERALDO GUEIROS</t>
  </si>
  <si>
    <t>AGENCIA DE DESENVOLVIMENTO ECONOMICO DE PERNAMBUCO AS - AD DIPER</t>
  </si>
  <si>
    <t>COMPANHIA PERNAMBUCANA DE GÁS - COPERGÁS</t>
  </si>
  <si>
    <t>PORTO DO RECIFE S.A.</t>
  </si>
  <si>
    <t>-</t>
  </si>
  <si>
    <t>PI</t>
  </si>
  <si>
    <t>PR</t>
  </si>
  <si>
    <t>Companhia de Desenvolvimento Agropecuário do Paraná (CODAPAR)</t>
  </si>
  <si>
    <t>Companhia de Saneamento do Paraná - SANEPAR</t>
  </si>
  <si>
    <t>Administração dos Portos de Paranaguá e Antonia - APPA</t>
  </si>
  <si>
    <t>Companhia de Tecnologia da Informação e Comunicação do Paraná – CELEPAR</t>
  </si>
  <si>
    <t>Estrada de Ferro Paraná Oeste S/A</t>
  </si>
  <si>
    <t>Companhia Paranaense de Energia - Copel (Consolidado)</t>
  </si>
  <si>
    <t>Centrais de Abastecimento do Paraná S/A - CEASA</t>
  </si>
  <si>
    <t>Instituto de Tecnologia do Paraná – TECPAR</t>
  </si>
  <si>
    <t>Companhia de Habitação do Paraná - COHAPAR</t>
  </si>
  <si>
    <t>Agência de Fomento do Paraná</t>
  </si>
  <si>
    <t>PESQUISA</t>
  </si>
  <si>
    <t>COMPANHIA DE TRANSPORTES SOBRE  TRILHOS DO ESTADO DO RIO DE JANEIRO - RIOTRILHOS</t>
  </si>
  <si>
    <t>EMPRESA DE OBRAS PÚBLICAS DO ESTADO DO RIO DE JANEIRO</t>
  </si>
  <si>
    <t>EMPRESA DE PESQUISA AGROPECUARIA ESTADO RIO DE JANEIRO </t>
  </si>
  <si>
    <t>EMPRESA DE ASSISTENCIA TECNICA E EXTENSAO RURAL DO ESTADO DO RIO DE JANEIRO - EMATER-RIO</t>
  </si>
  <si>
    <t>Cia de Desenvolvimento Industrial do ERJ - CODIN</t>
  </si>
  <si>
    <t>Companhia Estadual de Habitação do Rio de janeiro CEHAB RJ</t>
  </si>
  <si>
    <t>COMPANHIA DE DESENVOLVIMENTO ROD E TERMINAIS DO EST RJ - CODERTE</t>
  </si>
  <si>
    <t>COMPANHIA DE ARMAZÉNS E SILOS DO ESTADO DO RIO DE JANEIRO</t>
  </si>
  <si>
    <t>CENTRAIS DE ABAST DO ESTADO DO RJ S/A</t>
  </si>
  <si>
    <t>CIA.  DE TURISMO DO ESTADO DO RJ</t>
  </si>
  <si>
    <t>RJ</t>
  </si>
  <si>
    <t>RR</t>
  </si>
  <si>
    <t>RN</t>
  </si>
  <si>
    <t>CEHAB</t>
  </si>
  <si>
    <t>EMPARN</t>
  </si>
  <si>
    <t>CEASA</t>
  </si>
  <si>
    <t>EMPROTUR</t>
  </si>
  <si>
    <t>DATANORTE</t>
  </si>
  <si>
    <t>CAERN</t>
  </si>
  <si>
    <t>EMGERN</t>
  </si>
  <si>
    <t>POTIGAS</t>
  </si>
  <si>
    <t>AGN</t>
  </si>
  <si>
    <t>RO</t>
  </si>
  <si>
    <t>RS</t>
  </si>
  <si>
    <t>SC</t>
  </si>
  <si>
    <t>Companhia de Habitação do Estado de Santa Catarina - COHAB - Em liquidação</t>
  </si>
  <si>
    <t>Companhia Integrada de Desnvolvimento Agrícola de Santa Catarina - CIDASC</t>
  </si>
  <si>
    <t>Santa Catarina Turismo S.A - SANTUR</t>
  </si>
  <si>
    <t>Empresa de Pesquisa Agropecuária e Extensão Rual de Santa Catarina - EPAGRI</t>
  </si>
  <si>
    <t>Cia de Desenvolvimento do Estado de Santa Catarina - CODESC - em Liquidação</t>
  </si>
  <si>
    <t>Agência de Fomento do Estado de Santa Catarina S/A - BADESC</t>
  </si>
  <si>
    <t>Centrais Elétricas de Santa Catarina - CELESC</t>
  </si>
  <si>
    <t>Santa Catarina Participação e Investimentos S/A - INVESC</t>
  </si>
  <si>
    <t>Centrais de Abastecimento do Estado de Santa Catarina S/A - CEASA</t>
  </si>
  <si>
    <t>Centro de Informatica e Automação de SC S/A - CIASC</t>
  </si>
  <si>
    <t>Companhia Catarinense de Aguas e Saneamento - CASAN</t>
  </si>
  <si>
    <t>Cia de Distritos Industriais de Santa Catarina - CODISC - em Liquidação</t>
  </si>
  <si>
    <t>SC Participações e Parceria S.A (SCPar)</t>
  </si>
  <si>
    <t>EMPRESA DE DESENVOLVIMENTO AGROPECOARIO DE SERGIPE -  EMDAGRO</t>
  </si>
  <si>
    <t>COMPANHIA ESTADUAL DE HABITAÇÃO E OBRAS PUBLICAS - CEHOP</t>
  </si>
  <si>
    <t>EMPRESA SERGIPANA DE TECNOLOGIA DA INFORMÇÃO - EMGETIS</t>
  </si>
  <si>
    <t>COMPANHIA DE DESENVOLVIMENTO ECONÔMICO DE SERGIPE - CODISE</t>
  </si>
  <si>
    <t>EMPRESA SERGIPANA DE TURISMO S/A</t>
  </si>
  <si>
    <t>COMPANHIA  DESENV.DE RECUR. HIDRI. IRRIGAÇÃO DE  SERGIPE - COHIDRO</t>
  </si>
  <si>
    <t>EMPRESA DE DESEN. SUST. DO EST. DE SERGIPE - PRONESE</t>
  </si>
  <si>
    <t>SE</t>
  </si>
  <si>
    <t>SERGIPE GAS S/A - SERGAS</t>
  </si>
  <si>
    <t>COMPANHIA DE SANEAMENTO DE SERGIPE – DESO</t>
  </si>
  <si>
    <t>SERVICOS GRAFICOS DE SERGIPE -SEGRASE</t>
  </si>
  <si>
    <t>BANCO DO ESTADO DE SERGIPE S.A.</t>
  </si>
  <si>
    <t>SP</t>
  </si>
  <si>
    <t>AGÊNCIA DE FOMENTO DO TOCANTINS</t>
  </si>
  <si>
    <t>COMPANHIA IMOB. DO ESTADO DO TOCANTINS - TERRATINS</t>
  </si>
  <si>
    <t>COMPANHIA DE MINERAÇÃO DO TOCANTINS - MINERATINS</t>
  </si>
  <si>
    <t>TO</t>
  </si>
  <si>
    <t>total</t>
  </si>
  <si>
    <t>METAMAT</t>
  </si>
  <si>
    <t>EMPAER-MT</t>
  </si>
  <si>
    <t>COMPANHIA MATOGROSSENSE DE GAS - MTGAS</t>
  </si>
  <si>
    <t>MT PARCERIAS S.A.</t>
  </si>
  <si>
    <t>EMPRESA MATOGROSSENSE DE TECNOLOGIA  DA INFORMAÇÃO - MTI</t>
  </si>
  <si>
    <t>COMPANHIA DE SANEAMENTO DO ESTADO</t>
  </si>
  <si>
    <t>Agência de Fomento do Estado de Mato Grosso S/A - DESENVOLVE MT</t>
  </si>
  <si>
    <t>EMP. DE PROC. DE DADOS DO ACRE S/A - ACREDATA</t>
  </si>
  <si>
    <t>BANACRE S/A EM LIQUIDAÇÃO ORDINARIA</t>
  </si>
  <si>
    <t>CAGEACRE</t>
  </si>
  <si>
    <t xml:space="preserve">COMPANHIA INDUSTRIAL DE LATICINIOS </t>
  </si>
  <si>
    <t xml:space="preserve">COMPANHIA DE DESENVOL IND DO EST DO ACRE-CODISACRE </t>
  </si>
  <si>
    <t>COMPANHIA DE DESENVOLVIMENTO AGRARIO E COLONIZAÇÃO DO ACRE - COLONACRE</t>
  </si>
  <si>
    <t>CIA DE SANEAMENTO DO ESTADO DO ACRE-SANACRE</t>
  </si>
  <si>
    <t>COMP. ADM DA ZONA DE PROC DE EXP BARCARENA</t>
  </si>
  <si>
    <t>Banco do Estado do Pará</t>
  </si>
  <si>
    <t>COMPANHIA DE PORTOS E HID. DO ESTADO DO PARA</t>
  </si>
  <si>
    <t>CENTRAIS DE ABASTECIMENTO DO PARA AS</t>
  </si>
  <si>
    <t>COMP.DE DESENV. ECONOMICO DO PARÁ</t>
  </si>
  <si>
    <t>COMPANHIA DE HAB. DO ESTADO DO PARÁ</t>
  </si>
  <si>
    <t>COMPANHIA DE SANEAMENTO DO PARÁ</t>
  </si>
  <si>
    <t>EMP DE ASSIST TEC E EXTENSAO RURAL DO ESTADO DO PARÁ</t>
  </si>
  <si>
    <t xml:space="preserve">COMPANHIA DE GAS DO PARA </t>
  </si>
  <si>
    <t>Empresa de Tec. da Inf. e Comunicação do Estado do Pará - PRODEPA</t>
  </si>
  <si>
    <t>COMPANHIA RONDONIENSE DE GÁS - RONGÁS</t>
  </si>
  <si>
    <t>Companhia de Águas e Esgotos de Rondônia - CAERD</t>
  </si>
  <si>
    <t>SOCIEDADE DE PORTOS E HIDROVIAS DE RONDÔNIA - SOPH/RO</t>
  </si>
  <si>
    <t>Companhia de Mineração de Rondônia - CMR</t>
  </si>
  <si>
    <t>PORTOS E HIDROVIAS</t>
  </si>
  <si>
    <t>Companhia de Processamento de Dados do Estado do RS - PROCERGS</t>
  </si>
  <si>
    <t>Companhia de Gás do Estado RGS - SULGÁS</t>
  </si>
  <si>
    <t>Caixa de Administração da Dívida Pública Estadual - CADIP</t>
  </si>
  <si>
    <t>Companhia Riograndense de Mineração - CRM</t>
  </si>
  <si>
    <t>Centrais de Abastecimento do Rio Grande do Sul - CEASA</t>
  </si>
  <si>
    <t>Companhia Riograndense de Saneamento - CORSAN</t>
  </si>
  <si>
    <t>Companhia Estadual de Geração e Transmição de Energia Eletrica - CEEE-GT</t>
  </si>
  <si>
    <t>Companhia Estadual de Distribuição de Enegia Eletrica - CEEE-D</t>
  </si>
  <si>
    <t>Empresa Gaúcha de Rodovias - EGR</t>
  </si>
  <si>
    <t>Banco do Estado do Rio Grande do Sul - BANRISUL</t>
  </si>
  <si>
    <t>BADESUL Desenvolvimento S.A. - Agência de Fomento/RS</t>
  </si>
  <si>
    <t>Informática</t>
  </si>
  <si>
    <t>CETESB - COMPANHIA AMBIENTAL DO ESTADO DE SÃO PAULO</t>
  </si>
  <si>
    <t>COMPANHIA DOCAS DE SÃO SEBASTIÃO</t>
  </si>
  <si>
    <t>CODASP - COMPANHIA DE DESENVOLVIMENTO AGRÍCOLA DE SÃO PAULO</t>
  </si>
  <si>
    <t>EMPLASA - EMPRESA PAULISTA DE PLANEJAMENTO METROPOLITANO S/A</t>
  </si>
  <si>
    <t>IPT - INSTITUTO DE PESQUISAS TECNOLÓGICAS DO ESTADO DE SÃO PAULO S/A</t>
  </si>
  <si>
    <t>CPTM - COMPANHIA PAULISTA DE TRASNPORTE METROPOLITANO</t>
  </si>
  <si>
    <t>SABESP - COMPANHIA DE SANEAMENTO BÁSICO DE SÃO PAULO</t>
  </si>
  <si>
    <t>PRODESP - CIA DE PROCESSAMENTO DE DADOS DO ESTADO DE SÃO PAULO</t>
  </si>
  <si>
    <t xml:space="preserve">COSESP - COMPANHIA DE SEGUROS DO ESTADO DE SÃO PAULO </t>
  </si>
  <si>
    <t xml:space="preserve">METRÔ - COMPANHIA DO METROPOLITANO DE SÃO PAULO </t>
  </si>
  <si>
    <t>DESENVOLVE SP - AGÊNCIA DE FOMENTO DO ESTADO DE SÃO PAULO S.A.</t>
  </si>
  <si>
    <t>EMTU - EMPRESA METROPOLITANA DE TRANSPORTES URBANOS S.A</t>
  </si>
  <si>
    <t>EMAE - EMPRESA METROPOLITANA DE ÁGUAS E ENERGIA</t>
  </si>
  <si>
    <t>CDHU - COMPANHIA DE DESENVOLVIMENTO HABITACIONAL E URBANO</t>
  </si>
  <si>
    <t xml:space="preserve">CPOS - COMPANHIA PAULISTA DE OBRAS E SERVIÇOS </t>
  </si>
  <si>
    <t>CPSEC - COMPANHIA PAULISTA DE SECURITIZAÇÃO</t>
  </si>
  <si>
    <t>CPP - COMPANHIA PAULISTA DE PARCERIAS  **</t>
  </si>
  <si>
    <t>IMESP - IMPRENSA OFICIAL DO ESTADO S.A</t>
  </si>
  <si>
    <t>DERSA - DESENVOLVIMENTO RODOVIÁRIO S/A</t>
  </si>
  <si>
    <t>Companhia de Saneamento do Amazonas - Cosama</t>
  </si>
  <si>
    <t>Agência de Desenvolvimento Sustentável do Amazonas - ADS</t>
  </si>
  <si>
    <t>Empresa Estadual de Turismo</t>
  </si>
  <si>
    <t>Companhia de Gás do Amazonas - Cigás</t>
  </si>
  <si>
    <t>CIAMA</t>
  </si>
  <si>
    <t>PRODAM - PROC. DE DADOS AMAZONAS S.A.</t>
  </si>
  <si>
    <t>AGÊNCIA DE FOMENTO DO ESTADO DO AMAZONAS</t>
  </si>
  <si>
    <t>AM</t>
  </si>
  <si>
    <t>Empresa de Assistência Técnica e Extensão Rural do Ceará - EMATERCE</t>
  </si>
  <si>
    <t>Empresa de Tecnologia da Informação do Ceará - ETICE</t>
  </si>
  <si>
    <t>Companhia de Habitação do Ceará - COHAB</t>
  </si>
  <si>
    <t>Companhia de Desenvolvimento do Ceará - CODECE</t>
  </si>
  <si>
    <t>Companhia de Água e Esgoto do Ceará - CAGECE</t>
  </si>
  <si>
    <t>Companhia de Gás do Ceará - CEGÁS</t>
  </si>
  <si>
    <t>Companhia Cearense de Transportes Metropolitanos - METROFOR</t>
  </si>
  <si>
    <t>Companhia do Complexo Industrial e Portuária do Pecém - CIPP S/A</t>
  </si>
  <si>
    <t>Centrais de Abastecimento do Ceará S/A - CEASA</t>
  </si>
  <si>
    <t>Companhia de Gestão dos Recursos Hídricos do Ceará - COGERH</t>
  </si>
  <si>
    <t>Agência de Desenvolvimento do Estado do Ceará - ADECE</t>
  </si>
  <si>
    <t>Companhia Adm. da Zona de Process. de Exportação do Ceará - ZPE CEARÁ</t>
  </si>
  <si>
    <t>HABITAÇÃO</t>
  </si>
  <si>
    <t xml:space="preserve">Companhia de Água e Esgoto do Amapá </t>
  </si>
  <si>
    <t xml:space="preserve">Companhia de Eletricidade do Amapá </t>
  </si>
  <si>
    <t xml:space="preserve">(CEA) </t>
  </si>
  <si>
    <t>Sigla</t>
  </si>
  <si>
    <t>Empresa Paraibana de Turismo S/A (PBTUR S/A)</t>
  </si>
  <si>
    <t>Cia. de Desenvolvimento da Paraíba (CINEP)</t>
  </si>
  <si>
    <t>Laboratório Industria Farmacêutica da Paraíba S/A (LIFESA)</t>
  </si>
  <si>
    <t>Empresa de Assist.Técnica e Extensão Rural (EMATER)</t>
  </si>
  <si>
    <t>Cia. de Process.de Dados - CODATA</t>
  </si>
  <si>
    <t>Companhia Paraíbana de Gás</t>
  </si>
  <si>
    <t>Companhia DOCAS da Paraíba</t>
  </si>
  <si>
    <t>Cia .de Água e Esgotos da Paraíba - CAGEPA</t>
  </si>
  <si>
    <t>Cia. de Gás do Piauí - GASPISA</t>
  </si>
  <si>
    <t>Agência de Fomento e Desenvolvimento do Piauí</t>
  </si>
  <si>
    <t>Águas e Esgotos do Piauí S/A - AGESPISA</t>
  </si>
  <si>
    <t>Cia de Adm. da ZPE de Parnaíba</t>
  </si>
  <si>
    <t>Companhia de Desenvolvimento de Roraima</t>
  </si>
  <si>
    <t>Companhia de Águas e Esgotos de Roraima</t>
  </si>
  <si>
    <t>Agência de Desenvolvimento do Estado de Roraima</t>
  </si>
  <si>
    <t>Rótulos de Linha</t>
  </si>
  <si>
    <t>(vazio)</t>
  </si>
  <si>
    <t>Total Geral</t>
  </si>
  <si>
    <t>Contagem de Estado</t>
  </si>
  <si>
    <t>CEPISA</t>
  </si>
  <si>
    <t>AGEPISA</t>
  </si>
  <si>
    <t>FOMENTO</t>
  </si>
  <si>
    <t>Cia. De Terminais Alfandegados</t>
  </si>
  <si>
    <t>PORTO-PI</t>
  </si>
  <si>
    <t>Cia Metropolitana de Transportes Públicos</t>
  </si>
  <si>
    <t>CMTP</t>
  </si>
  <si>
    <t>Cia. Energética do Estado do Piauí S/A - CEPISA (não consta na LOA - Privatizou?)</t>
  </si>
  <si>
    <t>GASPISA</t>
  </si>
  <si>
    <t>PBTUR</t>
  </si>
  <si>
    <t>DOCAS</t>
  </si>
  <si>
    <t>CINEP</t>
  </si>
  <si>
    <t>EMATER</t>
  </si>
  <si>
    <t>CAGEPA</t>
  </si>
  <si>
    <t>LEFESA</t>
  </si>
  <si>
    <t>CODATA</t>
  </si>
  <si>
    <t>EMPASA</t>
  </si>
  <si>
    <t>PBGAS</t>
  </si>
  <si>
    <r>
      <t xml:space="preserve">Empresa Paraibana de Abast.e Serv. Agrícolas (EMPASA) - </t>
    </r>
    <r>
      <rPr>
        <sz val="11"/>
        <color rgb="FFFF0000"/>
        <rFont val="Calibri"/>
        <family val="2"/>
        <scheme val="minor"/>
      </rPr>
      <t>em liquidação</t>
    </r>
  </si>
  <si>
    <t>ALGÁS</t>
  </si>
  <si>
    <t>CASAL</t>
  </si>
  <si>
    <t>LIFAL</t>
  </si>
  <si>
    <t>CEPAL</t>
  </si>
  <si>
    <t>Agência de Fomento de Alagoas S/A - DESENVOLVE - dados 2017</t>
  </si>
  <si>
    <t>Banco do Estado de Alagoas - PRODUBAN - parece que foi vendido</t>
  </si>
  <si>
    <t xml:space="preserve">CAESA </t>
  </si>
  <si>
    <t>Empresa de Assistência Técnica e Extensão Rural do Estado de Minas Gerais - EMATER</t>
  </si>
  <si>
    <t>Empresa de Pesquisa Agropecuária de Minas Gerais - EPAMIG</t>
  </si>
  <si>
    <t>Empresa Mineira de Comunicação - EMC (Rádio Inconfidência)</t>
  </si>
  <si>
    <t>Banco de Desenvolvimento de Minas Gerais S.A. - BDMG</t>
  </si>
  <si>
    <t>Companhia de Desenvolvimento de Minas Gerais – CODEMGE</t>
  </si>
  <si>
    <t>Codemge Participações S.A. - CODEPAR</t>
  </si>
  <si>
    <t>Companhia de Desenvolvimento Econômico de Minas Gerais – CODEMIG</t>
  </si>
  <si>
    <t>Companhia de Habitação do Estado de Minas Gerais – COHAB MINAS</t>
  </si>
  <si>
    <t>Companhia de Saneamento de Minas Gerais - COPASA</t>
  </si>
  <si>
    <t>Copasa Serviços de Saneamento Integrado do Norte e Nordeste de Minas Gerais S/A - COPANOR</t>
  </si>
  <si>
    <t>Companhia de Tecnologia da Informação do Estado de Minas Gerais - PRODEMGE</t>
  </si>
  <si>
    <t>Companhia Energética de Minas Gerais – CEMIG</t>
  </si>
  <si>
    <t>Cemig Distribuição S.A. - CEMIG D</t>
  </si>
  <si>
    <t>Cemig Geração e Transmissão S.A. - CEMIG GT</t>
  </si>
  <si>
    <t xml:space="preserve">Companhia de Gás de Minas Gerais - GASMIG </t>
  </si>
  <si>
    <t>Minas Gerais Participações S.A. – MGI</t>
  </si>
  <si>
    <t xml:space="preserve">EMIP - Empresa Mineira de Parcerias S.A. </t>
  </si>
  <si>
    <t>Minas Gerais Administração e Serviços S.A. - MGS</t>
  </si>
  <si>
    <t>Trem Metropolitano de Belo Horizonte S/A - METROMINAS</t>
  </si>
  <si>
    <t>Empresa de Telecomunicações do Piauí - ETELPI</t>
  </si>
  <si>
    <t>ZPE</t>
  </si>
  <si>
    <t>ETELPI</t>
  </si>
  <si>
    <t>Empresa de Gestão de Rec. Hum. do Estado Piauí-EMGERPI</t>
  </si>
  <si>
    <t>EMGERPI</t>
  </si>
  <si>
    <t>Não Informado</t>
  </si>
  <si>
    <t>ULTRAPAR</t>
  </si>
  <si>
    <t>UGPA3 </t>
  </si>
  <si>
    <t>PETROBRAS</t>
  </si>
  <si>
    <t>PETR3</t>
  </si>
  <si>
    <t>PL 2018</t>
  </si>
  <si>
    <t>Lucros / Prejuízos 2018</t>
  </si>
  <si>
    <t>PETROBRAS BR</t>
  </si>
  <si>
    <t>BRDT3 </t>
  </si>
  <si>
    <t>COSAN</t>
  </si>
  <si>
    <t>CSAN3</t>
  </si>
  <si>
    <t>DOMMO</t>
  </si>
  <si>
    <t>DMMO3 </t>
  </si>
  <si>
    <t>ENAUTA PART</t>
  </si>
  <si>
    <t>ENAT3 </t>
  </si>
  <si>
    <t>ROE 2018*</t>
  </si>
  <si>
    <t>PETRORIO</t>
  </si>
  <si>
    <t>PRIO3 </t>
  </si>
  <si>
    <t>CEG</t>
  </si>
  <si>
    <t>CEGR3 </t>
  </si>
  <si>
    <t>COMGAS</t>
  </si>
  <si>
    <t>CGAS3</t>
  </si>
  <si>
    <t>CASAN</t>
  </si>
  <si>
    <t>CASN3</t>
  </si>
  <si>
    <t>SABESP</t>
  </si>
  <si>
    <t>SBSP3 </t>
  </si>
  <si>
    <t>COPASA</t>
  </si>
  <si>
    <t>CSMG3 </t>
  </si>
  <si>
    <t>SANEPAR</t>
  </si>
  <si>
    <r>
      <t>SAPR11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SAPR3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SAPR4</t>
    </r>
    <r>
      <rPr>
        <sz val="11"/>
        <color rgb="FF5C5F60"/>
        <rFont val="Arial"/>
        <family val="2"/>
      </rPr>
      <t> </t>
    </r>
  </si>
  <si>
    <t>IGUA SA</t>
  </si>
  <si>
    <t>IGSN3 </t>
  </si>
  <si>
    <t>AES TIETE E</t>
  </si>
  <si>
    <r>
      <t>TIET11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TIET3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TIET4</t>
    </r>
    <r>
      <rPr>
        <sz val="11"/>
        <color rgb="FF5C5F60"/>
        <rFont val="Arial"/>
        <family val="2"/>
      </rPr>
      <t> </t>
    </r>
  </si>
  <si>
    <t>Energia</t>
  </si>
  <si>
    <t>ALUPAR</t>
  </si>
  <si>
    <r>
      <t>ALUP11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ALUP3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ALUP4</t>
    </r>
    <r>
      <rPr>
        <sz val="11"/>
        <color rgb="FF5C5F60"/>
        <rFont val="Arial"/>
        <family val="2"/>
      </rPr>
      <t> </t>
    </r>
  </si>
  <si>
    <t>JSL</t>
  </si>
  <si>
    <t>JSLG3 </t>
  </si>
  <si>
    <t>TGMA3 </t>
  </si>
  <si>
    <t>TEGMA</t>
  </si>
  <si>
    <t>Transporte e Logística</t>
  </si>
  <si>
    <t>TREVISA</t>
  </si>
  <si>
    <r>
      <t>LUXM3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LUXM4</t>
    </r>
    <r>
      <rPr>
        <sz val="11"/>
        <color rgb="FF5C5F60"/>
        <rFont val="Arial"/>
        <family val="2"/>
      </rPr>
      <t> </t>
    </r>
  </si>
  <si>
    <t>LOGN3 </t>
  </si>
  <si>
    <t>LOG-IN</t>
  </si>
  <si>
    <t>Sudeste</t>
  </si>
  <si>
    <t>Centro-Oeste</t>
  </si>
  <si>
    <t>Norte</t>
  </si>
  <si>
    <t>Sul</t>
  </si>
  <si>
    <t>Nordeste</t>
  </si>
  <si>
    <t>Contagem de Empresa</t>
  </si>
  <si>
    <t>MINERAÇÃO</t>
  </si>
  <si>
    <t>TELECOMUNICAÇÕES</t>
  </si>
  <si>
    <t>OUTROS</t>
  </si>
  <si>
    <t>SEGMENTO</t>
  </si>
  <si>
    <t>Empresas por Segmento</t>
  </si>
  <si>
    <t>Resultado para o Estado Acionista</t>
  </si>
  <si>
    <t xml:space="preserve">Soma de Dividendos </t>
  </si>
  <si>
    <t>Soma de Subvenção</t>
  </si>
  <si>
    <t>Soma de Reforço de Capital</t>
  </si>
  <si>
    <t>Companhia Estadual de Águas e Esgotos (CEDAE)</t>
  </si>
  <si>
    <t>Rótulos de Coluna</t>
  </si>
  <si>
    <t>Natureza</t>
  </si>
  <si>
    <t>Partcipação</t>
  </si>
  <si>
    <t>EP</t>
  </si>
  <si>
    <t>SEM</t>
  </si>
  <si>
    <t>SEm</t>
  </si>
  <si>
    <t>Ep</t>
  </si>
  <si>
    <t>SUB</t>
  </si>
  <si>
    <t>SA</t>
  </si>
  <si>
    <t>99,94%</t>
  </si>
  <si>
    <t>99,65%</t>
  </si>
  <si>
    <t>N/A</t>
  </si>
  <si>
    <t>Não Declarado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</si>
</sst>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5C5F60"/>
      <name val="Arial"/>
      <family val="2"/>
    </font>
    <font>
      <sz val="11"/>
      <color rgb="FF00B0E6"/>
      <name val="Arial"/>
      <family val="2"/>
    </font>
    <font>
      <u/>
      <sz val="11"/>
      <color theme="10"/>
      <name val="Calibri"/>
      <family val="2"/>
      <scheme val="minor"/>
    </font>
    <font>
      <sz val="12"/>
      <color rgb="FF5C5F60"/>
      <name val="Arial"/>
      <family val="2"/>
    </font>
    <font>
      <sz val="11"/>
      <color rgb="FF005CA9"/>
      <name val="Arial"/>
      <family val="2"/>
    </font>
    <font>
      <u val="singleAccounting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5">
    <xf numFmtId="0" fontId="0" fillId="0" borderId="0"/>
    <xf numFmtId="0" fontId="3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9" fontId="0" fillId="0" borderId="1" xfId="2" applyFont="1" applyBorder="1"/>
    <xf numFmtId="9" fontId="0" fillId="0" borderId="1" xfId="2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1" xfId="0" applyFont="1" applyBorder="1" applyAlignment="1">
      <alignment wrapText="1"/>
    </xf>
    <xf numFmtId="44" fontId="0" fillId="0" borderId="0" xfId="0" applyNumberFormat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3"/>
    <xf numFmtId="0" fontId="8" fillId="3" borderId="2" xfId="0" applyFont="1" applyFill="1" applyBorder="1" applyAlignment="1">
      <alignment vertical="center" wrapText="1"/>
    </xf>
    <xf numFmtId="0" fontId="9" fillId="0" borderId="0" xfId="0" applyFont="1"/>
    <xf numFmtId="0" fontId="1" fillId="2" borderId="3" xfId="0" applyFont="1" applyFill="1" applyBorder="1" applyAlignment="1">
      <alignment horizontal="center"/>
    </xf>
    <xf numFmtId="164" fontId="0" fillId="0" borderId="0" xfId="2" applyNumberFormat="1" applyFont="1"/>
    <xf numFmtId="0" fontId="0" fillId="0" borderId="0" xfId="0" applyAlignment="1">
      <alignment horizontal="left" indent="1"/>
    </xf>
    <xf numFmtId="0" fontId="1" fillId="4" borderId="0" xfId="0" applyFont="1" applyFill="1"/>
    <xf numFmtId="165" fontId="0" fillId="0" borderId="0" xfId="4" applyNumberFormat="1" applyFont="1"/>
    <xf numFmtId="165" fontId="0" fillId="0" borderId="0" xfId="0" applyNumberFormat="1"/>
    <xf numFmtId="1" fontId="0" fillId="0" borderId="0" xfId="0" applyNumberFormat="1"/>
    <xf numFmtId="0" fontId="0" fillId="5" borderId="1" xfId="0" applyFill="1" applyBorder="1"/>
    <xf numFmtId="10" fontId="0" fillId="0" borderId="1" xfId="2" applyNumberFormat="1" applyFont="1" applyBorder="1"/>
    <xf numFmtId="10" fontId="1" fillId="2" borderId="1" xfId="2" applyNumberFormat="1" applyFont="1" applyFill="1" applyBorder="1" applyAlignment="1">
      <alignment horizontal="center"/>
    </xf>
    <xf numFmtId="10" fontId="0" fillId="0" borderId="1" xfId="2" applyNumberFormat="1" applyFont="1" applyBorder="1" applyAlignment="1">
      <alignment horizontal="right"/>
    </xf>
    <xf numFmtId="10" fontId="0" fillId="0" borderId="0" xfId="0" applyNumberFormat="1"/>
    <xf numFmtId="43" fontId="1" fillId="2" borderId="1" xfId="4" applyFont="1" applyFill="1" applyBorder="1" applyAlignment="1">
      <alignment horizontal="center"/>
    </xf>
    <xf numFmtId="43" fontId="0" fillId="0" borderId="1" xfId="4" applyFont="1" applyBorder="1"/>
    <xf numFmtId="43" fontId="4" fillId="0" borderId="1" xfId="4" applyFont="1" applyBorder="1"/>
    <xf numFmtId="43" fontId="0" fillId="0" borderId="0" xfId="4" applyFont="1"/>
    <xf numFmtId="43" fontId="0" fillId="0" borderId="1" xfId="4" applyFont="1" applyBorder="1" applyAlignment="1">
      <alignment horizontal="center"/>
    </xf>
    <xf numFmtId="43" fontId="0" fillId="0" borderId="1" xfId="4" applyNumberFormat="1" applyFont="1" applyBorder="1"/>
    <xf numFmtId="43" fontId="4" fillId="0" borderId="1" xfId="4" applyNumberFormat="1" applyFont="1" applyBorder="1"/>
    <xf numFmtId="43" fontId="0" fillId="0" borderId="0" xfId="4" applyNumberFormat="1" applyFont="1"/>
    <xf numFmtId="43" fontId="10" fillId="0" borderId="1" xfId="4" applyNumberFormat="1" applyFont="1" applyBorder="1"/>
  </cellXfs>
  <cellStyles count="5">
    <cellStyle name="Hiperlink" xfId="3" builtinId="8"/>
    <cellStyle name="Normal" xfId="0" builtinId="0"/>
    <cellStyle name="Normal 2" xfId="1" xr:uid="{ECEC709A-4EA8-4B28-978A-7118A7AFE356}"/>
    <cellStyle name="Porcentagem" xfId="2" builtinId="5"/>
    <cellStyle name="Vírgula" xfId="4" builtinId="3"/>
  </cellStyles>
  <dxfs count="8">
    <dxf>
      <font>
        <color rgb="FFFF0000"/>
      </font>
    </dxf>
    <dxf>
      <numFmt numFmtId="1" formatCode="0"/>
    </dxf>
    <dxf>
      <numFmt numFmtId="165" formatCode="_-* #,##0_-;\-* #,##0_-;_-* &quot;-&quot;??_-;_-@_-"/>
    </dxf>
    <dxf>
      <font>
        <color auto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440154"/>
      <color rgb="FFFDE7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Quantidade de empresas</a:t>
            </a:r>
            <a:r>
              <a:rPr lang="en-US" baseline="0"/>
              <a:t> por segmento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grafs!$B$1</c:f>
              <c:strCache>
                <c:ptCount val="1"/>
                <c:pt idx="0">
                  <c:v>Dependente</c:v>
                </c:pt>
              </c:strCache>
            </c:strRef>
          </c:tx>
          <c:spPr>
            <a:solidFill>
              <a:srgbClr val="4401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grafs!$A$2:$A$21</c:f>
              <c:strCache>
                <c:ptCount val="20"/>
                <c:pt idx="0">
                  <c:v>OUTRO</c:v>
                </c:pt>
                <c:pt idx="1">
                  <c:v>DESENVOLVIMENTO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ABASTECIMENTO</c:v>
                </c:pt>
                <c:pt idx="5">
                  <c:v>TRANSPORTES</c:v>
                </c:pt>
                <c:pt idx="6">
                  <c:v>DISTRIBUIÇÃO DE GÁS</c:v>
                </c:pt>
                <c:pt idx="7">
                  <c:v>ENERGIA</c:v>
                </c:pt>
                <c:pt idx="8">
                  <c:v>INFORMÁTICA</c:v>
                </c:pt>
                <c:pt idx="9">
                  <c:v>SERVIÇOS PÚBLICOS</c:v>
                </c:pt>
                <c:pt idx="10">
                  <c:v>ASSIS, TÉCNICA</c:v>
                </c:pt>
                <c:pt idx="11">
                  <c:v>URBANIZAÇÃO</c:v>
                </c:pt>
                <c:pt idx="12">
                  <c:v>GESTÃO DE ATIVOS</c:v>
                </c:pt>
                <c:pt idx="13">
                  <c:v>PESQUISA</c:v>
                </c:pt>
                <c:pt idx="14">
                  <c:v>COMUNICAÇÕES</c:v>
                </c:pt>
                <c:pt idx="15">
                  <c:v>HABITAÇÃO</c:v>
                </c:pt>
                <c:pt idx="16">
                  <c:v>SAÚDE</c:v>
                </c:pt>
                <c:pt idx="17">
                  <c:v>MINERAÇÃO</c:v>
                </c:pt>
                <c:pt idx="18">
                  <c:v>PORTOS E HIDROVIAS</c:v>
                </c:pt>
                <c:pt idx="19">
                  <c:v>TELECOMUNICAÇÕES</c:v>
                </c:pt>
              </c:strCache>
            </c:strRef>
          </c:cat>
          <c:val>
            <c:numRef>
              <c:f>grafs!$B$2:$B$21</c:f>
              <c:numCache>
                <c:formatCode>General</c:formatCode>
                <c:ptCount val="20"/>
                <c:pt idx="0">
                  <c:v>24</c:v>
                </c:pt>
                <c:pt idx="1">
                  <c:v>13</c:v>
                </c:pt>
                <c:pt idx="2">
                  <c:v>6</c:v>
                </c:pt>
                <c:pt idx="3">
                  <c:v>2</c:v>
                </c:pt>
                <c:pt idx="4">
                  <c:v>10</c:v>
                </c:pt>
                <c:pt idx="5">
                  <c:v>7</c:v>
                </c:pt>
                <c:pt idx="6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9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A-44BD-B4B2-9CCEDDA95899}"/>
            </c:ext>
          </c:extLst>
        </c:ser>
        <c:ser>
          <c:idx val="1"/>
          <c:order val="1"/>
          <c:tx>
            <c:strRef>
              <c:f>grafs!$C$1</c:f>
              <c:strCache>
                <c:ptCount val="1"/>
                <c:pt idx="0">
                  <c:v>Não Dependente</c:v>
                </c:pt>
              </c:strCache>
            </c:strRef>
          </c:tx>
          <c:spPr>
            <a:solidFill>
              <a:srgbClr val="FDE72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grafs!$A$2:$A$21</c:f>
              <c:strCache>
                <c:ptCount val="20"/>
                <c:pt idx="0">
                  <c:v>OUTRO</c:v>
                </c:pt>
                <c:pt idx="1">
                  <c:v>DESENVOLVIMENTO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ABASTECIMENTO</c:v>
                </c:pt>
                <c:pt idx="5">
                  <c:v>TRANSPORTES</c:v>
                </c:pt>
                <c:pt idx="6">
                  <c:v>DISTRIBUIÇÃO DE GÁS</c:v>
                </c:pt>
                <c:pt idx="7">
                  <c:v>ENERGIA</c:v>
                </c:pt>
                <c:pt idx="8">
                  <c:v>INFORMÁTICA</c:v>
                </c:pt>
                <c:pt idx="9">
                  <c:v>SERVIÇOS PÚBLICOS</c:v>
                </c:pt>
                <c:pt idx="10">
                  <c:v>ASSIS, TÉCNICA</c:v>
                </c:pt>
                <c:pt idx="11">
                  <c:v>URBANIZAÇÃO</c:v>
                </c:pt>
                <c:pt idx="12">
                  <c:v>GESTÃO DE ATIVOS</c:v>
                </c:pt>
                <c:pt idx="13">
                  <c:v>PESQUISA</c:v>
                </c:pt>
                <c:pt idx="14">
                  <c:v>COMUNICAÇÕES</c:v>
                </c:pt>
                <c:pt idx="15">
                  <c:v>HABITAÇÃO</c:v>
                </c:pt>
                <c:pt idx="16">
                  <c:v>SAÚDE</c:v>
                </c:pt>
                <c:pt idx="17">
                  <c:v>MINERAÇÃO</c:v>
                </c:pt>
                <c:pt idx="18">
                  <c:v>PORTOS E HIDROVIAS</c:v>
                </c:pt>
                <c:pt idx="19">
                  <c:v>TELECOMUNICAÇÕES</c:v>
                </c:pt>
              </c:strCache>
            </c:strRef>
          </c:cat>
          <c:val>
            <c:numRef>
              <c:f>grafs!$C$2:$C$21</c:f>
              <c:numCache>
                <c:formatCode>General</c:formatCode>
                <c:ptCount val="20"/>
                <c:pt idx="0">
                  <c:v>22</c:v>
                </c:pt>
                <c:pt idx="1">
                  <c:v>14</c:v>
                </c:pt>
                <c:pt idx="2">
                  <c:v>19</c:v>
                </c:pt>
                <c:pt idx="3">
                  <c:v>18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8</c:v>
                </c:pt>
                <c:pt idx="9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A-44BD-B4B2-9CCEDDA95899}"/>
            </c:ext>
          </c:extLst>
        </c:ser>
        <c:ser>
          <c:idx val="2"/>
          <c:order val="2"/>
          <c:tx>
            <c:strRef>
              <c:f>grafs!$D$1</c:f>
              <c:strCache>
                <c:ptCount val="1"/>
                <c:pt idx="0">
                  <c:v>Não Informado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grafs!$A$2:$A$21</c:f>
              <c:strCache>
                <c:ptCount val="20"/>
                <c:pt idx="0">
                  <c:v>OUTRO</c:v>
                </c:pt>
                <c:pt idx="1">
                  <c:v>DESENVOLVIMENTO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ABASTECIMENTO</c:v>
                </c:pt>
                <c:pt idx="5">
                  <c:v>TRANSPORTES</c:v>
                </c:pt>
                <c:pt idx="6">
                  <c:v>DISTRIBUIÇÃO DE GÁS</c:v>
                </c:pt>
                <c:pt idx="7">
                  <c:v>ENERGIA</c:v>
                </c:pt>
                <c:pt idx="8">
                  <c:v>INFORMÁTICA</c:v>
                </c:pt>
                <c:pt idx="9">
                  <c:v>SERVIÇOS PÚBLICOS</c:v>
                </c:pt>
                <c:pt idx="10">
                  <c:v>ASSIS, TÉCNICA</c:v>
                </c:pt>
                <c:pt idx="11">
                  <c:v>URBANIZAÇÃO</c:v>
                </c:pt>
                <c:pt idx="12">
                  <c:v>GESTÃO DE ATIVOS</c:v>
                </c:pt>
                <c:pt idx="13">
                  <c:v>PESQUISA</c:v>
                </c:pt>
                <c:pt idx="14">
                  <c:v>COMUNICAÇÕES</c:v>
                </c:pt>
                <c:pt idx="15">
                  <c:v>HABITAÇÃO</c:v>
                </c:pt>
                <c:pt idx="16">
                  <c:v>SAÚDE</c:v>
                </c:pt>
                <c:pt idx="17">
                  <c:v>MINERAÇÃO</c:v>
                </c:pt>
                <c:pt idx="18">
                  <c:v>PORTOS E HIDROVIAS</c:v>
                </c:pt>
                <c:pt idx="19">
                  <c:v>TELECOMUNICAÇÕES</c:v>
                </c:pt>
              </c:strCache>
            </c:strRef>
          </c:cat>
          <c:val>
            <c:numRef>
              <c:f>grafs!$D$2:$D$21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9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A-44BD-B4B2-9CCEDDA95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335409391"/>
        <c:axId val="1344209695"/>
      </c:barChart>
      <c:catAx>
        <c:axId val="13354093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44209695"/>
        <c:crosses val="autoZero"/>
        <c:auto val="1"/>
        <c:lblAlgn val="ctr"/>
        <c:lblOffset val="100"/>
        <c:noMultiLvlLbl val="0"/>
      </c:catAx>
      <c:valAx>
        <c:axId val="134420969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3540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Quantidade de empresas</a:t>
            </a:r>
            <a:r>
              <a:rPr lang="en-US" baseline="0"/>
              <a:t> por estado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grafs!$B$29</c:f>
              <c:strCache>
                <c:ptCount val="1"/>
                <c:pt idx="0">
                  <c:v>Dependente</c:v>
                </c:pt>
              </c:strCache>
            </c:strRef>
          </c:tx>
          <c:spPr>
            <a:solidFill>
              <a:srgbClr val="4401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grafs!$A$30:$A$56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GO</c:v>
                </c:pt>
                <c:pt idx="3">
                  <c:v>PE</c:v>
                </c:pt>
                <c:pt idx="4">
                  <c:v>SC</c:v>
                </c:pt>
                <c:pt idx="5">
                  <c:v>DF</c:v>
                </c:pt>
                <c:pt idx="6">
                  <c:v>CE</c:v>
                </c:pt>
                <c:pt idx="7">
                  <c:v>BA</c:v>
                </c:pt>
                <c:pt idx="8">
                  <c:v>RS</c:v>
                </c:pt>
                <c:pt idx="9">
                  <c:v>SE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AL</c:v>
                </c:pt>
                <c:pt idx="14">
                  <c:v>PI</c:v>
                </c:pt>
                <c:pt idx="15">
                  <c:v>PB</c:v>
                </c:pt>
                <c:pt idx="16">
                  <c:v>RN</c:v>
                </c:pt>
                <c:pt idx="17">
                  <c:v>MT</c:v>
                </c:pt>
                <c:pt idx="18">
                  <c:v>AM</c:v>
                </c:pt>
                <c:pt idx="19">
                  <c:v>AC</c:v>
                </c:pt>
                <c:pt idx="20">
                  <c:v>ES</c:v>
                </c:pt>
                <c:pt idx="21">
                  <c:v>MA</c:v>
                </c:pt>
                <c:pt idx="22">
                  <c:v>MS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</c:strCache>
            </c:strRef>
          </c:cat>
          <c:val>
            <c:numRef>
              <c:f>grafs!$B$30:$B$56</c:f>
              <c:numCache>
                <c:formatCode>General</c:formatCode>
                <c:ptCount val="27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9">
                  <c:v>7</c:v>
                </c:pt>
                <c:pt idx="10">
                  <c:v>11</c:v>
                </c:pt>
                <c:pt idx="12">
                  <c:v>8</c:v>
                </c:pt>
                <c:pt idx="13">
                  <c:v>4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3</c:v>
                </c:pt>
                <c:pt idx="19">
                  <c:v>7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3-4209-BF56-8EE5481C868D}"/>
            </c:ext>
          </c:extLst>
        </c:ser>
        <c:ser>
          <c:idx val="2"/>
          <c:order val="1"/>
          <c:tx>
            <c:strRef>
              <c:f>grafs!$C$29</c:f>
              <c:strCache>
                <c:ptCount val="1"/>
                <c:pt idx="0">
                  <c:v>Não Dependente</c:v>
                </c:pt>
              </c:strCache>
            </c:strRef>
          </c:tx>
          <c:spPr>
            <a:solidFill>
              <a:srgbClr val="FDE72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grafs!$A$30:$A$56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GO</c:v>
                </c:pt>
                <c:pt idx="3">
                  <c:v>PE</c:v>
                </c:pt>
                <c:pt idx="4">
                  <c:v>SC</c:v>
                </c:pt>
                <c:pt idx="5">
                  <c:v>DF</c:v>
                </c:pt>
                <c:pt idx="6">
                  <c:v>CE</c:v>
                </c:pt>
                <c:pt idx="7">
                  <c:v>BA</c:v>
                </c:pt>
                <c:pt idx="8">
                  <c:v>RS</c:v>
                </c:pt>
                <c:pt idx="9">
                  <c:v>SE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AL</c:v>
                </c:pt>
                <c:pt idx="14">
                  <c:v>PI</c:v>
                </c:pt>
                <c:pt idx="15">
                  <c:v>PB</c:v>
                </c:pt>
                <c:pt idx="16">
                  <c:v>RN</c:v>
                </c:pt>
                <c:pt idx="17">
                  <c:v>MT</c:v>
                </c:pt>
                <c:pt idx="18">
                  <c:v>AM</c:v>
                </c:pt>
                <c:pt idx="19">
                  <c:v>AC</c:v>
                </c:pt>
                <c:pt idx="20">
                  <c:v>ES</c:v>
                </c:pt>
                <c:pt idx="21">
                  <c:v>MA</c:v>
                </c:pt>
                <c:pt idx="22">
                  <c:v>MS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</c:strCache>
            </c:strRef>
          </c:cat>
          <c:val>
            <c:numRef>
              <c:f>grafs!$C$30:$C$56</c:f>
              <c:numCache>
                <c:formatCode>General</c:formatCode>
                <c:ptCount val="27"/>
                <c:pt idx="0">
                  <c:v>14</c:v>
                </c:pt>
                <c:pt idx="1">
                  <c:v>16</c:v>
                </c:pt>
                <c:pt idx="2">
                  <c:v>11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11</c:v>
                </c:pt>
                <c:pt idx="9">
                  <c:v>4</c:v>
                </c:pt>
                <c:pt idx="11">
                  <c:v>10</c:v>
                </c:pt>
                <c:pt idx="12">
                  <c:v>2</c:v>
                </c:pt>
                <c:pt idx="13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3-4209-BF56-8EE5481C868D}"/>
            </c:ext>
          </c:extLst>
        </c:ser>
        <c:ser>
          <c:idx val="3"/>
          <c:order val="2"/>
          <c:tx>
            <c:strRef>
              <c:f>grafs!$D$29</c:f>
              <c:strCache>
                <c:ptCount val="1"/>
                <c:pt idx="0">
                  <c:v>Não Informado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grafs!$A$30:$A$56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GO</c:v>
                </c:pt>
                <c:pt idx="3">
                  <c:v>PE</c:v>
                </c:pt>
                <c:pt idx="4">
                  <c:v>SC</c:v>
                </c:pt>
                <c:pt idx="5">
                  <c:v>DF</c:v>
                </c:pt>
                <c:pt idx="6">
                  <c:v>CE</c:v>
                </c:pt>
                <c:pt idx="7">
                  <c:v>BA</c:v>
                </c:pt>
                <c:pt idx="8">
                  <c:v>RS</c:v>
                </c:pt>
                <c:pt idx="9">
                  <c:v>SE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AL</c:v>
                </c:pt>
                <c:pt idx="14">
                  <c:v>PI</c:v>
                </c:pt>
                <c:pt idx="15">
                  <c:v>PB</c:v>
                </c:pt>
                <c:pt idx="16">
                  <c:v>RN</c:v>
                </c:pt>
                <c:pt idx="17">
                  <c:v>MT</c:v>
                </c:pt>
                <c:pt idx="18">
                  <c:v>AM</c:v>
                </c:pt>
                <c:pt idx="19">
                  <c:v>AC</c:v>
                </c:pt>
                <c:pt idx="20">
                  <c:v>ES</c:v>
                </c:pt>
                <c:pt idx="21">
                  <c:v>MA</c:v>
                </c:pt>
                <c:pt idx="22">
                  <c:v>MS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</c:strCache>
            </c:strRef>
          </c:cat>
          <c:val>
            <c:numRef>
              <c:f>grafs!$D$30:$D$56</c:f>
              <c:numCache>
                <c:formatCode>General</c:formatCode>
                <c:ptCount val="27"/>
                <c:pt idx="14">
                  <c:v>9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3-4209-BF56-8EE5481C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1335409391"/>
        <c:axId val="1344209695"/>
      </c:barChart>
      <c:catAx>
        <c:axId val="13354093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44209695"/>
        <c:crosses val="autoZero"/>
        <c:auto val="1"/>
        <c:lblAlgn val="ctr"/>
        <c:lblOffset val="100"/>
        <c:noMultiLvlLbl val="0"/>
      </c:catAx>
      <c:valAx>
        <c:axId val="134420969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3540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[Estatais_rev2.xlsx]Planilha1!Tabela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4452131247712361E-2"/>
          <c:y val="5.0925925925925923E-2"/>
          <c:w val="0.76340229273108051"/>
          <c:h val="0.75010279965004378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161631"/>
        <c:axId val="463954335"/>
      </c:barChart>
      <c:catAx>
        <c:axId val="45616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954335"/>
        <c:crosses val="autoZero"/>
        <c:auto val="1"/>
        <c:lblAlgn val="ctr"/>
        <c:lblOffset val="100"/>
        <c:noMultiLvlLbl val="0"/>
      </c:catAx>
      <c:valAx>
        <c:axId val="4639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16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[Estatais_rev2.xlsx]Planilha1 (2)!Tabela dinâmica1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738330888510456E-2"/>
          <c:y val="6.0185185185185182E-2"/>
          <c:w val="0.76340229273108051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'Planilha1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'Planilha1 (2)'!$A$4:$A$23</c:f>
              <c:strCache>
                <c:ptCount val="19"/>
                <c:pt idx="0">
                  <c:v>ABASTECIMENTO</c:v>
                </c:pt>
                <c:pt idx="1">
                  <c:v>ASSIS, TÉCNICA</c:v>
                </c:pt>
                <c:pt idx="2">
                  <c:v>COMUNICAÇÕES</c:v>
                </c:pt>
                <c:pt idx="3">
                  <c:v>DESENVOLVIMENTO</c:v>
                </c:pt>
                <c:pt idx="4">
                  <c:v>DISTRIBUIÇÃO DE GÁS</c:v>
                </c:pt>
                <c:pt idx="5">
                  <c:v>ENERGIA</c:v>
                </c:pt>
                <c:pt idx="6">
                  <c:v>FINANCEIRO</c:v>
                </c:pt>
                <c:pt idx="7">
                  <c:v>GESTÃO DE ATIVOS</c:v>
                </c:pt>
                <c:pt idx="8">
                  <c:v>HABITAÇÃO</c:v>
                </c:pt>
                <c:pt idx="9">
                  <c:v>INFORMÁTICA</c:v>
                </c:pt>
                <c:pt idx="10">
                  <c:v>OUTRO</c:v>
                </c:pt>
                <c:pt idx="11">
                  <c:v>PESQUISA</c:v>
                </c:pt>
                <c:pt idx="12">
                  <c:v>PORTOS E HIDROVIAS</c:v>
                </c:pt>
                <c:pt idx="13">
                  <c:v>SANEAMENTO</c:v>
                </c:pt>
                <c:pt idx="14">
                  <c:v>SAÚDE</c:v>
                </c:pt>
                <c:pt idx="15">
                  <c:v>SERVIÇOS PÚBLICOS</c:v>
                </c:pt>
                <c:pt idx="16">
                  <c:v>TRANSPORTES</c:v>
                </c:pt>
                <c:pt idx="17">
                  <c:v>URBANIZAÇÃO</c:v>
                </c:pt>
                <c:pt idx="18">
                  <c:v>(vazio)</c:v>
                </c:pt>
              </c:strCache>
            </c:strRef>
          </c:cat>
          <c:val>
            <c:numRef>
              <c:f>'Planilha1 (2)'!$B$4:$B$23</c:f>
              <c:numCache>
                <c:formatCode>General</c:formatCode>
                <c:ptCount val="19"/>
                <c:pt idx="0">
                  <c:v>26</c:v>
                </c:pt>
                <c:pt idx="1">
                  <c:v>8</c:v>
                </c:pt>
                <c:pt idx="2">
                  <c:v>5</c:v>
                </c:pt>
                <c:pt idx="3">
                  <c:v>28</c:v>
                </c:pt>
                <c:pt idx="4">
                  <c:v>13</c:v>
                </c:pt>
                <c:pt idx="5">
                  <c:v>12</c:v>
                </c:pt>
                <c:pt idx="6">
                  <c:v>20</c:v>
                </c:pt>
                <c:pt idx="7">
                  <c:v>7</c:v>
                </c:pt>
                <c:pt idx="8">
                  <c:v>1</c:v>
                </c:pt>
                <c:pt idx="9">
                  <c:v>13</c:v>
                </c:pt>
                <c:pt idx="10">
                  <c:v>49</c:v>
                </c:pt>
                <c:pt idx="11">
                  <c:v>5</c:v>
                </c:pt>
                <c:pt idx="12">
                  <c:v>1</c:v>
                </c:pt>
                <c:pt idx="13">
                  <c:v>22</c:v>
                </c:pt>
                <c:pt idx="14">
                  <c:v>1</c:v>
                </c:pt>
                <c:pt idx="15">
                  <c:v>11</c:v>
                </c:pt>
                <c:pt idx="16">
                  <c:v>16</c:v>
                </c:pt>
                <c:pt idx="17">
                  <c:v>8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C1B-BD3C-AB9B11B5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161631"/>
        <c:axId val="463954335"/>
      </c:barChart>
      <c:catAx>
        <c:axId val="45616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954335"/>
        <c:crosses val="autoZero"/>
        <c:auto val="1"/>
        <c:lblAlgn val="ctr"/>
        <c:lblOffset val="100"/>
        <c:noMultiLvlLbl val="0"/>
      </c:catAx>
      <c:valAx>
        <c:axId val="4639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16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Planilha5!$G$2</c:f>
              <c:strCache>
                <c:ptCount val="1"/>
                <c:pt idx="0">
                  <c:v>Empresas por Segmento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Planilha5!$F$3:$F$11</c:f>
              <c:strCache>
                <c:ptCount val="9"/>
                <c:pt idx="0">
                  <c:v>DESENVOLVIMENTO</c:v>
                </c:pt>
                <c:pt idx="1">
                  <c:v>ABASTECIMENTO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TRANSPORTES</c:v>
                </c:pt>
                <c:pt idx="5">
                  <c:v>DISTRIBUIÇÃO DE GÁS</c:v>
                </c:pt>
                <c:pt idx="6">
                  <c:v>INFORMÁTICA</c:v>
                </c:pt>
                <c:pt idx="7">
                  <c:v>ENERGIA</c:v>
                </c:pt>
                <c:pt idx="8">
                  <c:v>OUTROS</c:v>
                </c:pt>
              </c:strCache>
            </c:strRef>
          </c:cat>
          <c:val>
            <c:numRef>
              <c:f>Planilha5!$G$3:$G$11</c:f>
              <c:numCache>
                <c:formatCode>General</c:formatCode>
                <c:ptCount val="9"/>
                <c:pt idx="0">
                  <c:v>28</c:v>
                </c:pt>
                <c:pt idx="1">
                  <c:v>26</c:v>
                </c:pt>
                <c:pt idx="2">
                  <c:v>22</c:v>
                </c:pt>
                <c:pt idx="3">
                  <c:v>20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A-430F-8A4D-9B018A9973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0223407"/>
        <c:axId val="510027183"/>
      </c:barChart>
      <c:catAx>
        <c:axId val="47022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027183"/>
        <c:crosses val="autoZero"/>
        <c:auto val="1"/>
        <c:lblAlgn val="ctr"/>
        <c:lblOffset val="100"/>
        <c:noMultiLvlLbl val="0"/>
      </c:catAx>
      <c:valAx>
        <c:axId val="51002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22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[Estatais_rev2.xlsx]Planilha2!Tabela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Planilha2!$A$4:$A$32</c:f>
              <c:strCache>
                <c:ptCount val="28"/>
                <c:pt idx="0">
                  <c:v>SP</c:v>
                </c:pt>
                <c:pt idx="1">
                  <c:v>GO</c:v>
                </c:pt>
                <c:pt idx="2">
                  <c:v>PE</c:v>
                </c:pt>
                <c:pt idx="3">
                  <c:v>SC</c:v>
                </c:pt>
                <c:pt idx="4">
                  <c:v>DF</c:v>
                </c:pt>
                <c:pt idx="5">
                  <c:v>CE</c:v>
                </c:pt>
                <c:pt idx="6">
                  <c:v>BA</c:v>
                </c:pt>
                <c:pt idx="7">
                  <c:v>MG</c:v>
                </c:pt>
                <c:pt idx="8">
                  <c:v>SE</c:v>
                </c:pt>
                <c:pt idx="9">
                  <c:v>RS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PB</c:v>
                </c:pt>
                <c:pt idx="14">
                  <c:v>RN</c:v>
                </c:pt>
                <c:pt idx="15">
                  <c:v>AL</c:v>
                </c:pt>
                <c:pt idx="16">
                  <c:v>AM</c:v>
                </c:pt>
                <c:pt idx="17">
                  <c:v>PI</c:v>
                </c:pt>
                <c:pt idx="18">
                  <c:v>MT</c:v>
                </c:pt>
                <c:pt idx="19">
                  <c:v>AC</c:v>
                </c:pt>
                <c:pt idx="20">
                  <c:v>ES</c:v>
                </c:pt>
                <c:pt idx="21">
                  <c:v>MS</c:v>
                </c:pt>
                <c:pt idx="22">
                  <c:v>MA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  <c:pt idx="27">
                  <c:v>(vazio)</c:v>
                </c:pt>
              </c:strCache>
            </c:strRef>
          </c:cat>
          <c:val>
            <c:numRef>
              <c:f>Planilha2!$B$4:$B$32</c:f>
              <c:numCache>
                <c:formatCode>General</c:formatCode>
                <c:ptCount val="28"/>
                <c:pt idx="0">
                  <c:v>20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7-4A38-961F-CF62B568E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2084703"/>
        <c:axId val="470085087"/>
      </c:barChart>
      <c:catAx>
        <c:axId val="362084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085087"/>
        <c:crosses val="autoZero"/>
        <c:auto val="1"/>
        <c:lblAlgn val="ctr"/>
        <c:lblOffset val="100"/>
        <c:noMultiLvlLbl val="0"/>
      </c:catAx>
      <c:valAx>
        <c:axId val="47008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08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248 Empresas Estatais Estaduais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34-40CC-8F08-574CE1BDE3F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34-40CC-8F08-574CE1BDE3F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4ED-473E-8E30-4DC11F3A22D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ED-473E-8E30-4DC11F3A22DC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34-40CC-8F08-574CE1BDE3F4}"/>
              </c:ext>
            </c:extLst>
          </c:dPt>
          <c:dLbls>
            <c:dLbl>
              <c:idx val="2"/>
              <c:layout>
                <c:manualLayout>
                  <c:x val="-0.11539873140857393"/>
                  <c:y val="-0.1588231741652356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ED-473E-8E30-4DC11F3A22DC}"/>
                </c:ext>
              </c:extLst>
            </c:dLbl>
            <c:dLbl>
              <c:idx val="3"/>
              <c:layout>
                <c:manualLayout>
                  <c:x val="0.11075131233595796"/>
                  <c:y val="-0.1530775549552402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ED-473E-8E30-4DC11F3A22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Planilha2!$G$3:$G$7</c:f>
              <c:strCache>
                <c:ptCount val="5"/>
                <c:pt idx="0">
                  <c:v>Sudeste</c:v>
                </c:pt>
                <c:pt idx="1">
                  <c:v>Centro-Oeste</c:v>
                </c:pt>
                <c:pt idx="2">
                  <c:v>Norte</c:v>
                </c:pt>
                <c:pt idx="3">
                  <c:v>Sul</c:v>
                </c:pt>
                <c:pt idx="4">
                  <c:v>Nordeste</c:v>
                </c:pt>
              </c:strCache>
            </c:strRef>
          </c:cat>
          <c:val>
            <c:numRef>
              <c:f>Planilha2!$H$3:$H$7</c:f>
              <c:numCache>
                <c:formatCode>General</c:formatCode>
                <c:ptCount val="5"/>
                <c:pt idx="0">
                  <c:v>48</c:v>
                </c:pt>
                <c:pt idx="1">
                  <c:v>41</c:v>
                </c:pt>
                <c:pt idx="2">
                  <c:v>36</c:v>
                </c:pt>
                <c:pt idx="3">
                  <c:v>34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D-473E-8E30-4DC11F3A22D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1</xdr:row>
      <xdr:rowOff>38099</xdr:rowOff>
    </xdr:from>
    <xdr:to>
      <xdr:col>13</xdr:col>
      <xdr:colOff>400050</xdr:colOff>
      <xdr:row>36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015D38-61AE-42A1-81C9-FB990DC15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37</xdr:row>
      <xdr:rowOff>66675</xdr:rowOff>
    </xdr:from>
    <xdr:to>
      <xdr:col>13</xdr:col>
      <xdr:colOff>400051</xdr:colOff>
      <xdr:row>73</xdr:row>
      <xdr:rowOff>19051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F1B0FE-06DF-45ED-A8D5-03BD03446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2</xdr:row>
      <xdr:rowOff>90487</xdr:rowOff>
    </xdr:from>
    <xdr:to>
      <xdr:col>8</xdr:col>
      <xdr:colOff>1562100</xdr:colOff>
      <xdr:row>16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EAB5B9-A479-4D28-8AFD-FD6279183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1647825</xdr:colOff>
      <xdr:row>4</xdr:row>
      <xdr:rowOff>176212</xdr:rowOff>
    </xdr:from>
    <xdr:to>
      <xdr:col>11</xdr:col>
      <xdr:colOff>1495425</xdr:colOff>
      <xdr:row>19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E2BBC1-0891-444F-BEA3-59C69A00D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0</xdr:row>
      <xdr:rowOff>14287</xdr:rowOff>
    </xdr:from>
    <xdr:to>
      <xdr:col>15</xdr:col>
      <xdr:colOff>85725</xdr:colOff>
      <xdr:row>14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B64111-D1C2-430B-93A5-3FE1B9927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157162</xdr:colOff>
      <xdr:row>1</xdr:row>
      <xdr:rowOff>133351</xdr:rowOff>
    </xdr:from>
    <xdr:to>
      <xdr:col>19</xdr:col>
      <xdr:colOff>342900</xdr:colOff>
      <xdr:row>31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88DD37-AE7E-4600-B2C6-935E75DE1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19</xdr:row>
      <xdr:rowOff>100012</xdr:rowOff>
    </xdr:from>
    <xdr:to>
      <xdr:col>13</xdr:col>
      <xdr:colOff>247650</xdr:colOff>
      <xdr:row>38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B49956-CFEE-4E47-9CAD-C7D0952F1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REM\3.%20PAF\3.%20Avalia&#231;&#227;o\2018\Arquivos%20de%20Trabalho\DF\Patrim&#244;nio\QUADRO%20DAS%20ESTATAI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de Preenchimento"/>
      <sheetName val="Partic. Majoritárias do Estado"/>
      <sheetName val="Governança das Empresas Majorit"/>
      <sheetName val="Particip. das Estatais"/>
      <sheetName val="Partic. Minoritárias do Estado"/>
      <sheetName val="Governança do Estado"/>
    </sheetNames>
    <sheetDataSet>
      <sheetData sheetId="0" refreshError="1"/>
      <sheetData sheetId="1">
        <row r="30">
          <cell r="AG30">
            <v>97455026.060000002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N" refreshedDate="43668.616472222224" createdVersion="6" refreshedVersion="6" minRefreshableVersion="3" recordCount="250" xr:uid="{6F4B2ED1-7A5A-40D2-A23B-3144E0FC62C2}">
  <cacheSource type="worksheet">
    <worksheetSource ref="A1:M1048576" sheet="PL"/>
  </cacheSource>
  <cacheFields count="12">
    <cacheField name="Estado" numFmtId="0">
      <sharedItems containsBlank="1" count="28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  <m/>
      </sharedItems>
    </cacheField>
    <cacheField name="Empresa" numFmtId="0">
      <sharedItems containsBlank="1" count="248">
        <s v="EMP. DE PROC. DE DADOS DO ACRE S/A - ACREDATA"/>
        <s v="BANACRE S/A EM LIQUIDAÇÃO ORDINARIA"/>
        <s v="CAGEACRE"/>
        <s v="COMPANHIA INDUSTRIAL DE LATICINIOS "/>
        <s v="COMPANHIA DE DESENVOL IND DO EST DO ACRE-CODISACRE "/>
        <s v="COMPANHIA DE DESENVOLVIMENTO AGRARIO E COLONIZAÇÃO DO ACRE - COLONACRE"/>
        <s v="CIA DE SANEAMENTO DO ESTADO DO ACRE-SANACRE"/>
        <s v="Agência de Fomento de Alagoas S/A - DESENVOLVE"/>
        <s v="Companhia Alagoana de Recursos Humanos e Patrimoniais - CARHP"/>
        <s v="Serviços de Engenharia do Estado de Alagoas - SERVEAL"/>
        <s v="Banco do Estado de Alagoas - PRODUBAN"/>
        <s v="COMPANHIA DE SANEAMENTO DE ALAGOAS - CASAL"/>
        <s v="GAS DE ALAGOAS S/A - ALGAS"/>
        <s v="Laboratório Industrial Farmacêutico de Alagoas S.A. – LIFAL"/>
        <s v="ALAGOAS ATIVOS S.A."/>
        <s v="Companhia de Edição, Impressão e Publicação de Alagoas - CEPAL"/>
        <s v="Companhia de Saneamento do Amazonas - Cosama"/>
        <s v="Agência de Desenvolvimento Sustentável do Amazonas - ADS"/>
        <s v="Empresa Estadual de Turismo"/>
        <s v="Companhia de Gás do Amazonas - Cigás"/>
        <s v="CIAMA"/>
        <s v="PRODAM - PROC. DE DADOS AMAZONAS S.A."/>
        <s v="AGÊNCIA DE FOMENTO DO ESTADO DO AMAZONAS"/>
        <s v="Companhia de Água e Esgoto do Amapá "/>
        <s v="Companhia de Eletricidade do Amapá "/>
        <s v="EMPRESA BAIANA DAS ÁGUAS E SANEAMENTO"/>
        <s v="COMPANHIA BAIANA DE PESQUISA MINERAL CBPM"/>
        <s v="BAHIA PESCA S/A"/>
        <s v="CAR"/>
        <s v="CONDER"/>
        <s v="CERB"/>
        <s v="COMPANHIA  DE GAS DA BAHIA - BAHIAGAS"/>
        <s v="BAHIAINVESTE - EMPRESA BAIANA DE ATIVOS S/A"/>
        <s v="DESENBAHIA"/>
        <s v="PRODEB"/>
        <s v="EGBA"/>
        <s v="URBIS"/>
        <s v="Empresa de Assistência Técnica e Extensão Rural do Ceará - EMATERCE"/>
        <s v="Empresa de Tecnologia da Informação do Ceará - ETICE"/>
        <s v="Companhia de Habitação do Ceará - COHAB"/>
        <s v="Companhia de Desenvolvimento do Ceará - CODECE"/>
        <s v="Companhia de Água e Esgoto do Ceará - CAGECE"/>
        <s v="Companhia de Gás do Ceará - CEGÁS"/>
        <s v="Companhia Cearense de Transportes Metropolitanos - METROFOR"/>
        <s v="Companhia do Complexo Industrial e Portuária do Pecém - CIPP S/A"/>
        <s v="Centrais de Abastecimento do Ceará S/A - CEASA"/>
        <s v="Companhia de Gestão dos Recursos Hídricos do Ceará - COGERH"/>
        <s v="Agência de Desenvolvimento do Estado do Ceará - ADECE"/>
        <s v="Companhia Adm. da Zona de Process. de Exportação do Ceará - ZPE CEARÁ"/>
        <s v=" COMPANHIA DE DESENVOLVIMENTO DO  DF - CODEPLAN "/>
        <s v=" COMPANHIA URBANIZADORA DA NOVA CAPITAL - NOVACAP"/>
        <s v="TRASNPORTES COLETIVOS DE BRASILIA - TCB"/>
        <s v=" COMPANHIA METROPOLITANA DO  DF - METRÔ DF"/>
        <s v=" EMPRESA DE ASSISTENCIA TÉCNICA E EXTENSÃO RURAL DO DF - EMATER"/>
        <s v="COMPANHIA DE DESENVOLVIMENTO HABITACIONAL DO DF - CODHAB"/>
        <s v="SOCIEDADE DE ABASTECIMENTO DE BRASILIA - SAB "/>
        <s v="BANCO DE BRASILIA - BRB "/>
        <s v="COMPANHIA DE SANEAMENTO AMBIENTAL DO DF - CAESB"/>
        <s v="COMPANHIA ENERGETICA DE BRASILIA - CEB "/>
        <s v="CENTRAIS DE ABASTECIMENTO DO DISTRITO FEDERAL  - CEASA "/>
        <s v="COMPANHIA IMOBILIARIA DE BRASILIA  - TERRACAP"/>
        <s v="DF GESTÃO DE ATIVOS  S . A. "/>
        <s v="Ceasa - Centrais de Abastecimento do Espirito Santo S/A"/>
        <s v="Cohab - Companhia de Habitação e Urbanização do Estado do Espirito Santo - Em Liquidação"/>
        <s v="Banestes - Banco do Estado do Espirito Santo"/>
        <s v="Bandes - Banco de Desenvolvimento do Espírito Santo S/A"/>
        <s v="Cesan - Companhia Espirito Santense de Saneamento"/>
        <s v="Ceturb - Companhia Estadual de Transportes Coletivos de Passageiros do Espirito Santo"/>
        <s v="CASEGO - COMPANHIA DE ARMAZÉM E SILOS DO ESTADO DE GOIÁS S/A"/>
        <s v="EMATER - AGENCIA GOIANA DE ASSISTENCIA TECNICA, EXTENSAO RURAL E PESQUISA AGROPECUARIA"/>
        <s v="GOIASTELECOM - GOIAS TELECOMUNICACOES S/A"/>
        <s v="METAGO - METAIS DE GOIAS S/A"/>
        <s v="PRODAGO - EMPRESA ESTADUAL DE PROCESSAMENTO DE DADOS DE GOIAS"/>
        <s v="AGEHAB - AGENCIA GOIANA DE HABITAÇÃO S/A"/>
        <s v="CAIXEGO - CAIXA ECONÔMICA DO ESTADO DE GOIÁS S/A"/>
        <s v="CEASA - CENTRAIS DE ABASTECIMENTO DE GOIÁS"/>
        <s v="CELGPAR - CIA CELG DE PARTICIPACOES"/>
        <s v="CODEGO - COMPANHIA DE DESENVOLVIMENTO ECONÔMICO DE GOIÁS"/>
        <s v="GOIASFOMENTO - AGENCIA DE FOMENTO DE GOIAS"/>
        <s v="GOIASGAS - AGENCIA GOIANA DE GAS CANALIZADO S/A"/>
        <s v="GOIASPARCERIAS - COMPANHIA DE INVESTIMENTO E PARCERIAS DO ESTADO DE GOIAS"/>
        <s v="IQUEGO - INDÚSTRIA QUÍMICA DO ESTADO DE GOIÁS S/A"/>
        <s v="METROBUS - METROBUS TRANSPORTE COLETIVO S/A"/>
        <s v="SANEAGO - SANEAMENTO DE GOIAS S/A"/>
        <s v="EMPRESA MARANHENSE DE ADMINISTRACAO D RECURSOS HUMANOS E NEGOCIOS PUBLICOS S.A"/>
        <s v="EMPRESA MARANHENSE DE SERVIÇOS HOSPITALARES - EMSERH"/>
        <s v="COMPANHIA DE SANEAMENTO AMBIENTAL DO MARANHÃO - CAEMA"/>
        <s v="EMAP"/>
        <s v="COMPANHIA MARANHENSE DE GAS - GASMAR"/>
        <s v="BANCO DE DESENVOLVIMENTO DE MINAS GERAIS S.A. - BDMG"/>
        <s v="COMPANHIA DE DESENVOLVIMENTO ECONÔMICO DE MINAS GERAIS - CODEMIG"/>
        <s v="COMPANHIA DE GÁS DE MINAS GERAIS - GASMIG"/>
        <s v="COMPANHIA DE HABITAÇÃO DO ESTADO DE MINAS GERAIS - COHAB"/>
        <s v="COMPANHIA DE SANEAMENTO DE MINAS GERAIS - COPASA"/>
        <s v="COMPANHIA DE TECNOLOGIA DA INFORMAÇÃO DO ESTADO DE MINAS GERAIS - PRODEMGE"/>
        <s v="COMPANHIA ENERGÉTICA DE MINAS GERAIS - CEMIG HOLDING"/>
        <s v="COPASA - SERVIÇOS DE SANEAMENTO INTEGRADO DO NORTE E NORDESTE DE MINAS GERAIS S/A - COPANOR"/>
        <s v="INSTITUTO DE DESENVOLVIMENTO INTEGRADO DE MINAS GERAIS - INDI"/>
        <s v="MINAS GERAIS ADMINISTRAÇÃO E SERVIÇOS S.A. - MGS"/>
        <s v="MINAS GERAIS PARTICIPAÇÕES S.A."/>
        <s v="TREM METROPOLITANO DE BELO HORIZONTE S.A. - TREM METROPOLITANO"/>
        <s v="EMPRESA DE SERVIÇOS AGROPECUÁRIOS DE MS (EM LIQUIDAÇÃO)"/>
        <s v="EMPRESA DE GESTÃO DE RECURSOS MINERAIS DE MS - MS MINERAL"/>
        <s v="EMPRESA DE SANEAMENTO DE MS S.A.-SANESUL"/>
        <s v="COMPANHIA DE GAS DO ESTADO DE MATO GROSSO DO SUL - MSGAS"/>
        <s v="CENTRAIS DE ABASTECIMENTO DE MATO GROSSO DO SUL S/A CEASA/ MS"/>
        <s v="METAMAT"/>
        <s v="EMPAER-MT"/>
        <s v="COMPANHIA MATOGROSSENSE DE GAS - MTGAS"/>
        <s v="MT PARCERIAS S.A."/>
        <s v="EMPRESA MATOGROSSENSE DE TECNOLOGIA  DA INFORMAÇÃO - MTI"/>
        <s v="COMPANHIA DE SANEAMENTO DO ESTADO"/>
        <s v="Agência de Fomento do Estado de Mato Grosso S/A - DESENVOLVE MT"/>
        <s v="COMP. ADM DA ZONA DE PROC DE EXP BARCARENA"/>
        <s v="Banco do Estado do Pará"/>
        <s v="COMPANHIA DE PORTOS E HID. DO ESTADO DO PARA"/>
        <s v="CENTRAIS DE ABASTECIMENTO DO PARA AS"/>
        <s v="COMP.DE DESENV. ECONOMICO DO PARÁ"/>
        <s v="COMPANHIA DE HAB. DO ESTADO DO PARÁ"/>
        <s v="COMPANHIA DE SANEAMENTO DO PARÁ"/>
        <s v="EMP DE ASSIST TEC E EXTENSAO RURAL DO ESTADO DO PARÁ"/>
        <s v="COMPANHIA DE GAS DO PARA "/>
        <s v="Empresa de Tec. da Inf. e Comunicação do Estado do Pará - PRODEPA"/>
        <s v="Empresa Paraibana de Turismo S/A (PBTUR S/A)"/>
        <s v="Cia. de Desenvolvimento da Paraíba (CINEP)"/>
        <s v="Laboratório Industria Farmacêutica da Paraíba S/A (LIFESA)"/>
        <s v="Empresa de Assist.Técnica e Extensão Rural (EMATER)"/>
        <s v="Empresa Paraibana de Abast.e Serv. Agrícolas (EMPASA) - em liquidação"/>
        <s v="Cia. de Process.de Dados - CODATA"/>
        <s v="Companhia Paraíbana de Gás"/>
        <s v="Companhia DOCAS da Paraíba"/>
        <s v="Cia .de Água e Esgotos da Paraíba - CAGEPA"/>
        <s v="COMPANHIA ESTADUAL DE HABITAÇÃO E OBRAS - CEHAB"/>
        <s v="CONSORCIO DE TRANSPORTES DA REGIAO METROPOLITANA DO RECIFE"/>
        <s v="EMPRESA PERNAMBUCO DE COMUNICAÇÃO S/A - EPC"/>
        <s v="INSTITUTO AGRONÔMICO DE PERNAMBUCO - IPA"/>
        <s v="EMPRESA DE TURISMO DE PERNAMBUCO GOVERNADOR EDUARDO CAMPOS - EMPETUR"/>
        <s v="EMPRESA PERNAMBUCANA DE TRANSPOSTE COLETIVO INTERMUNICIPAL"/>
        <s v="PERNAMBUCO PARTICIPAÇÕES E INVESTIMENTOS S.A. - PERPART"/>
        <s v="AGENCIA DE FOMENTO DO ESTADO DE PERNAMBUCO"/>
        <s v="COMPANHIA EDITORA DE PERNAMBUCO"/>
        <s v="COMPANHIA PERNAMBUCANA DE SANEAMENTO"/>
        <s v="LABORATORIO FARMACEUTICO DO ESTADO DE PERNAMBUCO GOVERNADOR MIGUEL ARRAES S/A - LAFEPE"/>
        <s v="SUAPE COMPLEXO INDUSTRIAL PORTUÁRIO GOVERNADOR ERALDO GUEIROS"/>
        <s v="AGENCIA DE DESENVOLVIMENTO ECONOMICO DE PERNAMBUCO AS - AD DIPER"/>
        <s v="COMPANHIA PERNAMBUCANA DE GÁS - COPERGÁS"/>
        <s v="PORTO DO RECIFE S.A."/>
        <s v="Cia. de Gás do Piauí - GASPISA"/>
        <s v="Cia. Energética do Estado do Piauí S/A - CEPISA (não consta na LOA - Privatizou?)"/>
        <s v="Águas e Esgotos do Piauí S/A - AGESPISA"/>
        <s v="Agência de Fomento e Desenvolvimento do Piauí"/>
        <s v="Cia de Adm. da ZPE de Parnaíba"/>
        <s v="Cia. De Terminais Alfandegados"/>
        <s v="Cia Metropolitana de Transportes Públicos"/>
        <s v="Companhia de Desenvolvimento Agropecuário do Paraná (CODAPAR)"/>
        <s v="Companhia de Saneamento do Paraná - SANEPAR"/>
        <s v="Administração dos Portos de Paranaguá e Antonia - APPA"/>
        <s v="Companhia de Tecnologia da Informação e Comunicação do Paraná – CELEPAR"/>
        <s v="Estrada de Ferro Paraná Oeste S/A"/>
        <s v="Companhia Paranaense de Energia - Copel (Consolidado)"/>
        <s v="Centrais de Abastecimento do Paraná S/A - CEASA"/>
        <s v="Instituto de Tecnologia do Paraná – TECPAR"/>
        <s v="Companhia de Habitação do Paraná - COHAPAR"/>
        <s v="Agência de Fomento do Paraná"/>
        <s v="COMPANHIA DE TRANSPORTES SOBRE  TRILHOS DO ESTADO DO RIO DE JANEIRO - RIOTRILHOS"/>
        <s v="EMPRESA DE OBRAS PÚBLICAS DO ESTADO DO RIO DE JANEIRO"/>
        <s v="EMPRESA DE PESQUISA AGROPECUARIA ESTADO RIO DE JANEIRO "/>
        <s v="EMPRESA DE ASSISTENCIA TECNICA E EXTENSAO RURAL DO ESTADO DO RIO DE JANEIRO - EMATER-RIO"/>
        <s v="Cia de Desenvolvimento Industrial do ERJ - CODIN"/>
        <s v="Companhia Estadual de Habitação do Rio de janeiro CEHAB RJ"/>
        <s v="COMPANHIA DE DESENVOLVIMENTO ROD E TERMINAIS DO EST RJ - CODERTE"/>
        <s v="COMPANHIA DE ARMAZÉNS E SILOS DO ESTADO DO RIO DE JANEIRO"/>
        <s v="CENTRAIS DE ABAST DO ESTADO DO RJ S/A"/>
        <s v="CIA.  DE TURISMO DO ESTADO DO RJ"/>
        <s v="CEHAB"/>
        <s v="EMPARN"/>
        <s v="CEASA"/>
        <s v="EMPROTUR"/>
        <s v="DATANORTE"/>
        <s v="CAERN"/>
        <s v="EMGERN"/>
        <s v="POTIGAS"/>
        <s v="AGN"/>
        <s v="COMPANHIA RONDONIENSE DE GÁS - RONGÁS"/>
        <s v="Companhia de Águas e Esgotos de Rondônia - CAERD"/>
        <s v="SOCIEDADE DE PORTOS E HIDROVIAS DE RONDÔNIA - SOPH/RO"/>
        <s v="Companhia de Mineração de Rondônia - CMR"/>
        <s v="Companhia de Desenvolvimento de Roraima"/>
        <s v="Companhia de Águas e Esgotos de Roraima"/>
        <s v="Agência de Desenvolvimento do Estado de Roraima"/>
        <s v="Companhia de Processamento de Dados do Estado do RS - PROCERGS"/>
        <s v="Companhia de Gás do Estado RGS - SULGÁS"/>
        <s v="Caixa de Administração da Dívida Pública Estadual - CADIP"/>
        <s v="Companhia Riograndense de Mineração - CRM"/>
        <s v="Centrais de Abastecimento do Rio Grande do Sul - CEASA"/>
        <s v="Companhia Riograndense de Saneamento - CORSAN"/>
        <s v="Companhia Estadual de Geração e Transmição de Energia Eletrica - CEEE-GT"/>
        <s v="Companhia Estadual de Distribuição de Enegia Eletrica - CEEE-D"/>
        <s v="Empresa Gaúcha de Rodovias - EGR"/>
        <s v="Banco do Estado do Rio Grande do Sul - BANRISUL"/>
        <s v="BADESUL Desenvolvimento S.A. - Agência de Fomento/RS"/>
        <s v="Companhia de Habitação do Estado de Santa Catarina - COHAB - Em liquidação"/>
        <s v="Companhia Integrada de Desnvolvimento Agrícola de Santa Catarina - CIDASC"/>
        <s v="Santa Catarina Turismo S.A - SANTUR"/>
        <s v="Empresa de Pesquisa Agropecuária e Extensão Rual de Santa Catarina - EPAGRI"/>
        <s v="Cia de Desenvolvimento do Estado de Santa Catarina - CODESC - em Liquidação"/>
        <s v="Agência de Fomento do Estado de Santa Catarina S/A - BADESC"/>
        <s v="Centrais Elétricas de Santa Catarina - CELESC"/>
        <s v="Santa Catarina Participação e Investimentos S/A - INVESC"/>
        <s v="Centrais de Abastecimento do Estado de Santa Catarina S/A - CEASA"/>
        <s v="Centro de Informatica e Automação de SC S/A - CIASC"/>
        <s v="Companhia Catarinense de Aguas e Saneamento - CASAN"/>
        <s v="Cia de Distritos Industriais de Santa Catarina - CODISC - em Liquidação"/>
        <s v="SC Participações e Parceria S.A (SCPar)"/>
        <s v="EMPRESA DE DESENVOLVIMENTO AGROPECOARIO DE SERGIPE -  EMDAGRO"/>
        <s v="COMPANHIA ESTADUAL DE HABITAÇÃO E OBRAS PUBLICAS - CEHOP"/>
        <s v="EMPRESA SERGIPANA DE TECNOLOGIA DA INFORMÇÃO - EMGETIS"/>
        <s v="COMPANHIA DE DESENVOLVIMENTO ECONÔMICO DE SERGIPE - CODISE"/>
        <s v="EMPRESA SERGIPANA DE TURISMO S/A"/>
        <s v="COMPANHIA  DESENV.DE RECUR. HIDRI. IRRIGAÇÃO DE  SERGIPE - COHIDRO"/>
        <s v="EMPRESA DE DESEN. SUST. DO EST. DE SERGIPE - PRONESE"/>
        <s v="SERGIPE GAS S/A - SERGAS"/>
        <s v="COMPANHIA DE SANEAMENTO DE SERGIPE – DESO"/>
        <s v="SERVICOS GRAFICOS DE SERGIPE -SEGRASE"/>
        <s v="BANCO DO ESTADO DE SERGIPE S.A."/>
        <s v="CETESB - COMPANHIA AMBIENTAL DO ESTADO DE SÃO PAULO"/>
        <s v="COMPANHIA DOCAS DE SÃO SEBASTIÃO"/>
        <s v="CODASP - COMPANHIA DE DESENVOLVIMENTO AGRÍCOLA DE SÃO PAULO"/>
        <s v="EMPLASA - EMPRESA PAULISTA DE PLANEJAMENTO METROPOLITANO S/A"/>
        <s v="IPT - INSTITUTO DE PESQUISAS TECNOLÓGICAS DO ESTADO DE SÃO PAULO S/A"/>
        <s v="CPTM - COMPANHIA PAULISTA DE TRASNPORTE METROPOLITANO"/>
        <s v="SABESP - COMPANHIA DE SANEAMENTO BÁSICO DE SÃO PAULO"/>
        <s v="PRODESP - CIA DE PROCESSAMENTO DE DADOS DO ESTADO DE SÃO PAULO"/>
        <s v="COSESP - COMPANHIA DE SEGUROS DO ESTADO DE SÃO PAULO "/>
        <s v="METRÔ - COMPANHIA DO METROPOLITANO DE SÃO PAULO "/>
        <s v="DESENVOLVE SP - AGÊNCIA DE FOMENTO DO ESTADO DE SÃO PAULO S.A."/>
        <s v="EMTU - EMPRESA METROPOLITANA DE TRANSPORTES URBANOS S.A"/>
        <s v="EMAE - EMPRESA METROPOLITANA DE ÁGUAS E ENERGIA"/>
        <s v="CDHU - COMPANHIA DE DESENVOLVIMENTO HABITACIONAL E URBANO"/>
        <s v="CPOS - COMPANHIA PAULISTA DE OBRAS E SERVIÇOS "/>
        <s v="CPSEC - COMPANHIA PAULISTA DE SECURITIZAÇÃO"/>
        <s v="CPP - COMPANHIA PAULISTA DE PARCERIAS  **"/>
        <s v="IMESP - IMPRENSA OFICIAL DO ESTADO S.A"/>
        <s v="DERSA - DESENVOLVIMENTO RODOVIÁRIO S/A"/>
        <s v="AGÊNCIA DE FOMENTO DO TOCANTINS"/>
        <s v="COMPANHIA IMOB. DO ESTADO DO TOCANTINS - TERRATINS"/>
        <s v="COMPANHIA DE MINERAÇÃO DO TOCANTINS - MINERATINS"/>
        <m/>
      </sharedItems>
    </cacheField>
    <cacheField name="Sigla" numFmtId="0">
      <sharedItems containsBlank="1"/>
    </cacheField>
    <cacheField name="Dependência" numFmtId="0">
      <sharedItems containsBlank="1" count="3">
        <s v="Dependente"/>
        <s v="Não Dependente"/>
        <m/>
      </sharedItems>
    </cacheField>
    <cacheField name="Segmento" numFmtId="0">
      <sharedItems containsBlank="1" count="19">
        <s v="INFORMÁTICA"/>
        <s v="FINANCEIRO"/>
        <s v="SERVIÇOS PÚBLICOS"/>
        <s v="ABASTECIMENTO"/>
        <s v="SANEAMENTO"/>
        <s v="DESENVOLVIMENTO"/>
        <s v="ASSIS, TÉCNICA"/>
        <s v="DISTRIBUIÇÃO DE GÁS"/>
        <s v="OUTRO"/>
        <s v="GESTÃO DE ATIVOS"/>
        <s v="COMUNICAÇÕES"/>
        <s v="ENERGIA"/>
        <s v="URBANIZAÇÃO"/>
        <s v="HABITAÇÃO"/>
        <s v="TRANSPORTES"/>
        <s v="SAÚDE"/>
        <m/>
        <s v="PESQUISA"/>
        <s v="PORTOS E HIDROVIAS"/>
      </sharedItems>
    </cacheField>
    <cacheField name="PL" numFmtId="0">
      <sharedItems containsString="0" containsBlank="1" containsNumber="1" minValue="-2352441000" maxValue="32291500000"/>
    </cacheField>
    <cacheField name="Lucros / Prejuízos" numFmtId="0">
      <sharedItems containsBlank="1" containsMixedTypes="1" containsNumber="1" minValue="-989345000" maxValue="2835068000"/>
    </cacheField>
    <cacheField name="Dividendos " numFmtId="0">
      <sharedItems containsString="0" containsBlank="1" containsNumber="1" minValue="0" maxValue="353761000"/>
    </cacheField>
    <cacheField name="Passivo Assumido" numFmtId="0">
      <sharedItems containsBlank="1" containsMixedTypes="1" containsNumber="1" minValue="0" maxValue="1520639140.95" count="36">
        <m/>
        <n v="42235798.060000002"/>
        <n v="2670849.4700000002"/>
        <n v="18113185.359999999"/>
        <n v="56759544.520000003"/>
        <n v="366702563"/>
        <n v="6838081.7699999996"/>
        <n v="130629761.31"/>
        <n v="3828583.68"/>
        <n v="296829.01"/>
        <n v="4103922.05"/>
        <n v="3620.67"/>
        <n v="17624"/>
        <n v="259046939"/>
        <n v="4955.22"/>
        <n v="522707.51"/>
        <n v="118756.21"/>
        <n v="621890.07999999996"/>
        <n v="3331544.89"/>
        <n v="711616.71"/>
        <n v="1675033.97"/>
        <n v="202799734"/>
        <n v="240313"/>
        <n v="37504179"/>
        <s v="-"/>
        <n v="88938382"/>
        <n v="1520639140.95"/>
        <n v="29959277.760000002"/>
        <n v="55539425.899999999"/>
        <n v="20311372.079999998"/>
        <n v="60336368.759999998"/>
        <s v="                                          -  "/>
        <n v="4928398.7299999995"/>
        <n v="536601.81000000006"/>
        <n v="4372744.87"/>
        <n v="0"/>
      </sharedItems>
    </cacheField>
    <cacheField name="Subvenção" numFmtId="0">
      <sharedItems containsBlank="1" containsMixedTypes="1" containsNumber="1" minValue="0" maxValue="958888000" count="66">
        <n v="8742169.7599999998"/>
        <n v="1398"/>
        <m/>
        <n v="2471640.77"/>
        <n v="4282165.53"/>
        <n v="3076558.54"/>
        <n v="21257052.620000001"/>
        <n v="152356690"/>
        <n v="80293551.510000005"/>
        <n v="10083511.880000001"/>
        <n v="20287129.75"/>
        <n v="21329444.129999999"/>
        <n v="0"/>
        <n v="37133"/>
        <n v="2999457"/>
        <n v="2367464.0299999998"/>
        <s v="-"/>
        <n v="174514100.63"/>
        <n v="705000"/>
        <n v="11831310.699999999"/>
        <n v="24423473.920000002"/>
        <n v="7205124.0300000003"/>
        <n v="1919000"/>
        <n v="65741109.520000003"/>
        <n v="842558155.92999995"/>
        <n v="19796.93"/>
        <n v="4145623.09"/>
        <n v="14541744.480800018"/>
        <n v="21532108"/>
        <n v="9326086.9299999997"/>
        <n v="12611295.779999999"/>
        <n v="4237079.03"/>
        <n v="72347464.170000002"/>
        <n v="120279589.23999999"/>
        <n v="53863663.200000003"/>
        <n v="54479571.460000001"/>
        <n v="166248003"/>
        <n v="4600054"/>
        <n v="96473246"/>
        <n v="73291133"/>
        <n v="2386838"/>
        <n v="88806024"/>
        <n v="88852712"/>
        <n v="118471548"/>
        <n v="12098120"/>
        <n v="37636867.840000004"/>
        <n v="88363972.459999993"/>
        <n v="20461009.859999999"/>
        <n v="61586954.340000004"/>
        <n v="4721472.8"/>
        <n v="14186004.449999999"/>
        <s v="ND"/>
        <n v="14137577"/>
        <n v="8620345.8699999992"/>
        <n v="4287481.88"/>
        <n v="20032620.949999999"/>
        <n v="1928781.64"/>
        <n v="8447006.4199999999"/>
        <n v="13376238.9"/>
        <n v="333578562.31"/>
        <n v="166623000"/>
        <n v="16758000"/>
        <n v="28582000"/>
        <n v="40347000"/>
        <n v="89764000"/>
        <n v="958888000"/>
      </sharedItems>
    </cacheField>
    <cacheField name="Reforço de Capital" numFmtId="0">
      <sharedItems containsBlank="1" containsMixedTypes="1" containsNumber="1" minValue="0" maxValue="5000000000" count="53">
        <m/>
        <n v="600000"/>
        <n v="135895601.53999999"/>
        <n v="7000000"/>
        <n v="97240040.4572943"/>
        <n v="0"/>
        <n v="174514100.63"/>
        <n v="25620.11"/>
        <n v="31939919.82"/>
        <n v="102887047.20999999"/>
        <n v="140420000"/>
        <n v="120266"/>
        <n v="292463"/>
        <n v="2650000"/>
        <n v="487363"/>
        <n v="26018649"/>
        <n v="20000000"/>
        <n v="350523"/>
        <n v="277125"/>
        <n v="954440"/>
        <n v="150117300.06"/>
        <s v="-"/>
        <n v="20453416"/>
        <n v="513906733.42000002"/>
        <n v="3170000"/>
        <n v="2362872.48"/>
        <n v="2450000"/>
        <n v="8000000"/>
        <n v="122887545"/>
        <n v="78409000"/>
        <s v="         -  "/>
        <n v="12160.38"/>
        <s v="                              -  "/>
        <n v="9975363.9799999986"/>
        <n v="170000"/>
        <n v="1000000"/>
        <n v="4854000"/>
        <n v="7293811.54"/>
        <n v="866345.6"/>
        <n v="11447648"/>
        <n v="407000"/>
        <n v="51000"/>
        <n v="865656000"/>
        <n v="5000000000"/>
        <n v="10424000"/>
        <n v="2055429000"/>
        <n v="347000000"/>
        <n v="186488000"/>
        <n v="611250000"/>
        <n v="8137000"/>
        <n v="65128000"/>
        <n v="65822000"/>
        <n v="185000"/>
      </sharedItems>
    </cacheField>
    <cacheField name="Resultado para o Estado Acionista" numFmtId="0" formula="'Dividendos '-Subvenção-'Reforço de Capital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go Maranhao Barreto Pereira" refreshedDate="43670.542592361111" createdVersion="6" refreshedVersion="6" minRefreshableVersion="3" recordCount="258" xr:uid="{2098D61C-8049-494F-BED7-B4B10BDC2885}">
  <cacheSource type="worksheet">
    <worksheetSource ref="A1:F259" sheet="PL"/>
  </cacheSource>
  <cacheFields count="5">
    <cacheField name="Estado" numFmtId="0">
      <sharedItems/>
    </cacheField>
    <cacheField name="Empresa" numFmtId="0">
      <sharedItems/>
    </cacheField>
    <cacheField name="Sigla" numFmtId="0">
      <sharedItems containsBlank="1"/>
    </cacheField>
    <cacheField name="Dependência" numFmtId="0">
      <sharedItems count="3">
        <s v="Dependente"/>
        <s v="Não Dependente"/>
        <s v="Não Informado"/>
      </sharedItems>
    </cacheField>
    <cacheField name="Segmento" numFmtId="0">
      <sharedItems count="20">
        <s v="INFORMÁTICA"/>
        <s v="FINANCEIRO"/>
        <s v="SERVIÇOS PÚBLICOS"/>
        <s v="ABASTECIMENTO"/>
        <s v="SANEAMENTO"/>
        <s v="DESENVOLVIMENTO"/>
        <s v="ASSIS, TÉCNICA"/>
        <s v="DISTRIBUIÇÃO DE GÁS"/>
        <s v="OUTRO"/>
        <s v="GESTÃO DE ATIVOS"/>
        <s v="COMUNICAÇÕES"/>
        <s v="ENERGIA"/>
        <s v="URBANIZAÇÃO"/>
        <s v="HABITAÇÃO"/>
        <s v="TRANSPORTES"/>
        <s v="SAÚDE"/>
        <s v="PESQUISA"/>
        <s v="MINERAÇÃO"/>
        <s v="TELECOMUNICAÇÕES"/>
        <s v="PORTOS E HIDROVI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m/>
    <x v="0"/>
    <x v="0"/>
    <n v="52502677.979999997"/>
    <n v="7305574.7400000002"/>
    <m/>
    <x v="0"/>
    <x v="0"/>
    <x v="0"/>
  </r>
  <r>
    <x v="0"/>
    <x v="1"/>
    <m/>
    <x v="0"/>
    <x v="1"/>
    <n v="-185821"/>
    <n v="-1704"/>
    <m/>
    <x v="0"/>
    <x v="1"/>
    <x v="0"/>
  </r>
  <r>
    <x v="0"/>
    <x v="2"/>
    <m/>
    <x v="0"/>
    <x v="2"/>
    <m/>
    <m/>
    <m/>
    <x v="0"/>
    <x v="2"/>
    <x v="0"/>
  </r>
  <r>
    <x v="0"/>
    <x v="3"/>
    <m/>
    <x v="0"/>
    <x v="2"/>
    <n v="41354413.369999997"/>
    <n v="-5249854.38"/>
    <m/>
    <x v="1"/>
    <x v="3"/>
    <x v="0"/>
  </r>
  <r>
    <x v="0"/>
    <x v="4"/>
    <m/>
    <x v="0"/>
    <x v="2"/>
    <n v="7869740.0599999996"/>
    <n v="-3372681.29"/>
    <m/>
    <x v="2"/>
    <x v="4"/>
    <x v="0"/>
  </r>
  <r>
    <x v="0"/>
    <x v="5"/>
    <m/>
    <x v="0"/>
    <x v="3"/>
    <n v="-5312747.46"/>
    <n v="-1976962.1"/>
    <m/>
    <x v="0"/>
    <x v="2"/>
    <x v="0"/>
  </r>
  <r>
    <x v="0"/>
    <x v="6"/>
    <m/>
    <x v="0"/>
    <x v="4"/>
    <n v="2897848.98"/>
    <n v="0"/>
    <m/>
    <x v="3"/>
    <x v="5"/>
    <x v="0"/>
  </r>
  <r>
    <x v="1"/>
    <x v="7"/>
    <m/>
    <x v="0"/>
    <x v="5"/>
    <m/>
    <m/>
    <m/>
    <x v="0"/>
    <x v="2"/>
    <x v="0"/>
  </r>
  <r>
    <x v="1"/>
    <x v="8"/>
    <m/>
    <x v="0"/>
    <x v="2"/>
    <m/>
    <m/>
    <m/>
    <x v="0"/>
    <x v="2"/>
    <x v="0"/>
  </r>
  <r>
    <x v="1"/>
    <x v="9"/>
    <m/>
    <x v="0"/>
    <x v="6"/>
    <m/>
    <m/>
    <m/>
    <x v="0"/>
    <x v="2"/>
    <x v="0"/>
  </r>
  <r>
    <x v="1"/>
    <x v="10"/>
    <m/>
    <x v="0"/>
    <x v="1"/>
    <m/>
    <m/>
    <m/>
    <x v="0"/>
    <x v="2"/>
    <x v="0"/>
  </r>
  <r>
    <x v="1"/>
    <x v="11"/>
    <s v="CASAL"/>
    <x v="1"/>
    <x v="4"/>
    <n v="-546777148.64999998"/>
    <n v="7543037.3399999999"/>
    <m/>
    <x v="0"/>
    <x v="2"/>
    <x v="0"/>
  </r>
  <r>
    <x v="1"/>
    <x v="12"/>
    <s v="ALGÁS"/>
    <x v="1"/>
    <x v="7"/>
    <n v="85978000"/>
    <n v="22825000"/>
    <m/>
    <x v="0"/>
    <x v="2"/>
    <x v="0"/>
  </r>
  <r>
    <x v="1"/>
    <x v="13"/>
    <s v="LIFAL"/>
    <x v="1"/>
    <x v="8"/>
    <m/>
    <m/>
    <m/>
    <x v="0"/>
    <x v="2"/>
    <x v="0"/>
  </r>
  <r>
    <x v="1"/>
    <x v="14"/>
    <m/>
    <x v="1"/>
    <x v="9"/>
    <m/>
    <m/>
    <m/>
    <x v="0"/>
    <x v="2"/>
    <x v="0"/>
  </r>
  <r>
    <x v="1"/>
    <x v="15"/>
    <s v="CEPAL"/>
    <x v="1"/>
    <x v="10"/>
    <n v="6721921.4699999997"/>
    <n v="87201.13"/>
    <m/>
    <x v="0"/>
    <x v="2"/>
    <x v="0"/>
  </r>
  <r>
    <x v="2"/>
    <x v="16"/>
    <m/>
    <x v="0"/>
    <x v="4"/>
    <n v="8060890.0199999996"/>
    <n v="-4816384.63"/>
    <m/>
    <x v="0"/>
    <x v="6"/>
    <x v="1"/>
  </r>
  <r>
    <x v="2"/>
    <x v="17"/>
    <m/>
    <x v="0"/>
    <x v="8"/>
    <n v="-4139327"/>
    <n v="-1476082"/>
    <m/>
    <x v="0"/>
    <x v="7"/>
    <x v="0"/>
  </r>
  <r>
    <x v="2"/>
    <x v="18"/>
    <m/>
    <x v="0"/>
    <x v="8"/>
    <n v="6468786.2400000002"/>
    <n v="-414186.43"/>
    <m/>
    <x v="0"/>
    <x v="8"/>
    <x v="0"/>
  </r>
  <r>
    <x v="2"/>
    <x v="19"/>
    <m/>
    <x v="1"/>
    <x v="7"/>
    <n v="162734777.41"/>
    <n v="90872587.129999995"/>
    <n v="12325387.83"/>
    <x v="0"/>
    <x v="2"/>
    <x v="0"/>
  </r>
  <r>
    <x v="2"/>
    <x v="20"/>
    <m/>
    <x v="1"/>
    <x v="5"/>
    <n v="26231651.09"/>
    <n v="2288299.2799999998"/>
    <m/>
    <x v="0"/>
    <x v="9"/>
    <x v="0"/>
  </r>
  <r>
    <x v="2"/>
    <x v="21"/>
    <m/>
    <x v="1"/>
    <x v="0"/>
    <n v="50688877.289999999"/>
    <n v="-4966883.4400000004"/>
    <m/>
    <x v="0"/>
    <x v="2"/>
    <x v="0"/>
  </r>
  <r>
    <x v="2"/>
    <x v="22"/>
    <m/>
    <x v="1"/>
    <x v="1"/>
    <n v="85948217.359999999"/>
    <n v="-8707340.7200000007"/>
    <m/>
    <x v="0"/>
    <x v="2"/>
    <x v="0"/>
  </r>
  <r>
    <x v="3"/>
    <x v="23"/>
    <s v="(CAESA) "/>
    <x v="2"/>
    <x v="3"/>
    <m/>
    <m/>
    <m/>
    <x v="0"/>
    <x v="2"/>
    <x v="0"/>
  </r>
  <r>
    <x v="3"/>
    <x v="24"/>
    <s v="(CEA) "/>
    <x v="2"/>
    <x v="11"/>
    <m/>
    <m/>
    <m/>
    <x v="0"/>
    <x v="2"/>
    <x v="0"/>
  </r>
  <r>
    <x v="4"/>
    <x v="25"/>
    <m/>
    <x v="0"/>
    <x v="3"/>
    <n v="5832992759.9064999"/>
    <n v="335107288.69"/>
    <m/>
    <x v="4"/>
    <x v="2"/>
    <x v="2"/>
  </r>
  <r>
    <x v="4"/>
    <x v="26"/>
    <m/>
    <x v="0"/>
    <x v="5"/>
    <n v="174544722"/>
    <m/>
    <m/>
    <x v="0"/>
    <x v="10"/>
    <x v="0"/>
  </r>
  <r>
    <x v="4"/>
    <x v="27"/>
    <m/>
    <x v="0"/>
    <x v="2"/>
    <n v="-6288405"/>
    <n v="-1831492"/>
    <m/>
    <x v="0"/>
    <x v="11"/>
    <x v="0"/>
  </r>
  <r>
    <x v="4"/>
    <x v="28"/>
    <m/>
    <x v="0"/>
    <x v="5"/>
    <n v="-32959119"/>
    <m/>
    <m/>
    <x v="0"/>
    <x v="2"/>
    <x v="0"/>
  </r>
  <r>
    <x v="4"/>
    <x v="29"/>
    <m/>
    <x v="0"/>
    <x v="12"/>
    <n v="-28449197"/>
    <m/>
    <m/>
    <x v="0"/>
    <x v="2"/>
    <x v="0"/>
  </r>
  <r>
    <x v="4"/>
    <x v="30"/>
    <m/>
    <x v="0"/>
    <x v="4"/>
    <n v="163838"/>
    <m/>
    <m/>
    <x v="0"/>
    <x v="2"/>
    <x v="0"/>
  </r>
  <r>
    <x v="4"/>
    <x v="31"/>
    <m/>
    <x v="1"/>
    <x v="7"/>
    <n v="600289554.27999997"/>
    <n v="116659997.94999993"/>
    <n v="16246971.57"/>
    <x v="0"/>
    <x v="2"/>
    <x v="0"/>
  </r>
  <r>
    <x v="4"/>
    <x v="32"/>
    <m/>
    <x v="1"/>
    <x v="9"/>
    <n v="2166024.7599999998"/>
    <n v="-1958974.57"/>
    <m/>
    <x v="0"/>
    <x v="2"/>
    <x v="3"/>
  </r>
  <r>
    <x v="4"/>
    <x v="33"/>
    <m/>
    <x v="1"/>
    <x v="1"/>
    <n v="559285095"/>
    <m/>
    <m/>
    <x v="0"/>
    <x v="2"/>
    <x v="0"/>
  </r>
  <r>
    <x v="4"/>
    <x v="34"/>
    <m/>
    <x v="1"/>
    <x v="0"/>
    <n v="28224926"/>
    <m/>
    <m/>
    <x v="0"/>
    <x v="2"/>
    <x v="0"/>
  </r>
  <r>
    <x v="4"/>
    <x v="35"/>
    <m/>
    <x v="1"/>
    <x v="2"/>
    <n v="63110467"/>
    <m/>
    <m/>
    <x v="0"/>
    <x v="2"/>
    <x v="0"/>
  </r>
  <r>
    <x v="4"/>
    <x v="36"/>
    <m/>
    <x v="1"/>
    <x v="12"/>
    <n v="-89206000"/>
    <m/>
    <m/>
    <x v="0"/>
    <x v="2"/>
    <x v="0"/>
  </r>
  <r>
    <x v="5"/>
    <x v="37"/>
    <m/>
    <x v="0"/>
    <x v="6"/>
    <n v="-108186182.62"/>
    <n v="-846982.38999999897"/>
    <m/>
    <x v="0"/>
    <x v="12"/>
    <x v="0"/>
  </r>
  <r>
    <x v="5"/>
    <x v="38"/>
    <m/>
    <x v="0"/>
    <x v="0"/>
    <n v="5296778.28"/>
    <n v="-2067194.3"/>
    <m/>
    <x v="0"/>
    <x v="13"/>
    <x v="0"/>
  </r>
  <r>
    <x v="5"/>
    <x v="39"/>
    <m/>
    <x v="0"/>
    <x v="13"/>
    <n v="-264748828"/>
    <n v="-18787405.289999999"/>
    <m/>
    <x v="5"/>
    <x v="14"/>
    <x v="0"/>
  </r>
  <r>
    <x v="5"/>
    <x v="40"/>
    <m/>
    <x v="0"/>
    <x v="5"/>
    <n v="20011000"/>
    <n v="-4804000"/>
    <m/>
    <x v="0"/>
    <x v="15"/>
    <x v="0"/>
  </r>
  <r>
    <x v="5"/>
    <x v="41"/>
    <m/>
    <x v="1"/>
    <x v="4"/>
    <n v="2439788000"/>
    <n v="132714000"/>
    <n v="82283974.980133697"/>
    <x v="0"/>
    <x v="2"/>
    <x v="4"/>
  </r>
  <r>
    <x v="5"/>
    <x v="42"/>
    <m/>
    <x v="1"/>
    <x v="7"/>
    <n v="189817000"/>
    <n v="56674000"/>
    <n v="8015262.5"/>
    <x v="0"/>
    <x v="16"/>
    <x v="5"/>
  </r>
  <r>
    <x v="5"/>
    <x v="43"/>
    <m/>
    <x v="1"/>
    <x v="14"/>
    <n v="1126658138.78"/>
    <n v="-180906336.50999999"/>
    <m/>
    <x v="0"/>
    <x v="17"/>
    <x v="6"/>
  </r>
  <r>
    <x v="5"/>
    <x v="44"/>
    <m/>
    <x v="1"/>
    <x v="8"/>
    <n v="1087767000"/>
    <n v="48231000"/>
    <m/>
    <x v="0"/>
    <x v="2"/>
    <x v="0"/>
  </r>
  <r>
    <x v="5"/>
    <x v="45"/>
    <m/>
    <x v="1"/>
    <x v="3"/>
    <n v="6591141.7599999998"/>
    <n v="1034020.73"/>
    <m/>
    <x v="0"/>
    <x v="18"/>
    <x v="0"/>
  </r>
  <r>
    <x v="5"/>
    <x v="46"/>
    <m/>
    <x v="1"/>
    <x v="8"/>
    <n v="216820155"/>
    <n v="21260071"/>
    <m/>
    <x v="0"/>
    <x v="2"/>
    <x v="0"/>
  </r>
  <r>
    <x v="5"/>
    <x v="47"/>
    <m/>
    <x v="1"/>
    <x v="5"/>
    <n v="102938731"/>
    <n v="1758074"/>
    <m/>
    <x v="0"/>
    <x v="2"/>
    <x v="0"/>
  </r>
  <r>
    <x v="5"/>
    <x v="48"/>
    <m/>
    <x v="1"/>
    <x v="5"/>
    <n v="13709431.550000001"/>
    <n v="2875212"/>
    <m/>
    <x v="0"/>
    <x v="12"/>
    <x v="0"/>
  </r>
  <r>
    <x v="6"/>
    <x v="49"/>
    <m/>
    <x v="0"/>
    <x v="2"/>
    <n v="-18086425"/>
    <n v="-11136562"/>
    <m/>
    <x v="6"/>
    <x v="2"/>
    <x v="7"/>
  </r>
  <r>
    <x v="6"/>
    <x v="50"/>
    <m/>
    <x v="0"/>
    <x v="12"/>
    <n v="608209581"/>
    <n v="-162273342"/>
    <m/>
    <x v="7"/>
    <x v="19"/>
    <x v="8"/>
  </r>
  <r>
    <x v="6"/>
    <x v="51"/>
    <m/>
    <x v="0"/>
    <x v="14"/>
    <n v="53173296"/>
    <n v="-5552345"/>
    <m/>
    <x v="0"/>
    <x v="2"/>
    <x v="0"/>
  </r>
  <r>
    <x v="6"/>
    <x v="52"/>
    <m/>
    <x v="0"/>
    <x v="14"/>
    <n v="2063370883"/>
    <n v="-49237721"/>
    <m/>
    <x v="8"/>
    <x v="20"/>
    <x v="8"/>
  </r>
  <r>
    <x v="6"/>
    <x v="53"/>
    <m/>
    <x v="0"/>
    <x v="6"/>
    <n v="9180659"/>
    <n v="-14688079"/>
    <m/>
    <x v="9"/>
    <x v="2"/>
    <x v="0"/>
  </r>
  <r>
    <x v="6"/>
    <x v="54"/>
    <m/>
    <x v="0"/>
    <x v="12"/>
    <n v="121015025"/>
    <n v="-34768143"/>
    <m/>
    <x v="10"/>
    <x v="2"/>
    <x v="0"/>
  </r>
  <r>
    <x v="6"/>
    <x v="55"/>
    <m/>
    <x v="0"/>
    <x v="3"/>
    <n v="2402681"/>
    <n v="109883"/>
    <m/>
    <x v="11"/>
    <x v="2"/>
    <x v="0"/>
  </r>
  <r>
    <x v="6"/>
    <x v="56"/>
    <m/>
    <x v="1"/>
    <x v="1"/>
    <m/>
    <m/>
    <n v="97455026.060000002"/>
    <x v="0"/>
    <x v="2"/>
    <x v="0"/>
  </r>
  <r>
    <x v="6"/>
    <x v="57"/>
    <m/>
    <x v="1"/>
    <x v="4"/>
    <n v="1244028000"/>
    <n v="-247439000"/>
    <m/>
    <x v="0"/>
    <x v="2"/>
    <x v="9"/>
  </r>
  <r>
    <x v="6"/>
    <x v="58"/>
    <m/>
    <x v="1"/>
    <x v="11"/>
    <n v="792250000"/>
    <n v="8000000"/>
    <n v="984176.65"/>
    <x v="0"/>
    <x v="2"/>
    <x v="0"/>
  </r>
  <r>
    <x v="6"/>
    <x v="59"/>
    <m/>
    <x v="1"/>
    <x v="3"/>
    <n v="62275651"/>
    <n v="5406510"/>
    <n v="7593210"/>
    <x v="0"/>
    <x v="2"/>
    <x v="0"/>
  </r>
  <r>
    <x v="6"/>
    <x v="60"/>
    <m/>
    <x v="1"/>
    <x v="12"/>
    <n v="2533382768"/>
    <n v="352593356"/>
    <m/>
    <x v="0"/>
    <x v="2"/>
    <x v="0"/>
  </r>
  <r>
    <x v="6"/>
    <x v="61"/>
    <m/>
    <x v="1"/>
    <x v="9"/>
    <n v="0"/>
    <n v="0"/>
    <m/>
    <x v="0"/>
    <x v="2"/>
    <x v="0"/>
  </r>
  <r>
    <x v="7"/>
    <x v="62"/>
    <m/>
    <x v="0"/>
    <x v="3"/>
    <n v="9886684.3100000005"/>
    <n v="1102706.54"/>
    <m/>
    <x v="0"/>
    <x v="21"/>
    <x v="0"/>
  </r>
  <r>
    <x v="7"/>
    <x v="63"/>
    <m/>
    <x v="0"/>
    <x v="8"/>
    <n v="19931000"/>
    <n v="-7000"/>
    <m/>
    <x v="0"/>
    <x v="22"/>
    <x v="0"/>
  </r>
  <r>
    <x v="7"/>
    <x v="64"/>
    <m/>
    <x v="1"/>
    <x v="1"/>
    <n v="1492013000"/>
    <n v="181055000"/>
    <n v="53247611.049999997"/>
    <x v="0"/>
    <x v="2"/>
    <x v="0"/>
  </r>
  <r>
    <x v="7"/>
    <x v="65"/>
    <m/>
    <x v="1"/>
    <x v="1"/>
    <n v="460018000"/>
    <n v="1669000"/>
    <n v="20151949.780000001"/>
    <x v="0"/>
    <x v="2"/>
    <x v="0"/>
  </r>
  <r>
    <x v="7"/>
    <x v="66"/>
    <m/>
    <x v="1"/>
    <x v="4"/>
    <n v="2297000000"/>
    <n v="191791000"/>
    <m/>
    <x v="0"/>
    <x v="2"/>
    <x v="10"/>
  </r>
  <r>
    <x v="7"/>
    <x v="67"/>
    <m/>
    <x v="1"/>
    <x v="14"/>
    <n v="64854708.020000003"/>
    <n v="-1909150.31"/>
    <m/>
    <x v="0"/>
    <x v="2"/>
    <x v="0"/>
  </r>
  <r>
    <x v="8"/>
    <x v="68"/>
    <m/>
    <x v="0"/>
    <x v="3"/>
    <n v="22610909"/>
    <n v="979081"/>
    <m/>
    <x v="0"/>
    <x v="2"/>
    <x v="11"/>
  </r>
  <r>
    <x v="8"/>
    <x v="69"/>
    <m/>
    <x v="0"/>
    <x v="6"/>
    <n v="45302624"/>
    <n v="13581877"/>
    <m/>
    <x v="0"/>
    <x v="2"/>
    <x v="12"/>
  </r>
  <r>
    <x v="8"/>
    <x v="70"/>
    <m/>
    <x v="0"/>
    <x v="10"/>
    <n v="-1925913"/>
    <n v="-3016442"/>
    <m/>
    <x v="0"/>
    <x v="2"/>
    <x v="13"/>
  </r>
  <r>
    <x v="8"/>
    <x v="71"/>
    <m/>
    <x v="0"/>
    <x v="9"/>
    <n v="21769816"/>
    <n v="569030"/>
    <m/>
    <x v="0"/>
    <x v="2"/>
    <x v="14"/>
  </r>
  <r>
    <x v="8"/>
    <x v="72"/>
    <m/>
    <x v="0"/>
    <x v="0"/>
    <n v="-352797390"/>
    <n v="54875118"/>
    <m/>
    <x v="0"/>
    <x v="2"/>
    <x v="15"/>
  </r>
  <r>
    <x v="8"/>
    <x v="73"/>
    <m/>
    <x v="1"/>
    <x v="12"/>
    <n v="12428311"/>
    <n v="-31723250"/>
    <m/>
    <x v="0"/>
    <x v="2"/>
    <x v="16"/>
  </r>
  <r>
    <x v="8"/>
    <x v="74"/>
    <m/>
    <x v="1"/>
    <x v="1"/>
    <n v="0"/>
    <n v="0"/>
    <m/>
    <x v="12"/>
    <x v="2"/>
    <x v="0"/>
  </r>
  <r>
    <x v="8"/>
    <x v="75"/>
    <m/>
    <x v="1"/>
    <x v="3"/>
    <n v="13846608"/>
    <n v="-925276"/>
    <m/>
    <x v="0"/>
    <x v="2"/>
    <x v="0"/>
  </r>
  <r>
    <x v="8"/>
    <x v="76"/>
    <m/>
    <x v="1"/>
    <x v="11"/>
    <n v="-1714752"/>
    <n v="62506"/>
    <m/>
    <x v="0"/>
    <x v="2"/>
    <x v="0"/>
  </r>
  <r>
    <x v="8"/>
    <x v="77"/>
    <m/>
    <x v="1"/>
    <x v="5"/>
    <n v="134359042"/>
    <n v="-4690534"/>
    <m/>
    <x v="0"/>
    <x v="2"/>
    <x v="0"/>
  </r>
  <r>
    <x v="8"/>
    <x v="78"/>
    <m/>
    <x v="1"/>
    <x v="5"/>
    <n v="185159930"/>
    <n v="6976696"/>
    <m/>
    <x v="0"/>
    <x v="2"/>
    <x v="0"/>
  </r>
  <r>
    <x v="8"/>
    <x v="79"/>
    <m/>
    <x v="1"/>
    <x v="7"/>
    <n v="338000"/>
    <n v="-465000"/>
    <m/>
    <x v="0"/>
    <x v="2"/>
    <x v="0"/>
  </r>
  <r>
    <x v="8"/>
    <x v="80"/>
    <m/>
    <x v="1"/>
    <x v="5"/>
    <n v="232002027"/>
    <n v="2789741"/>
    <m/>
    <x v="0"/>
    <x v="2"/>
    <x v="0"/>
  </r>
  <r>
    <x v="8"/>
    <x v="81"/>
    <m/>
    <x v="1"/>
    <x v="9"/>
    <n v="-11453431"/>
    <n v="-9694727"/>
    <m/>
    <x v="0"/>
    <x v="2"/>
    <x v="0"/>
  </r>
  <r>
    <x v="8"/>
    <x v="82"/>
    <m/>
    <x v="1"/>
    <x v="14"/>
    <n v="26550"/>
    <n v="-32754"/>
    <m/>
    <x v="0"/>
    <x v="2"/>
    <x v="0"/>
  </r>
  <r>
    <x v="8"/>
    <x v="83"/>
    <m/>
    <x v="1"/>
    <x v="4"/>
    <n v="2275690000"/>
    <n v="115762000"/>
    <m/>
    <x v="0"/>
    <x v="2"/>
    <x v="0"/>
  </r>
  <r>
    <x v="9"/>
    <x v="84"/>
    <m/>
    <x v="0"/>
    <x v="9"/>
    <n v="5989808.6500000004"/>
    <n v="-460681.72"/>
    <m/>
    <x v="0"/>
    <x v="23"/>
    <x v="0"/>
  </r>
  <r>
    <x v="9"/>
    <x v="85"/>
    <m/>
    <x v="0"/>
    <x v="15"/>
    <n v="-72617052.640000001"/>
    <n v="-4954769.6900000004"/>
    <m/>
    <x v="0"/>
    <x v="24"/>
    <x v="0"/>
  </r>
  <r>
    <x v="9"/>
    <x v="86"/>
    <m/>
    <x v="1"/>
    <x v="4"/>
    <n v="830609"/>
    <n v="-170926"/>
    <m/>
    <x v="0"/>
    <x v="2"/>
    <x v="17"/>
  </r>
  <r>
    <x v="9"/>
    <x v="87"/>
    <m/>
    <x v="1"/>
    <x v="8"/>
    <n v="457045"/>
    <n v="61788"/>
    <m/>
    <x v="0"/>
    <x v="2"/>
    <x v="18"/>
  </r>
  <r>
    <x v="9"/>
    <x v="88"/>
    <m/>
    <x v="1"/>
    <x v="7"/>
    <n v="13478448.609999999"/>
    <n v="15897794.449999999"/>
    <n v="4053937.58"/>
    <x v="0"/>
    <x v="2"/>
    <x v="0"/>
  </r>
  <r>
    <x v="10"/>
    <x v="89"/>
    <m/>
    <x v="2"/>
    <x v="1"/>
    <m/>
    <m/>
    <m/>
    <x v="0"/>
    <x v="2"/>
    <x v="0"/>
  </r>
  <r>
    <x v="10"/>
    <x v="90"/>
    <m/>
    <x v="2"/>
    <x v="5"/>
    <n v="694460000"/>
    <m/>
    <m/>
    <x v="0"/>
    <x v="2"/>
    <x v="0"/>
  </r>
  <r>
    <x v="10"/>
    <x v="91"/>
    <m/>
    <x v="2"/>
    <x v="7"/>
    <n v="1000791000"/>
    <m/>
    <m/>
    <x v="0"/>
    <x v="2"/>
    <x v="0"/>
  </r>
  <r>
    <x v="10"/>
    <x v="92"/>
    <m/>
    <x v="2"/>
    <x v="8"/>
    <m/>
    <m/>
    <m/>
    <x v="0"/>
    <x v="2"/>
    <x v="0"/>
  </r>
  <r>
    <x v="10"/>
    <x v="93"/>
    <m/>
    <x v="2"/>
    <x v="4"/>
    <n v="6226633000"/>
    <m/>
    <m/>
    <x v="0"/>
    <x v="2"/>
    <x v="0"/>
  </r>
  <r>
    <x v="10"/>
    <x v="94"/>
    <m/>
    <x v="2"/>
    <x v="0"/>
    <n v="99235044"/>
    <m/>
    <m/>
    <x v="0"/>
    <x v="2"/>
    <x v="0"/>
  </r>
  <r>
    <x v="10"/>
    <x v="95"/>
    <m/>
    <x v="2"/>
    <x v="11"/>
    <n v="15939327000"/>
    <m/>
    <m/>
    <x v="0"/>
    <x v="2"/>
    <x v="0"/>
  </r>
  <r>
    <x v="10"/>
    <x v="96"/>
    <m/>
    <x v="2"/>
    <x v="4"/>
    <n v="104597000"/>
    <m/>
    <m/>
    <x v="0"/>
    <x v="2"/>
    <x v="0"/>
  </r>
  <r>
    <x v="10"/>
    <x v="97"/>
    <m/>
    <x v="2"/>
    <x v="5"/>
    <m/>
    <m/>
    <m/>
    <x v="0"/>
    <x v="2"/>
    <x v="0"/>
  </r>
  <r>
    <x v="10"/>
    <x v="98"/>
    <m/>
    <x v="2"/>
    <x v="8"/>
    <n v="42736398"/>
    <m/>
    <m/>
    <x v="0"/>
    <x v="2"/>
    <x v="0"/>
  </r>
  <r>
    <x v="10"/>
    <x v="99"/>
    <m/>
    <x v="2"/>
    <x v="8"/>
    <m/>
    <m/>
    <m/>
    <x v="0"/>
    <x v="2"/>
    <x v="0"/>
  </r>
  <r>
    <x v="10"/>
    <x v="100"/>
    <m/>
    <x v="2"/>
    <x v="14"/>
    <m/>
    <m/>
    <m/>
    <x v="0"/>
    <x v="2"/>
    <x v="0"/>
  </r>
  <r>
    <x v="11"/>
    <x v="101"/>
    <m/>
    <x v="0"/>
    <x v="3"/>
    <n v="-759827289.84000003"/>
    <n v="0"/>
    <m/>
    <x v="0"/>
    <x v="2"/>
    <x v="0"/>
  </r>
  <r>
    <x v="11"/>
    <x v="102"/>
    <m/>
    <x v="0"/>
    <x v="8"/>
    <n v="236207.51"/>
    <n v="-2500"/>
    <m/>
    <x v="0"/>
    <x v="25"/>
    <x v="0"/>
  </r>
  <r>
    <x v="11"/>
    <x v="103"/>
    <m/>
    <x v="1"/>
    <x v="4"/>
    <n v="761057474.25999999"/>
    <n v="95490543.569999993"/>
    <n v="33254.46"/>
    <x v="0"/>
    <x v="2"/>
    <x v="0"/>
  </r>
  <r>
    <x v="11"/>
    <x v="104"/>
    <m/>
    <x v="1"/>
    <x v="7"/>
    <n v="24457603.91"/>
    <n v="12736020.060000001"/>
    <n v="7897611.5300000003"/>
    <x v="0"/>
    <x v="2"/>
    <x v="0"/>
  </r>
  <r>
    <x v="11"/>
    <x v="105"/>
    <m/>
    <x v="1"/>
    <x v="3"/>
    <n v="-532686.15"/>
    <n v="389670.45"/>
    <m/>
    <x v="0"/>
    <x v="2"/>
    <x v="0"/>
  </r>
  <r>
    <x v="12"/>
    <x v="106"/>
    <m/>
    <x v="0"/>
    <x v="16"/>
    <n v="6117127600"/>
    <n v="-1255376"/>
    <m/>
    <x v="0"/>
    <x v="2"/>
    <x v="0"/>
  </r>
  <r>
    <x v="12"/>
    <x v="107"/>
    <m/>
    <x v="0"/>
    <x v="6"/>
    <n v="-88265732.400000006"/>
    <n v="-2724744.58"/>
    <m/>
    <x v="0"/>
    <x v="2"/>
    <x v="0"/>
  </r>
  <r>
    <x v="12"/>
    <x v="108"/>
    <m/>
    <x v="0"/>
    <x v="7"/>
    <n v="-1325151"/>
    <n v="2927968"/>
    <m/>
    <x v="0"/>
    <x v="26"/>
    <x v="0"/>
  </r>
  <r>
    <x v="12"/>
    <x v="109"/>
    <m/>
    <x v="0"/>
    <x v="8"/>
    <n v="0"/>
    <n v="0"/>
    <m/>
    <x v="0"/>
    <x v="12"/>
    <x v="0"/>
  </r>
  <r>
    <x v="12"/>
    <x v="110"/>
    <m/>
    <x v="0"/>
    <x v="0"/>
    <n v="-6249285.3499999996"/>
    <n v="-191794.2"/>
    <m/>
    <x v="0"/>
    <x v="27"/>
    <x v="0"/>
  </r>
  <r>
    <x v="12"/>
    <x v="111"/>
    <m/>
    <x v="0"/>
    <x v="4"/>
    <n v="-57300535"/>
    <n v="-12856381"/>
    <m/>
    <x v="13"/>
    <x v="28"/>
    <x v="0"/>
  </r>
  <r>
    <x v="12"/>
    <x v="112"/>
    <m/>
    <x v="1"/>
    <x v="1"/>
    <n v="12980955.85"/>
    <n v="-4164680.67"/>
    <m/>
    <x v="0"/>
    <x v="2"/>
    <x v="19"/>
  </r>
  <r>
    <x v="13"/>
    <x v="113"/>
    <m/>
    <x v="0"/>
    <x v="5"/>
    <n v="23952749.640000001"/>
    <n v="-282405.63"/>
    <m/>
    <x v="0"/>
    <x v="2"/>
    <x v="0"/>
  </r>
  <r>
    <x v="13"/>
    <x v="114"/>
    <m/>
    <x v="1"/>
    <x v="8"/>
    <n v="1217292101.8099999"/>
    <n v="308324453.74000001"/>
    <n v="123301078.59999999"/>
    <x v="0"/>
    <x v="2"/>
    <x v="0"/>
  </r>
  <r>
    <x v="13"/>
    <x v="115"/>
    <m/>
    <x v="0"/>
    <x v="14"/>
    <n v="43182470.280000001"/>
    <n v="31946080.07"/>
    <m/>
    <x v="14"/>
    <x v="29"/>
    <x v="0"/>
  </r>
  <r>
    <x v="13"/>
    <x v="116"/>
    <m/>
    <x v="0"/>
    <x v="3"/>
    <n v="3797349.93"/>
    <n v="1984250.19"/>
    <m/>
    <x v="15"/>
    <x v="30"/>
    <x v="0"/>
  </r>
  <r>
    <x v="13"/>
    <x v="117"/>
    <m/>
    <x v="0"/>
    <x v="5"/>
    <n v="56584255.280000001"/>
    <n v="5324735.5599999996"/>
    <m/>
    <x v="16"/>
    <x v="31"/>
    <x v="0"/>
  </r>
  <r>
    <x v="13"/>
    <x v="118"/>
    <m/>
    <x v="0"/>
    <x v="2"/>
    <n v="116044140.92"/>
    <n v="13534134.359999999"/>
    <m/>
    <x v="17"/>
    <x v="32"/>
    <x v="0"/>
  </r>
  <r>
    <x v="13"/>
    <x v="119"/>
    <m/>
    <x v="1"/>
    <x v="4"/>
    <n v="379488240.06999999"/>
    <n v="-244414753.21000001"/>
    <m/>
    <x v="18"/>
    <x v="2"/>
    <x v="20"/>
  </r>
  <r>
    <x v="13"/>
    <x v="120"/>
    <m/>
    <x v="0"/>
    <x v="6"/>
    <n v="23735738.079999998"/>
    <n v="6686976.0499999998"/>
    <m/>
    <x v="19"/>
    <x v="33"/>
    <x v="0"/>
  </r>
  <r>
    <x v="13"/>
    <x v="121"/>
    <m/>
    <x v="0"/>
    <x v="7"/>
    <n v="656000"/>
    <n v="1080000"/>
    <m/>
    <x v="0"/>
    <x v="2"/>
    <x v="0"/>
  </r>
  <r>
    <x v="13"/>
    <x v="122"/>
    <m/>
    <x v="0"/>
    <x v="0"/>
    <n v="29776242.68"/>
    <n v="-1871041.47"/>
    <m/>
    <x v="0"/>
    <x v="34"/>
    <x v="0"/>
  </r>
  <r>
    <x v="14"/>
    <x v="123"/>
    <s v="PBTUR"/>
    <x v="0"/>
    <x v="8"/>
    <n v="8369564.8099999996"/>
    <n v="-34661556.659999996"/>
    <m/>
    <x v="0"/>
    <x v="2"/>
    <x v="0"/>
  </r>
  <r>
    <x v="14"/>
    <x v="124"/>
    <s v="CINEP"/>
    <x v="0"/>
    <x v="5"/>
    <n v="12968677.51"/>
    <n v="-256978.77"/>
    <m/>
    <x v="0"/>
    <x v="2"/>
    <x v="0"/>
  </r>
  <r>
    <x v="14"/>
    <x v="125"/>
    <s v="LEFESA"/>
    <x v="0"/>
    <x v="8"/>
    <m/>
    <m/>
    <m/>
    <x v="0"/>
    <x v="2"/>
    <x v="0"/>
  </r>
  <r>
    <x v="14"/>
    <x v="126"/>
    <s v="EMATER"/>
    <x v="0"/>
    <x v="8"/>
    <n v="48597738.68"/>
    <n v="2883680.63"/>
    <m/>
    <x v="0"/>
    <x v="2"/>
    <x v="0"/>
  </r>
  <r>
    <x v="14"/>
    <x v="127"/>
    <s v="EMPASA"/>
    <x v="0"/>
    <x v="3"/>
    <n v="-11858124.710000001"/>
    <n v="-2256835.25"/>
    <m/>
    <x v="0"/>
    <x v="2"/>
    <x v="0"/>
  </r>
  <r>
    <x v="14"/>
    <x v="128"/>
    <s v="CODATA"/>
    <x v="1"/>
    <x v="0"/>
    <n v="7508717.0499999998"/>
    <n v="2564198.79"/>
    <m/>
    <x v="0"/>
    <x v="2"/>
    <x v="0"/>
  </r>
  <r>
    <x v="14"/>
    <x v="129"/>
    <s v="PBGAS"/>
    <x v="0"/>
    <x v="3"/>
    <n v="68954000"/>
    <n v="11236000"/>
    <m/>
    <x v="0"/>
    <x v="2"/>
    <x v="0"/>
  </r>
  <r>
    <x v="14"/>
    <x v="130"/>
    <s v="DOCAS"/>
    <x v="1"/>
    <x v="8"/>
    <n v="21309325.030000001"/>
    <n v="425374.14"/>
    <m/>
    <x v="0"/>
    <x v="2"/>
    <x v="0"/>
  </r>
  <r>
    <x v="14"/>
    <x v="131"/>
    <s v="CAGEPA"/>
    <x v="1"/>
    <x v="4"/>
    <n v="896626000"/>
    <n v="109838000"/>
    <m/>
    <x v="0"/>
    <x v="2"/>
    <x v="0"/>
  </r>
  <r>
    <x v="15"/>
    <x v="132"/>
    <m/>
    <x v="0"/>
    <x v="8"/>
    <n v="53467395"/>
    <n v="-3145904"/>
    <m/>
    <x v="20"/>
    <x v="35"/>
    <x v="21"/>
  </r>
  <r>
    <x v="15"/>
    <x v="133"/>
    <m/>
    <x v="0"/>
    <x v="14"/>
    <n v="-142418829"/>
    <n v="-31152109"/>
    <m/>
    <x v="21"/>
    <x v="36"/>
    <x v="21"/>
  </r>
  <r>
    <x v="15"/>
    <x v="134"/>
    <m/>
    <x v="0"/>
    <x v="10"/>
    <n v="5498589"/>
    <n v="1655960"/>
    <m/>
    <x v="22"/>
    <x v="37"/>
    <x v="21"/>
  </r>
  <r>
    <x v="15"/>
    <x v="135"/>
    <m/>
    <x v="0"/>
    <x v="2"/>
    <n v="40683186"/>
    <n v="-7747883"/>
    <m/>
    <x v="23"/>
    <x v="38"/>
    <x v="21"/>
  </r>
  <r>
    <x v="15"/>
    <x v="136"/>
    <m/>
    <x v="0"/>
    <x v="8"/>
    <n v="170941929"/>
    <n v="4718163"/>
    <m/>
    <x v="24"/>
    <x v="39"/>
    <x v="21"/>
  </r>
  <r>
    <x v="15"/>
    <x v="137"/>
    <m/>
    <x v="0"/>
    <x v="14"/>
    <n v="1387538"/>
    <n v="858513"/>
    <m/>
    <x v="24"/>
    <x v="40"/>
    <x v="21"/>
  </r>
  <r>
    <x v="15"/>
    <x v="138"/>
    <m/>
    <x v="0"/>
    <x v="8"/>
    <n v="-354813900"/>
    <n v="-214520810"/>
    <m/>
    <x v="25"/>
    <x v="41"/>
    <x v="22"/>
  </r>
  <r>
    <x v="15"/>
    <x v="139"/>
    <m/>
    <x v="1"/>
    <x v="1"/>
    <n v="48345000"/>
    <n v="-384000"/>
    <m/>
    <x v="0"/>
    <x v="2"/>
    <x v="21"/>
  </r>
  <r>
    <x v="15"/>
    <x v="140"/>
    <m/>
    <x v="1"/>
    <x v="8"/>
    <n v="65229547"/>
    <n v="-6082458"/>
    <m/>
    <x v="0"/>
    <x v="2"/>
    <x v="21"/>
  </r>
  <r>
    <x v="15"/>
    <x v="141"/>
    <m/>
    <x v="1"/>
    <x v="3"/>
    <n v="5658384825.4899998"/>
    <n v="194227636.91999999"/>
    <m/>
    <x v="0"/>
    <x v="2"/>
    <x v="23"/>
  </r>
  <r>
    <x v="15"/>
    <x v="142"/>
    <m/>
    <x v="1"/>
    <x v="8"/>
    <n v="110350557"/>
    <n v="7646492.1200000001"/>
    <m/>
    <x v="0"/>
    <x v="2"/>
    <x v="21"/>
  </r>
  <r>
    <x v="15"/>
    <x v="143"/>
    <m/>
    <x v="1"/>
    <x v="8"/>
    <n v="3100209000"/>
    <n v="36718000"/>
    <m/>
    <x v="0"/>
    <x v="2"/>
    <x v="24"/>
  </r>
  <r>
    <x v="15"/>
    <x v="144"/>
    <m/>
    <x v="1"/>
    <x v="5"/>
    <n v="180811373"/>
    <n v="2621588"/>
    <m/>
    <x v="0"/>
    <x v="2"/>
    <x v="21"/>
  </r>
  <r>
    <x v="15"/>
    <x v="145"/>
    <m/>
    <x v="1"/>
    <x v="11"/>
    <n v="282092540"/>
    <n v="81625590"/>
    <n v="9484633.5299999993"/>
    <x v="0"/>
    <x v="2"/>
    <x v="25"/>
  </r>
  <r>
    <x v="15"/>
    <x v="146"/>
    <m/>
    <x v="1"/>
    <x v="8"/>
    <n v="43354306"/>
    <n v="-24589173"/>
    <m/>
    <x v="0"/>
    <x v="2"/>
    <x v="26"/>
  </r>
  <r>
    <x v="16"/>
    <x v="147"/>
    <s v="GASPISA"/>
    <x v="2"/>
    <x v="3"/>
    <m/>
    <m/>
    <m/>
    <x v="0"/>
    <x v="2"/>
    <x v="0"/>
  </r>
  <r>
    <x v="16"/>
    <x v="148"/>
    <s v="CEPISA"/>
    <x v="2"/>
    <x v="11"/>
    <n v="-852906000"/>
    <n v="-70626000"/>
    <m/>
    <x v="0"/>
    <x v="2"/>
    <x v="0"/>
  </r>
  <r>
    <x v="16"/>
    <x v="149"/>
    <s v="AGEPISA"/>
    <x v="2"/>
    <x v="4"/>
    <m/>
    <m/>
    <m/>
    <x v="0"/>
    <x v="2"/>
    <x v="0"/>
  </r>
  <r>
    <x v="16"/>
    <x v="150"/>
    <s v="FOMENTO"/>
    <x v="2"/>
    <x v="5"/>
    <n v="15002400"/>
    <n v="-1680"/>
    <m/>
    <x v="0"/>
    <x v="2"/>
    <x v="0"/>
  </r>
  <r>
    <x v="16"/>
    <x v="151"/>
    <m/>
    <x v="2"/>
    <x v="8"/>
    <m/>
    <m/>
    <m/>
    <x v="0"/>
    <x v="2"/>
    <x v="0"/>
  </r>
  <r>
    <x v="16"/>
    <x v="152"/>
    <s v="PORTO-PI"/>
    <x v="2"/>
    <x v="8"/>
    <m/>
    <m/>
    <m/>
    <x v="0"/>
    <x v="2"/>
    <x v="0"/>
  </r>
  <r>
    <x v="16"/>
    <x v="153"/>
    <s v="CMTP"/>
    <x v="2"/>
    <x v="14"/>
    <m/>
    <m/>
    <m/>
    <x v="0"/>
    <x v="2"/>
    <x v="0"/>
  </r>
  <r>
    <x v="17"/>
    <x v="154"/>
    <m/>
    <x v="1"/>
    <x v="3"/>
    <n v="-56064346"/>
    <n v="-14400312"/>
    <n v="0"/>
    <x v="0"/>
    <x v="12"/>
    <x v="5"/>
  </r>
  <r>
    <x v="17"/>
    <x v="155"/>
    <m/>
    <x v="1"/>
    <x v="4"/>
    <n v="5717188"/>
    <n v="892487"/>
    <n v="79597"/>
    <x v="0"/>
    <x v="2"/>
    <x v="0"/>
  </r>
  <r>
    <x v="17"/>
    <x v="156"/>
    <m/>
    <x v="1"/>
    <x v="2"/>
    <n v="474606420"/>
    <n v="81959668"/>
    <n v="0"/>
    <x v="0"/>
    <x v="12"/>
    <x v="5"/>
  </r>
  <r>
    <x v="17"/>
    <x v="157"/>
    <m/>
    <x v="1"/>
    <x v="0"/>
    <n v="128296329"/>
    <n v="12446"/>
    <n v="2078756.2000000002"/>
    <x v="0"/>
    <x v="12"/>
    <x v="5"/>
  </r>
  <r>
    <x v="17"/>
    <x v="158"/>
    <m/>
    <x v="1"/>
    <x v="14"/>
    <n v="275598642"/>
    <n v="-13692424"/>
    <m/>
    <x v="0"/>
    <x v="2"/>
    <x v="27"/>
  </r>
  <r>
    <x v="17"/>
    <x v="159"/>
    <m/>
    <x v="1"/>
    <x v="11"/>
    <n v="16032925"/>
    <n v="1444004"/>
    <n v="112195550.97"/>
    <x v="0"/>
    <x v="2"/>
    <x v="0"/>
  </r>
  <r>
    <x v="17"/>
    <x v="160"/>
    <m/>
    <x v="1"/>
    <x v="3"/>
    <n v="125872096"/>
    <n v="3428478"/>
    <m/>
    <x v="0"/>
    <x v="2"/>
    <x v="0"/>
  </r>
  <r>
    <x v="17"/>
    <x v="161"/>
    <m/>
    <x v="1"/>
    <x v="17"/>
    <n v="-43968015"/>
    <n v="-164684068"/>
    <m/>
    <x v="0"/>
    <x v="12"/>
    <x v="0"/>
  </r>
  <r>
    <x v="17"/>
    <x v="162"/>
    <m/>
    <x v="1"/>
    <x v="8"/>
    <n v="1205662930"/>
    <n v="-4307548"/>
    <m/>
    <x v="0"/>
    <x v="42"/>
    <x v="28"/>
  </r>
  <r>
    <x v="17"/>
    <x v="163"/>
    <m/>
    <x v="1"/>
    <x v="1"/>
    <n v="1646518701"/>
    <n v="77942235"/>
    <m/>
    <x v="0"/>
    <x v="2"/>
    <x v="29"/>
  </r>
  <r>
    <x v="18"/>
    <x v="164"/>
    <m/>
    <x v="0"/>
    <x v="14"/>
    <n v="807298752.57000005"/>
    <n v="-79700862.549999997"/>
    <m/>
    <x v="26"/>
    <x v="43"/>
    <x v="5"/>
  </r>
  <r>
    <x v="18"/>
    <x v="165"/>
    <m/>
    <x v="0"/>
    <x v="8"/>
    <n v="-301434356"/>
    <n v="-235573"/>
    <m/>
    <x v="0"/>
    <x v="44"/>
    <x v="0"/>
  </r>
  <r>
    <x v="18"/>
    <x v="166"/>
    <m/>
    <x v="0"/>
    <x v="17"/>
    <n v="-8511309.0299999993"/>
    <n v="-9253300.8599999994"/>
    <m/>
    <x v="27"/>
    <x v="45"/>
    <x v="30"/>
  </r>
  <r>
    <x v="18"/>
    <x v="167"/>
    <m/>
    <x v="0"/>
    <x v="6"/>
    <n v="607497.26"/>
    <n v="-166386.44"/>
    <m/>
    <x v="28"/>
    <x v="46"/>
    <x v="5"/>
  </r>
  <r>
    <x v="18"/>
    <x v="168"/>
    <m/>
    <x v="0"/>
    <x v="5"/>
    <n v="44573553.439999998"/>
    <n v="12640359.91"/>
    <m/>
    <x v="29"/>
    <x v="47"/>
    <x v="31"/>
  </r>
  <r>
    <x v="18"/>
    <x v="169"/>
    <m/>
    <x v="0"/>
    <x v="8"/>
    <n v="-129375114.77"/>
    <n v="-4981328.66"/>
    <m/>
    <x v="30"/>
    <x v="48"/>
    <x v="0"/>
  </r>
  <r>
    <x v="18"/>
    <x v="170"/>
    <m/>
    <x v="0"/>
    <x v="8"/>
    <n v="6315685.1799999997"/>
    <n v="-22327773"/>
    <m/>
    <x v="0"/>
    <x v="2"/>
    <x v="0"/>
  </r>
  <r>
    <x v="18"/>
    <x v="171"/>
    <m/>
    <x v="0"/>
    <x v="3"/>
    <n v="-401510.53"/>
    <n v="-391536.74"/>
    <m/>
    <x v="31"/>
    <x v="49"/>
    <x v="32"/>
  </r>
  <r>
    <x v="18"/>
    <x v="172"/>
    <m/>
    <x v="0"/>
    <x v="3"/>
    <n v="37641834.579999998"/>
    <n v="18737352.23"/>
    <m/>
    <x v="32"/>
    <x v="50"/>
    <x v="0"/>
  </r>
  <r>
    <x v="18"/>
    <x v="173"/>
    <m/>
    <x v="0"/>
    <x v="8"/>
    <n v="-225005.41"/>
    <n v="-554285.86"/>
    <m/>
    <x v="33"/>
    <x v="51"/>
    <x v="0"/>
  </r>
  <r>
    <x v="19"/>
    <x v="174"/>
    <m/>
    <x v="0"/>
    <x v="12"/>
    <m/>
    <n v="14453926"/>
    <m/>
    <x v="0"/>
    <x v="2"/>
    <x v="0"/>
  </r>
  <r>
    <x v="19"/>
    <x v="175"/>
    <m/>
    <x v="0"/>
    <x v="17"/>
    <n v="-4590895"/>
    <n v="-1571170"/>
    <m/>
    <x v="0"/>
    <x v="52"/>
    <x v="0"/>
  </r>
  <r>
    <x v="19"/>
    <x v="176"/>
    <m/>
    <x v="0"/>
    <x v="3"/>
    <n v="362740.08"/>
    <n v="-54627.41"/>
    <m/>
    <x v="0"/>
    <x v="53"/>
    <x v="0"/>
  </r>
  <r>
    <x v="19"/>
    <x v="177"/>
    <m/>
    <x v="0"/>
    <x v="8"/>
    <n v="606438.97"/>
    <n v="-410965.79"/>
    <m/>
    <x v="34"/>
    <x v="54"/>
    <x v="0"/>
  </r>
  <r>
    <x v="19"/>
    <x v="178"/>
    <m/>
    <x v="0"/>
    <x v="8"/>
    <n v="-144817606"/>
    <n v="8446069.75"/>
    <m/>
    <x v="0"/>
    <x v="55"/>
    <x v="0"/>
  </r>
  <r>
    <x v="19"/>
    <x v="179"/>
    <m/>
    <x v="1"/>
    <x v="4"/>
    <n v="693724435.88000023"/>
    <n v="-10719563.659999678"/>
    <m/>
    <x v="0"/>
    <x v="2"/>
    <x v="33"/>
  </r>
  <r>
    <x v="19"/>
    <x v="180"/>
    <m/>
    <x v="1"/>
    <x v="9"/>
    <n v="79185.78"/>
    <s v="ND"/>
    <m/>
    <x v="0"/>
    <x v="2"/>
    <x v="0"/>
  </r>
  <r>
    <x v="19"/>
    <x v="181"/>
    <m/>
    <x v="1"/>
    <x v="3"/>
    <n v="73251000"/>
    <n v="22398662.479999993"/>
    <n v="2847416.05"/>
    <x v="0"/>
    <x v="2"/>
    <x v="0"/>
  </r>
  <r>
    <x v="19"/>
    <x v="182"/>
    <m/>
    <x v="1"/>
    <x v="1"/>
    <n v="43427750"/>
    <n v="2016817"/>
    <m/>
    <x v="0"/>
    <x v="2"/>
    <x v="0"/>
  </r>
  <r>
    <x v="20"/>
    <x v="183"/>
    <m/>
    <x v="0"/>
    <x v="7"/>
    <n v="1734074.23"/>
    <n v="540866.05000000005"/>
    <m/>
    <x v="0"/>
    <x v="2"/>
    <x v="34"/>
  </r>
  <r>
    <x v="20"/>
    <x v="184"/>
    <m/>
    <x v="1"/>
    <x v="3"/>
    <n v="162631832.69"/>
    <m/>
    <m/>
    <x v="0"/>
    <x v="2"/>
    <x v="0"/>
  </r>
  <r>
    <x v="20"/>
    <x v="185"/>
    <m/>
    <x v="1"/>
    <x v="18"/>
    <n v="6987776.21"/>
    <n v="4249228.1900000004"/>
    <m/>
    <x v="0"/>
    <x v="56"/>
    <x v="0"/>
  </r>
  <r>
    <x v="20"/>
    <x v="186"/>
    <m/>
    <x v="1"/>
    <x v="8"/>
    <n v="1843606621.1900001"/>
    <n v="3178354.17"/>
    <m/>
    <x v="0"/>
    <x v="2"/>
    <x v="35"/>
  </r>
  <r>
    <x v="21"/>
    <x v="187"/>
    <m/>
    <x v="2"/>
    <x v="5"/>
    <n v="228626667.16999999"/>
    <n v="2657222.3199999998"/>
    <m/>
    <x v="0"/>
    <x v="2"/>
    <x v="0"/>
  </r>
  <r>
    <x v="21"/>
    <x v="188"/>
    <m/>
    <x v="2"/>
    <x v="4"/>
    <n v="-322334000"/>
    <n v="-77594000"/>
    <m/>
    <x v="0"/>
    <x v="2"/>
    <x v="0"/>
  </r>
  <r>
    <x v="21"/>
    <x v="189"/>
    <m/>
    <x v="2"/>
    <x v="5"/>
    <m/>
    <m/>
    <m/>
    <x v="0"/>
    <x v="2"/>
    <x v="0"/>
  </r>
  <r>
    <x v="22"/>
    <x v="190"/>
    <m/>
    <x v="1"/>
    <x v="0"/>
    <n v="16509428.99"/>
    <n v="-5200554.18"/>
    <n v="0"/>
    <x v="0"/>
    <x v="2"/>
    <x v="0"/>
  </r>
  <r>
    <x v="22"/>
    <x v="191"/>
    <m/>
    <x v="1"/>
    <x v="7"/>
    <n v="376249463.50999999"/>
    <n v="73353063.430000007"/>
    <n v="37410062.350000001"/>
    <x v="0"/>
    <x v="2"/>
    <x v="0"/>
  </r>
  <r>
    <x v="22"/>
    <x v="192"/>
    <m/>
    <x v="1"/>
    <x v="1"/>
    <n v="221582000"/>
    <n v="-184000"/>
    <n v="0"/>
    <x v="0"/>
    <x v="2"/>
    <x v="0"/>
  </r>
  <r>
    <x v="22"/>
    <x v="193"/>
    <m/>
    <x v="1"/>
    <x v="11"/>
    <n v="319235000"/>
    <n v="-25871000"/>
    <n v="0"/>
    <x v="0"/>
    <x v="2"/>
    <x v="0"/>
  </r>
  <r>
    <x v="22"/>
    <x v="194"/>
    <m/>
    <x v="1"/>
    <x v="3"/>
    <n v="0"/>
    <n v="0"/>
    <n v="0"/>
    <x v="0"/>
    <x v="2"/>
    <x v="0"/>
  </r>
  <r>
    <x v="22"/>
    <x v="195"/>
    <m/>
    <x v="1"/>
    <x v="4"/>
    <n v="2095294000"/>
    <n v="292087000"/>
    <n v="152375000"/>
    <x v="0"/>
    <x v="2"/>
    <x v="0"/>
  </r>
  <r>
    <x v="22"/>
    <x v="196"/>
    <m/>
    <x v="1"/>
    <x v="11"/>
    <n v="2388818000"/>
    <n v="173439000"/>
    <n v="0"/>
    <x v="0"/>
    <x v="2"/>
    <x v="0"/>
  </r>
  <r>
    <x v="22"/>
    <x v="197"/>
    <m/>
    <x v="1"/>
    <x v="11"/>
    <n v="-2352441000"/>
    <n v="-989345000"/>
    <n v="0"/>
    <x v="0"/>
    <x v="2"/>
    <x v="0"/>
  </r>
  <r>
    <x v="22"/>
    <x v="198"/>
    <m/>
    <x v="1"/>
    <x v="14"/>
    <m/>
    <m/>
    <m/>
    <x v="0"/>
    <x v="2"/>
    <x v="0"/>
  </r>
  <r>
    <x v="22"/>
    <x v="199"/>
    <m/>
    <x v="1"/>
    <x v="1"/>
    <n v="7366063000"/>
    <n v="908597000"/>
    <n v="267009000"/>
    <x v="0"/>
    <x v="2"/>
    <x v="0"/>
  </r>
  <r>
    <x v="22"/>
    <x v="200"/>
    <m/>
    <x v="1"/>
    <x v="1"/>
    <n v="708845000"/>
    <n v="17522000"/>
    <n v="0"/>
    <x v="0"/>
    <x v="2"/>
    <x v="0"/>
  </r>
  <r>
    <x v="23"/>
    <x v="201"/>
    <m/>
    <x v="0"/>
    <x v="5"/>
    <n v="-8235236.1600000001"/>
    <n v="-2350856"/>
    <m/>
    <x v="0"/>
    <x v="57"/>
    <x v="0"/>
  </r>
  <r>
    <x v="23"/>
    <x v="202"/>
    <m/>
    <x v="0"/>
    <x v="2"/>
    <n v="15454268.359999999"/>
    <n v="-2279008.2000000002"/>
    <m/>
    <x v="0"/>
    <x v="2"/>
    <x v="0"/>
  </r>
  <r>
    <x v="23"/>
    <x v="203"/>
    <m/>
    <x v="0"/>
    <x v="5"/>
    <n v="612454.28"/>
    <n v="-22047.57"/>
    <m/>
    <x v="0"/>
    <x v="58"/>
    <x v="0"/>
  </r>
  <r>
    <x v="23"/>
    <x v="204"/>
    <m/>
    <x v="0"/>
    <x v="17"/>
    <n v="-22552236"/>
    <n v="-8815244"/>
    <m/>
    <x v="0"/>
    <x v="59"/>
    <x v="36"/>
  </r>
  <r>
    <x v="23"/>
    <x v="205"/>
    <m/>
    <x v="1"/>
    <x v="5"/>
    <n v="0"/>
    <n v="1383229.41"/>
    <n v="0"/>
    <x v="0"/>
    <x v="2"/>
    <x v="37"/>
  </r>
  <r>
    <x v="23"/>
    <x v="206"/>
    <m/>
    <x v="1"/>
    <x v="1"/>
    <n v="554061839.69000006"/>
    <n v="14735843.970000001"/>
    <n v="2274039.61"/>
    <x v="0"/>
    <x v="2"/>
    <x v="0"/>
  </r>
  <r>
    <x v="23"/>
    <x v="207"/>
    <m/>
    <x v="1"/>
    <x v="11"/>
    <n v="1800856205.0999999"/>
    <n v="165032458.84999999"/>
    <n v="3611629.72"/>
    <x v="0"/>
    <x v="2"/>
    <x v="0"/>
  </r>
  <r>
    <x v="23"/>
    <x v="208"/>
    <m/>
    <x v="1"/>
    <x v="1"/>
    <n v="82447015.319999993"/>
    <n v="-163349199.52000001"/>
    <m/>
    <x v="0"/>
    <x v="2"/>
    <x v="0"/>
  </r>
  <r>
    <x v="23"/>
    <x v="209"/>
    <m/>
    <x v="1"/>
    <x v="3"/>
    <n v="7619398.1299999999"/>
    <n v="1006616.18"/>
    <n v="0"/>
    <x v="0"/>
    <x v="2"/>
    <x v="0"/>
  </r>
  <r>
    <x v="23"/>
    <x v="210"/>
    <m/>
    <x v="1"/>
    <x v="0"/>
    <n v="45305015.969999999"/>
    <n v="17695308.420000002"/>
    <n v="0"/>
    <x v="0"/>
    <x v="2"/>
    <x v="38"/>
  </r>
  <r>
    <x v="23"/>
    <x v="211"/>
    <m/>
    <x v="1"/>
    <x v="3"/>
    <n v="1365307297.77"/>
    <n v="-119225401.54000001"/>
    <n v="0"/>
    <x v="0"/>
    <x v="2"/>
    <x v="0"/>
  </r>
  <r>
    <x v="23"/>
    <x v="212"/>
    <m/>
    <x v="1"/>
    <x v="5"/>
    <n v="393427.23"/>
    <n v="-234560.88"/>
    <m/>
    <x v="0"/>
    <x v="2"/>
    <x v="0"/>
  </r>
  <r>
    <x v="23"/>
    <x v="213"/>
    <m/>
    <x v="1"/>
    <x v="5"/>
    <n v="415053894.30000001"/>
    <n v="-22930382.550000001"/>
    <m/>
    <x v="0"/>
    <x v="2"/>
    <x v="0"/>
  </r>
  <r>
    <x v="24"/>
    <x v="214"/>
    <m/>
    <x v="0"/>
    <x v="6"/>
    <n v="-21328713.460000001"/>
    <n v="-10469402.210000001"/>
    <m/>
    <x v="0"/>
    <x v="2"/>
    <x v="0"/>
  </r>
  <r>
    <x v="24"/>
    <x v="215"/>
    <m/>
    <x v="0"/>
    <x v="8"/>
    <n v="97033909"/>
    <n v="-58086815.270000003"/>
    <m/>
    <x v="0"/>
    <x v="2"/>
    <x v="0"/>
  </r>
  <r>
    <x v="24"/>
    <x v="216"/>
    <m/>
    <x v="0"/>
    <x v="8"/>
    <n v="-6949520.3099999996"/>
    <n v="-718740"/>
    <m/>
    <x v="0"/>
    <x v="2"/>
    <x v="0"/>
  </r>
  <r>
    <x v="24"/>
    <x v="217"/>
    <m/>
    <x v="0"/>
    <x v="5"/>
    <n v="203544627"/>
    <n v="-8653695"/>
    <m/>
    <x v="0"/>
    <x v="2"/>
    <x v="0"/>
  </r>
  <r>
    <x v="24"/>
    <x v="218"/>
    <m/>
    <x v="0"/>
    <x v="5"/>
    <n v="12571521.460000001"/>
    <n v="-554574.31999999995"/>
    <m/>
    <x v="0"/>
    <x v="2"/>
    <x v="0"/>
  </r>
  <r>
    <x v="24"/>
    <x v="219"/>
    <m/>
    <x v="0"/>
    <x v="8"/>
    <n v="-2129913.09"/>
    <n v="-16085495.65"/>
    <m/>
    <x v="0"/>
    <x v="2"/>
    <x v="0"/>
  </r>
  <r>
    <x v="24"/>
    <x v="220"/>
    <m/>
    <x v="0"/>
    <x v="5"/>
    <n v="-641580.82999999996"/>
    <n v="-98119.26"/>
    <m/>
    <x v="0"/>
    <x v="2"/>
    <x v="0"/>
  </r>
  <r>
    <x v="24"/>
    <x v="221"/>
    <m/>
    <x v="1"/>
    <x v="7"/>
    <n v="53433663.579999998"/>
    <n v="3186813.080000008"/>
    <n v="254390.34"/>
    <x v="0"/>
    <x v="2"/>
    <x v="0"/>
  </r>
  <r>
    <x v="24"/>
    <x v="222"/>
    <m/>
    <x v="1"/>
    <x v="4"/>
    <n v="1381542610"/>
    <n v="4049520"/>
    <m/>
    <x v="0"/>
    <x v="2"/>
    <x v="39"/>
  </r>
  <r>
    <x v="24"/>
    <x v="223"/>
    <m/>
    <x v="1"/>
    <x v="10"/>
    <n v="6088642.54"/>
    <n v="-918653.23"/>
    <m/>
    <x v="0"/>
    <x v="2"/>
    <x v="0"/>
  </r>
  <r>
    <x v="24"/>
    <x v="224"/>
    <m/>
    <x v="1"/>
    <x v="1"/>
    <n v="405939983"/>
    <n v="62539382.810000002"/>
    <n v="22623868.799999997"/>
    <x v="0"/>
    <x v="2"/>
    <x v="0"/>
  </r>
  <r>
    <x v="25"/>
    <x v="225"/>
    <m/>
    <x v="0"/>
    <x v="8"/>
    <n v="219531000"/>
    <n v="-170050000"/>
    <n v="0"/>
    <x v="35"/>
    <x v="60"/>
    <x v="40"/>
  </r>
  <r>
    <x v="25"/>
    <x v="226"/>
    <m/>
    <x v="0"/>
    <x v="8"/>
    <n v="232781000"/>
    <n v="-25960000"/>
    <n v="0"/>
    <x v="35"/>
    <x v="61"/>
    <x v="5"/>
  </r>
  <r>
    <x v="25"/>
    <x v="227"/>
    <m/>
    <x v="0"/>
    <x v="8"/>
    <n v="6732000"/>
    <n v="1839000"/>
    <n v="0"/>
    <x v="35"/>
    <x v="62"/>
    <x v="5"/>
  </r>
  <r>
    <x v="25"/>
    <x v="228"/>
    <m/>
    <x v="0"/>
    <x v="8"/>
    <n v="33758000"/>
    <n v="654000"/>
    <n v="0"/>
    <x v="35"/>
    <x v="63"/>
    <x v="5"/>
  </r>
  <r>
    <x v="25"/>
    <x v="229"/>
    <m/>
    <x v="0"/>
    <x v="17"/>
    <n v="113562000"/>
    <n v="-7244000"/>
    <n v="0"/>
    <x v="35"/>
    <x v="64"/>
    <x v="41"/>
  </r>
  <r>
    <x v="25"/>
    <x v="230"/>
    <m/>
    <x v="0"/>
    <x v="14"/>
    <n v="9826139000"/>
    <n v="-547729000"/>
    <n v="0"/>
    <x v="35"/>
    <x v="65"/>
    <x v="42"/>
  </r>
  <r>
    <x v="25"/>
    <x v="231"/>
    <m/>
    <x v="1"/>
    <x v="4"/>
    <n v="19551688000"/>
    <n v="2835068000"/>
    <n v="353761000"/>
    <x v="35"/>
    <x v="12"/>
    <x v="43"/>
  </r>
  <r>
    <x v="25"/>
    <x v="232"/>
    <m/>
    <x v="1"/>
    <x v="0"/>
    <n v="564053000"/>
    <n v="59707000"/>
    <n v="15439000"/>
    <x v="35"/>
    <x v="12"/>
    <x v="44"/>
  </r>
  <r>
    <x v="25"/>
    <x v="233"/>
    <m/>
    <x v="1"/>
    <x v="8"/>
    <n v="162454000"/>
    <n v="6341000"/>
    <n v="1428000"/>
    <x v="35"/>
    <x v="12"/>
    <x v="5"/>
  </r>
  <r>
    <x v="25"/>
    <x v="234"/>
    <m/>
    <x v="1"/>
    <x v="14"/>
    <n v="32291500000"/>
    <n v="-519184000"/>
    <n v="0"/>
    <x v="35"/>
    <x v="12"/>
    <x v="45"/>
  </r>
  <r>
    <x v="25"/>
    <x v="235"/>
    <m/>
    <x v="1"/>
    <x v="1"/>
    <n v="1060213000"/>
    <n v="14736000"/>
    <n v="5748000"/>
    <x v="35"/>
    <x v="12"/>
    <x v="5"/>
  </r>
  <r>
    <x v="25"/>
    <x v="236"/>
    <m/>
    <x v="1"/>
    <x v="14"/>
    <n v="2155763000"/>
    <n v="-23642000"/>
    <n v="0"/>
    <x v="35"/>
    <x v="12"/>
    <x v="46"/>
  </r>
  <r>
    <x v="25"/>
    <x v="236"/>
    <m/>
    <x v="1"/>
    <x v="16"/>
    <n v="0"/>
    <n v="0"/>
    <n v="0"/>
    <x v="35"/>
    <x v="12"/>
    <x v="47"/>
  </r>
  <r>
    <x v="25"/>
    <x v="237"/>
    <m/>
    <x v="1"/>
    <x v="11"/>
    <n v="868855000"/>
    <n v="101517000"/>
    <n v="0"/>
    <x v="35"/>
    <x v="12"/>
    <x v="5"/>
  </r>
  <r>
    <x v="25"/>
    <x v="238"/>
    <m/>
    <x v="1"/>
    <x v="12"/>
    <n v="9628440000"/>
    <n v="311720000"/>
    <n v="0"/>
    <x v="35"/>
    <x v="12"/>
    <x v="48"/>
  </r>
  <r>
    <x v="25"/>
    <x v="239"/>
    <m/>
    <x v="1"/>
    <x v="8"/>
    <n v="67021000"/>
    <n v="-13154000"/>
    <n v="0"/>
    <x v="35"/>
    <x v="12"/>
    <x v="5"/>
  </r>
  <r>
    <x v="25"/>
    <x v="240"/>
    <m/>
    <x v="1"/>
    <x v="8"/>
    <n v="383299000"/>
    <n v="59811000"/>
    <n v="10656000"/>
    <x v="35"/>
    <x v="12"/>
    <x v="49"/>
  </r>
  <r>
    <x v="25"/>
    <x v="241"/>
    <m/>
    <x v="1"/>
    <x v="8"/>
    <n v="1753058000"/>
    <n v="112269000"/>
    <n v="31464000"/>
    <x v="35"/>
    <x v="12"/>
    <x v="50"/>
  </r>
  <r>
    <x v="25"/>
    <x v="242"/>
    <m/>
    <x v="1"/>
    <x v="10"/>
    <n v="296449000"/>
    <n v="61247000"/>
    <n v="69429000"/>
    <x v="35"/>
    <x v="12"/>
    <x v="5"/>
  </r>
  <r>
    <x v="25"/>
    <x v="243"/>
    <m/>
    <x v="1"/>
    <x v="8"/>
    <n v="1463345000"/>
    <n v="29331000"/>
    <n v="0"/>
    <x v="35"/>
    <x v="12"/>
    <x v="51"/>
  </r>
  <r>
    <x v="26"/>
    <x v="244"/>
    <m/>
    <x v="1"/>
    <x v="8"/>
    <n v="17000210.629999999"/>
    <n v="-2971679.58"/>
    <m/>
    <x v="0"/>
    <x v="2"/>
    <x v="0"/>
  </r>
  <r>
    <x v="26"/>
    <x v="245"/>
    <m/>
    <x v="1"/>
    <x v="8"/>
    <n v="42141024.75"/>
    <n v="490802.29"/>
    <m/>
    <x v="0"/>
    <x v="2"/>
    <x v="0"/>
  </r>
  <r>
    <x v="26"/>
    <x v="246"/>
    <m/>
    <x v="1"/>
    <x v="8"/>
    <n v="1191066.3999999999"/>
    <n v="-93687.43"/>
    <m/>
    <x v="0"/>
    <x v="2"/>
    <x v="52"/>
  </r>
  <r>
    <x v="27"/>
    <x v="247"/>
    <m/>
    <x v="2"/>
    <x v="16"/>
    <m/>
    <m/>
    <m/>
    <x v="0"/>
    <x v="2"/>
    <x v="0"/>
  </r>
  <r>
    <x v="27"/>
    <x v="247"/>
    <m/>
    <x v="2"/>
    <x v="16"/>
    <m/>
    <m/>
    <m/>
    <x v="0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s v="AC"/>
    <s v="EMP. DE PROC. DE DADOS DO ACRE S/A - ACREDATA"/>
    <m/>
    <x v="0"/>
    <x v="0"/>
  </r>
  <r>
    <s v="AC"/>
    <s v="BANACRE S/A EM LIQUIDAÇÃO ORDINARIA"/>
    <m/>
    <x v="0"/>
    <x v="1"/>
  </r>
  <r>
    <s v="AC"/>
    <s v="CAGEACRE"/>
    <m/>
    <x v="0"/>
    <x v="2"/>
  </r>
  <r>
    <s v="AC"/>
    <s v="COMPANHIA INDUSTRIAL DE LATICINIOS "/>
    <m/>
    <x v="0"/>
    <x v="2"/>
  </r>
  <r>
    <s v="AC"/>
    <s v="COMPANHIA DE DESENVOL IND DO EST DO ACRE-CODISACRE "/>
    <m/>
    <x v="0"/>
    <x v="2"/>
  </r>
  <r>
    <s v="AC"/>
    <s v="COMPANHIA DE DESENVOLVIMENTO AGRARIO E COLONIZAÇÃO DO ACRE - COLONACRE"/>
    <m/>
    <x v="0"/>
    <x v="3"/>
  </r>
  <r>
    <s v="AC"/>
    <s v="CIA DE SANEAMENTO DO ESTADO DO ACRE-SANACRE"/>
    <m/>
    <x v="0"/>
    <x v="4"/>
  </r>
  <r>
    <s v="AL"/>
    <s v="Agência de Fomento de Alagoas S/A - DESENVOLVE - dados 2017"/>
    <m/>
    <x v="0"/>
    <x v="5"/>
  </r>
  <r>
    <s v="AL"/>
    <s v="Companhia Alagoana de Recursos Humanos e Patrimoniais - CARHP"/>
    <m/>
    <x v="0"/>
    <x v="2"/>
  </r>
  <r>
    <s v="AL"/>
    <s v="Serviços de Engenharia do Estado de Alagoas - SERVEAL"/>
    <m/>
    <x v="0"/>
    <x v="6"/>
  </r>
  <r>
    <s v="AL"/>
    <s v="Banco do Estado de Alagoas - PRODUBAN - parece que foi vendido"/>
    <m/>
    <x v="0"/>
    <x v="1"/>
  </r>
  <r>
    <s v="AL"/>
    <s v="COMPANHIA DE SANEAMENTO DE ALAGOAS - CASAL"/>
    <s v="CASAL"/>
    <x v="1"/>
    <x v="4"/>
  </r>
  <r>
    <s v="AL"/>
    <s v="GAS DE ALAGOAS S/A - ALGAS"/>
    <s v="ALGÁS"/>
    <x v="1"/>
    <x v="7"/>
  </r>
  <r>
    <s v="AL"/>
    <s v="Laboratório Industrial Farmacêutico de Alagoas S.A. – LIFAL"/>
    <s v="LIFAL"/>
    <x v="1"/>
    <x v="8"/>
  </r>
  <r>
    <s v="AL"/>
    <s v="ALAGOAS ATIVOS S.A."/>
    <m/>
    <x v="1"/>
    <x v="9"/>
  </r>
  <r>
    <s v="AL"/>
    <s v="Companhia de Edição, Impressão e Publicação de Alagoas - CEPAL"/>
    <s v="CEPAL"/>
    <x v="1"/>
    <x v="10"/>
  </r>
  <r>
    <s v="AM"/>
    <s v="Companhia de Saneamento do Amazonas - Cosama"/>
    <m/>
    <x v="0"/>
    <x v="4"/>
  </r>
  <r>
    <s v="AM"/>
    <s v="Agência de Desenvolvimento Sustentável do Amazonas - ADS"/>
    <m/>
    <x v="0"/>
    <x v="8"/>
  </r>
  <r>
    <s v="AM"/>
    <s v="Empresa Estadual de Turismo"/>
    <m/>
    <x v="0"/>
    <x v="8"/>
  </r>
  <r>
    <s v="AM"/>
    <s v="Companhia de Gás do Amazonas - Cigás"/>
    <m/>
    <x v="1"/>
    <x v="7"/>
  </r>
  <r>
    <s v="AM"/>
    <s v="CIAMA"/>
    <m/>
    <x v="1"/>
    <x v="5"/>
  </r>
  <r>
    <s v="AM"/>
    <s v="PRODAM - PROC. DE DADOS AMAZONAS S.A."/>
    <m/>
    <x v="1"/>
    <x v="0"/>
  </r>
  <r>
    <s v="AM"/>
    <s v="AGÊNCIA DE FOMENTO DO ESTADO DO AMAZONAS"/>
    <m/>
    <x v="1"/>
    <x v="1"/>
  </r>
  <r>
    <s v="AP"/>
    <s v="Companhia de Água e Esgoto do Amapá "/>
    <s v="CAESA "/>
    <x v="2"/>
    <x v="4"/>
  </r>
  <r>
    <s v="AP"/>
    <s v="Companhia de Eletricidade do Amapá "/>
    <s v="(CEA) "/>
    <x v="2"/>
    <x v="11"/>
  </r>
  <r>
    <s v="BA"/>
    <s v="EMPRESA BAIANA DAS ÁGUAS E SANEAMENTO"/>
    <m/>
    <x v="0"/>
    <x v="4"/>
  </r>
  <r>
    <s v="BA"/>
    <s v="COMPANHIA BAIANA DE PESQUISA MINERAL CBPM"/>
    <m/>
    <x v="0"/>
    <x v="5"/>
  </r>
  <r>
    <s v="BA"/>
    <s v="BAHIA PESCA S/A"/>
    <m/>
    <x v="0"/>
    <x v="2"/>
  </r>
  <r>
    <s v="BA"/>
    <s v="CAR"/>
    <m/>
    <x v="0"/>
    <x v="5"/>
  </r>
  <r>
    <s v="BA"/>
    <s v="CONDER"/>
    <m/>
    <x v="0"/>
    <x v="12"/>
  </r>
  <r>
    <s v="BA"/>
    <s v="CERB"/>
    <m/>
    <x v="0"/>
    <x v="4"/>
  </r>
  <r>
    <s v="BA"/>
    <s v="COMPANHIA  DE GAS DA BAHIA - BAHIAGAS"/>
    <m/>
    <x v="1"/>
    <x v="7"/>
  </r>
  <r>
    <s v="BA"/>
    <s v="BAHIAINVESTE - EMPRESA BAIANA DE ATIVOS S/A"/>
    <m/>
    <x v="1"/>
    <x v="9"/>
  </r>
  <r>
    <s v="BA"/>
    <s v="DESENBAHIA"/>
    <m/>
    <x v="1"/>
    <x v="1"/>
  </r>
  <r>
    <s v="BA"/>
    <s v="PRODEB"/>
    <m/>
    <x v="1"/>
    <x v="0"/>
  </r>
  <r>
    <s v="BA"/>
    <s v="EGBA"/>
    <m/>
    <x v="1"/>
    <x v="2"/>
  </r>
  <r>
    <s v="BA"/>
    <s v="URBIS"/>
    <m/>
    <x v="1"/>
    <x v="12"/>
  </r>
  <r>
    <s v="CE"/>
    <s v="Empresa de Assistência Técnica e Extensão Rural do Ceará - EMATERCE"/>
    <m/>
    <x v="0"/>
    <x v="6"/>
  </r>
  <r>
    <s v="CE"/>
    <s v="Empresa de Tecnologia da Informação do Ceará - ETICE"/>
    <m/>
    <x v="0"/>
    <x v="0"/>
  </r>
  <r>
    <s v="CE"/>
    <s v="Companhia de Habitação do Ceará - COHAB"/>
    <m/>
    <x v="0"/>
    <x v="13"/>
  </r>
  <r>
    <s v="CE"/>
    <s v="Companhia de Desenvolvimento do Ceará - CODECE"/>
    <m/>
    <x v="0"/>
    <x v="5"/>
  </r>
  <r>
    <s v="CE"/>
    <s v="Companhia de Água e Esgoto do Ceará - CAGECE"/>
    <m/>
    <x v="1"/>
    <x v="4"/>
  </r>
  <r>
    <s v="CE"/>
    <s v="Companhia de Gás do Ceará - CEGÁS"/>
    <m/>
    <x v="1"/>
    <x v="7"/>
  </r>
  <r>
    <s v="CE"/>
    <s v="Companhia Cearense de Transportes Metropolitanos - METROFOR"/>
    <m/>
    <x v="1"/>
    <x v="14"/>
  </r>
  <r>
    <s v="CE"/>
    <s v="Companhia do Complexo Industrial e Portuária do Pecém - CIPP S/A"/>
    <m/>
    <x v="1"/>
    <x v="8"/>
  </r>
  <r>
    <s v="CE"/>
    <s v="Centrais de Abastecimento do Ceará S/A - CEASA"/>
    <m/>
    <x v="1"/>
    <x v="3"/>
  </r>
  <r>
    <s v="CE"/>
    <s v="Companhia de Gestão dos Recursos Hídricos do Ceará - COGERH"/>
    <m/>
    <x v="1"/>
    <x v="8"/>
  </r>
  <r>
    <s v="CE"/>
    <s v="Agência de Desenvolvimento do Estado do Ceará - ADECE"/>
    <m/>
    <x v="1"/>
    <x v="5"/>
  </r>
  <r>
    <s v="CE"/>
    <s v="Companhia Adm. da Zona de Process. de Exportação do Ceará - ZPE CEARÁ"/>
    <m/>
    <x v="1"/>
    <x v="5"/>
  </r>
  <r>
    <s v="DF"/>
    <s v=" COMPANHIA DE DESENVOLVIMENTO DO  DF - CODEPLAN "/>
    <m/>
    <x v="0"/>
    <x v="2"/>
  </r>
  <r>
    <s v="DF"/>
    <s v=" COMPANHIA URBANIZADORA DA NOVA CAPITAL - NOVACAP"/>
    <m/>
    <x v="0"/>
    <x v="12"/>
  </r>
  <r>
    <s v="DF"/>
    <s v="TRASNPORTES COLETIVOS DE BRASILIA - TCB"/>
    <m/>
    <x v="0"/>
    <x v="14"/>
  </r>
  <r>
    <s v="DF"/>
    <s v=" COMPANHIA METROPOLITANA DO  DF - METRÔ DF"/>
    <m/>
    <x v="0"/>
    <x v="14"/>
  </r>
  <r>
    <s v="DF"/>
    <s v=" EMPRESA DE ASSISTENCIA TÉCNICA E EXTENSÃO RURAL DO DF - EMATER"/>
    <m/>
    <x v="0"/>
    <x v="6"/>
  </r>
  <r>
    <s v="DF"/>
    <s v="COMPANHIA DE DESENVOLVIMENTO HABITACIONAL DO DF - CODHAB"/>
    <m/>
    <x v="0"/>
    <x v="12"/>
  </r>
  <r>
    <s v="DF"/>
    <s v="SOCIEDADE DE ABASTECIMENTO DE BRASILIA - SAB "/>
    <m/>
    <x v="0"/>
    <x v="3"/>
  </r>
  <r>
    <s v="DF"/>
    <s v="BANCO DE BRASILIA - BRB "/>
    <m/>
    <x v="1"/>
    <x v="1"/>
  </r>
  <r>
    <s v="DF"/>
    <s v="COMPANHIA DE SANEAMENTO AMBIENTAL DO DF - CAESB"/>
    <m/>
    <x v="1"/>
    <x v="4"/>
  </r>
  <r>
    <s v="DF"/>
    <s v="COMPANHIA ENERGETICA DE BRASILIA - CEB "/>
    <m/>
    <x v="1"/>
    <x v="11"/>
  </r>
  <r>
    <s v="DF"/>
    <s v="CENTRAIS DE ABASTECIMENTO DO DISTRITO FEDERAL  - CEASA "/>
    <m/>
    <x v="1"/>
    <x v="3"/>
  </r>
  <r>
    <s v="DF"/>
    <s v="COMPANHIA IMOBILIARIA DE BRASILIA  - TERRACAP"/>
    <m/>
    <x v="1"/>
    <x v="12"/>
  </r>
  <r>
    <s v="DF"/>
    <s v="DF GESTÃO DE ATIVOS  S . A. "/>
    <m/>
    <x v="1"/>
    <x v="9"/>
  </r>
  <r>
    <s v="ES"/>
    <s v="Ceasa - Centrais de Abastecimento do Espirito Santo S/A"/>
    <m/>
    <x v="0"/>
    <x v="3"/>
  </r>
  <r>
    <s v="ES"/>
    <s v="Cohab - Companhia de Habitação e Urbanização do Estado do Espirito Santo - Em Liquidação"/>
    <m/>
    <x v="0"/>
    <x v="8"/>
  </r>
  <r>
    <s v="ES"/>
    <s v="Banestes - Banco do Estado do Espirito Santo"/>
    <m/>
    <x v="1"/>
    <x v="1"/>
  </r>
  <r>
    <s v="ES"/>
    <s v="Bandes - Banco de Desenvolvimento do Espírito Santo S/A"/>
    <m/>
    <x v="1"/>
    <x v="1"/>
  </r>
  <r>
    <s v="ES"/>
    <s v="Cesan - Companhia Espirito Santense de Saneamento"/>
    <m/>
    <x v="1"/>
    <x v="4"/>
  </r>
  <r>
    <s v="ES"/>
    <s v="Ceturb - Companhia Estadual de Transportes Coletivos de Passageiros do Espirito Santo"/>
    <m/>
    <x v="1"/>
    <x v="14"/>
  </r>
  <r>
    <s v="GO"/>
    <s v="CASEGO - COMPANHIA DE ARMAZÉM E SILOS DO ESTADO DE GOIÁS S/A"/>
    <m/>
    <x v="0"/>
    <x v="3"/>
  </r>
  <r>
    <s v="GO"/>
    <s v="EMATER - AGENCIA GOIANA DE ASSISTENCIA TECNICA, EXTENSAO RURAL E PESQUISA AGROPECUARIA"/>
    <m/>
    <x v="0"/>
    <x v="6"/>
  </r>
  <r>
    <s v="GO"/>
    <s v="GOIASTELECOM - GOIAS TELECOMUNICACOES S/A"/>
    <m/>
    <x v="0"/>
    <x v="10"/>
  </r>
  <r>
    <s v="GO"/>
    <s v="METAGO - METAIS DE GOIAS S/A"/>
    <m/>
    <x v="0"/>
    <x v="9"/>
  </r>
  <r>
    <s v="GO"/>
    <s v="PRODAGO - EMPRESA ESTADUAL DE PROCESSAMENTO DE DADOS DE GOIAS"/>
    <m/>
    <x v="0"/>
    <x v="0"/>
  </r>
  <r>
    <s v="GO"/>
    <s v="AGEHAB - AGENCIA GOIANA DE HABITAÇÃO S/A"/>
    <m/>
    <x v="1"/>
    <x v="12"/>
  </r>
  <r>
    <s v="GO"/>
    <s v="CAIXEGO - CAIXA ECONÔMICA DO ESTADO DE GOIÁS S/A"/>
    <m/>
    <x v="1"/>
    <x v="1"/>
  </r>
  <r>
    <s v="GO"/>
    <s v="CEASA - CENTRAIS DE ABASTECIMENTO DE GOIÁS"/>
    <m/>
    <x v="1"/>
    <x v="3"/>
  </r>
  <r>
    <s v="GO"/>
    <s v="CELGPAR - CIA CELG DE PARTICIPACOES"/>
    <m/>
    <x v="1"/>
    <x v="11"/>
  </r>
  <r>
    <s v="GO"/>
    <s v="CODEGO - COMPANHIA DE DESENVOLVIMENTO ECONÔMICO DE GOIÁS"/>
    <m/>
    <x v="1"/>
    <x v="5"/>
  </r>
  <r>
    <s v="GO"/>
    <s v="GOIASFOMENTO - AGENCIA DE FOMENTO DE GOIAS"/>
    <m/>
    <x v="1"/>
    <x v="5"/>
  </r>
  <r>
    <s v="GO"/>
    <s v="GOIASGAS - AGENCIA GOIANA DE GAS CANALIZADO S/A"/>
    <m/>
    <x v="1"/>
    <x v="7"/>
  </r>
  <r>
    <s v="GO"/>
    <s v="GOIASPARCERIAS - COMPANHIA DE INVESTIMENTO E PARCERIAS DO ESTADO DE GOIAS"/>
    <m/>
    <x v="1"/>
    <x v="5"/>
  </r>
  <r>
    <s v="GO"/>
    <s v="IQUEGO - INDÚSTRIA QUÍMICA DO ESTADO DE GOIÁS S/A"/>
    <m/>
    <x v="1"/>
    <x v="9"/>
  </r>
  <r>
    <s v="GO"/>
    <s v="METROBUS - METROBUS TRANSPORTE COLETIVO S/A"/>
    <m/>
    <x v="1"/>
    <x v="14"/>
  </r>
  <r>
    <s v="GO"/>
    <s v="SANEAGO - SANEAMENTO DE GOIAS S/A"/>
    <m/>
    <x v="1"/>
    <x v="4"/>
  </r>
  <r>
    <s v="MA"/>
    <s v="EMPRESA MARANHENSE DE ADMINISTRACAO D RECURSOS HUMANOS E NEGOCIOS PUBLICOS S.A"/>
    <m/>
    <x v="0"/>
    <x v="9"/>
  </r>
  <r>
    <s v="MA"/>
    <s v="EMPRESA MARANHENSE DE SERVIÇOS HOSPITALARES - EMSERH"/>
    <m/>
    <x v="0"/>
    <x v="15"/>
  </r>
  <r>
    <s v="MA"/>
    <s v="COMPANHIA DE SANEAMENTO AMBIENTAL DO MARANHÃO - CAEMA"/>
    <m/>
    <x v="1"/>
    <x v="4"/>
  </r>
  <r>
    <s v="MA"/>
    <s v="EMAP"/>
    <m/>
    <x v="1"/>
    <x v="8"/>
  </r>
  <r>
    <s v="MA"/>
    <s v="COMPANHIA MARANHENSE DE GAS - GASMAR"/>
    <m/>
    <x v="1"/>
    <x v="7"/>
  </r>
  <r>
    <s v="MG"/>
    <s v="Empresa de Assistência Técnica e Extensão Rural do Estado de Minas Gerais - EMATER"/>
    <m/>
    <x v="0"/>
    <x v="6"/>
  </r>
  <r>
    <s v="MG"/>
    <s v="Empresa de Pesquisa Agropecuária de Minas Gerais - EPAMIG"/>
    <m/>
    <x v="0"/>
    <x v="16"/>
  </r>
  <r>
    <s v="MG"/>
    <s v="Empresa Mineira de Comunicação - EMC (Rádio Inconfidência)"/>
    <m/>
    <x v="0"/>
    <x v="10"/>
  </r>
  <r>
    <s v="MG"/>
    <s v="Banco de Desenvolvimento de Minas Gerais S.A. - BDMG"/>
    <m/>
    <x v="1"/>
    <x v="1"/>
  </r>
  <r>
    <s v="MG"/>
    <s v="Companhia de Desenvolvimento de Minas Gerais – CODEMGE"/>
    <m/>
    <x v="1"/>
    <x v="5"/>
  </r>
  <r>
    <s v="MG"/>
    <s v="Codemge Participações S.A. - CODEPAR"/>
    <m/>
    <x v="1"/>
    <x v="5"/>
  </r>
  <r>
    <s v="MG"/>
    <s v="Companhia de Desenvolvimento Econômico de Minas Gerais – CODEMIG"/>
    <m/>
    <x v="1"/>
    <x v="5"/>
  </r>
  <r>
    <s v="MG"/>
    <s v="Companhia de Habitação do Estado de Minas Gerais – COHAB MINAS"/>
    <m/>
    <x v="1"/>
    <x v="8"/>
  </r>
  <r>
    <s v="MG"/>
    <s v="Companhia de Saneamento de Minas Gerais - COPASA"/>
    <m/>
    <x v="1"/>
    <x v="4"/>
  </r>
  <r>
    <s v="MG"/>
    <s v="Copasa Serviços de Saneamento Integrado do Norte e Nordeste de Minas Gerais S/A - COPANOR"/>
    <m/>
    <x v="1"/>
    <x v="4"/>
  </r>
  <r>
    <s v="MG"/>
    <s v="Companhia de Tecnologia da Informação do Estado de Minas Gerais - PRODEMGE"/>
    <m/>
    <x v="1"/>
    <x v="0"/>
  </r>
  <r>
    <s v="MG"/>
    <s v="Companhia Energética de Minas Gerais – CEMIG"/>
    <m/>
    <x v="1"/>
    <x v="11"/>
  </r>
  <r>
    <s v="MG"/>
    <s v="Cemig Distribuição S.A. - CEMIG D"/>
    <m/>
    <x v="1"/>
    <x v="11"/>
  </r>
  <r>
    <s v="MG"/>
    <s v="Cemig Geração e Transmissão S.A. - CEMIG GT"/>
    <m/>
    <x v="1"/>
    <x v="11"/>
  </r>
  <r>
    <s v="MG"/>
    <s v="Companhia de Gás de Minas Gerais - GASMIG "/>
    <m/>
    <x v="1"/>
    <x v="7"/>
  </r>
  <r>
    <s v="MG"/>
    <s v="Minas Gerais Participações S.A. – MGI"/>
    <m/>
    <x v="1"/>
    <x v="9"/>
  </r>
  <r>
    <s v="MG"/>
    <s v="EMIP - Empresa Mineira de Parcerias S.A. "/>
    <m/>
    <x v="1"/>
    <x v="5"/>
  </r>
  <r>
    <s v="MG"/>
    <s v="Minas Gerais Administração e Serviços S.A. - MGS"/>
    <m/>
    <x v="1"/>
    <x v="8"/>
  </r>
  <r>
    <s v="MG"/>
    <s v="Trem Metropolitano de Belo Horizonte S/A - METROMINAS"/>
    <m/>
    <x v="1"/>
    <x v="14"/>
  </r>
  <r>
    <s v="MS"/>
    <s v="EMPRESA DE SERVIÇOS AGROPECUÁRIOS DE MS (EM LIQUIDAÇÃO)"/>
    <m/>
    <x v="0"/>
    <x v="3"/>
  </r>
  <r>
    <s v="MS"/>
    <s v="EMPRESA DE GESTÃO DE RECURSOS MINERAIS DE MS - MS MINERAL"/>
    <m/>
    <x v="0"/>
    <x v="8"/>
  </r>
  <r>
    <s v="MS"/>
    <s v="EMPRESA DE SANEAMENTO DE MS S.A.-SANESUL"/>
    <m/>
    <x v="1"/>
    <x v="4"/>
  </r>
  <r>
    <s v="MS"/>
    <s v="COMPANHIA DE GAS DO ESTADO DE MATO GROSSO DO SUL - MSGAS"/>
    <m/>
    <x v="1"/>
    <x v="7"/>
  </r>
  <r>
    <s v="MS"/>
    <s v="CENTRAIS DE ABASTECIMENTO DE MATO GROSSO DO SUL S/A CEASA/ MS"/>
    <m/>
    <x v="1"/>
    <x v="3"/>
  </r>
  <r>
    <s v="MT"/>
    <s v="METAMAT"/>
    <m/>
    <x v="0"/>
    <x v="17"/>
  </r>
  <r>
    <s v="MT"/>
    <s v="EMPAER-MT"/>
    <m/>
    <x v="0"/>
    <x v="6"/>
  </r>
  <r>
    <s v="MT"/>
    <s v="COMPANHIA MATOGROSSENSE DE GAS - MTGAS"/>
    <m/>
    <x v="0"/>
    <x v="7"/>
  </r>
  <r>
    <s v="MT"/>
    <s v="MT PARCERIAS S.A."/>
    <m/>
    <x v="0"/>
    <x v="8"/>
  </r>
  <r>
    <s v="MT"/>
    <s v="EMPRESA MATOGROSSENSE DE TECNOLOGIA  DA INFORMAÇÃO - MTI"/>
    <m/>
    <x v="0"/>
    <x v="0"/>
  </r>
  <r>
    <s v="MT"/>
    <s v="COMPANHIA DE SANEAMENTO DO ESTADO"/>
    <m/>
    <x v="0"/>
    <x v="4"/>
  </r>
  <r>
    <s v="MT"/>
    <s v="Agência de Fomento do Estado de Mato Grosso S/A - DESENVOLVE MT"/>
    <m/>
    <x v="1"/>
    <x v="1"/>
  </r>
  <r>
    <s v="PA"/>
    <s v="COMP. ADM DA ZONA DE PROC DE EXP BARCARENA"/>
    <m/>
    <x v="0"/>
    <x v="5"/>
  </r>
  <r>
    <s v="PA"/>
    <s v="Banco do Estado do Pará"/>
    <m/>
    <x v="1"/>
    <x v="8"/>
  </r>
  <r>
    <s v="PA"/>
    <s v="COMPANHIA DE PORTOS E HID. DO ESTADO DO PARA"/>
    <m/>
    <x v="0"/>
    <x v="14"/>
  </r>
  <r>
    <s v="PA"/>
    <s v="CENTRAIS DE ABASTECIMENTO DO PARA AS"/>
    <m/>
    <x v="0"/>
    <x v="3"/>
  </r>
  <r>
    <s v="PA"/>
    <s v="COMP.DE DESENV. ECONOMICO DO PARÁ"/>
    <m/>
    <x v="0"/>
    <x v="5"/>
  </r>
  <r>
    <s v="PA"/>
    <s v="COMPANHIA DE HAB. DO ESTADO DO PARÁ"/>
    <m/>
    <x v="0"/>
    <x v="2"/>
  </r>
  <r>
    <s v="PA"/>
    <s v="COMPANHIA DE SANEAMENTO DO PARÁ"/>
    <m/>
    <x v="1"/>
    <x v="4"/>
  </r>
  <r>
    <s v="PA"/>
    <s v="EMP DE ASSIST TEC E EXTENSAO RURAL DO ESTADO DO PARÁ"/>
    <m/>
    <x v="0"/>
    <x v="6"/>
  </r>
  <r>
    <s v="PA"/>
    <s v="COMPANHIA DE GAS DO PARA "/>
    <m/>
    <x v="0"/>
    <x v="7"/>
  </r>
  <r>
    <s v="PA"/>
    <s v="Empresa de Tec. da Inf. e Comunicação do Estado do Pará - PRODEPA"/>
    <m/>
    <x v="0"/>
    <x v="0"/>
  </r>
  <r>
    <s v="PB"/>
    <s v="Empresa Paraibana de Turismo S/A (PBTUR S/A)"/>
    <s v="PBTUR"/>
    <x v="0"/>
    <x v="8"/>
  </r>
  <r>
    <s v="PB"/>
    <s v="Cia. de Desenvolvimento da Paraíba (CINEP)"/>
    <s v="CINEP"/>
    <x v="0"/>
    <x v="5"/>
  </r>
  <r>
    <s v="PB"/>
    <s v="Laboratório Industria Farmacêutica da Paraíba S/A (LIFESA)"/>
    <s v="LEFESA"/>
    <x v="0"/>
    <x v="8"/>
  </r>
  <r>
    <s v="PB"/>
    <s v="Empresa de Assist.Técnica e Extensão Rural (EMATER)"/>
    <s v="EMATER"/>
    <x v="0"/>
    <x v="8"/>
  </r>
  <r>
    <s v="PB"/>
    <s v="Empresa Paraibana de Abast.e Serv. Agrícolas (EMPASA) - em liquidação"/>
    <s v="EMPASA"/>
    <x v="0"/>
    <x v="3"/>
  </r>
  <r>
    <s v="PB"/>
    <s v="Cia. de Process.de Dados - CODATA"/>
    <s v="CODATA"/>
    <x v="1"/>
    <x v="0"/>
  </r>
  <r>
    <s v="PB"/>
    <s v="Companhia Paraíbana de Gás"/>
    <s v="PBGAS"/>
    <x v="0"/>
    <x v="7"/>
  </r>
  <r>
    <s v="PB"/>
    <s v="Companhia DOCAS da Paraíba"/>
    <s v="DOCAS"/>
    <x v="1"/>
    <x v="8"/>
  </r>
  <r>
    <s v="PB"/>
    <s v="Cia .de Água e Esgotos da Paraíba - CAGEPA"/>
    <s v="CAGEPA"/>
    <x v="1"/>
    <x v="4"/>
  </r>
  <r>
    <s v="PE"/>
    <s v="COMPANHIA ESTADUAL DE HABITAÇÃO E OBRAS - CEHAB"/>
    <m/>
    <x v="0"/>
    <x v="8"/>
  </r>
  <r>
    <s v="PE"/>
    <s v="CONSORCIO DE TRANSPORTES DA REGIAO METROPOLITANA DO RECIFE"/>
    <m/>
    <x v="0"/>
    <x v="14"/>
  </r>
  <r>
    <s v="PE"/>
    <s v="EMPRESA PERNAMBUCO DE COMUNICAÇÃO S/A - EPC"/>
    <m/>
    <x v="0"/>
    <x v="10"/>
  </r>
  <r>
    <s v="PE"/>
    <s v="INSTITUTO AGRONÔMICO DE PERNAMBUCO - IPA"/>
    <m/>
    <x v="0"/>
    <x v="2"/>
  </r>
  <r>
    <s v="PE"/>
    <s v="EMPRESA DE TURISMO DE PERNAMBUCO GOVERNADOR EDUARDO CAMPOS - EMPETUR"/>
    <m/>
    <x v="0"/>
    <x v="8"/>
  </r>
  <r>
    <s v="PE"/>
    <s v="EMPRESA PERNAMBUCANA DE TRANSPOSTE COLETIVO INTERMUNICIPAL"/>
    <m/>
    <x v="0"/>
    <x v="14"/>
  </r>
  <r>
    <s v="PE"/>
    <s v="PERNAMBUCO PARTICIPAÇÕES E INVESTIMENTOS S.A. - PERPART"/>
    <m/>
    <x v="0"/>
    <x v="8"/>
  </r>
  <r>
    <s v="PE"/>
    <s v="AGENCIA DE FOMENTO DO ESTADO DE PERNAMBUCO"/>
    <m/>
    <x v="1"/>
    <x v="1"/>
  </r>
  <r>
    <s v="PE"/>
    <s v="COMPANHIA EDITORA DE PERNAMBUCO"/>
    <m/>
    <x v="1"/>
    <x v="8"/>
  </r>
  <r>
    <s v="PE"/>
    <s v="COMPANHIA PERNAMBUCANA DE SANEAMENTO"/>
    <m/>
    <x v="1"/>
    <x v="4"/>
  </r>
  <r>
    <s v="PE"/>
    <s v="LABORATORIO FARMACEUTICO DO ESTADO DE PERNAMBUCO GOVERNADOR MIGUEL ARRAES S/A - LAFEPE"/>
    <m/>
    <x v="1"/>
    <x v="8"/>
  </r>
  <r>
    <s v="PE"/>
    <s v="SUAPE COMPLEXO INDUSTRIAL PORTUÁRIO GOVERNADOR ERALDO GUEIROS"/>
    <m/>
    <x v="1"/>
    <x v="8"/>
  </r>
  <r>
    <s v="PE"/>
    <s v="AGENCIA DE DESENVOLVIMENTO ECONOMICO DE PERNAMBUCO AS - AD DIPER"/>
    <m/>
    <x v="1"/>
    <x v="5"/>
  </r>
  <r>
    <s v="PE"/>
    <s v="COMPANHIA PERNAMBUCANA DE GÁS - COPERGÁS"/>
    <m/>
    <x v="1"/>
    <x v="11"/>
  </r>
  <r>
    <s v="PE"/>
    <s v="PORTO DO RECIFE S.A."/>
    <m/>
    <x v="1"/>
    <x v="8"/>
  </r>
  <r>
    <s v="PI"/>
    <s v="Cia. de Gás do Piauí - GASPISA"/>
    <s v="GASPISA"/>
    <x v="2"/>
    <x v="7"/>
  </r>
  <r>
    <s v="PI"/>
    <s v="Cia. Energética do Estado do Piauí S/A - CEPISA (não consta na LOA - Privatizou?)"/>
    <s v="CEPISA"/>
    <x v="2"/>
    <x v="11"/>
  </r>
  <r>
    <s v="PI"/>
    <s v="Águas e Esgotos do Piauí S/A - AGESPISA"/>
    <s v="AGEPISA"/>
    <x v="2"/>
    <x v="4"/>
  </r>
  <r>
    <s v="PI"/>
    <s v="Agência de Fomento e Desenvolvimento do Piauí"/>
    <s v="FOMENTO"/>
    <x v="2"/>
    <x v="5"/>
  </r>
  <r>
    <s v="PI"/>
    <s v="Cia de Adm. da ZPE de Parnaíba"/>
    <s v="ZPE"/>
    <x v="2"/>
    <x v="8"/>
  </r>
  <r>
    <s v="PI"/>
    <s v="Cia. De Terminais Alfandegados"/>
    <s v="PORTO-PI"/>
    <x v="2"/>
    <x v="8"/>
  </r>
  <r>
    <s v="PI"/>
    <s v="Cia Metropolitana de Transportes Públicos"/>
    <s v="CMTP"/>
    <x v="2"/>
    <x v="14"/>
  </r>
  <r>
    <s v="PI"/>
    <s v="Empresa de Telecomunicações do Piauí - ETELPI"/>
    <s v="ETELPI"/>
    <x v="2"/>
    <x v="18"/>
  </r>
  <r>
    <s v="PI"/>
    <s v="Empresa de Gestão de Rec. Hum. do Estado Piauí-EMGERPI"/>
    <s v="EMGERPI"/>
    <x v="2"/>
    <x v="2"/>
  </r>
  <r>
    <s v="PR"/>
    <s v="Companhia de Desenvolvimento Agropecuário do Paraná (CODAPAR)"/>
    <m/>
    <x v="1"/>
    <x v="3"/>
  </r>
  <r>
    <s v="PR"/>
    <s v="Companhia de Saneamento do Paraná - SANEPAR"/>
    <m/>
    <x v="1"/>
    <x v="4"/>
  </r>
  <r>
    <s v="PR"/>
    <s v="Administração dos Portos de Paranaguá e Antonia - APPA"/>
    <m/>
    <x v="1"/>
    <x v="2"/>
  </r>
  <r>
    <s v="PR"/>
    <s v="Companhia de Tecnologia da Informação e Comunicação do Paraná – CELEPAR"/>
    <m/>
    <x v="1"/>
    <x v="0"/>
  </r>
  <r>
    <s v="PR"/>
    <s v="Estrada de Ferro Paraná Oeste S/A"/>
    <m/>
    <x v="1"/>
    <x v="14"/>
  </r>
  <r>
    <s v="PR"/>
    <s v="Companhia Paranaense de Energia - Copel (Consolidado)"/>
    <m/>
    <x v="1"/>
    <x v="11"/>
  </r>
  <r>
    <s v="PR"/>
    <s v="Centrais de Abastecimento do Paraná S/A - CEASA"/>
    <m/>
    <x v="1"/>
    <x v="3"/>
  </r>
  <r>
    <s v="PR"/>
    <s v="Instituto de Tecnologia do Paraná – TECPAR"/>
    <m/>
    <x v="1"/>
    <x v="16"/>
  </r>
  <r>
    <s v="PR"/>
    <s v="Companhia de Habitação do Paraná - COHAPAR"/>
    <m/>
    <x v="1"/>
    <x v="8"/>
  </r>
  <r>
    <s v="PR"/>
    <s v="Agência de Fomento do Paraná"/>
    <m/>
    <x v="1"/>
    <x v="1"/>
  </r>
  <r>
    <s v="RJ"/>
    <s v="COMPANHIA DE TRANSPORTES SOBRE  TRILHOS DO ESTADO DO RIO DE JANEIRO - RIOTRILHOS"/>
    <m/>
    <x v="0"/>
    <x v="14"/>
  </r>
  <r>
    <s v="RJ"/>
    <s v="EMPRESA DE OBRAS PÚBLICAS DO ESTADO DO RIO DE JANEIRO"/>
    <m/>
    <x v="0"/>
    <x v="8"/>
  </r>
  <r>
    <s v="RJ"/>
    <s v="EMPRESA DE PESQUISA AGROPECUARIA ESTADO RIO DE JANEIRO "/>
    <m/>
    <x v="0"/>
    <x v="16"/>
  </r>
  <r>
    <s v="RJ"/>
    <s v="EMPRESA DE ASSISTENCIA TECNICA E EXTENSAO RURAL DO ESTADO DO RIO DE JANEIRO - EMATER-RIO"/>
    <m/>
    <x v="0"/>
    <x v="6"/>
  </r>
  <r>
    <s v="RJ"/>
    <s v="Cia de Desenvolvimento Industrial do ERJ - CODIN"/>
    <m/>
    <x v="0"/>
    <x v="5"/>
  </r>
  <r>
    <s v="RJ"/>
    <s v="Companhia Estadual de Habitação do Rio de janeiro CEHAB RJ"/>
    <m/>
    <x v="0"/>
    <x v="8"/>
  </r>
  <r>
    <s v="RJ"/>
    <s v="COMPANHIA DE DESENVOLVIMENTO ROD E TERMINAIS DO EST RJ - CODERTE"/>
    <m/>
    <x v="0"/>
    <x v="8"/>
  </r>
  <r>
    <s v="RJ"/>
    <s v="COMPANHIA DE ARMAZÉNS E SILOS DO ESTADO DO RIO DE JANEIRO"/>
    <m/>
    <x v="0"/>
    <x v="3"/>
  </r>
  <r>
    <s v="RJ"/>
    <s v="CENTRAIS DE ABAST DO ESTADO DO RJ S/A"/>
    <m/>
    <x v="0"/>
    <x v="3"/>
  </r>
  <r>
    <s v="RJ"/>
    <s v="CIA.  DE TURISMO DO ESTADO DO RJ"/>
    <m/>
    <x v="0"/>
    <x v="8"/>
  </r>
  <r>
    <s v="RJ"/>
    <s v="Companhia Estadual de Águas e Esgotos (CEDAE)"/>
    <m/>
    <x v="0"/>
    <x v="4"/>
  </r>
  <r>
    <s v="RN"/>
    <s v="CEHAB"/>
    <m/>
    <x v="0"/>
    <x v="12"/>
  </r>
  <r>
    <s v="RN"/>
    <s v="EMPARN"/>
    <m/>
    <x v="0"/>
    <x v="16"/>
  </r>
  <r>
    <s v="RN"/>
    <s v="CEASA"/>
    <m/>
    <x v="0"/>
    <x v="3"/>
  </r>
  <r>
    <s v="RN"/>
    <s v="EMPROTUR"/>
    <m/>
    <x v="0"/>
    <x v="8"/>
  </r>
  <r>
    <s v="RN"/>
    <s v="DATANORTE"/>
    <m/>
    <x v="0"/>
    <x v="8"/>
  </r>
  <r>
    <s v="RN"/>
    <s v="CAERN"/>
    <m/>
    <x v="1"/>
    <x v="4"/>
  </r>
  <r>
    <s v="RN"/>
    <s v="EMGERN"/>
    <m/>
    <x v="1"/>
    <x v="9"/>
  </r>
  <r>
    <s v="RN"/>
    <s v="POTIGAS"/>
    <m/>
    <x v="1"/>
    <x v="7"/>
  </r>
  <r>
    <s v="RN"/>
    <s v="AGN"/>
    <m/>
    <x v="1"/>
    <x v="1"/>
  </r>
  <r>
    <s v="RO"/>
    <s v="COMPANHIA RONDONIENSE DE GÁS - RONGÁS"/>
    <m/>
    <x v="0"/>
    <x v="7"/>
  </r>
  <r>
    <s v="RO"/>
    <s v="Companhia de Águas e Esgotos de Rondônia - CAERD"/>
    <m/>
    <x v="1"/>
    <x v="4"/>
  </r>
  <r>
    <s v="RO"/>
    <s v="SOCIEDADE DE PORTOS E HIDROVIAS DE RONDÔNIA - SOPH/RO"/>
    <m/>
    <x v="1"/>
    <x v="19"/>
  </r>
  <r>
    <s v="RO"/>
    <s v="Companhia de Mineração de Rondônia - CMR"/>
    <m/>
    <x v="1"/>
    <x v="8"/>
  </r>
  <r>
    <s v="RR"/>
    <s v="Companhia de Desenvolvimento de Roraima"/>
    <m/>
    <x v="2"/>
    <x v="5"/>
  </r>
  <r>
    <s v="RR"/>
    <s v="Companhia de Águas e Esgotos de Roraima"/>
    <m/>
    <x v="2"/>
    <x v="4"/>
  </r>
  <r>
    <s v="RR"/>
    <s v="Agência de Desenvolvimento do Estado de Roraima"/>
    <m/>
    <x v="2"/>
    <x v="5"/>
  </r>
  <r>
    <s v="RS"/>
    <s v="Companhia de Processamento de Dados do Estado do RS - PROCERGS"/>
    <m/>
    <x v="1"/>
    <x v="0"/>
  </r>
  <r>
    <s v="RS"/>
    <s v="Companhia de Gás do Estado RGS - SULGÁS"/>
    <m/>
    <x v="1"/>
    <x v="7"/>
  </r>
  <r>
    <s v="RS"/>
    <s v="Caixa de Administração da Dívida Pública Estadual - CADIP"/>
    <m/>
    <x v="1"/>
    <x v="1"/>
  </r>
  <r>
    <s v="RS"/>
    <s v="Companhia Riograndense de Mineração - CRM"/>
    <m/>
    <x v="1"/>
    <x v="11"/>
  </r>
  <r>
    <s v="RS"/>
    <s v="Centrais de Abastecimento do Rio Grande do Sul - CEASA"/>
    <m/>
    <x v="1"/>
    <x v="3"/>
  </r>
  <r>
    <s v="RS"/>
    <s v="Companhia Riograndense de Saneamento - CORSAN"/>
    <m/>
    <x v="1"/>
    <x v="4"/>
  </r>
  <r>
    <s v="RS"/>
    <s v="Companhia Estadual de Geração e Transmição de Energia Eletrica - CEEE-GT"/>
    <m/>
    <x v="1"/>
    <x v="11"/>
  </r>
  <r>
    <s v="RS"/>
    <s v="Companhia Estadual de Distribuição de Enegia Eletrica - CEEE-D"/>
    <m/>
    <x v="1"/>
    <x v="11"/>
  </r>
  <r>
    <s v="RS"/>
    <s v="Empresa Gaúcha de Rodovias - EGR"/>
    <m/>
    <x v="1"/>
    <x v="14"/>
  </r>
  <r>
    <s v="RS"/>
    <s v="Banco do Estado do Rio Grande do Sul - BANRISUL"/>
    <m/>
    <x v="1"/>
    <x v="1"/>
  </r>
  <r>
    <s v="RS"/>
    <s v="BADESUL Desenvolvimento S.A. - Agência de Fomento/RS"/>
    <m/>
    <x v="1"/>
    <x v="1"/>
  </r>
  <r>
    <s v="SC"/>
    <s v="Companhia de Habitação do Estado de Santa Catarina - COHAB - Em liquidação"/>
    <m/>
    <x v="0"/>
    <x v="5"/>
  </r>
  <r>
    <s v="SC"/>
    <s v="Companhia Integrada de Desnvolvimento Agrícola de Santa Catarina - CIDASC"/>
    <m/>
    <x v="0"/>
    <x v="2"/>
  </r>
  <r>
    <s v="SC"/>
    <s v="Santa Catarina Turismo S.A - SANTUR"/>
    <m/>
    <x v="0"/>
    <x v="5"/>
  </r>
  <r>
    <s v="SC"/>
    <s v="Empresa de Pesquisa Agropecuária e Extensão Rual de Santa Catarina - EPAGRI"/>
    <m/>
    <x v="0"/>
    <x v="16"/>
  </r>
  <r>
    <s v="SC"/>
    <s v="Cia de Desenvolvimento do Estado de Santa Catarina - CODESC - em Liquidação"/>
    <m/>
    <x v="1"/>
    <x v="5"/>
  </r>
  <r>
    <s v="SC"/>
    <s v="Agência de Fomento do Estado de Santa Catarina S/A - BADESC"/>
    <m/>
    <x v="1"/>
    <x v="1"/>
  </r>
  <r>
    <s v="SC"/>
    <s v="Centrais Elétricas de Santa Catarina - CELESC"/>
    <m/>
    <x v="1"/>
    <x v="11"/>
  </r>
  <r>
    <s v="SC"/>
    <s v="Santa Catarina Participação e Investimentos S/A - INVESC"/>
    <m/>
    <x v="1"/>
    <x v="1"/>
  </r>
  <r>
    <s v="SC"/>
    <s v="Centrais de Abastecimento do Estado de Santa Catarina S/A - CEASA"/>
    <m/>
    <x v="1"/>
    <x v="3"/>
  </r>
  <r>
    <s v="SC"/>
    <s v="Centro de Informatica e Automação de SC S/A - CIASC"/>
    <m/>
    <x v="1"/>
    <x v="0"/>
  </r>
  <r>
    <s v="SC"/>
    <s v="Companhia Catarinense de Aguas e Saneamento - CASAN"/>
    <m/>
    <x v="1"/>
    <x v="4"/>
  </r>
  <r>
    <s v="SC"/>
    <s v="Cia de Distritos Industriais de Santa Catarina - CODISC - em Liquidação"/>
    <m/>
    <x v="1"/>
    <x v="5"/>
  </r>
  <r>
    <s v="SC"/>
    <s v="SC Participações e Parceria S.A (SCPar)"/>
    <m/>
    <x v="1"/>
    <x v="5"/>
  </r>
  <r>
    <s v="SE"/>
    <s v="EMPRESA DE DESENVOLVIMENTO AGROPECOARIO DE SERGIPE -  EMDAGRO"/>
    <m/>
    <x v="0"/>
    <x v="6"/>
  </r>
  <r>
    <s v="SE"/>
    <s v="COMPANHIA ESTADUAL DE HABITAÇÃO E OBRAS PUBLICAS - CEHOP"/>
    <m/>
    <x v="0"/>
    <x v="8"/>
  </r>
  <r>
    <s v="SE"/>
    <s v="EMPRESA SERGIPANA DE TECNOLOGIA DA INFORMÇÃO - EMGETIS"/>
    <m/>
    <x v="0"/>
    <x v="8"/>
  </r>
  <r>
    <s v="SE"/>
    <s v="COMPANHIA DE DESENVOLVIMENTO ECONÔMICO DE SERGIPE - CODISE"/>
    <m/>
    <x v="0"/>
    <x v="5"/>
  </r>
  <r>
    <s v="SE"/>
    <s v="EMPRESA SERGIPANA DE TURISMO S/A"/>
    <m/>
    <x v="0"/>
    <x v="5"/>
  </r>
  <r>
    <s v="SE"/>
    <s v="COMPANHIA  DESENV.DE RECUR. HIDRI. IRRIGAÇÃO DE  SERGIPE - COHIDRO"/>
    <m/>
    <x v="0"/>
    <x v="8"/>
  </r>
  <r>
    <s v="SE"/>
    <s v="EMPRESA DE DESEN. SUST. DO EST. DE SERGIPE - PRONESE"/>
    <m/>
    <x v="0"/>
    <x v="5"/>
  </r>
  <r>
    <s v="SE"/>
    <s v="SERGIPE GAS S/A - SERGAS"/>
    <m/>
    <x v="1"/>
    <x v="7"/>
  </r>
  <r>
    <s v="SE"/>
    <s v="COMPANHIA DE SANEAMENTO DE SERGIPE – DESO"/>
    <m/>
    <x v="1"/>
    <x v="4"/>
  </r>
  <r>
    <s v="SE"/>
    <s v="SERVICOS GRAFICOS DE SERGIPE -SEGRASE"/>
    <m/>
    <x v="1"/>
    <x v="10"/>
  </r>
  <r>
    <s v="SE"/>
    <s v="BANCO DO ESTADO DE SERGIPE S.A."/>
    <m/>
    <x v="1"/>
    <x v="1"/>
  </r>
  <r>
    <s v="SP"/>
    <s v="CETESB - COMPANHIA AMBIENTAL DO ESTADO DE SÃO PAULO"/>
    <m/>
    <x v="0"/>
    <x v="8"/>
  </r>
  <r>
    <s v="SP"/>
    <s v="COMPANHIA DOCAS DE SÃO SEBASTIÃO"/>
    <m/>
    <x v="0"/>
    <x v="8"/>
  </r>
  <r>
    <s v="SP"/>
    <s v="CODASP - COMPANHIA DE DESENVOLVIMENTO AGRÍCOLA DE SÃO PAULO"/>
    <m/>
    <x v="0"/>
    <x v="8"/>
  </r>
  <r>
    <s v="SP"/>
    <s v="EMPLASA - EMPRESA PAULISTA DE PLANEJAMENTO METROPOLITANO S/A"/>
    <m/>
    <x v="0"/>
    <x v="8"/>
  </r>
  <r>
    <s v="SP"/>
    <s v="IPT - INSTITUTO DE PESQUISAS TECNOLÓGICAS DO ESTADO DE SÃO PAULO S/A"/>
    <m/>
    <x v="0"/>
    <x v="16"/>
  </r>
  <r>
    <s v="SP"/>
    <s v="CPTM - COMPANHIA PAULISTA DE TRASNPORTE METROPOLITANO"/>
    <m/>
    <x v="0"/>
    <x v="14"/>
  </r>
  <r>
    <s v="SP"/>
    <s v="SABESP - COMPANHIA DE SANEAMENTO BÁSICO DE SÃO PAULO"/>
    <m/>
    <x v="1"/>
    <x v="4"/>
  </r>
  <r>
    <s v="SP"/>
    <s v="PRODESP - CIA DE PROCESSAMENTO DE DADOS DO ESTADO DE SÃO PAULO"/>
    <m/>
    <x v="1"/>
    <x v="0"/>
  </r>
  <r>
    <s v="SP"/>
    <s v="COSESP - COMPANHIA DE SEGUROS DO ESTADO DE SÃO PAULO "/>
    <m/>
    <x v="1"/>
    <x v="8"/>
  </r>
  <r>
    <s v="SP"/>
    <s v="METRÔ - COMPANHIA DO METROPOLITANO DE SÃO PAULO "/>
    <m/>
    <x v="1"/>
    <x v="14"/>
  </r>
  <r>
    <s v="SP"/>
    <s v="DESENVOLVE SP - AGÊNCIA DE FOMENTO DO ESTADO DE SÃO PAULO S.A."/>
    <m/>
    <x v="1"/>
    <x v="1"/>
  </r>
  <r>
    <s v="SP"/>
    <s v="EMTU - EMPRESA METROPOLITANA DE TRANSPORTES URBANOS S.A"/>
    <m/>
    <x v="1"/>
    <x v="14"/>
  </r>
  <r>
    <s v="SP"/>
    <s v="EMTU - EMPRESA METROPOLITANA DE TRANSPORTES URBANOS S.A"/>
    <m/>
    <x v="1"/>
    <x v="14"/>
  </r>
  <r>
    <s v="SP"/>
    <s v="EMAE - EMPRESA METROPOLITANA DE ÁGUAS E ENERGIA"/>
    <m/>
    <x v="1"/>
    <x v="11"/>
  </r>
  <r>
    <s v="SP"/>
    <s v="CDHU - COMPANHIA DE DESENVOLVIMENTO HABITACIONAL E URBANO"/>
    <m/>
    <x v="1"/>
    <x v="12"/>
  </r>
  <r>
    <s v="SP"/>
    <s v="CPOS - COMPANHIA PAULISTA DE OBRAS E SERVIÇOS "/>
    <m/>
    <x v="1"/>
    <x v="8"/>
  </r>
  <r>
    <s v="SP"/>
    <s v="CPSEC - COMPANHIA PAULISTA DE SECURITIZAÇÃO"/>
    <m/>
    <x v="1"/>
    <x v="8"/>
  </r>
  <r>
    <s v="SP"/>
    <s v="CPP - COMPANHIA PAULISTA DE PARCERIAS  **"/>
    <m/>
    <x v="1"/>
    <x v="8"/>
  </r>
  <r>
    <s v="SP"/>
    <s v="IMESP - IMPRENSA OFICIAL DO ESTADO S.A"/>
    <m/>
    <x v="1"/>
    <x v="10"/>
  </r>
  <r>
    <s v="SP"/>
    <s v="DERSA - DESENVOLVIMENTO RODOVIÁRIO S/A"/>
    <m/>
    <x v="1"/>
    <x v="8"/>
  </r>
  <r>
    <s v="TO"/>
    <s v="AGÊNCIA DE FOMENTO DO TOCANTINS"/>
    <m/>
    <x v="1"/>
    <x v="8"/>
  </r>
  <r>
    <s v="TO"/>
    <s v="COMPANHIA IMOB. DO ESTADO DO TOCANTINS - TERRATINS"/>
    <m/>
    <x v="1"/>
    <x v="8"/>
  </r>
  <r>
    <s v="TO"/>
    <s v="COMPANHIA DE MINERAÇÃO DO TOCANTINS - MINERATINS"/>
    <m/>
    <x v="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CD36F-AD9C-474D-82A4-4FEB4C47B334}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25" firstHeaderRow="1" firstDataRow="2" firstDataCol="1"/>
  <pivotFields count="5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axis="axisCol" showAll="0" sortType="ascending">
      <items count="4">
        <item x="0"/>
        <item x="1"/>
        <item x="2"/>
        <item t="default"/>
      </items>
    </pivotField>
    <pivotField axis="axisRow" showAll="0" sortType="descending">
      <items count="21">
        <item x="3"/>
        <item x="6"/>
        <item x="10"/>
        <item x="5"/>
        <item x="7"/>
        <item x="11"/>
        <item x="1"/>
        <item x="9"/>
        <item x="13"/>
        <item x="0"/>
        <item x="17"/>
        <item x="8"/>
        <item x="16"/>
        <item x="19"/>
        <item x="4"/>
        <item x="15"/>
        <item x="2"/>
        <item x="18"/>
        <item x="1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21">
    <i>
      <x v="11"/>
    </i>
    <i>
      <x v="3"/>
    </i>
    <i>
      <x v="14"/>
    </i>
    <i>
      <x v="6"/>
    </i>
    <i>
      <x/>
    </i>
    <i>
      <x v="18"/>
    </i>
    <i>
      <x v="4"/>
    </i>
    <i>
      <x v="5"/>
    </i>
    <i>
      <x v="9"/>
    </i>
    <i>
      <x v="16"/>
    </i>
    <i>
      <x v="1"/>
    </i>
    <i>
      <x v="19"/>
    </i>
    <i>
      <x v="7"/>
    </i>
    <i>
      <x v="12"/>
    </i>
    <i>
      <x v="2"/>
    </i>
    <i>
      <x v="8"/>
    </i>
    <i>
      <x v="15"/>
    </i>
    <i>
      <x v="10"/>
    </i>
    <i>
      <x v="13"/>
    </i>
    <i>
      <x v="1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ntagem de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1AD8F-02E7-40CB-A1FE-5E24D85FA955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A76" firstHeaderRow="1" firstDataRow="1" firstDataCol="1"/>
  <pivotFields count="12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0"/>
    <field x="3"/>
  </rowFields>
  <rowItems count="73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2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 v="2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 v="2"/>
    </i>
    <i>
      <x v="17"/>
    </i>
    <i r="1">
      <x v="1"/>
    </i>
    <i>
      <x v="18"/>
    </i>
    <i r="1">
      <x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 v="2"/>
    </i>
    <i>
      <x v="22"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6FFE4-9E01-440D-A89A-0615558CD5CD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23" firstHeaderRow="1" firstDataRow="1" firstDataCol="1"/>
  <pivotFields count="12"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dataField="1"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ntagem de Empresa" fld="1" subtotal="count" baseField="0" baseItem="0"/>
  </dataFields>
  <chartFormats count="1">
    <chartFormat chart="1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DFA18-215C-48DD-A8FA-0184EDE7DC13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8:B48" firstHeaderRow="1" firstDataRow="1" firstDataCol="1"/>
  <pivotFields count="12"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78E12-E6C4-40BF-B68F-A0C0C4BF1E6E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C3:F31" firstHeaderRow="0" firstDataRow="1" firstDataCol="1"/>
  <pivotFields count="12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dataField="1" showAll="0"/>
    <pivotField showAll="0">
      <items count="37">
        <item x="35"/>
        <item x="11"/>
        <item x="14"/>
        <item x="12"/>
        <item x="16"/>
        <item x="22"/>
        <item x="9"/>
        <item x="15"/>
        <item x="33"/>
        <item x="17"/>
        <item x="19"/>
        <item x="20"/>
        <item x="2"/>
        <item x="18"/>
        <item x="8"/>
        <item x="10"/>
        <item x="34"/>
        <item x="32"/>
        <item x="6"/>
        <item x="3"/>
        <item x="29"/>
        <item x="27"/>
        <item x="23"/>
        <item x="1"/>
        <item x="28"/>
        <item x="4"/>
        <item x="30"/>
        <item x="25"/>
        <item x="7"/>
        <item x="21"/>
        <item x="13"/>
        <item x="5"/>
        <item x="26"/>
        <item x="24"/>
        <item x="31"/>
        <item x="0"/>
        <item t="default"/>
      </items>
    </pivotField>
    <pivotField dataField="1" showAll="0">
      <items count="67">
        <item x="12"/>
        <item x="1"/>
        <item x="25"/>
        <item x="13"/>
        <item x="18"/>
        <item x="22"/>
        <item x="56"/>
        <item x="15"/>
        <item x="40"/>
        <item x="3"/>
        <item x="14"/>
        <item x="5"/>
        <item x="26"/>
        <item x="31"/>
        <item x="4"/>
        <item x="54"/>
        <item x="37"/>
        <item x="49"/>
        <item x="21"/>
        <item x="57"/>
        <item x="53"/>
        <item x="0"/>
        <item x="29"/>
        <item x="9"/>
        <item x="19"/>
        <item x="44"/>
        <item x="30"/>
        <item x="58"/>
        <item x="52"/>
        <item x="50"/>
        <item x="27"/>
        <item x="61"/>
        <item x="55"/>
        <item x="10"/>
        <item x="47"/>
        <item x="6"/>
        <item x="11"/>
        <item x="28"/>
        <item x="20"/>
        <item x="62"/>
        <item x="45"/>
        <item x="63"/>
        <item x="34"/>
        <item x="35"/>
        <item x="48"/>
        <item x="23"/>
        <item x="32"/>
        <item x="39"/>
        <item x="8"/>
        <item x="46"/>
        <item x="41"/>
        <item x="42"/>
        <item x="64"/>
        <item x="38"/>
        <item x="43"/>
        <item x="33"/>
        <item x="7"/>
        <item x="36"/>
        <item x="60"/>
        <item x="17"/>
        <item x="59"/>
        <item x="24"/>
        <item x="65"/>
        <item x="16"/>
        <item x="51"/>
        <item x="2"/>
        <item t="default"/>
      </items>
    </pivotField>
    <pivotField dataField="1" showAll="0">
      <items count="54">
        <item x="5"/>
        <item x="31"/>
        <item x="7"/>
        <item x="41"/>
        <item x="11"/>
        <item x="34"/>
        <item x="52"/>
        <item x="18"/>
        <item x="12"/>
        <item x="17"/>
        <item x="40"/>
        <item x="14"/>
        <item x="1"/>
        <item x="38"/>
        <item x="19"/>
        <item x="35"/>
        <item x="25"/>
        <item x="26"/>
        <item x="13"/>
        <item x="24"/>
        <item x="36"/>
        <item x="3"/>
        <item x="37"/>
        <item x="27"/>
        <item x="49"/>
        <item x="33"/>
        <item x="44"/>
        <item x="39"/>
        <item x="16"/>
        <item x="22"/>
        <item x="15"/>
        <item x="8"/>
        <item x="50"/>
        <item x="51"/>
        <item x="29"/>
        <item x="4"/>
        <item x="9"/>
        <item x="28"/>
        <item x="2"/>
        <item x="10"/>
        <item x="20"/>
        <item x="6"/>
        <item x="47"/>
        <item x="46"/>
        <item x="23"/>
        <item x="48"/>
        <item x="42"/>
        <item x="45"/>
        <item x="43"/>
        <item x="21"/>
        <item x="30"/>
        <item x="32"/>
        <item x="0"/>
        <item t="default"/>
      </items>
    </pivotField>
    <pivotField dragToRow="0" dragToCol="0" dragToPage="0" showAll="0" defaultSubtota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Dividendos " fld="7" baseField="0" baseItem="0" numFmtId="1"/>
    <dataField name="Soma de Subvenção" fld="9" baseField="0" baseItem="2"/>
    <dataField name="Soma de Reforço de Capital" fld="10" baseField="0" baseItem="2"/>
  </dataFields>
  <formats count="2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26215-D479-4739-AB6F-A45F3724CC3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B32" firstHeaderRow="1" firstDataRow="1" firstDataCol="1"/>
  <pivotFields count="12">
    <pivotField axis="axisRow" dataField="1" showAll="0" sortType="descending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29">
    <i>
      <x v="25"/>
    </i>
    <i>
      <x v="8"/>
    </i>
    <i>
      <x v="15"/>
    </i>
    <i>
      <x v="23"/>
    </i>
    <i>
      <x v="6"/>
    </i>
    <i>
      <x v="5"/>
    </i>
    <i>
      <x v="4"/>
    </i>
    <i>
      <x v="10"/>
    </i>
    <i>
      <x v="24"/>
    </i>
    <i>
      <x v="22"/>
    </i>
    <i>
      <x v="18"/>
    </i>
    <i>
      <x v="17"/>
    </i>
    <i>
      <x v="13"/>
    </i>
    <i>
      <x v="14"/>
    </i>
    <i>
      <x v="19"/>
    </i>
    <i>
      <x v="1"/>
    </i>
    <i>
      <x v="2"/>
    </i>
    <i>
      <x v="16"/>
    </i>
    <i>
      <x v="12"/>
    </i>
    <i>
      <x/>
    </i>
    <i>
      <x v="7"/>
    </i>
    <i>
      <x v="11"/>
    </i>
    <i>
      <x v="9"/>
    </i>
    <i>
      <x v="20"/>
    </i>
    <i>
      <x v="26"/>
    </i>
    <i>
      <x v="21"/>
    </i>
    <i>
      <x v="3"/>
    </i>
    <i>
      <x v="27"/>
    </i>
    <i t="grand">
      <x/>
    </i>
  </rowItems>
  <colItems count="1">
    <i/>
  </colItems>
  <dataFields count="1">
    <dataField name="Contagem de Estad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7169-4F29-4161-8BCE-CD1E6900F234}">
  <sheetPr codeName="Planilha1"/>
  <dimension ref="A1:N259"/>
  <sheetViews>
    <sheetView tabSelected="1" topLeftCell="E1" workbookViewId="0">
      <pane ySplit="1" topLeftCell="A211" activePane="bottomLeft" state="frozen"/>
      <selection pane="bottomLeft" activeCell="I211" sqref="I211"/>
    </sheetView>
  </sheetViews>
  <sheetFormatPr defaultRowHeight="15" x14ac:dyDescent="0.25"/>
  <cols>
    <col min="1" max="1" width="9.140625" style="1"/>
    <col min="2" max="2" width="80.28515625" style="2" customWidth="1"/>
    <col min="3" max="3" width="17.140625" style="2" customWidth="1"/>
    <col min="4" max="4" width="17.140625" style="1" customWidth="1"/>
    <col min="5" max="5" width="19.42578125" style="2" customWidth="1"/>
    <col min="6" max="6" width="22" style="2" customWidth="1"/>
    <col min="7" max="7" width="15.5703125" style="31" customWidth="1"/>
    <col min="8" max="8" width="20.5703125" style="36" bestFit="1" customWidth="1"/>
    <col min="9" max="10" width="19.5703125" style="36" bestFit="1" customWidth="1"/>
    <col min="11" max="11" width="20.42578125" style="36" hidden="1" customWidth="1"/>
    <col min="12" max="12" width="19.5703125" style="36" bestFit="1" customWidth="1"/>
    <col min="13" max="13" width="20.42578125" style="36" bestFit="1" customWidth="1"/>
    <col min="14" max="14" width="31.28515625" style="36" bestFit="1" customWidth="1"/>
    <col min="15" max="16384" width="9.140625" style="2"/>
  </cols>
  <sheetData>
    <row r="1" spans="1:14" x14ac:dyDescent="0.25">
      <c r="A1" s="3" t="s">
        <v>0</v>
      </c>
      <c r="B1" s="3" t="s">
        <v>2</v>
      </c>
      <c r="C1" s="3" t="s">
        <v>279</v>
      </c>
      <c r="D1" s="3" t="s">
        <v>412</v>
      </c>
      <c r="E1" s="3" t="s">
        <v>10</v>
      </c>
      <c r="F1" s="3" t="s">
        <v>1</v>
      </c>
      <c r="G1" s="32" t="s">
        <v>413</v>
      </c>
      <c r="H1" s="35" t="s">
        <v>3</v>
      </c>
      <c r="I1" s="35" t="s">
        <v>4</v>
      </c>
      <c r="J1" s="35" t="s">
        <v>11</v>
      </c>
      <c r="K1" s="35" t="s">
        <v>5</v>
      </c>
      <c r="L1" s="35" t="s">
        <v>6</v>
      </c>
      <c r="M1" s="35" t="s">
        <v>7</v>
      </c>
      <c r="N1" s="35" t="s">
        <v>406</v>
      </c>
    </row>
    <row r="2" spans="1:14" x14ac:dyDescent="0.25">
      <c r="A2" s="7" t="s">
        <v>32</v>
      </c>
      <c r="B2" s="2" t="s">
        <v>202</v>
      </c>
      <c r="D2" s="1" t="s">
        <v>414</v>
      </c>
      <c r="E2" s="2" t="s">
        <v>21</v>
      </c>
      <c r="F2" s="2" t="s">
        <v>49</v>
      </c>
      <c r="G2" s="31">
        <v>1</v>
      </c>
      <c r="H2" s="36">
        <v>52502677.979999997</v>
      </c>
      <c r="I2" s="40">
        <v>7305574.7400000002</v>
      </c>
      <c r="L2" s="36">
        <v>8742169.7599999998</v>
      </c>
      <c r="N2" s="36">
        <f>J2-L2-M2</f>
        <v>-8742169.7599999998</v>
      </c>
    </row>
    <row r="3" spans="1:14" x14ac:dyDescent="0.25">
      <c r="A3" s="7" t="s">
        <v>32</v>
      </c>
      <c r="B3" s="2" t="s">
        <v>203</v>
      </c>
      <c r="D3" s="1" t="s">
        <v>415</v>
      </c>
      <c r="E3" s="2" t="s">
        <v>21</v>
      </c>
      <c r="F3" s="2" t="s">
        <v>26</v>
      </c>
      <c r="G3" s="31">
        <v>1</v>
      </c>
      <c r="H3" s="36">
        <v>-185821</v>
      </c>
      <c r="I3" s="40">
        <v>-1704</v>
      </c>
      <c r="L3" s="36">
        <v>1398</v>
      </c>
      <c r="N3" s="36">
        <f t="shared" ref="N3:N12" si="0">J3-L3-M3</f>
        <v>-1398</v>
      </c>
    </row>
    <row r="4" spans="1:14" x14ac:dyDescent="0.25">
      <c r="A4" s="7" t="s">
        <v>32</v>
      </c>
      <c r="B4" s="2" t="s">
        <v>204</v>
      </c>
      <c r="D4" s="1" t="s">
        <v>414</v>
      </c>
      <c r="E4" s="2" t="s">
        <v>21</v>
      </c>
      <c r="F4" s="2" t="s">
        <v>24</v>
      </c>
      <c r="G4" s="31">
        <v>0.67500000000000004</v>
      </c>
      <c r="I4" s="40"/>
      <c r="N4" s="36">
        <f t="shared" si="0"/>
        <v>0</v>
      </c>
    </row>
    <row r="5" spans="1:14" x14ac:dyDescent="0.25">
      <c r="A5" s="7" t="s">
        <v>32</v>
      </c>
      <c r="B5" s="2" t="s">
        <v>205</v>
      </c>
      <c r="D5" s="1" t="s">
        <v>415</v>
      </c>
      <c r="E5" s="2" t="s">
        <v>21</v>
      </c>
      <c r="F5" s="2" t="s">
        <v>24</v>
      </c>
      <c r="G5" s="31">
        <v>0.83</v>
      </c>
      <c r="H5" s="36">
        <v>41354413.369999997</v>
      </c>
      <c r="I5" s="40">
        <v>-5249854.38</v>
      </c>
      <c r="K5" s="36">
        <v>42235798.060000002</v>
      </c>
      <c r="L5" s="36">
        <v>2471640.77</v>
      </c>
      <c r="N5" s="36">
        <f t="shared" si="0"/>
        <v>-2471640.77</v>
      </c>
    </row>
    <row r="6" spans="1:14" x14ac:dyDescent="0.25">
      <c r="A6" s="7" t="s">
        <v>32</v>
      </c>
      <c r="B6" s="2" t="s">
        <v>206</v>
      </c>
      <c r="D6" s="1" t="s">
        <v>414</v>
      </c>
      <c r="E6" s="2" t="s">
        <v>21</v>
      </c>
      <c r="F6" s="2" t="s">
        <v>24</v>
      </c>
      <c r="G6" s="31">
        <v>0.99</v>
      </c>
      <c r="H6" s="36">
        <v>7869740.0599999996</v>
      </c>
      <c r="I6" s="40">
        <v>-3372681.29</v>
      </c>
      <c r="K6" s="36">
        <v>2670849.4700000002</v>
      </c>
      <c r="L6" s="36">
        <v>4282165.53</v>
      </c>
      <c r="N6" s="36">
        <f t="shared" si="0"/>
        <v>-4282165.53</v>
      </c>
    </row>
    <row r="7" spans="1:14" x14ac:dyDescent="0.25">
      <c r="A7" s="7" t="s">
        <v>32</v>
      </c>
      <c r="B7" s="2" t="s">
        <v>207</v>
      </c>
      <c r="D7" s="1" t="s">
        <v>414</v>
      </c>
      <c r="E7" s="2" t="s">
        <v>21</v>
      </c>
      <c r="F7" s="2" t="s">
        <v>47</v>
      </c>
      <c r="G7" s="31">
        <v>0.99909999999999999</v>
      </c>
      <c r="H7" s="36">
        <v>-5312747.46</v>
      </c>
      <c r="I7" s="40">
        <v>-1976962.1</v>
      </c>
      <c r="N7" s="36">
        <f t="shared" si="0"/>
        <v>0</v>
      </c>
    </row>
    <row r="8" spans="1:14" x14ac:dyDescent="0.25">
      <c r="A8" s="7" t="s">
        <v>32</v>
      </c>
      <c r="B8" s="2" t="s">
        <v>208</v>
      </c>
      <c r="D8" s="1" t="s">
        <v>415</v>
      </c>
      <c r="E8" s="2" t="s">
        <v>21</v>
      </c>
      <c r="F8" s="2" t="s">
        <v>27</v>
      </c>
      <c r="G8" s="31">
        <v>0.99760000000000004</v>
      </c>
      <c r="H8" s="36">
        <v>2897848.98</v>
      </c>
      <c r="I8" s="40">
        <v>0</v>
      </c>
      <c r="K8" s="36">
        <v>18113185.359999999</v>
      </c>
      <c r="L8" s="36">
        <v>3076558.54</v>
      </c>
      <c r="N8" s="36">
        <f t="shared" si="0"/>
        <v>-3076558.54</v>
      </c>
    </row>
    <row r="9" spans="1:14" x14ac:dyDescent="0.25">
      <c r="A9" s="1" t="s">
        <v>13</v>
      </c>
      <c r="B9" s="17" t="s">
        <v>322</v>
      </c>
      <c r="D9" s="1" t="s">
        <v>415</v>
      </c>
      <c r="E9" s="2" t="s">
        <v>21</v>
      </c>
      <c r="F9" s="2" t="s">
        <v>23</v>
      </c>
      <c r="G9" s="31">
        <v>0.99980000000000002</v>
      </c>
      <c r="H9" s="37">
        <v>34705000</v>
      </c>
      <c r="I9" s="41">
        <v>-1262</v>
      </c>
      <c r="N9" s="36">
        <f t="shared" si="0"/>
        <v>0</v>
      </c>
    </row>
    <row r="10" spans="1:14" x14ac:dyDescent="0.25">
      <c r="A10" s="1" t="s">
        <v>13</v>
      </c>
      <c r="B10" s="2" t="s">
        <v>14</v>
      </c>
      <c r="D10" s="1" t="s">
        <v>414</v>
      </c>
      <c r="E10" s="2" t="s">
        <v>21</v>
      </c>
      <c r="F10" s="2" t="s">
        <v>24</v>
      </c>
      <c r="G10" s="31" t="s">
        <v>423</v>
      </c>
      <c r="I10" s="40"/>
      <c r="N10" s="36">
        <f t="shared" si="0"/>
        <v>0</v>
      </c>
    </row>
    <row r="11" spans="1:14" x14ac:dyDescent="0.25">
      <c r="A11" s="1" t="s">
        <v>13</v>
      </c>
      <c r="B11" s="2" t="s">
        <v>15</v>
      </c>
      <c r="D11" s="1" t="s">
        <v>415</v>
      </c>
      <c r="E11" s="2" t="s">
        <v>21</v>
      </c>
      <c r="F11" s="2" t="s">
        <v>25</v>
      </c>
      <c r="G11" s="31" t="s">
        <v>423</v>
      </c>
      <c r="I11" s="40"/>
      <c r="N11" s="36">
        <f t="shared" si="0"/>
        <v>0</v>
      </c>
    </row>
    <row r="12" spans="1:14" x14ac:dyDescent="0.25">
      <c r="A12" s="1" t="s">
        <v>13</v>
      </c>
      <c r="B12" s="17" t="s">
        <v>323</v>
      </c>
      <c r="D12" s="1" t="s">
        <v>415</v>
      </c>
      <c r="E12" s="2" t="s">
        <v>21</v>
      </c>
      <c r="F12" s="2" t="s">
        <v>26</v>
      </c>
      <c r="G12" s="31" t="s">
        <v>423</v>
      </c>
      <c r="I12" s="40"/>
      <c r="N12" s="36">
        <f t="shared" si="0"/>
        <v>0</v>
      </c>
    </row>
    <row r="13" spans="1:14" x14ac:dyDescent="0.25">
      <c r="A13" s="1" t="s">
        <v>13</v>
      </c>
      <c r="B13" s="2" t="s">
        <v>16</v>
      </c>
      <c r="C13" s="2" t="s">
        <v>319</v>
      </c>
      <c r="D13" s="1" t="s">
        <v>415</v>
      </c>
      <c r="E13" s="2" t="s">
        <v>22</v>
      </c>
      <c r="F13" s="2" t="s">
        <v>27</v>
      </c>
      <c r="G13" s="34">
        <v>0.99961800000000001</v>
      </c>
      <c r="H13" s="36">
        <v>-546777148.64999998</v>
      </c>
      <c r="I13" s="40">
        <v>7543037.3399999999</v>
      </c>
    </row>
    <row r="14" spans="1:14" x14ac:dyDescent="0.25">
      <c r="A14" s="1" t="s">
        <v>13</v>
      </c>
      <c r="B14" s="2" t="s">
        <v>17</v>
      </c>
      <c r="C14" s="2" t="s">
        <v>318</v>
      </c>
      <c r="D14" s="1" t="s">
        <v>415</v>
      </c>
      <c r="E14" s="2" t="s">
        <v>22</v>
      </c>
      <c r="F14" s="2" t="s">
        <v>28</v>
      </c>
      <c r="G14" s="31">
        <v>0.17</v>
      </c>
      <c r="H14" s="36">
        <v>85978000</v>
      </c>
      <c r="I14" s="40">
        <v>22825000</v>
      </c>
    </row>
    <row r="15" spans="1:14" x14ac:dyDescent="0.25">
      <c r="A15" s="1" t="s">
        <v>13</v>
      </c>
      <c r="B15" s="2" t="s">
        <v>18</v>
      </c>
      <c r="C15" s="2" t="s">
        <v>320</v>
      </c>
      <c r="D15" s="1" t="s">
        <v>415</v>
      </c>
      <c r="E15" s="2" t="s">
        <v>22</v>
      </c>
      <c r="F15" s="2" t="s">
        <v>29</v>
      </c>
      <c r="G15" s="31" t="s">
        <v>423</v>
      </c>
      <c r="H15" s="36">
        <v>5650868</v>
      </c>
      <c r="I15" s="40">
        <v>-3372260</v>
      </c>
    </row>
    <row r="16" spans="1:14" x14ac:dyDescent="0.25">
      <c r="A16" s="1" t="s">
        <v>13</v>
      </c>
      <c r="B16" s="2" t="s">
        <v>19</v>
      </c>
      <c r="D16" s="1" t="s">
        <v>414</v>
      </c>
      <c r="E16" s="2" t="s">
        <v>22</v>
      </c>
      <c r="F16" s="2" t="s">
        <v>30</v>
      </c>
      <c r="G16" s="31" t="s">
        <v>423</v>
      </c>
      <c r="I16" s="40"/>
    </row>
    <row r="17" spans="1:14" x14ac:dyDescent="0.25">
      <c r="A17" s="1" t="s">
        <v>13</v>
      </c>
      <c r="B17" s="2" t="s">
        <v>20</v>
      </c>
      <c r="C17" s="2" t="s">
        <v>321</v>
      </c>
      <c r="D17" s="1" t="s">
        <v>414</v>
      </c>
      <c r="E17" s="2" t="s">
        <v>22</v>
      </c>
      <c r="F17" s="2" t="s">
        <v>31</v>
      </c>
      <c r="G17" s="31" t="s">
        <v>423</v>
      </c>
      <c r="H17" s="36">
        <v>6721921.4699999997</v>
      </c>
      <c r="I17" s="40">
        <v>87201.13</v>
      </c>
    </row>
    <row r="18" spans="1:14" x14ac:dyDescent="0.25">
      <c r="A18" s="1" t="s">
        <v>262</v>
      </c>
      <c r="B18" s="2" t="s">
        <v>255</v>
      </c>
      <c r="D18" s="1" t="s">
        <v>415</v>
      </c>
      <c r="E18" s="2" t="s">
        <v>21</v>
      </c>
      <c r="F18" s="2" t="s">
        <v>27</v>
      </c>
      <c r="G18" s="31">
        <v>0.997</v>
      </c>
      <c r="H18" s="36">
        <v>8060890.0199999996</v>
      </c>
      <c r="I18" s="40">
        <v>-4816384.63</v>
      </c>
      <c r="L18" s="36">
        <v>21257052.620000001</v>
      </c>
      <c r="M18" s="36">
        <v>600000</v>
      </c>
      <c r="N18" s="36">
        <f t="shared" ref="N18:N20" si="1">J18-L18-M18</f>
        <v>-21857052.620000001</v>
      </c>
    </row>
    <row r="19" spans="1:14" x14ac:dyDescent="0.25">
      <c r="A19" s="1" t="s">
        <v>262</v>
      </c>
      <c r="B19" s="2" t="s">
        <v>256</v>
      </c>
      <c r="D19" s="1" t="s">
        <v>414</v>
      </c>
      <c r="E19" s="2" t="s">
        <v>21</v>
      </c>
      <c r="F19" s="2" t="s">
        <v>23</v>
      </c>
      <c r="G19" s="31">
        <v>1</v>
      </c>
      <c r="H19" s="36">
        <v>-4139327</v>
      </c>
      <c r="I19" s="40">
        <v>-1476082</v>
      </c>
      <c r="L19" s="36">
        <v>152356690</v>
      </c>
      <c r="N19" s="36">
        <f t="shared" si="1"/>
        <v>-152356690</v>
      </c>
    </row>
    <row r="20" spans="1:14" x14ac:dyDescent="0.25">
      <c r="A20" s="1" t="s">
        <v>262</v>
      </c>
      <c r="B20" s="2" t="s">
        <v>257</v>
      </c>
      <c r="D20" s="1" t="s">
        <v>414</v>
      </c>
      <c r="E20" s="2" t="s">
        <v>21</v>
      </c>
      <c r="F20" s="2" t="s">
        <v>29</v>
      </c>
      <c r="G20" s="31">
        <v>1</v>
      </c>
      <c r="H20" s="36">
        <v>6468786.2400000002</v>
      </c>
      <c r="I20" s="40">
        <v>-414186.43</v>
      </c>
      <c r="L20" s="36">
        <v>80293551.510000005</v>
      </c>
      <c r="N20" s="36">
        <f t="shared" si="1"/>
        <v>-80293551.510000005</v>
      </c>
    </row>
    <row r="21" spans="1:14" x14ac:dyDescent="0.25">
      <c r="A21" s="1" t="s">
        <v>262</v>
      </c>
      <c r="B21" s="2" t="s">
        <v>258</v>
      </c>
      <c r="D21" s="1" t="s">
        <v>415</v>
      </c>
      <c r="E21" s="2" t="s">
        <v>22</v>
      </c>
      <c r="F21" s="2" t="s">
        <v>28</v>
      </c>
      <c r="G21" s="31">
        <v>0.17</v>
      </c>
      <c r="H21" s="36">
        <v>162734777.41</v>
      </c>
      <c r="I21" s="40">
        <v>90872587.129999995</v>
      </c>
      <c r="J21" s="36">
        <v>12325387.83</v>
      </c>
    </row>
    <row r="22" spans="1:14" x14ac:dyDescent="0.25">
      <c r="A22" s="1" t="s">
        <v>262</v>
      </c>
      <c r="B22" s="2" t="s">
        <v>259</v>
      </c>
      <c r="D22" s="1" t="s">
        <v>415</v>
      </c>
      <c r="E22" s="2" t="s">
        <v>22</v>
      </c>
      <c r="F22" s="2" t="s">
        <v>23</v>
      </c>
      <c r="G22" s="31">
        <v>0.99990000000000001</v>
      </c>
      <c r="H22" s="36">
        <v>26231651.09</v>
      </c>
      <c r="I22" s="40">
        <v>2288299.2799999998</v>
      </c>
      <c r="L22" s="36">
        <v>10083511.880000001</v>
      </c>
    </row>
    <row r="23" spans="1:14" x14ac:dyDescent="0.25">
      <c r="A23" s="1" t="s">
        <v>262</v>
      </c>
      <c r="B23" s="2" t="s">
        <v>260</v>
      </c>
      <c r="D23" s="1" t="s">
        <v>415</v>
      </c>
      <c r="E23" s="2" t="s">
        <v>22</v>
      </c>
      <c r="F23" s="2" t="s">
        <v>49</v>
      </c>
      <c r="G23" s="31">
        <v>0.99890000000000001</v>
      </c>
      <c r="H23" s="36">
        <v>50688877.289999999</v>
      </c>
      <c r="I23" s="40">
        <v>-4966883.4400000004</v>
      </c>
    </row>
    <row r="24" spans="1:14" x14ac:dyDescent="0.25">
      <c r="A24" s="1" t="s">
        <v>262</v>
      </c>
      <c r="B24" s="2" t="s">
        <v>261</v>
      </c>
      <c r="D24" s="1" t="s">
        <v>414</v>
      </c>
      <c r="E24" s="2" t="s">
        <v>22</v>
      </c>
      <c r="F24" s="2" t="s">
        <v>26</v>
      </c>
      <c r="G24" s="31">
        <v>0.99980000000000002</v>
      </c>
      <c r="H24" s="36">
        <v>85948217.359999999</v>
      </c>
      <c r="I24" s="40">
        <v>-8707340.7200000007</v>
      </c>
    </row>
    <row r="25" spans="1:14" x14ac:dyDescent="0.25">
      <c r="A25" s="1" t="s">
        <v>33</v>
      </c>
      <c r="B25" s="2" t="s">
        <v>276</v>
      </c>
      <c r="C25" s="2" t="s">
        <v>324</v>
      </c>
      <c r="D25" s="1" t="s">
        <v>415</v>
      </c>
      <c r="E25" s="2" t="s">
        <v>349</v>
      </c>
      <c r="F25" s="2" t="s">
        <v>27</v>
      </c>
      <c r="G25" s="31" t="s">
        <v>423</v>
      </c>
      <c r="I25" s="40"/>
    </row>
    <row r="26" spans="1:14" x14ac:dyDescent="0.25">
      <c r="A26" s="1" t="s">
        <v>33</v>
      </c>
      <c r="B26" s="2" t="s">
        <v>277</v>
      </c>
      <c r="C26" s="2" t="s">
        <v>278</v>
      </c>
      <c r="D26" s="1" t="s">
        <v>415</v>
      </c>
      <c r="E26" s="2" t="s">
        <v>349</v>
      </c>
      <c r="F26" s="2" t="s">
        <v>66</v>
      </c>
      <c r="G26" s="31" t="s">
        <v>423</v>
      </c>
      <c r="I26" s="40"/>
    </row>
    <row r="27" spans="1:14" x14ac:dyDescent="0.25">
      <c r="A27" s="1" t="s">
        <v>35</v>
      </c>
      <c r="B27" s="2" t="s">
        <v>34</v>
      </c>
      <c r="D27" s="1" t="s">
        <v>415</v>
      </c>
      <c r="E27" s="2" t="s">
        <v>21</v>
      </c>
      <c r="F27" s="2" t="s">
        <v>27</v>
      </c>
      <c r="G27" s="33">
        <v>0.99690000000000001</v>
      </c>
      <c r="H27" s="36">
        <v>5832992759.9064999</v>
      </c>
      <c r="I27" s="40">
        <v>335107288.69</v>
      </c>
      <c r="K27" s="36">
        <v>56759544.520000003</v>
      </c>
      <c r="M27" s="36">
        <v>135895601.53999999</v>
      </c>
      <c r="N27" s="36">
        <f t="shared" ref="N27:N32" si="2">J27-L27-M27</f>
        <v>-135895601.53999999</v>
      </c>
    </row>
    <row r="28" spans="1:14" x14ac:dyDescent="0.25">
      <c r="A28" s="1" t="s">
        <v>35</v>
      </c>
      <c r="B28" s="2" t="s">
        <v>36</v>
      </c>
      <c r="D28" s="1" t="s">
        <v>415</v>
      </c>
      <c r="E28" s="2" t="s">
        <v>21</v>
      </c>
      <c r="F28" s="2" t="s">
        <v>23</v>
      </c>
      <c r="G28" s="33">
        <v>0.99990000000000001</v>
      </c>
      <c r="H28" s="36">
        <v>174544722</v>
      </c>
      <c r="I28" s="40"/>
      <c r="L28" s="36">
        <v>20287129.75</v>
      </c>
      <c r="N28" s="36">
        <f t="shared" si="2"/>
        <v>-20287129.75</v>
      </c>
    </row>
    <row r="29" spans="1:14" x14ac:dyDescent="0.25">
      <c r="A29" s="1" t="s">
        <v>35</v>
      </c>
      <c r="B29" s="2" t="s">
        <v>37</v>
      </c>
      <c r="D29" s="1" t="s">
        <v>415</v>
      </c>
      <c r="E29" s="2" t="s">
        <v>21</v>
      </c>
      <c r="F29" s="2" t="s">
        <v>24</v>
      </c>
      <c r="G29" s="33">
        <v>1</v>
      </c>
      <c r="H29" s="36">
        <v>-6288405</v>
      </c>
      <c r="I29" s="40">
        <v>-1831492</v>
      </c>
      <c r="L29" s="36">
        <v>21329444.129999999</v>
      </c>
      <c r="N29" s="36">
        <f t="shared" si="2"/>
        <v>-21329444.129999999</v>
      </c>
    </row>
    <row r="30" spans="1:14" x14ac:dyDescent="0.25">
      <c r="A30" s="1" t="s">
        <v>35</v>
      </c>
      <c r="B30" s="2" t="s">
        <v>38</v>
      </c>
      <c r="D30" s="1" t="s">
        <v>414</v>
      </c>
      <c r="E30" s="2" t="s">
        <v>21</v>
      </c>
      <c r="F30" s="2" t="s">
        <v>23</v>
      </c>
      <c r="G30" s="33">
        <v>1</v>
      </c>
      <c r="H30" s="36">
        <v>-32959119</v>
      </c>
      <c r="I30" s="40"/>
      <c r="N30" s="36">
        <f t="shared" si="2"/>
        <v>0</v>
      </c>
    </row>
    <row r="31" spans="1:14" x14ac:dyDescent="0.25">
      <c r="A31" s="1" t="s">
        <v>35</v>
      </c>
      <c r="B31" s="2" t="s">
        <v>39</v>
      </c>
      <c r="D31" s="1" t="s">
        <v>414</v>
      </c>
      <c r="E31" s="2" t="s">
        <v>21</v>
      </c>
      <c r="F31" s="2" t="s">
        <v>48</v>
      </c>
      <c r="G31" s="33">
        <v>1</v>
      </c>
      <c r="H31" s="36">
        <v>-28449197</v>
      </c>
      <c r="I31" s="40"/>
      <c r="N31" s="36">
        <f t="shared" si="2"/>
        <v>0</v>
      </c>
    </row>
    <row r="32" spans="1:14" x14ac:dyDescent="0.25">
      <c r="A32" s="1" t="s">
        <v>35</v>
      </c>
      <c r="B32" s="2" t="s">
        <v>40</v>
      </c>
      <c r="D32" s="1" t="s">
        <v>414</v>
      </c>
      <c r="E32" s="2" t="s">
        <v>21</v>
      </c>
      <c r="F32" s="2" t="s">
        <v>27</v>
      </c>
      <c r="G32" s="33" t="s">
        <v>421</v>
      </c>
      <c r="H32" s="36">
        <v>163838</v>
      </c>
      <c r="I32" s="40"/>
      <c r="N32" s="36">
        <f t="shared" si="2"/>
        <v>0</v>
      </c>
    </row>
    <row r="33" spans="1:14" x14ac:dyDescent="0.25">
      <c r="A33" s="1" t="s">
        <v>35</v>
      </c>
      <c r="B33" s="2" t="s">
        <v>41</v>
      </c>
      <c r="D33" s="1" t="s">
        <v>415</v>
      </c>
      <c r="E33" s="2" t="s">
        <v>22</v>
      </c>
      <c r="F33" s="2" t="s">
        <v>28</v>
      </c>
      <c r="G33" s="33">
        <v>0.17</v>
      </c>
      <c r="H33" s="36">
        <v>600289554.27999997</v>
      </c>
      <c r="I33" s="40">
        <v>116659997.94999993</v>
      </c>
      <c r="J33" s="36">
        <v>16246971.57</v>
      </c>
    </row>
    <row r="34" spans="1:14" x14ac:dyDescent="0.25">
      <c r="A34" s="1" t="s">
        <v>35</v>
      </c>
      <c r="B34" s="2" t="s">
        <v>42</v>
      </c>
      <c r="D34" s="1" t="s">
        <v>415</v>
      </c>
      <c r="E34" s="2" t="s">
        <v>22</v>
      </c>
      <c r="F34" s="2" t="s">
        <v>30</v>
      </c>
      <c r="G34" s="33">
        <v>0.97</v>
      </c>
      <c r="H34" s="36">
        <v>2166024.7599999998</v>
      </c>
      <c r="I34" s="40">
        <v>-1958974.57</v>
      </c>
      <c r="M34" s="36">
        <v>7000000</v>
      </c>
    </row>
    <row r="35" spans="1:14" x14ac:dyDescent="0.25">
      <c r="A35" s="1" t="s">
        <v>35</v>
      </c>
      <c r="B35" s="2" t="s">
        <v>43</v>
      </c>
      <c r="D35" s="1" t="s">
        <v>415</v>
      </c>
      <c r="E35" s="2" t="s">
        <v>22</v>
      </c>
      <c r="F35" s="2" t="s">
        <v>26</v>
      </c>
      <c r="G35" s="33">
        <v>0.99960000000000004</v>
      </c>
      <c r="H35" s="36">
        <v>559285095</v>
      </c>
      <c r="I35" s="40"/>
    </row>
    <row r="36" spans="1:14" x14ac:dyDescent="0.25">
      <c r="A36" s="1" t="s">
        <v>35</v>
      </c>
      <c r="B36" s="2" t="s">
        <v>44</v>
      </c>
      <c r="D36" s="1" t="s">
        <v>415</v>
      </c>
      <c r="E36" s="2" t="s">
        <v>22</v>
      </c>
      <c r="F36" s="2" t="s">
        <v>49</v>
      </c>
      <c r="G36" s="33">
        <v>0.98827347930206433</v>
      </c>
      <c r="H36" s="36">
        <v>28224926</v>
      </c>
      <c r="I36" s="40"/>
    </row>
    <row r="37" spans="1:14" x14ac:dyDescent="0.25">
      <c r="A37" s="1" t="s">
        <v>35</v>
      </c>
      <c r="B37" s="2" t="s">
        <v>45</v>
      </c>
      <c r="D37" s="1" t="s">
        <v>415</v>
      </c>
      <c r="E37" s="2" t="s">
        <v>22</v>
      </c>
      <c r="F37" s="2" t="s">
        <v>24</v>
      </c>
      <c r="G37" s="33">
        <v>1</v>
      </c>
      <c r="H37" s="36">
        <v>63110467</v>
      </c>
      <c r="I37" s="40"/>
    </row>
    <row r="38" spans="1:14" x14ac:dyDescent="0.25">
      <c r="A38" s="1" t="s">
        <v>35</v>
      </c>
      <c r="B38" s="2" t="s">
        <v>46</v>
      </c>
      <c r="D38" s="1" t="s">
        <v>415</v>
      </c>
      <c r="E38" s="2" t="s">
        <v>22</v>
      </c>
      <c r="F38" s="2" t="s">
        <v>48</v>
      </c>
      <c r="G38" s="33" t="s">
        <v>420</v>
      </c>
      <c r="H38" s="36">
        <v>-89206000</v>
      </c>
      <c r="I38" s="40"/>
    </row>
    <row r="39" spans="1:14" x14ac:dyDescent="0.25">
      <c r="A39" s="1" t="s">
        <v>50</v>
      </c>
      <c r="B39" s="2" t="s">
        <v>263</v>
      </c>
      <c r="D39" s="1" t="s">
        <v>414</v>
      </c>
      <c r="E39" s="2" t="s">
        <v>21</v>
      </c>
      <c r="F39" s="2" t="s">
        <v>25</v>
      </c>
      <c r="G39" s="31">
        <v>1</v>
      </c>
      <c r="H39" s="36">
        <v>-108186182.62</v>
      </c>
      <c r="I39" s="40">
        <v>-846982.38999999897</v>
      </c>
      <c r="L39" s="36">
        <v>0</v>
      </c>
      <c r="N39" s="36">
        <f t="shared" ref="N39:N42" si="3">J39-L39-M39</f>
        <v>0</v>
      </c>
    </row>
    <row r="40" spans="1:14" x14ac:dyDescent="0.25">
      <c r="A40" s="1" t="s">
        <v>50</v>
      </c>
      <c r="B40" s="2" t="s">
        <v>264</v>
      </c>
      <c r="D40" s="1" t="s">
        <v>414</v>
      </c>
      <c r="E40" s="2" t="s">
        <v>21</v>
      </c>
      <c r="F40" s="2" t="s">
        <v>49</v>
      </c>
      <c r="G40" s="33" t="s">
        <v>422</v>
      </c>
      <c r="H40" s="36">
        <v>5296778.28</v>
      </c>
      <c r="I40" s="40">
        <v>-2067194.3</v>
      </c>
      <c r="L40" s="36">
        <v>37133</v>
      </c>
      <c r="N40" s="36">
        <f t="shared" si="3"/>
        <v>-37133</v>
      </c>
    </row>
    <row r="41" spans="1:14" x14ac:dyDescent="0.25">
      <c r="A41" s="1" t="s">
        <v>50</v>
      </c>
      <c r="B41" s="2" t="s">
        <v>265</v>
      </c>
      <c r="D41" s="1" t="s">
        <v>415</v>
      </c>
      <c r="E41" s="2" t="s">
        <v>21</v>
      </c>
      <c r="F41" s="2" t="s">
        <v>275</v>
      </c>
      <c r="G41" s="31">
        <v>1</v>
      </c>
      <c r="H41" s="36">
        <v>-264748828</v>
      </c>
      <c r="I41" s="40">
        <v>-18787405.289999999</v>
      </c>
      <c r="K41" s="36">
        <v>366702563</v>
      </c>
      <c r="L41" s="36">
        <v>2999457</v>
      </c>
      <c r="N41" s="36">
        <f t="shared" si="3"/>
        <v>-2999457</v>
      </c>
    </row>
    <row r="42" spans="1:14" x14ac:dyDescent="0.25">
      <c r="A42" s="1" t="s">
        <v>50</v>
      </c>
      <c r="B42" s="2" t="s">
        <v>266</v>
      </c>
      <c r="D42" s="1" t="s">
        <v>415</v>
      </c>
      <c r="E42" s="2" t="s">
        <v>21</v>
      </c>
      <c r="F42" s="2" t="s">
        <v>23</v>
      </c>
      <c r="G42" s="31">
        <v>1</v>
      </c>
      <c r="H42" s="36">
        <v>20011000</v>
      </c>
      <c r="I42" s="40">
        <v>-4804000</v>
      </c>
      <c r="L42" s="36">
        <v>2367464.0299999998</v>
      </c>
      <c r="N42" s="36">
        <f t="shared" si="3"/>
        <v>-2367464.0299999998</v>
      </c>
    </row>
    <row r="43" spans="1:14" x14ac:dyDescent="0.25">
      <c r="A43" s="1" t="s">
        <v>50</v>
      </c>
      <c r="B43" s="2" t="s">
        <v>267</v>
      </c>
      <c r="D43" s="1" t="s">
        <v>415</v>
      </c>
      <c r="E43" s="2" t="s">
        <v>22</v>
      </c>
      <c r="F43" s="2" t="s">
        <v>27</v>
      </c>
      <c r="G43" s="31">
        <v>0.88649800000000001</v>
      </c>
      <c r="H43" s="36">
        <v>2439788000</v>
      </c>
      <c r="I43" s="40">
        <v>132714000</v>
      </c>
      <c r="J43" s="36">
        <v>82283974.980133697</v>
      </c>
      <c r="M43" s="36">
        <v>97240040.4572943</v>
      </c>
    </row>
    <row r="44" spans="1:14" x14ac:dyDescent="0.25">
      <c r="A44" s="1" t="s">
        <v>50</v>
      </c>
      <c r="B44" s="2" t="s">
        <v>268</v>
      </c>
      <c r="D44" s="1" t="s">
        <v>415</v>
      </c>
      <c r="E44" s="2" t="s">
        <v>22</v>
      </c>
      <c r="F44" s="2" t="s">
        <v>28</v>
      </c>
      <c r="G44" s="31">
        <v>0.17</v>
      </c>
      <c r="H44" s="36">
        <v>189817000</v>
      </c>
      <c r="I44" s="40">
        <v>56674000</v>
      </c>
      <c r="J44" s="36">
        <v>8015262.5</v>
      </c>
      <c r="L44" s="36" t="s">
        <v>125</v>
      </c>
      <c r="M44" s="36">
        <v>0</v>
      </c>
    </row>
    <row r="45" spans="1:14" x14ac:dyDescent="0.25">
      <c r="A45" s="1" t="s">
        <v>50</v>
      </c>
      <c r="B45" s="2" t="s">
        <v>269</v>
      </c>
      <c r="D45" s="1" t="s">
        <v>415</v>
      </c>
      <c r="E45" s="2" t="s">
        <v>22</v>
      </c>
      <c r="F45" s="2" t="s">
        <v>65</v>
      </c>
      <c r="G45" s="31">
        <v>0.99999998580000005</v>
      </c>
      <c r="H45" s="36">
        <v>1126658138.78</v>
      </c>
      <c r="I45" s="40">
        <v>-180906336.50999999</v>
      </c>
      <c r="L45" s="36">
        <v>174514100.63</v>
      </c>
      <c r="M45" s="36">
        <v>174514100.63</v>
      </c>
    </row>
    <row r="46" spans="1:14" x14ac:dyDescent="0.25">
      <c r="A46" s="1" t="s">
        <v>50</v>
      </c>
      <c r="B46" s="2" t="s">
        <v>270</v>
      </c>
      <c r="D46" s="1" t="s">
        <v>415</v>
      </c>
      <c r="E46" s="2" t="s">
        <v>22</v>
      </c>
      <c r="F46" s="2" t="s">
        <v>223</v>
      </c>
      <c r="G46" s="31">
        <v>0.70009999999999994</v>
      </c>
      <c r="H46" s="36">
        <v>1087767000</v>
      </c>
      <c r="I46" s="40">
        <v>48231000</v>
      </c>
    </row>
    <row r="47" spans="1:14" x14ac:dyDescent="0.25">
      <c r="A47" s="1" t="s">
        <v>50</v>
      </c>
      <c r="B47" s="2" t="s">
        <v>271</v>
      </c>
      <c r="D47" s="1" t="s">
        <v>415</v>
      </c>
      <c r="E47" s="2" t="s">
        <v>22</v>
      </c>
      <c r="F47" s="2" t="s">
        <v>47</v>
      </c>
      <c r="G47" s="31">
        <v>0.99</v>
      </c>
      <c r="H47" s="36">
        <v>6591141.7599999998</v>
      </c>
      <c r="I47" s="40">
        <v>1034020.73</v>
      </c>
      <c r="L47" s="36">
        <v>705000</v>
      </c>
    </row>
    <row r="48" spans="1:14" x14ac:dyDescent="0.25">
      <c r="A48" s="1" t="s">
        <v>50</v>
      </c>
      <c r="B48" s="2" t="s">
        <v>272</v>
      </c>
      <c r="D48" s="1" t="s">
        <v>415</v>
      </c>
      <c r="E48" s="2" t="s">
        <v>22</v>
      </c>
      <c r="F48" s="2" t="s">
        <v>29</v>
      </c>
      <c r="G48" s="31">
        <v>0.99990000000000001</v>
      </c>
      <c r="H48" s="36">
        <v>216820155</v>
      </c>
      <c r="I48" s="40">
        <v>21260071</v>
      </c>
    </row>
    <row r="49" spans="1:14" x14ac:dyDescent="0.25">
      <c r="A49" s="1" t="s">
        <v>50</v>
      </c>
      <c r="B49" s="2" t="s">
        <v>273</v>
      </c>
      <c r="D49" s="1" t="s">
        <v>415</v>
      </c>
      <c r="E49" s="2" t="s">
        <v>22</v>
      </c>
      <c r="F49" s="2" t="s">
        <v>23</v>
      </c>
      <c r="G49" s="31">
        <v>0.99990000000000001</v>
      </c>
      <c r="H49" s="36">
        <v>102938731</v>
      </c>
      <c r="I49" s="40">
        <v>1758074</v>
      </c>
    </row>
    <row r="50" spans="1:14" x14ac:dyDescent="0.25">
      <c r="A50" s="1" t="s">
        <v>50</v>
      </c>
      <c r="B50" s="2" t="s">
        <v>274</v>
      </c>
      <c r="D50" s="1" t="s">
        <v>415</v>
      </c>
      <c r="E50" s="2" t="s">
        <v>22</v>
      </c>
      <c r="F50" s="2" t="s">
        <v>23</v>
      </c>
      <c r="G50" s="31">
        <v>0</v>
      </c>
      <c r="H50" s="36">
        <v>13709431.550000001</v>
      </c>
      <c r="I50" s="40">
        <v>2875212</v>
      </c>
      <c r="L50" s="36">
        <v>0</v>
      </c>
    </row>
    <row r="51" spans="1:14" x14ac:dyDescent="0.25">
      <c r="A51" s="1" t="s">
        <v>51</v>
      </c>
      <c r="B51" s="2" t="s">
        <v>52</v>
      </c>
      <c r="D51" s="1" t="s">
        <v>414</v>
      </c>
      <c r="E51" s="2" t="s">
        <v>21</v>
      </c>
      <c r="F51" s="2" t="s">
        <v>24</v>
      </c>
      <c r="G51" s="31">
        <v>0.99656</v>
      </c>
      <c r="H51" s="36">
        <v>-18086425</v>
      </c>
      <c r="I51" s="40">
        <v>-11136562</v>
      </c>
      <c r="K51" s="36">
        <v>6838081.7699999996</v>
      </c>
      <c r="M51" s="36">
        <v>25620.11</v>
      </c>
      <c r="N51" s="36">
        <f t="shared" ref="N51:N57" si="4">J51-L51-M51</f>
        <v>-25620.11</v>
      </c>
    </row>
    <row r="52" spans="1:14" x14ac:dyDescent="0.25">
      <c r="A52" s="1" t="s">
        <v>51</v>
      </c>
      <c r="B52" s="2" t="s">
        <v>53</v>
      </c>
      <c r="D52" s="1" t="s">
        <v>414</v>
      </c>
      <c r="E52" s="2" t="s">
        <v>21</v>
      </c>
      <c r="F52" s="2" t="s">
        <v>48</v>
      </c>
      <c r="G52" s="31">
        <v>0.56120000000000003</v>
      </c>
      <c r="H52" s="36">
        <v>608209581</v>
      </c>
      <c r="I52" s="40">
        <v>-162273342</v>
      </c>
      <c r="K52" s="36">
        <v>130629761.31</v>
      </c>
      <c r="L52" s="36">
        <v>11831310.699999999</v>
      </c>
      <c r="M52" s="36">
        <v>31939919.82</v>
      </c>
      <c r="N52" s="36">
        <f t="shared" si="4"/>
        <v>-43771230.519999996</v>
      </c>
    </row>
    <row r="53" spans="1:14" x14ac:dyDescent="0.25">
      <c r="A53" s="1" t="s">
        <v>51</v>
      </c>
      <c r="B53" s="2" t="s">
        <v>54</v>
      </c>
      <c r="D53" s="1" t="s">
        <v>414</v>
      </c>
      <c r="E53" s="2" t="s">
        <v>21</v>
      </c>
      <c r="F53" s="2" t="s">
        <v>65</v>
      </c>
      <c r="G53" s="31">
        <v>0.99999130000000003</v>
      </c>
      <c r="H53" s="36">
        <v>53173296</v>
      </c>
      <c r="I53" s="40">
        <v>-5552345</v>
      </c>
      <c r="N53" s="36">
        <f t="shared" si="4"/>
        <v>0</v>
      </c>
    </row>
    <row r="54" spans="1:14" x14ac:dyDescent="0.25">
      <c r="A54" s="1" t="s">
        <v>51</v>
      </c>
      <c r="B54" s="2" t="s">
        <v>55</v>
      </c>
      <c r="D54" s="1" t="s">
        <v>414</v>
      </c>
      <c r="E54" s="2" t="s">
        <v>21</v>
      </c>
      <c r="F54" s="2" t="s">
        <v>65</v>
      </c>
      <c r="G54" s="31">
        <v>0.99992999999999999</v>
      </c>
      <c r="H54" s="36">
        <v>2063370883</v>
      </c>
      <c r="I54" s="40">
        <v>-49237721</v>
      </c>
      <c r="K54" s="36">
        <v>3828583.68</v>
      </c>
      <c r="L54" s="36">
        <v>24423473.920000002</v>
      </c>
      <c r="M54" s="36">
        <v>31939919.82</v>
      </c>
      <c r="N54" s="36">
        <f t="shared" si="4"/>
        <v>-56363393.740000002</v>
      </c>
    </row>
    <row r="55" spans="1:14" x14ac:dyDescent="0.25">
      <c r="A55" s="1" t="s">
        <v>51</v>
      </c>
      <c r="B55" s="2" t="s">
        <v>56</v>
      </c>
      <c r="D55" s="1" t="s">
        <v>414</v>
      </c>
      <c r="E55" s="2" t="s">
        <v>21</v>
      </c>
      <c r="F55" s="2" t="s">
        <v>25</v>
      </c>
      <c r="G55" s="31">
        <v>1</v>
      </c>
      <c r="H55" s="36">
        <v>9180659</v>
      </c>
      <c r="I55" s="40">
        <v>-14688079</v>
      </c>
      <c r="K55" s="36">
        <v>296829.01</v>
      </c>
      <c r="N55" s="36">
        <f t="shared" si="4"/>
        <v>0</v>
      </c>
    </row>
    <row r="56" spans="1:14" x14ac:dyDescent="0.25">
      <c r="A56" s="1" t="s">
        <v>51</v>
      </c>
      <c r="B56" s="2" t="s">
        <v>57</v>
      </c>
      <c r="D56" s="1" t="s">
        <v>414</v>
      </c>
      <c r="E56" s="2" t="s">
        <v>21</v>
      </c>
      <c r="F56" s="2" t="s">
        <v>48</v>
      </c>
      <c r="G56" s="31">
        <v>1</v>
      </c>
      <c r="H56" s="36">
        <v>121015025</v>
      </c>
      <c r="I56" s="40">
        <v>-34768143</v>
      </c>
      <c r="K56" s="36">
        <v>4103922.05</v>
      </c>
      <c r="N56" s="36">
        <f t="shared" si="4"/>
        <v>0</v>
      </c>
    </row>
    <row r="57" spans="1:14" x14ac:dyDescent="0.25">
      <c r="A57" s="1" t="s">
        <v>51</v>
      </c>
      <c r="B57" s="2" t="s">
        <v>58</v>
      </c>
      <c r="D57" s="1" t="s">
        <v>414</v>
      </c>
      <c r="E57" s="2" t="s">
        <v>21</v>
      </c>
      <c r="F57" s="2" t="s">
        <v>47</v>
      </c>
      <c r="G57" s="31">
        <v>0.92376999999999998</v>
      </c>
      <c r="H57" s="36">
        <v>2402681</v>
      </c>
      <c r="I57" s="40">
        <v>109883</v>
      </c>
      <c r="K57" s="36">
        <v>3620.67</v>
      </c>
      <c r="N57" s="36">
        <f t="shared" si="4"/>
        <v>0</v>
      </c>
    </row>
    <row r="58" spans="1:14" x14ac:dyDescent="0.25">
      <c r="A58" s="1" t="s">
        <v>51</v>
      </c>
      <c r="B58" s="2" t="s">
        <v>59</v>
      </c>
      <c r="D58" s="1" t="s">
        <v>415</v>
      </c>
      <c r="E58" s="2" t="s">
        <v>22</v>
      </c>
      <c r="F58" s="2" t="s">
        <v>26</v>
      </c>
      <c r="G58" s="31">
        <v>0.99</v>
      </c>
      <c r="I58" s="40"/>
      <c r="J58" s="36">
        <f>'[1]Partic. Majoritárias do Estado'!$AG$30</f>
        <v>97455026.060000002</v>
      </c>
    </row>
    <row r="59" spans="1:14" x14ac:dyDescent="0.25">
      <c r="A59" s="1" t="s">
        <v>51</v>
      </c>
      <c r="B59" s="2" t="s">
        <v>60</v>
      </c>
      <c r="D59" s="1" t="s">
        <v>415</v>
      </c>
      <c r="E59" s="2" t="s">
        <v>22</v>
      </c>
      <c r="F59" s="2" t="s">
        <v>27</v>
      </c>
      <c r="G59" s="31">
        <v>0.88080000000000003</v>
      </c>
      <c r="H59" s="36">
        <v>1244028000</v>
      </c>
      <c r="I59" s="40">
        <v>-247439000</v>
      </c>
      <c r="M59" s="36">
        <v>102887047.20999999</v>
      </c>
    </row>
    <row r="60" spans="1:14" x14ac:dyDescent="0.25">
      <c r="A60" s="1" t="s">
        <v>51</v>
      </c>
      <c r="B60" s="2" t="s">
        <v>61</v>
      </c>
      <c r="D60" s="1" t="s">
        <v>415</v>
      </c>
      <c r="E60" s="2" t="s">
        <v>22</v>
      </c>
      <c r="F60" s="2" t="s">
        <v>66</v>
      </c>
      <c r="G60" s="31">
        <v>0.80200000000000005</v>
      </c>
      <c r="H60" s="36">
        <v>792250000</v>
      </c>
      <c r="I60" s="40">
        <v>8000000</v>
      </c>
      <c r="J60" s="36">
        <v>984176.65</v>
      </c>
    </row>
    <row r="61" spans="1:14" x14ac:dyDescent="0.25">
      <c r="A61" s="1" t="s">
        <v>51</v>
      </c>
      <c r="B61" s="2" t="s">
        <v>62</v>
      </c>
      <c r="D61" s="1" t="s">
        <v>415</v>
      </c>
      <c r="E61" s="2" t="s">
        <v>22</v>
      </c>
      <c r="F61" s="2" t="s">
        <v>47</v>
      </c>
      <c r="G61" s="31">
        <v>0.99990000000000001</v>
      </c>
      <c r="H61" s="36">
        <v>62275651</v>
      </c>
      <c r="I61" s="40">
        <v>5406510</v>
      </c>
      <c r="J61" s="36">
        <v>7593210</v>
      </c>
    </row>
    <row r="62" spans="1:14" x14ac:dyDescent="0.25">
      <c r="A62" s="1" t="s">
        <v>51</v>
      </c>
      <c r="B62" s="2" t="s">
        <v>63</v>
      </c>
      <c r="D62" s="1" t="s">
        <v>414</v>
      </c>
      <c r="E62" s="2" t="s">
        <v>22</v>
      </c>
      <c r="F62" s="2" t="s">
        <v>48</v>
      </c>
      <c r="G62" s="31">
        <v>0.51</v>
      </c>
      <c r="H62" s="36">
        <v>2533382768</v>
      </c>
      <c r="I62" s="40">
        <v>352593356</v>
      </c>
    </row>
    <row r="63" spans="1:14" x14ac:dyDescent="0.25">
      <c r="A63" s="1" t="s">
        <v>51</v>
      </c>
      <c r="B63" s="2" t="s">
        <v>64</v>
      </c>
      <c r="D63" s="1" t="s">
        <v>415</v>
      </c>
      <c r="E63" s="2" t="s">
        <v>22</v>
      </c>
      <c r="F63" s="2" t="s">
        <v>30</v>
      </c>
      <c r="G63" s="31">
        <v>0.99</v>
      </c>
      <c r="H63" s="36">
        <v>0</v>
      </c>
      <c r="I63" s="40">
        <v>0</v>
      </c>
    </row>
    <row r="64" spans="1:14" x14ac:dyDescent="0.25">
      <c r="A64" s="1" t="s">
        <v>68</v>
      </c>
      <c r="B64" s="2" t="s">
        <v>69</v>
      </c>
      <c r="D64" s="1" t="s">
        <v>415</v>
      </c>
      <c r="E64" s="2" t="s">
        <v>21</v>
      </c>
      <c r="F64" s="2" t="s">
        <v>47</v>
      </c>
      <c r="G64" s="31">
        <v>0.96199999999999997</v>
      </c>
      <c r="H64" s="36">
        <v>9886684.3100000005</v>
      </c>
      <c r="I64" s="40">
        <v>1102706.54</v>
      </c>
      <c r="L64" s="36">
        <v>7205124.0300000003</v>
      </c>
      <c r="N64" s="36">
        <f t="shared" ref="N64:N65" si="5">J64-L64-M64</f>
        <v>-7205124.0300000003</v>
      </c>
    </row>
    <row r="65" spans="1:14" x14ac:dyDescent="0.25">
      <c r="A65" s="1" t="s">
        <v>68</v>
      </c>
      <c r="B65" s="2" t="s">
        <v>70</v>
      </c>
      <c r="D65" s="1" t="s">
        <v>415</v>
      </c>
      <c r="E65" s="2" t="s">
        <v>21</v>
      </c>
      <c r="F65" s="2" t="s">
        <v>275</v>
      </c>
      <c r="G65" s="31">
        <v>0.99134</v>
      </c>
      <c r="H65" s="36">
        <v>19931000</v>
      </c>
      <c r="I65" s="40">
        <v>-7000</v>
      </c>
      <c r="L65" s="39">
        <v>1919000</v>
      </c>
      <c r="N65" s="36">
        <f t="shared" si="5"/>
        <v>-1919000</v>
      </c>
    </row>
    <row r="66" spans="1:14" x14ac:dyDescent="0.25">
      <c r="A66" s="1" t="s">
        <v>68</v>
      </c>
      <c r="B66" s="2" t="s">
        <v>71</v>
      </c>
      <c r="D66" s="1" t="s">
        <v>415</v>
      </c>
      <c r="E66" s="2" t="s">
        <v>22</v>
      </c>
      <c r="F66" s="2" t="s">
        <v>26</v>
      </c>
      <c r="G66" s="31">
        <v>0.92369999999999997</v>
      </c>
      <c r="H66" s="36">
        <v>1492013000</v>
      </c>
      <c r="I66" s="40">
        <v>181055000</v>
      </c>
      <c r="J66" s="36">
        <v>53247611.049999997</v>
      </c>
    </row>
    <row r="67" spans="1:14" x14ac:dyDescent="0.25">
      <c r="A67" s="1" t="s">
        <v>68</v>
      </c>
      <c r="B67" s="2" t="s">
        <v>72</v>
      </c>
      <c r="D67" s="1" t="s">
        <v>415</v>
      </c>
      <c r="E67" s="2" t="s">
        <v>22</v>
      </c>
      <c r="F67" s="2" t="s">
        <v>26</v>
      </c>
      <c r="G67" s="31">
        <v>0.84119999999999995</v>
      </c>
      <c r="H67" s="36">
        <v>460018000</v>
      </c>
      <c r="I67" s="40">
        <v>1669000</v>
      </c>
      <c r="J67" s="36">
        <v>20151949.780000001</v>
      </c>
    </row>
    <row r="68" spans="1:14" x14ac:dyDescent="0.25">
      <c r="A68" s="1" t="s">
        <v>68</v>
      </c>
      <c r="B68" s="2" t="s">
        <v>73</v>
      </c>
      <c r="D68" s="1" t="s">
        <v>415</v>
      </c>
      <c r="E68" s="2" t="s">
        <v>22</v>
      </c>
      <c r="F68" s="2" t="s">
        <v>27</v>
      </c>
      <c r="G68" s="31">
        <v>0.99729999999999996</v>
      </c>
      <c r="H68" s="36">
        <v>2297000000</v>
      </c>
      <c r="I68" s="40">
        <v>191791000</v>
      </c>
      <c r="M68" s="39">
        <v>140420000</v>
      </c>
    </row>
    <row r="69" spans="1:14" x14ac:dyDescent="0.25">
      <c r="A69" s="1" t="s">
        <v>68</v>
      </c>
      <c r="B69" s="2" t="s">
        <v>74</v>
      </c>
      <c r="D69" s="1" t="s">
        <v>414</v>
      </c>
      <c r="E69" s="2" t="s">
        <v>22</v>
      </c>
      <c r="F69" s="2" t="s">
        <v>65</v>
      </c>
      <c r="G69" s="31">
        <v>0.99999979999999999</v>
      </c>
      <c r="H69" s="36">
        <v>64854708.020000003</v>
      </c>
      <c r="I69" s="40">
        <v>-1909150.31</v>
      </c>
    </row>
    <row r="70" spans="1:14" x14ac:dyDescent="0.25">
      <c r="A70" s="1" t="s">
        <v>75</v>
      </c>
      <c r="B70" s="2" t="s">
        <v>76</v>
      </c>
      <c r="D70" s="1" t="s">
        <v>414</v>
      </c>
      <c r="E70" s="2" t="s">
        <v>21</v>
      </c>
      <c r="F70" s="2" t="s">
        <v>47</v>
      </c>
      <c r="G70" s="31">
        <v>1</v>
      </c>
      <c r="H70" s="36">
        <v>22610909</v>
      </c>
      <c r="I70" s="40">
        <v>979081</v>
      </c>
      <c r="M70" s="36">
        <v>120266</v>
      </c>
      <c r="N70" s="36">
        <f t="shared" ref="N70:N74" si="6">J70-L70-M70</f>
        <v>-120266</v>
      </c>
    </row>
    <row r="71" spans="1:14" x14ac:dyDescent="0.25">
      <c r="A71" s="1" t="s">
        <v>75</v>
      </c>
      <c r="B71" s="2" t="s">
        <v>77</v>
      </c>
      <c r="D71" s="1" t="s">
        <v>414</v>
      </c>
      <c r="E71" s="2" t="s">
        <v>21</v>
      </c>
      <c r="F71" s="2" t="s">
        <v>25</v>
      </c>
      <c r="G71" s="31">
        <v>1</v>
      </c>
      <c r="H71" s="36">
        <v>45302624</v>
      </c>
      <c r="I71" s="40">
        <v>13581877</v>
      </c>
      <c r="M71" s="36">
        <v>292463</v>
      </c>
      <c r="N71" s="36">
        <f t="shared" si="6"/>
        <v>-292463</v>
      </c>
    </row>
    <row r="72" spans="1:14" x14ac:dyDescent="0.25">
      <c r="A72" s="1" t="s">
        <v>75</v>
      </c>
      <c r="B72" s="2" t="s">
        <v>78</v>
      </c>
      <c r="D72" s="1" t="s">
        <v>415</v>
      </c>
      <c r="E72" s="2" t="s">
        <v>21</v>
      </c>
      <c r="F72" s="2" t="s">
        <v>31</v>
      </c>
      <c r="G72" s="31">
        <v>0.74480000000000002</v>
      </c>
      <c r="H72" s="36">
        <v>-1925913</v>
      </c>
      <c r="I72" s="40">
        <v>-3016442</v>
      </c>
      <c r="M72" s="36">
        <v>2650000</v>
      </c>
      <c r="N72" s="36">
        <f t="shared" si="6"/>
        <v>-2650000</v>
      </c>
    </row>
    <row r="73" spans="1:14" x14ac:dyDescent="0.25">
      <c r="A73" s="1" t="s">
        <v>75</v>
      </c>
      <c r="B73" s="2" t="s">
        <v>79</v>
      </c>
      <c r="D73" s="1" t="s">
        <v>414</v>
      </c>
      <c r="E73" s="2" t="s">
        <v>21</v>
      </c>
      <c r="F73" s="2" t="s">
        <v>30</v>
      </c>
      <c r="G73" s="31">
        <v>1</v>
      </c>
      <c r="H73" s="36">
        <v>21769816</v>
      </c>
      <c r="I73" s="40">
        <v>569030</v>
      </c>
      <c r="M73" s="36">
        <v>487363</v>
      </c>
      <c r="N73" s="36">
        <f t="shared" si="6"/>
        <v>-487363</v>
      </c>
    </row>
    <row r="74" spans="1:14" x14ac:dyDescent="0.25">
      <c r="A74" s="1" t="s">
        <v>75</v>
      </c>
      <c r="B74" s="2" t="s">
        <v>80</v>
      </c>
      <c r="D74" s="1" t="s">
        <v>414</v>
      </c>
      <c r="E74" s="2" t="s">
        <v>21</v>
      </c>
      <c r="F74" s="2" t="s">
        <v>49</v>
      </c>
      <c r="G74" s="31">
        <v>1</v>
      </c>
      <c r="H74" s="36">
        <v>-352797390</v>
      </c>
      <c r="I74" s="40">
        <v>54875118</v>
      </c>
      <c r="M74" s="36">
        <v>26018649</v>
      </c>
      <c r="N74" s="36">
        <f t="shared" si="6"/>
        <v>-26018649</v>
      </c>
    </row>
    <row r="75" spans="1:14" x14ac:dyDescent="0.25">
      <c r="A75" s="1" t="s">
        <v>75</v>
      </c>
      <c r="B75" s="2" t="s">
        <v>81</v>
      </c>
      <c r="D75" s="1" t="s">
        <v>415</v>
      </c>
      <c r="E75" s="2" t="s">
        <v>22</v>
      </c>
      <c r="F75" s="2" t="s">
        <v>48</v>
      </c>
      <c r="G75" s="31">
        <v>0.99950000000000006</v>
      </c>
      <c r="H75" s="36">
        <v>12428311</v>
      </c>
      <c r="I75" s="40">
        <v>-31723250</v>
      </c>
      <c r="M75" s="36">
        <v>20000000</v>
      </c>
    </row>
    <row r="76" spans="1:14" x14ac:dyDescent="0.25">
      <c r="A76" s="1" t="s">
        <v>75</v>
      </c>
      <c r="B76" s="2" t="s">
        <v>82</v>
      </c>
      <c r="D76" s="1" t="s">
        <v>414</v>
      </c>
      <c r="E76" s="2" t="s">
        <v>22</v>
      </c>
      <c r="F76" s="2" t="s">
        <v>26</v>
      </c>
      <c r="G76" s="31">
        <v>0.99980000000000002</v>
      </c>
      <c r="H76" s="36">
        <v>0</v>
      </c>
      <c r="I76" s="40">
        <v>0</v>
      </c>
      <c r="K76" s="36">
        <v>17624</v>
      </c>
    </row>
    <row r="77" spans="1:14" x14ac:dyDescent="0.25">
      <c r="A77" s="1" t="s">
        <v>75</v>
      </c>
      <c r="B77" s="2" t="s">
        <v>83</v>
      </c>
      <c r="D77" s="1" t="s">
        <v>415</v>
      </c>
      <c r="E77" s="2" t="s">
        <v>22</v>
      </c>
      <c r="F77" s="2" t="s">
        <v>47</v>
      </c>
      <c r="G77" s="31">
        <v>1</v>
      </c>
      <c r="H77" s="36">
        <v>13846608</v>
      </c>
      <c r="I77" s="40">
        <v>-925276</v>
      </c>
    </row>
    <row r="78" spans="1:14" x14ac:dyDescent="0.25">
      <c r="A78" s="1" t="s">
        <v>75</v>
      </c>
      <c r="B78" s="2" t="s">
        <v>84</v>
      </c>
      <c r="D78" s="1" t="s">
        <v>415</v>
      </c>
      <c r="E78" s="2" t="s">
        <v>22</v>
      </c>
      <c r="F78" s="2" t="s">
        <v>66</v>
      </c>
      <c r="G78" s="31">
        <v>1</v>
      </c>
      <c r="H78" s="36">
        <v>-1714752</v>
      </c>
      <c r="I78" s="40">
        <v>62506</v>
      </c>
    </row>
    <row r="79" spans="1:14" x14ac:dyDescent="0.25">
      <c r="A79" s="1" t="s">
        <v>75</v>
      </c>
      <c r="B79" s="2" t="s">
        <v>85</v>
      </c>
      <c r="D79" s="1" t="s">
        <v>415</v>
      </c>
      <c r="E79" s="2" t="s">
        <v>22</v>
      </c>
      <c r="F79" s="2" t="s">
        <v>23</v>
      </c>
      <c r="G79" s="31">
        <v>0.96450000000000002</v>
      </c>
      <c r="H79" s="36">
        <v>134359042</v>
      </c>
      <c r="I79" s="40">
        <v>-4690534</v>
      </c>
    </row>
    <row r="80" spans="1:14" x14ac:dyDescent="0.25">
      <c r="A80" s="1" t="s">
        <v>75</v>
      </c>
      <c r="B80" s="2" t="s">
        <v>86</v>
      </c>
      <c r="D80" s="1" t="s">
        <v>415</v>
      </c>
      <c r="E80" s="2" t="s">
        <v>22</v>
      </c>
      <c r="F80" s="2" t="s">
        <v>23</v>
      </c>
      <c r="G80" s="31">
        <v>0.99980000000000002</v>
      </c>
      <c r="H80" s="36">
        <v>185159930</v>
      </c>
      <c r="I80" s="40">
        <v>6976696</v>
      </c>
    </row>
    <row r="81" spans="1:14" x14ac:dyDescent="0.25">
      <c r="A81" s="1" t="s">
        <v>75</v>
      </c>
      <c r="B81" s="2" t="s">
        <v>87</v>
      </c>
      <c r="D81" s="1" t="s">
        <v>415</v>
      </c>
      <c r="E81" s="2" t="s">
        <v>22</v>
      </c>
      <c r="F81" s="2" t="s">
        <v>28</v>
      </c>
      <c r="G81" s="31">
        <v>0.51</v>
      </c>
      <c r="H81" s="36">
        <v>338000</v>
      </c>
      <c r="I81" s="40">
        <v>-465000</v>
      </c>
    </row>
    <row r="82" spans="1:14" x14ac:dyDescent="0.25">
      <c r="A82" s="1" t="s">
        <v>75</v>
      </c>
      <c r="B82" s="2" t="s">
        <v>88</v>
      </c>
      <c r="D82" s="1" t="s">
        <v>415</v>
      </c>
      <c r="E82" s="2" t="s">
        <v>22</v>
      </c>
      <c r="F82" s="2" t="s">
        <v>23</v>
      </c>
      <c r="G82" s="31">
        <v>1</v>
      </c>
      <c r="H82" s="36">
        <v>232002027</v>
      </c>
      <c r="I82" s="40">
        <v>2789741</v>
      </c>
    </row>
    <row r="83" spans="1:14" x14ac:dyDescent="0.25">
      <c r="A83" s="1" t="s">
        <v>75</v>
      </c>
      <c r="B83" s="2" t="s">
        <v>89</v>
      </c>
      <c r="D83" s="1" t="s">
        <v>415</v>
      </c>
      <c r="E83" s="2" t="s">
        <v>22</v>
      </c>
      <c r="F83" s="2" t="s">
        <v>30</v>
      </c>
      <c r="G83" s="31">
        <v>0.99990000000000001</v>
      </c>
      <c r="H83" s="36">
        <v>-11453431</v>
      </c>
      <c r="I83" s="40">
        <v>-9694727</v>
      </c>
    </row>
    <row r="84" spans="1:14" x14ac:dyDescent="0.25">
      <c r="A84" s="1" t="s">
        <v>75</v>
      </c>
      <c r="B84" s="2" t="s">
        <v>90</v>
      </c>
      <c r="D84" s="1" t="s">
        <v>415</v>
      </c>
      <c r="E84" s="2" t="s">
        <v>22</v>
      </c>
      <c r="F84" s="2" t="s">
        <v>65</v>
      </c>
      <c r="G84" s="31">
        <v>0.99209999999999998</v>
      </c>
      <c r="H84" s="36">
        <v>26550</v>
      </c>
      <c r="I84" s="40">
        <v>-32754</v>
      </c>
    </row>
    <row r="85" spans="1:14" x14ac:dyDescent="0.25">
      <c r="A85" s="1" t="s">
        <v>75</v>
      </c>
      <c r="B85" s="2" t="s">
        <v>91</v>
      </c>
      <c r="D85" s="1" t="s">
        <v>415</v>
      </c>
      <c r="E85" s="2" t="s">
        <v>22</v>
      </c>
      <c r="F85" s="2" t="s">
        <v>27</v>
      </c>
      <c r="G85" s="31">
        <v>0.67230000000000001</v>
      </c>
      <c r="H85" s="36">
        <v>2275690000</v>
      </c>
      <c r="I85" s="40">
        <v>115762000</v>
      </c>
    </row>
    <row r="86" spans="1:14" x14ac:dyDescent="0.25">
      <c r="A86" s="1" t="s">
        <v>92</v>
      </c>
      <c r="B86" s="2" t="s">
        <v>93</v>
      </c>
      <c r="D86" s="1" t="s">
        <v>415</v>
      </c>
      <c r="E86" s="2" t="s">
        <v>21</v>
      </c>
      <c r="F86" s="2" t="s">
        <v>30</v>
      </c>
      <c r="G86" s="31">
        <v>0.99739999999999995</v>
      </c>
      <c r="H86" s="36">
        <v>5989808.6500000004</v>
      </c>
      <c r="I86" s="40">
        <v>-460681.72</v>
      </c>
      <c r="L86" s="36">
        <v>65741109.520000003</v>
      </c>
      <c r="N86" s="36">
        <f t="shared" ref="N86:N87" si="7">J86-L86-M86</f>
        <v>-65741109.520000003</v>
      </c>
    </row>
    <row r="87" spans="1:14" x14ac:dyDescent="0.25">
      <c r="A87" s="1" t="s">
        <v>92</v>
      </c>
      <c r="B87" s="2" t="s">
        <v>94</v>
      </c>
      <c r="D87" s="1" t="s">
        <v>414</v>
      </c>
      <c r="E87" s="2" t="s">
        <v>21</v>
      </c>
      <c r="F87" s="2" t="s">
        <v>98</v>
      </c>
      <c r="G87" s="31">
        <v>0</v>
      </c>
      <c r="H87" s="36">
        <v>-72617052.640000001</v>
      </c>
      <c r="I87" s="40">
        <v>-4954769.6900000004</v>
      </c>
      <c r="L87" s="36">
        <v>842558155.92999995</v>
      </c>
      <c r="N87" s="36">
        <f t="shared" si="7"/>
        <v>-842558155.92999995</v>
      </c>
    </row>
    <row r="88" spans="1:14" x14ac:dyDescent="0.25">
      <c r="A88" s="1" t="s">
        <v>92</v>
      </c>
      <c r="B88" s="2" t="s">
        <v>95</v>
      </c>
      <c r="D88" s="1" t="s">
        <v>415</v>
      </c>
      <c r="E88" s="2" t="s">
        <v>22</v>
      </c>
      <c r="F88" s="2" t="s">
        <v>27</v>
      </c>
      <c r="G88" s="31">
        <v>0.99948700000000001</v>
      </c>
      <c r="H88" s="36">
        <v>830609</v>
      </c>
      <c r="I88" s="40">
        <v>-170926</v>
      </c>
      <c r="M88" s="36">
        <v>350523</v>
      </c>
    </row>
    <row r="89" spans="1:14" x14ac:dyDescent="0.25">
      <c r="A89" s="1" t="s">
        <v>92</v>
      </c>
      <c r="B89" s="2" t="s">
        <v>96</v>
      </c>
      <c r="D89" s="1" t="s">
        <v>414</v>
      </c>
      <c r="E89" s="2" t="s">
        <v>22</v>
      </c>
      <c r="F89" s="2" t="s">
        <v>29</v>
      </c>
      <c r="G89" s="31">
        <v>1</v>
      </c>
      <c r="H89" s="36">
        <v>457045</v>
      </c>
      <c r="I89" s="40">
        <v>61788</v>
      </c>
      <c r="M89" s="36">
        <v>277125</v>
      </c>
    </row>
    <row r="90" spans="1:14" x14ac:dyDescent="0.25">
      <c r="A90" s="1" t="s">
        <v>92</v>
      </c>
      <c r="B90" s="2" t="s">
        <v>97</v>
      </c>
      <c r="D90" s="1" t="s">
        <v>415</v>
      </c>
      <c r="E90" s="2" t="s">
        <v>22</v>
      </c>
      <c r="F90" s="2" t="s">
        <v>28</v>
      </c>
      <c r="G90" s="31">
        <v>0.255</v>
      </c>
      <c r="H90" s="36">
        <v>13478448.609999999</v>
      </c>
      <c r="I90" s="40">
        <v>15897794.449999999</v>
      </c>
      <c r="J90" s="36">
        <v>4053937.58</v>
      </c>
    </row>
    <row r="91" spans="1:14" x14ac:dyDescent="0.25">
      <c r="A91" s="1" t="s">
        <v>99</v>
      </c>
      <c r="B91" s="2" t="s">
        <v>325</v>
      </c>
      <c r="D91" s="1" t="s">
        <v>414</v>
      </c>
      <c r="E91" s="2" t="s">
        <v>21</v>
      </c>
      <c r="F91" s="2" t="s">
        <v>25</v>
      </c>
      <c r="G91" s="31">
        <v>0.99990000000000001</v>
      </c>
      <c r="H91" s="36">
        <v>55267390.979999997</v>
      </c>
      <c r="I91" s="40">
        <v>2883680.63</v>
      </c>
      <c r="L91" s="36">
        <v>209555011.56</v>
      </c>
      <c r="N91" s="36">
        <f t="shared" ref="N91:N93" si="8">J91-L91-M91</f>
        <v>-209555011.56</v>
      </c>
    </row>
    <row r="92" spans="1:14" x14ac:dyDescent="0.25">
      <c r="A92" s="1" t="s">
        <v>99</v>
      </c>
      <c r="B92" s="2" t="s">
        <v>326</v>
      </c>
      <c r="D92" s="1" t="s">
        <v>414</v>
      </c>
      <c r="E92" s="2" t="s">
        <v>21</v>
      </c>
      <c r="F92" s="2" t="s">
        <v>138</v>
      </c>
      <c r="G92" s="31">
        <v>0.99990000000000001</v>
      </c>
      <c r="H92" s="36">
        <v>2366795.14</v>
      </c>
      <c r="I92" s="40">
        <v>-436438.24</v>
      </c>
      <c r="L92" s="36">
        <v>95032773.310000002</v>
      </c>
      <c r="N92" s="36">
        <f t="shared" si="8"/>
        <v>-95032773.310000002</v>
      </c>
    </row>
    <row r="93" spans="1:14" x14ac:dyDescent="0.25">
      <c r="A93" s="1" t="s">
        <v>99</v>
      </c>
      <c r="B93" s="2" t="s">
        <v>327</v>
      </c>
      <c r="D93" s="1" t="s">
        <v>414</v>
      </c>
      <c r="E93" s="2" t="s">
        <v>21</v>
      </c>
      <c r="F93" s="2" t="s">
        <v>31</v>
      </c>
      <c r="G93" s="31">
        <v>0.999</v>
      </c>
      <c r="H93" s="36">
        <v>36038453.079999998</v>
      </c>
      <c r="I93" s="40">
        <v>-1328367.0900000001</v>
      </c>
      <c r="L93" s="36">
        <v>8927028.3699999992</v>
      </c>
      <c r="N93" s="36">
        <f t="shared" si="8"/>
        <v>-8927028.3699999992</v>
      </c>
    </row>
    <row r="94" spans="1:14" x14ac:dyDescent="0.25">
      <c r="A94" s="1" t="s">
        <v>99</v>
      </c>
      <c r="B94" s="2" t="s">
        <v>328</v>
      </c>
      <c r="D94" s="1" t="s">
        <v>414</v>
      </c>
      <c r="E94" s="2" t="s">
        <v>22</v>
      </c>
      <c r="F94" s="2" t="s">
        <v>26</v>
      </c>
      <c r="G94" s="31">
        <v>0.8972</v>
      </c>
      <c r="H94" s="36">
        <v>1729340000</v>
      </c>
      <c r="I94" s="40">
        <v>125973000</v>
      </c>
      <c r="J94" s="36">
        <v>0</v>
      </c>
      <c r="M94" s="36">
        <v>25097423.039999999</v>
      </c>
    </row>
    <row r="95" spans="1:14" x14ac:dyDescent="0.25">
      <c r="A95" s="1" t="s">
        <v>99</v>
      </c>
      <c r="B95" s="2" t="s">
        <v>329</v>
      </c>
      <c r="D95" s="1" t="s">
        <v>417</v>
      </c>
      <c r="E95" s="2" t="s">
        <v>22</v>
      </c>
      <c r="F95" s="2" t="s">
        <v>23</v>
      </c>
      <c r="G95" s="31">
        <v>0.99990000000000001</v>
      </c>
      <c r="H95" s="36">
        <v>1824086000</v>
      </c>
      <c r="I95" s="40">
        <v>602855000</v>
      </c>
      <c r="J95" s="36">
        <v>0</v>
      </c>
      <c r="M95" s="36">
        <v>0</v>
      </c>
    </row>
    <row r="96" spans="1:14" x14ac:dyDescent="0.25">
      <c r="A96" s="1" t="s">
        <v>99</v>
      </c>
      <c r="B96" s="2" t="s">
        <v>330</v>
      </c>
      <c r="D96" s="1" t="s">
        <v>418</v>
      </c>
      <c r="E96" s="2" t="s">
        <v>22</v>
      </c>
      <c r="F96" s="2" t="s">
        <v>23</v>
      </c>
      <c r="G96" s="31">
        <v>0</v>
      </c>
      <c r="H96" s="36">
        <v>281804689.95999998</v>
      </c>
      <c r="I96" s="40">
        <v>-8160118.6699999999</v>
      </c>
      <c r="J96" s="36">
        <v>0</v>
      </c>
      <c r="M96" s="36">
        <v>0</v>
      </c>
    </row>
    <row r="97" spans="1:14" x14ac:dyDescent="0.25">
      <c r="A97" s="1" t="s">
        <v>99</v>
      </c>
      <c r="B97" s="2" t="s">
        <v>331</v>
      </c>
      <c r="D97" s="1" t="s">
        <v>415</v>
      </c>
      <c r="E97" s="2" t="s">
        <v>22</v>
      </c>
      <c r="F97" s="2" t="s">
        <v>23</v>
      </c>
      <c r="G97" s="31">
        <v>0.3</v>
      </c>
      <c r="H97" s="36">
        <v>694460000</v>
      </c>
      <c r="I97" s="40">
        <v>911123000</v>
      </c>
      <c r="J97" s="36">
        <v>402054296.93000001</v>
      </c>
      <c r="M97" s="36">
        <v>367709020.64999998</v>
      </c>
    </row>
    <row r="98" spans="1:14" x14ac:dyDescent="0.25">
      <c r="A98" s="1" t="s">
        <v>99</v>
      </c>
      <c r="B98" s="2" t="s">
        <v>332</v>
      </c>
      <c r="D98" s="1" t="s">
        <v>415</v>
      </c>
      <c r="E98" s="2" t="s">
        <v>22</v>
      </c>
      <c r="F98" s="2" t="s">
        <v>275</v>
      </c>
      <c r="G98" s="31">
        <v>0.99990000000000001</v>
      </c>
      <c r="H98" s="36">
        <v>-47831000</v>
      </c>
      <c r="I98" s="40">
        <v>-27151000</v>
      </c>
      <c r="J98" s="36">
        <v>0</v>
      </c>
      <c r="M98" s="36">
        <v>3833474.74</v>
      </c>
    </row>
    <row r="99" spans="1:14" x14ac:dyDescent="0.25">
      <c r="A99" s="1" t="s">
        <v>99</v>
      </c>
      <c r="B99" s="2" t="s">
        <v>333</v>
      </c>
      <c r="D99" s="1" t="s">
        <v>415</v>
      </c>
      <c r="E99" s="2" t="s">
        <v>22</v>
      </c>
      <c r="F99" s="2" t="s">
        <v>27</v>
      </c>
      <c r="G99" s="31">
        <v>0.50039999999999996</v>
      </c>
      <c r="H99" s="36">
        <v>6226633000</v>
      </c>
      <c r="I99" s="40">
        <v>578700000</v>
      </c>
      <c r="J99" s="36">
        <v>259439303.78</v>
      </c>
      <c r="M99" s="36">
        <v>0</v>
      </c>
    </row>
    <row r="100" spans="1:14" x14ac:dyDescent="0.25">
      <c r="A100" s="1" t="s">
        <v>99</v>
      </c>
      <c r="B100" s="2" t="s">
        <v>334</v>
      </c>
      <c r="D100" s="1" t="s">
        <v>418</v>
      </c>
      <c r="E100" s="2" t="s">
        <v>22</v>
      </c>
      <c r="F100" s="2" t="s">
        <v>27</v>
      </c>
      <c r="G100" s="31">
        <v>0</v>
      </c>
      <c r="H100" s="36">
        <v>104597000</v>
      </c>
      <c r="I100" s="40">
        <v>-12998000</v>
      </c>
      <c r="J100" s="36">
        <v>0</v>
      </c>
      <c r="M100" s="36">
        <v>0</v>
      </c>
    </row>
    <row r="101" spans="1:14" x14ac:dyDescent="0.25">
      <c r="A101" s="1" t="s">
        <v>99</v>
      </c>
      <c r="B101" s="2" t="s">
        <v>335</v>
      </c>
      <c r="D101" s="1" t="s">
        <v>415</v>
      </c>
      <c r="E101" s="2" t="s">
        <v>22</v>
      </c>
      <c r="F101" s="2" t="s">
        <v>49</v>
      </c>
      <c r="G101" s="31">
        <v>0.98899999999999999</v>
      </c>
      <c r="H101" s="36">
        <v>99235044</v>
      </c>
      <c r="I101" s="40">
        <v>-2090520</v>
      </c>
      <c r="J101" s="36">
        <v>0</v>
      </c>
      <c r="M101" s="36">
        <v>20312409.829999998</v>
      </c>
    </row>
    <row r="102" spans="1:14" x14ac:dyDescent="0.25">
      <c r="A102" s="1" t="s">
        <v>99</v>
      </c>
      <c r="B102" s="2" t="s">
        <v>336</v>
      </c>
      <c r="D102" s="1" t="s">
        <v>415</v>
      </c>
      <c r="E102" s="2" t="s">
        <v>22</v>
      </c>
      <c r="F102" s="2" t="s">
        <v>66</v>
      </c>
      <c r="G102" s="31">
        <v>0.50960000000000005</v>
      </c>
      <c r="H102" s="36">
        <v>15939327000</v>
      </c>
      <c r="I102" s="40">
        <v>1378291000</v>
      </c>
      <c r="J102" s="36">
        <v>7596759.1500000004</v>
      </c>
      <c r="M102" s="36">
        <v>0</v>
      </c>
    </row>
    <row r="103" spans="1:14" x14ac:dyDescent="0.25">
      <c r="A103" s="1" t="s">
        <v>99</v>
      </c>
      <c r="B103" s="2" t="s">
        <v>337</v>
      </c>
      <c r="D103" s="1" t="s">
        <v>418</v>
      </c>
      <c r="E103" s="2" t="s">
        <v>22</v>
      </c>
      <c r="F103" s="2" t="s">
        <v>66</v>
      </c>
      <c r="G103" s="31">
        <v>0</v>
      </c>
      <c r="H103" s="36">
        <v>4642358000</v>
      </c>
      <c r="I103" s="40">
        <v>534870000</v>
      </c>
      <c r="J103" s="36">
        <v>0</v>
      </c>
      <c r="M103" s="36">
        <v>0</v>
      </c>
    </row>
    <row r="104" spans="1:14" x14ac:dyDescent="0.25">
      <c r="A104" s="1" t="s">
        <v>99</v>
      </c>
      <c r="B104" s="2" t="s">
        <v>338</v>
      </c>
      <c r="D104" s="1" t="s">
        <v>418</v>
      </c>
      <c r="E104" s="2" t="s">
        <v>22</v>
      </c>
      <c r="F104" s="2" t="s">
        <v>66</v>
      </c>
      <c r="G104" s="31">
        <v>0</v>
      </c>
      <c r="H104" s="36">
        <v>4980136000</v>
      </c>
      <c r="I104" s="40">
        <v>590783000</v>
      </c>
      <c r="J104" s="36">
        <v>0</v>
      </c>
      <c r="M104" s="36">
        <v>0</v>
      </c>
    </row>
    <row r="105" spans="1:14" x14ac:dyDescent="0.25">
      <c r="A105" s="1" t="s">
        <v>99</v>
      </c>
      <c r="B105" s="2" t="s">
        <v>339</v>
      </c>
      <c r="D105" s="1" t="s">
        <v>418</v>
      </c>
      <c r="E105" s="2" t="s">
        <v>22</v>
      </c>
      <c r="F105" s="2" t="s">
        <v>28</v>
      </c>
      <c r="G105" s="31">
        <v>0</v>
      </c>
      <c r="H105" s="36">
        <v>1000791000</v>
      </c>
      <c r="I105" s="40">
        <v>177561000</v>
      </c>
      <c r="J105" s="36">
        <v>0</v>
      </c>
      <c r="M105" s="36">
        <v>0</v>
      </c>
    </row>
    <row r="106" spans="1:14" x14ac:dyDescent="0.25">
      <c r="A106" s="1" t="s">
        <v>99</v>
      </c>
      <c r="B106" s="2" t="s">
        <v>340</v>
      </c>
      <c r="D106" s="1" t="s">
        <v>415</v>
      </c>
      <c r="E106" s="2" t="s">
        <v>22</v>
      </c>
      <c r="F106" s="2" t="s">
        <v>30</v>
      </c>
      <c r="G106" s="31">
        <v>0.99955700000000003</v>
      </c>
      <c r="H106" s="36">
        <v>387425000</v>
      </c>
      <c r="I106" s="40">
        <v>226858000</v>
      </c>
      <c r="J106" s="36">
        <v>0</v>
      </c>
      <c r="M106" s="36">
        <v>60960783.700000003</v>
      </c>
    </row>
    <row r="107" spans="1:14" x14ac:dyDescent="0.25">
      <c r="A107" s="1" t="s">
        <v>99</v>
      </c>
      <c r="B107" s="2" t="s">
        <v>341</v>
      </c>
      <c r="D107" s="1" t="s">
        <v>418</v>
      </c>
      <c r="E107" s="2" t="s">
        <v>22</v>
      </c>
      <c r="F107" s="2" t="s">
        <v>23</v>
      </c>
      <c r="G107" s="31">
        <v>0</v>
      </c>
      <c r="H107" s="36">
        <v>3838000</v>
      </c>
      <c r="I107" s="40">
        <v>-2117000</v>
      </c>
      <c r="J107" s="36">
        <v>0</v>
      </c>
      <c r="M107" s="36">
        <v>0</v>
      </c>
    </row>
    <row r="108" spans="1:14" x14ac:dyDescent="0.25">
      <c r="A108" s="1" t="s">
        <v>99</v>
      </c>
      <c r="B108" s="2" t="s">
        <v>342</v>
      </c>
      <c r="D108" s="1" t="s">
        <v>414</v>
      </c>
      <c r="E108" s="2" t="s">
        <v>22</v>
      </c>
      <c r="F108" s="2" t="s">
        <v>29</v>
      </c>
      <c r="G108" s="31">
        <v>0.99</v>
      </c>
      <c r="H108" s="36">
        <v>42736398</v>
      </c>
      <c r="I108" s="40">
        <v>12464587</v>
      </c>
      <c r="J108" s="36">
        <v>950645.98</v>
      </c>
      <c r="M108" s="36">
        <v>0</v>
      </c>
    </row>
    <row r="109" spans="1:14" x14ac:dyDescent="0.25">
      <c r="A109" s="1" t="s">
        <v>99</v>
      </c>
      <c r="B109" s="2" t="s">
        <v>343</v>
      </c>
      <c r="D109" s="1" t="s">
        <v>414</v>
      </c>
      <c r="E109" s="2" t="s">
        <v>22</v>
      </c>
      <c r="F109" s="2" t="s">
        <v>65</v>
      </c>
      <c r="G109" s="31">
        <v>0.65449999999999997</v>
      </c>
      <c r="H109" s="36">
        <v>309189</v>
      </c>
      <c r="I109" s="40">
        <v>-229994</v>
      </c>
      <c r="J109" s="36">
        <v>0</v>
      </c>
      <c r="M109" s="36">
        <v>177692</v>
      </c>
    </row>
    <row r="110" spans="1:14" x14ac:dyDescent="0.25">
      <c r="A110" s="1" t="s">
        <v>100</v>
      </c>
      <c r="B110" s="2" t="s">
        <v>101</v>
      </c>
      <c r="D110" s="1" t="s">
        <v>414</v>
      </c>
      <c r="E110" s="2" t="s">
        <v>21</v>
      </c>
      <c r="F110" s="2" t="s">
        <v>47</v>
      </c>
      <c r="G110" s="31">
        <v>1</v>
      </c>
      <c r="H110" s="36">
        <v>-759827289.84000003</v>
      </c>
      <c r="I110" s="40">
        <v>0</v>
      </c>
      <c r="N110" s="36">
        <f t="shared" ref="N110:N111" si="9">J110-L110-M110</f>
        <v>0</v>
      </c>
    </row>
    <row r="111" spans="1:14" x14ac:dyDescent="0.25">
      <c r="A111" s="1" t="s">
        <v>100</v>
      </c>
      <c r="B111" s="2" t="s">
        <v>102</v>
      </c>
      <c r="D111" s="1" t="s">
        <v>414</v>
      </c>
      <c r="E111" s="2" t="s">
        <v>21</v>
      </c>
      <c r="F111" s="2" t="s">
        <v>401</v>
      </c>
      <c r="G111" s="31">
        <v>1</v>
      </c>
      <c r="H111" s="36">
        <v>236207.51</v>
      </c>
      <c r="I111" s="40">
        <v>-2500</v>
      </c>
      <c r="L111" s="36">
        <v>19796.93</v>
      </c>
      <c r="N111" s="36">
        <f t="shared" si="9"/>
        <v>-19796.93</v>
      </c>
    </row>
    <row r="112" spans="1:14" x14ac:dyDescent="0.25">
      <c r="A112" s="1" t="s">
        <v>100</v>
      </c>
      <c r="B112" s="2" t="s">
        <v>103</v>
      </c>
      <c r="D112" s="1" t="s">
        <v>415</v>
      </c>
      <c r="E112" s="2" t="s">
        <v>22</v>
      </c>
      <c r="F112" s="2" t="s">
        <v>27</v>
      </c>
      <c r="G112" s="31">
        <v>1</v>
      </c>
      <c r="H112" s="36">
        <v>761057474.25999999</v>
      </c>
      <c r="I112" s="40">
        <v>95490543.569999993</v>
      </c>
      <c r="J112" s="36">
        <v>33254.46</v>
      </c>
    </row>
    <row r="113" spans="1:14" x14ac:dyDescent="0.25">
      <c r="A113" s="1" t="s">
        <v>100</v>
      </c>
      <c r="B113" s="2" t="s">
        <v>104</v>
      </c>
      <c r="D113" s="1" t="s">
        <v>415</v>
      </c>
      <c r="E113" s="2" t="s">
        <v>22</v>
      </c>
      <c r="F113" s="2" t="s">
        <v>28</v>
      </c>
      <c r="G113" s="31">
        <v>0.51</v>
      </c>
      <c r="H113" s="36">
        <v>24457603.91</v>
      </c>
      <c r="I113" s="40">
        <v>12736020.060000001</v>
      </c>
      <c r="J113" s="36">
        <v>7897611.5300000003</v>
      </c>
    </row>
    <row r="114" spans="1:14" x14ac:dyDescent="0.25">
      <c r="A114" s="1" t="s">
        <v>100</v>
      </c>
      <c r="B114" s="2" t="s">
        <v>105</v>
      </c>
      <c r="D114" s="1" t="s">
        <v>415</v>
      </c>
      <c r="E114" s="2" t="s">
        <v>22</v>
      </c>
      <c r="F114" s="2" t="s">
        <v>47</v>
      </c>
      <c r="G114" s="31">
        <v>0.87619999999999998</v>
      </c>
      <c r="H114" s="36">
        <v>-532686.15</v>
      </c>
      <c r="I114" s="40">
        <v>389670.45</v>
      </c>
    </row>
    <row r="115" spans="1:14" x14ac:dyDescent="0.25">
      <c r="A115" s="7" t="s">
        <v>106</v>
      </c>
      <c r="B115" s="2" t="s">
        <v>195</v>
      </c>
      <c r="D115" s="1" t="s">
        <v>415</v>
      </c>
      <c r="E115" s="2" t="s">
        <v>21</v>
      </c>
      <c r="F115" s="2" t="s">
        <v>401</v>
      </c>
      <c r="G115" s="31">
        <v>0.99990000000000001</v>
      </c>
      <c r="H115" s="36">
        <v>6117127600</v>
      </c>
      <c r="I115" s="40">
        <v>-1255376</v>
      </c>
      <c r="N115" s="36">
        <f t="shared" ref="N115:N120" si="10">J115-L115-M115</f>
        <v>0</v>
      </c>
    </row>
    <row r="116" spans="1:14" x14ac:dyDescent="0.25">
      <c r="A116" s="7" t="s">
        <v>106</v>
      </c>
      <c r="B116" s="2" t="s">
        <v>196</v>
      </c>
      <c r="D116" s="1" t="s">
        <v>414</v>
      </c>
      <c r="E116" s="2" t="s">
        <v>21</v>
      </c>
      <c r="F116" s="2" t="s">
        <v>25</v>
      </c>
      <c r="G116" s="31">
        <v>1</v>
      </c>
      <c r="H116" s="36">
        <v>-88265732.400000006</v>
      </c>
      <c r="I116" s="40">
        <v>-2724744.58</v>
      </c>
      <c r="N116" s="36">
        <f t="shared" si="10"/>
        <v>0</v>
      </c>
    </row>
    <row r="117" spans="1:14" x14ac:dyDescent="0.25">
      <c r="A117" s="7" t="s">
        <v>106</v>
      </c>
      <c r="B117" s="2" t="s">
        <v>197</v>
      </c>
      <c r="D117" s="1" t="s">
        <v>415</v>
      </c>
      <c r="E117" s="2" t="s">
        <v>21</v>
      </c>
      <c r="F117" s="2" t="s">
        <v>28</v>
      </c>
      <c r="G117" s="31">
        <v>0.99990000000000001</v>
      </c>
      <c r="H117" s="36">
        <v>-1325151</v>
      </c>
      <c r="I117" s="40">
        <v>2927968</v>
      </c>
      <c r="L117" s="36">
        <v>4145623.09</v>
      </c>
      <c r="N117" s="36">
        <f t="shared" si="10"/>
        <v>-4145623.09</v>
      </c>
    </row>
    <row r="118" spans="1:14" x14ac:dyDescent="0.25">
      <c r="A118" s="7" t="s">
        <v>106</v>
      </c>
      <c r="B118" s="2" t="s">
        <v>198</v>
      </c>
      <c r="D118" s="1" t="s">
        <v>415</v>
      </c>
      <c r="E118" s="2" t="s">
        <v>21</v>
      </c>
      <c r="F118" s="2" t="s">
        <v>29</v>
      </c>
      <c r="G118" s="31">
        <v>0.99929999999999997</v>
      </c>
      <c r="H118" s="36">
        <v>0</v>
      </c>
      <c r="I118" s="40">
        <v>0</v>
      </c>
      <c r="L118" s="36">
        <v>0</v>
      </c>
      <c r="N118" s="36">
        <f t="shared" si="10"/>
        <v>0</v>
      </c>
    </row>
    <row r="119" spans="1:14" x14ac:dyDescent="0.25">
      <c r="A119" s="7" t="s">
        <v>106</v>
      </c>
      <c r="B119" s="2" t="s">
        <v>199</v>
      </c>
      <c r="D119" s="1" t="s">
        <v>414</v>
      </c>
      <c r="E119" s="2" t="s">
        <v>21</v>
      </c>
      <c r="F119" s="2" t="s">
        <v>49</v>
      </c>
      <c r="G119" s="31">
        <v>1</v>
      </c>
      <c r="H119" s="36">
        <v>-6249285.3499999996</v>
      </c>
      <c r="I119" s="40">
        <v>-191794.2</v>
      </c>
      <c r="L119" s="36">
        <v>14541744.480800018</v>
      </c>
      <c r="N119" s="36">
        <f t="shared" si="10"/>
        <v>-14541744.480800018</v>
      </c>
    </row>
    <row r="120" spans="1:14" x14ac:dyDescent="0.25">
      <c r="A120" s="7" t="s">
        <v>106</v>
      </c>
      <c r="B120" s="2" t="s">
        <v>200</v>
      </c>
      <c r="D120" s="1" t="s">
        <v>415</v>
      </c>
      <c r="E120" s="2" t="s">
        <v>21</v>
      </c>
      <c r="F120" s="2" t="s">
        <v>27</v>
      </c>
      <c r="G120" s="31">
        <v>0.82599999999999996</v>
      </c>
      <c r="H120" s="36">
        <v>-57300535</v>
      </c>
      <c r="I120" s="40">
        <v>-12856381</v>
      </c>
      <c r="K120" s="36">
        <v>259046939</v>
      </c>
      <c r="L120" s="36">
        <v>21532108</v>
      </c>
      <c r="N120" s="36">
        <f t="shared" si="10"/>
        <v>-21532108</v>
      </c>
    </row>
    <row r="121" spans="1:14" x14ac:dyDescent="0.25">
      <c r="A121" s="7" t="s">
        <v>106</v>
      </c>
      <c r="B121" s="2" t="s">
        <v>201</v>
      </c>
      <c r="D121" s="1" t="s">
        <v>415</v>
      </c>
      <c r="E121" s="2" t="s">
        <v>22</v>
      </c>
      <c r="F121" s="2" t="s">
        <v>26</v>
      </c>
      <c r="G121" s="31" t="s">
        <v>423</v>
      </c>
      <c r="H121" s="36">
        <v>12980955.85</v>
      </c>
      <c r="I121" s="40">
        <v>-4164680.67</v>
      </c>
      <c r="M121" s="36">
        <v>954440</v>
      </c>
    </row>
    <row r="122" spans="1:14" x14ac:dyDescent="0.25">
      <c r="A122" s="7" t="s">
        <v>107</v>
      </c>
      <c r="B122" s="8" t="s">
        <v>209</v>
      </c>
      <c r="C122" s="8"/>
      <c r="D122" s="10" t="s">
        <v>415</v>
      </c>
      <c r="E122" s="2" t="s">
        <v>21</v>
      </c>
      <c r="F122" s="2" t="s">
        <v>23</v>
      </c>
      <c r="G122" s="31">
        <v>0.99770000000000003</v>
      </c>
      <c r="H122" s="36">
        <v>23952749.640000001</v>
      </c>
      <c r="I122" s="40">
        <v>-282405.63</v>
      </c>
      <c r="N122" s="36">
        <f>J122-L122-M122</f>
        <v>0</v>
      </c>
    </row>
    <row r="123" spans="1:14" x14ac:dyDescent="0.25">
      <c r="A123" s="7" t="s">
        <v>107</v>
      </c>
      <c r="B123" s="2" t="s">
        <v>210</v>
      </c>
      <c r="D123" s="1" t="s">
        <v>415</v>
      </c>
      <c r="E123" s="2" t="s">
        <v>22</v>
      </c>
      <c r="F123" s="2" t="s">
        <v>26</v>
      </c>
      <c r="G123" s="31">
        <v>0.99976699999999996</v>
      </c>
      <c r="H123" s="36">
        <v>1217292101.8099999</v>
      </c>
      <c r="I123" s="40">
        <v>308324453.74000001</v>
      </c>
      <c r="J123" s="36">
        <v>123301078.59999999</v>
      </c>
    </row>
    <row r="124" spans="1:14" x14ac:dyDescent="0.25">
      <c r="A124" s="7" t="s">
        <v>107</v>
      </c>
      <c r="B124" s="2" t="s">
        <v>211</v>
      </c>
      <c r="D124" s="1" t="s">
        <v>414</v>
      </c>
      <c r="E124" s="2" t="s">
        <v>21</v>
      </c>
      <c r="F124" s="2" t="s">
        <v>65</v>
      </c>
      <c r="G124" s="31">
        <v>1</v>
      </c>
      <c r="H124" s="36">
        <v>43182470.280000001</v>
      </c>
      <c r="I124" s="40">
        <v>31946080.07</v>
      </c>
      <c r="K124" s="36">
        <v>4955.22</v>
      </c>
      <c r="L124" s="36">
        <v>9326086.9299999997</v>
      </c>
      <c r="N124" s="36">
        <f t="shared" ref="N124:N127" si="11">J124-L124-M124</f>
        <v>-9326086.9299999997</v>
      </c>
    </row>
    <row r="125" spans="1:14" x14ac:dyDescent="0.25">
      <c r="A125" s="7" t="s">
        <v>107</v>
      </c>
      <c r="B125" s="2" t="s">
        <v>212</v>
      </c>
      <c r="D125" s="1" t="s">
        <v>415</v>
      </c>
      <c r="E125" s="2" t="s">
        <v>21</v>
      </c>
      <c r="F125" s="2" t="s">
        <v>47</v>
      </c>
      <c r="G125" s="31">
        <v>0.99990000000000001</v>
      </c>
      <c r="H125" s="36">
        <v>3797349.93</v>
      </c>
      <c r="I125" s="40">
        <v>1984250.19</v>
      </c>
      <c r="K125" s="36">
        <v>522707.51</v>
      </c>
      <c r="L125" s="36">
        <v>12611295.779999999</v>
      </c>
      <c r="N125" s="36">
        <f t="shared" si="11"/>
        <v>-12611295.779999999</v>
      </c>
    </row>
    <row r="126" spans="1:14" x14ac:dyDescent="0.25">
      <c r="A126" s="7" t="s">
        <v>107</v>
      </c>
      <c r="B126" s="2" t="s">
        <v>213</v>
      </c>
      <c r="D126" s="1" t="s">
        <v>415</v>
      </c>
      <c r="E126" s="2" t="s">
        <v>21</v>
      </c>
      <c r="F126" s="2" t="s">
        <v>23</v>
      </c>
      <c r="G126" s="31">
        <v>0.99770000000000003</v>
      </c>
      <c r="H126" s="36">
        <v>56584255.280000001</v>
      </c>
      <c r="I126" s="40">
        <v>5324735.5599999996</v>
      </c>
      <c r="K126" s="36">
        <v>118756.21</v>
      </c>
      <c r="L126" s="36">
        <v>4237079.03</v>
      </c>
      <c r="N126" s="36">
        <f t="shared" si="11"/>
        <v>-4237079.03</v>
      </c>
    </row>
    <row r="127" spans="1:14" x14ac:dyDescent="0.25">
      <c r="A127" s="7" t="s">
        <v>107</v>
      </c>
      <c r="B127" s="2" t="s">
        <v>214</v>
      </c>
      <c r="D127" s="1" t="s">
        <v>415</v>
      </c>
      <c r="E127" s="2" t="s">
        <v>21</v>
      </c>
      <c r="F127" s="2" t="s">
        <v>24</v>
      </c>
      <c r="G127" s="31">
        <v>0.99990000000000001</v>
      </c>
      <c r="H127" s="36">
        <v>116044140.92</v>
      </c>
      <c r="I127" s="40">
        <v>13534134.359999999</v>
      </c>
      <c r="K127" s="36">
        <v>621890.07999999996</v>
      </c>
      <c r="L127" s="36">
        <v>72347464.170000002</v>
      </c>
      <c r="N127" s="36">
        <f t="shared" si="11"/>
        <v>-72347464.170000002</v>
      </c>
    </row>
    <row r="128" spans="1:14" x14ac:dyDescent="0.25">
      <c r="A128" s="7" t="s">
        <v>107</v>
      </c>
      <c r="B128" s="2" t="s">
        <v>215</v>
      </c>
      <c r="D128" s="1" t="s">
        <v>415</v>
      </c>
      <c r="E128" s="2" t="s">
        <v>22</v>
      </c>
      <c r="F128" s="2" t="s">
        <v>27</v>
      </c>
      <c r="G128" s="31">
        <v>0.99980000000000002</v>
      </c>
      <c r="H128" s="36">
        <v>379488240.06999999</v>
      </c>
      <c r="I128" s="40">
        <v>-244414753.21000001</v>
      </c>
      <c r="K128" s="36">
        <v>3331544.89</v>
      </c>
      <c r="M128" s="36">
        <v>150117300.06</v>
      </c>
    </row>
    <row r="129" spans="1:14" x14ac:dyDescent="0.25">
      <c r="A129" s="7" t="s">
        <v>107</v>
      </c>
      <c r="B129" s="2" t="s">
        <v>216</v>
      </c>
      <c r="D129" s="1" t="s">
        <v>414</v>
      </c>
      <c r="E129" s="2" t="s">
        <v>21</v>
      </c>
      <c r="F129" s="2" t="s">
        <v>25</v>
      </c>
      <c r="G129" s="31">
        <v>1</v>
      </c>
      <c r="H129" s="36">
        <v>23735738.079999998</v>
      </c>
      <c r="I129" s="40">
        <v>6686976.0499999998</v>
      </c>
      <c r="K129" s="36">
        <v>711616.71</v>
      </c>
      <c r="L129" s="36">
        <v>120279589.23999999</v>
      </c>
      <c r="N129" s="36">
        <f t="shared" ref="N129:N136" si="12">J129-L129-M129</f>
        <v>-120279589.23999999</v>
      </c>
    </row>
    <row r="130" spans="1:14" s="8" customFormat="1" x14ac:dyDescent="0.25">
      <c r="A130" s="9" t="s">
        <v>107</v>
      </c>
      <c r="B130" s="8" t="s">
        <v>217</v>
      </c>
      <c r="D130" s="10" t="s">
        <v>415</v>
      </c>
      <c r="E130" s="8" t="s">
        <v>21</v>
      </c>
      <c r="F130" s="8" t="s">
        <v>28</v>
      </c>
      <c r="G130" s="31">
        <v>0.255</v>
      </c>
      <c r="H130" s="36">
        <v>656000</v>
      </c>
      <c r="I130" s="40">
        <v>1080000</v>
      </c>
      <c r="J130" s="36"/>
      <c r="K130" s="36"/>
      <c r="L130" s="36"/>
      <c r="M130" s="36"/>
      <c r="N130" s="36">
        <f t="shared" si="12"/>
        <v>0</v>
      </c>
    </row>
    <row r="131" spans="1:14" s="8" customFormat="1" x14ac:dyDescent="0.25">
      <c r="A131" s="9" t="s">
        <v>107</v>
      </c>
      <c r="B131" s="8" t="s">
        <v>218</v>
      </c>
      <c r="D131" s="10" t="s">
        <v>414</v>
      </c>
      <c r="E131" s="2" t="s">
        <v>21</v>
      </c>
      <c r="F131" s="8" t="s">
        <v>49</v>
      </c>
      <c r="G131" s="31">
        <v>1</v>
      </c>
      <c r="H131" s="36">
        <v>29776242.68</v>
      </c>
      <c r="I131" s="40">
        <v>-1871041.47</v>
      </c>
      <c r="J131" s="36"/>
      <c r="K131" s="36"/>
      <c r="L131" s="36">
        <v>53863663.200000003</v>
      </c>
      <c r="M131" s="36"/>
      <c r="N131" s="36">
        <f t="shared" si="12"/>
        <v>-53863663.200000003</v>
      </c>
    </row>
    <row r="132" spans="1:14" x14ac:dyDescent="0.25">
      <c r="A132" s="10" t="s">
        <v>108</v>
      </c>
      <c r="B132" s="2" t="s">
        <v>280</v>
      </c>
      <c r="C132" s="2" t="s">
        <v>308</v>
      </c>
      <c r="D132" s="1" t="s">
        <v>415</v>
      </c>
      <c r="E132" s="2" t="s">
        <v>21</v>
      </c>
      <c r="F132" s="2" t="s">
        <v>29</v>
      </c>
      <c r="G132" s="31">
        <v>0.99939999999999996</v>
      </c>
      <c r="H132" s="36">
        <v>8369564.8099999996</v>
      </c>
      <c r="I132" s="40">
        <v>-34661556.659999996</v>
      </c>
      <c r="N132" s="36">
        <f t="shared" si="12"/>
        <v>0</v>
      </c>
    </row>
    <row r="133" spans="1:14" x14ac:dyDescent="0.25">
      <c r="A133" s="10" t="s">
        <v>108</v>
      </c>
      <c r="B133" s="2" t="s">
        <v>281</v>
      </c>
      <c r="C133" s="2" t="s">
        <v>310</v>
      </c>
      <c r="D133" s="1" t="s">
        <v>415</v>
      </c>
      <c r="E133" s="2" t="s">
        <v>21</v>
      </c>
      <c r="F133" s="2" t="s">
        <v>23</v>
      </c>
      <c r="G133" s="31">
        <v>0.81730000000000003</v>
      </c>
      <c r="H133" s="36">
        <v>12968677.51</v>
      </c>
      <c r="I133" s="40">
        <v>-256978.77</v>
      </c>
      <c r="N133" s="36">
        <f t="shared" si="12"/>
        <v>0</v>
      </c>
    </row>
    <row r="134" spans="1:14" x14ac:dyDescent="0.25">
      <c r="A134" s="10" t="s">
        <v>108</v>
      </c>
      <c r="B134" s="2" t="s">
        <v>282</v>
      </c>
      <c r="C134" s="2" t="s">
        <v>313</v>
      </c>
      <c r="D134" s="1" t="s">
        <v>415</v>
      </c>
      <c r="E134" s="8" t="s">
        <v>21</v>
      </c>
      <c r="F134" s="2" t="s">
        <v>29</v>
      </c>
      <c r="G134" s="31" t="s">
        <v>423</v>
      </c>
      <c r="I134" s="40"/>
      <c r="N134" s="36">
        <f t="shared" si="12"/>
        <v>0</v>
      </c>
    </row>
    <row r="135" spans="1:14" x14ac:dyDescent="0.25">
      <c r="A135" s="10" t="s">
        <v>108</v>
      </c>
      <c r="B135" s="2" t="s">
        <v>283</v>
      </c>
      <c r="C135" s="2" t="s">
        <v>311</v>
      </c>
      <c r="D135" s="2" t="s">
        <v>349</v>
      </c>
      <c r="E135" s="8" t="s">
        <v>349</v>
      </c>
      <c r="F135" s="2" t="s">
        <v>29</v>
      </c>
      <c r="G135" s="31" t="s">
        <v>423</v>
      </c>
      <c r="H135" s="36">
        <v>48597738.68</v>
      </c>
      <c r="I135" s="40">
        <v>2883680.63</v>
      </c>
      <c r="N135" s="36">
        <f t="shared" si="12"/>
        <v>0</v>
      </c>
    </row>
    <row r="136" spans="1:14" x14ac:dyDescent="0.25">
      <c r="A136" s="10" t="s">
        <v>108</v>
      </c>
      <c r="B136" s="2" t="s">
        <v>317</v>
      </c>
      <c r="C136" s="2" t="s">
        <v>315</v>
      </c>
      <c r="D136" s="1" t="s">
        <v>414</v>
      </c>
      <c r="E136" s="8" t="s">
        <v>21</v>
      </c>
      <c r="F136" s="2" t="s">
        <v>47</v>
      </c>
      <c r="G136" s="31">
        <v>1</v>
      </c>
      <c r="H136" s="36">
        <v>-11858124.710000001</v>
      </c>
      <c r="I136" s="40">
        <v>-2256835.25</v>
      </c>
      <c r="N136" s="36">
        <f t="shared" si="12"/>
        <v>0</v>
      </c>
    </row>
    <row r="137" spans="1:14" x14ac:dyDescent="0.25">
      <c r="A137" s="10" t="s">
        <v>108</v>
      </c>
      <c r="B137" s="2" t="s">
        <v>284</v>
      </c>
      <c r="C137" s="2" t="s">
        <v>314</v>
      </c>
      <c r="D137" s="1" t="s">
        <v>415</v>
      </c>
      <c r="E137" s="8" t="s">
        <v>22</v>
      </c>
      <c r="F137" s="2" t="s">
        <v>49</v>
      </c>
      <c r="G137" s="31" t="s">
        <v>423</v>
      </c>
      <c r="H137" s="36">
        <v>7508717.0499999998</v>
      </c>
      <c r="I137" s="42">
        <v>2564198.79</v>
      </c>
    </row>
    <row r="138" spans="1:14" x14ac:dyDescent="0.25">
      <c r="A138" s="10" t="s">
        <v>108</v>
      </c>
      <c r="B138" s="30" t="s">
        <v>285</v>
      </c>
      <c r="C138" s="2" t="s">
        <v>316</v>
      </c>
      <c r="D138" s="1" t="s">
        <v>415</v>
      </c>
      <c r="E138" s="8" t="s">
        <v>21</v>
      </c>
      <c r="F138" s="2" t="s">
        <v>28</v>
      </c>
      <c r="G138" s="31">
        <v>0.17</v>
      </c>
      <c r="H138" s="36">
        <v>68954000</v>
      </c>
      <c r="I138" s="42">
        <v>11236000</v>
      </c>
      <c r="N138" s="36">
        <f>J138-L138-M138</f>
        <v>0</v>
      </c>
    </row>
    <row r="139" spans="1:14" x14ac:dyDescent="0.25">
      <c r="A139" s="10" t="s">
        <v>108</v>
      </c>
      <c r="B139" s="2" t="s">
        <v>286</v>
      </c>
      <c r="C139" s="2" t="s">
        <v>309</v>
      </c>
      <c r="D139" s="1" t="s">
        <v>415</v>
      </c>
      <c r="E139" s="8" t="s">
        <v>22</v>
      </c>
      <c r="F139" s="2" t="s">
        <v>223</v>
      </c>
      <c r="G139" s="31" t="s">
        <v>423</v>
      </c>
      <c r="H139" s="36">
        <v>21309325.030000001</v>
      </c>
      <c r="I139" s="40">
        <v>425374.14</v>
      </c>
    </row>
    <row r="140" spans="1:14" x14ac:dyDescent="0.25">
      <c r="A140" s="10" t="s">
        <v>108</v>
      </c>
      <c r="B140" s="2" t="s">
        <v>287</v>
      </c>
      <c r="C140" s="2" t="s">
        <v>312</v>
      </c>
      <c r="D140" s="1" t="s">
        <v>419</v>
      </c>
      <c r="E140" s="8" t="s">
        <v>22</v>
      </c>
      <c r="F140" s="2" t="s">
        <v>27</v>
      </c>
      <c r="G140" s="31">
        <v>0.99950000000000006</v>
      </c>
      <c r="H140" s="36">
        <v>896626000</v>
      </c>
      <c r="I140" s="40">
        <v>109838000</v>
      </c>
    </row>
    <row r="141" spans="1:14" x14ac:dyDescent="0.25">
      <c r="A141" s="1" t="s">
        <v>109</v>
      </c>
      <c r="B141" s="2" t="s">
        <v>110</v>
      </c>
      <c r="D141" s="1" t="s">
        <v>415</v>
      </c>
      <c r="E141" s="2" t="s">
        <v>21</v>
      </c>
      <c r="F141" s="2" t="s">
        <v>275</v>
      </c>
      <c r="G141" s="31">
        <v>0.99</v>
      </c>
      <c r="H141" s="36">
        <v>53467395</v>
      </c>
      <c r="I141" s="40">
        <v>-3145904</v>
      </c>
      <c r="K141" s="36">
        <v>1675033.97</v>
      </c>
      <c r="L141" s="36">
        <v>54479571.460000001</v>
      </c>
      <c r="N141" s="36">
        <f t="shared" ref="N141:N147" si="13">J141-L141-M141</f>
        <v>-54479571.460000001</v>
      </c>
    </row>
    <row r="142" spans="1:14" x14ac:dyDescent="0.25">
      <c r="A142" s="1" t="s">
        <v>109</v>
      </c>
      <c r="B142" s="2" t="s">
        <v>111</v>
      </c>
      <c r="D142" s="1" t="s">
        <v>414</v>
      </c>
      <c r="E142" s="2" t="s">
        <v>21</v>
      </c>
      <c r="F142" s="2" t="s">
        <v>65</v>
      </c>
      <c r="G142" s="31">
        <v>0.57999999999999996</v>
      </c>
      <c r="H142" s="36">
        <v>-142418829</v>
      </c>
      <c r="I142" s="40">
        <v>-31152109</v>
      </c>
      <c r="K142" s="36">
        <v>202799734</v>
      </c>
      <c r="L142" s="36">
        <v>166248003</v>
      </c>
      <c r="N142" s="36">
        <f t="shared" si="13"/>
        <v>-166248003</v>
      </c>
    </row>
    <row r="143" spans="1:14" x14ac:dyDescent="0.25">
      <c r="A143" s="1" t="s">
        <v>109</v>
      </c>
      <c r="B143" s="2" t="s">
        <v>112</v>
      </c>
      <c r="D143" s="1" t="s">
        <v>414</v>
      </c>
      <c r="E143" s="2" t="s">
        <v>21</v>
      </c>
      <c r="F143" s="2" t="s">
        <v>31</v>
      </c>
      <c r="G143" s="31">
        <v>1</v>
      </c>
      <c r="H143" s="36">
        <v>5498589</v>
      </c>
      <c r="I143" s="40">
        <v>1655960</v>
      </c>
      <c r="K143" s="36">
        <v>240313</v>
      </c>
      <c r="L143" s="36">
        <v>4600054</v>
      </c>
      <c r="N143" s="36">
        <f t="shared" si="13"/>
        <v>-4600054</v>
      </c>
    </row>
    <row r="144" spans="1:14" x14ac:dyDescent="0.25">
      <c r="A144" s="1" t="s">
        <v>109</v>
      </c>
      <c r="B144" s="2" t="s">
        <v>113</v>
      </c>
      <c r="D144" s="1" t="s">
        <v>414</v>
      </c>
      <c r="E144" s="2" t="s">
        <v>21</v>
      </c>
      <c r="F144" s="2" t="s">
        <v>24</v>
      </c>
      <c r="G144" s="31">
        <v>1</v>
      </c>
      <c r="H144" s="36">
        <v>40683186</v>
      </c>
      <c r="I144" s="40">
        <v>-7747883</v>
      </c>
      <c r="K144" s="36">
        <v>37504179</v>
      </c>
      <c r="L144" s="36">
        <v>96473246</v>
      </c>
      <c r="N144" s="36">
        <f t="shared" si="13"/>
        <v>-96473246</v>
      </c>
    </row>
    <row r="145" spans="1:14" x14ac:dyDescent="0.25">
      <c r="A145" s="1" t="s">
        <v>109</v>
      </c>
      <c r="B145" s="2" t="s">
        <v>114</v>
      </c>
      <c r="D145" s="1" t="s">
        <v>415</v>
      </c>
      <c r="E145" s="2" t="s">
        <v>21</v>
      </c>
      <c r="F145" s="2" t="s">
        <v>29</v>
      </c>
      <c r="G145" s="31">
        <v>0.68010000000000004</v>
      </c>
      <c r="H145" s="36">
        <v>170941929</v>
      </c>
      <c r="I145" s="40">
        <v>4718163</v>
      </c>
      <c r="K145" s="36" t="s">
        <v>125</v>
      </c>
      <c r="L145" s="36">
        <v>73291133</v>
      </c>
      <c r="N145" s="36">
        <f t="shared" si="13"/>
        <v>-73291133</v>
      </c>
    </row>
    <row r="146" spans="1:14" x14ac:dyDescent="0.25">
      <c r="A146" s="1" t="s">
        <v>109</v>
      </c>
      <c r="B146" s="2" t="s">
        <v>115</v>
      </c>
      <c r="D146" s="1" t="s">
        <v>414</v>
      </c>
      <c r="E146" s="2" t="s">
        <v>21</v>
      </c>
      <c r="F146" s="2" t="s">
        <v>65</v>
      </c>
      <c r="G146" s="31">
        <v>1</v>
      </c>
      <c r="H146" s="36">
        <v>1387538</v>
      </c>
      <c r="I146" s="40">
        <v>858513</v>
      </c>
      <c r="K146" s="36" t="s">
        <v>125</v>
      </c>
      <c r="L146" s="36">
        <v>2386838</v>
      </c>
      <c r="N146" s="36">
        <f t="shared" si="13"/>
        <v>-2386838</v>
      </c>
    </row>
    <row r="147" spans="1:14" x14ac:dyDescent="0.25">
      <c r="A147" s="1" t="s">
        <v>109</v>
      </c>
      <c r="B147" s="2" t="s">
        <v>116</v>
      </c>
      <c r="D147" s="1" t="s">
        <v>415</v>
      </c>
      <c r="E147" s="2" t="s">
        <v>21</v>
      </c>
      <c r="F147" s="2" t="s">
        <v>29</v>
      </c>
      <c r="G147" s="31">
        <v>0.98</v>
      </c>
      <c r="H147" s="36">
        <v>-354813900</v>
      </c>
      <c r="I147" s="40">
        <v>-214520810</v>
      </c>
      <c r="K147" s="36">
        <v>88938382</v>
      </c>
      <c r="L147" s="36">
        <v>88806024</v>
      </c>
      <c r="M147" s="36">
        <v>20453416</v>
      </c>
      <c r="N147" s="36">
        <f t="shared" si="13"/>
        <v>-109259440</v>
      </c>
    </row>
    <row r="148" spans="1:14" x14ac:dyDescent="0.25">
      <c r="A148" s="1" t="s">
        <v>109</v>
      </c>
      <c r="B148" s="2" t="s">
        <v>117</v>
      </c>
      <c r="D148" s="1" t="s">
        <v>415</v>
      </c>
      <c r="E148" s="2" t="s">
        <v>22</v>
      </c>
      <c r="F148" s="2" t="s">
        <v>26</v>
      </c>
      <c r="G148" s="31">
        <v>0.99</v>
      </c>
      <c r="H148" s="36">
        <v>48345000</v>
      </c>
      <c r="I148" s="40">
        <v>-384000</v>
      </c>
      <c r="M148" s="36" t="s">
        <v>125</v>
      </c>
    </row>
    <row r="149" spans="1:14" x14ac:dyDescent="0.25">
      <c r="A149" s="1" t="s">
        <v>109</v>
      </c>
      <c r="B149" s="2" t="s">
        <v>118</v>
      </c>
      <c r="D149" s="1" t="s">
        <v>415</v>
      </c>
      <c r="E149" s="2" t="s">
        <v>22</v>
      </c>
      <c r="F149" s="2" t="s">
        <v>31</v>
      </c>
      <c r="G149" s="31">
        <v>1</v>
      </c>
      <c r="H149" s="36">
        <v>65229547</v>
      </c>
      <c r="I149" s="40">
        <v>-6082458</v>
      </c>
      <c r="M149" s="36" t="s">
        <v>125</v>
      </c>
    </row>
    <row r="150" spans="1:14" x14ac:dyDescent="0.25">
      <c r="A150" s="1" t="s">
        <v>109</v>
      </c>
      <c r="B150" s="2" t="s">
        <v>119</v>
      </c>
      <c r="D150" s="1" t="s">
        <v>415</v>
      </c>
      <c r="E150" s="2" t="s">
        <v>22</v>
      </c>
      <c r="F150" s="2" t="s">
        <v>27</v>
      </c>
      <c r="G150" s="31">
        <v>0.99939999999999996</v>
      </c>
      <c r="H150" s="36">
        <v>5658384825.4899998</v>
      </c>
      <c r="I150" s="40">
        <v>194227636.91999999</v>
      </c>
      <c r="M150" s="36">
        <v>513906733.42000002</v>
      </c>
    </row>
    <row r="151" spans="1:14" x14ac:dyDescent="0.25">
      <c r="A151" s="1" t="s">
        <v>109</v>
      </c>
      <c r="B151" s="2" t="s">
        <v>120</v>
      </c>
      <c r="D151" s="1" t="s">
        <v>415</v>
      </c>
      <c r="E151" s="2" t="s">
        <v>22</v>
      </c>
      <c r="F151" s="2" t="s">
        <v>29</v>
      </c>
      <c r="G151" s="31">
        <v>0.95899999999999996</v>
      </c>
      <c r="H151" s="36">
        <v>110350557</v>
      </c>
      <c r="I151" s="40">
        <v>7646492.1200000001</v>
      </c>
      <c r="M151" s="36" t="s">
        <v>125</v>
      </c>
    </row>
    <row r="152" spans="1:14" x14ac:dyDescent="0.25">
      <c r="A152" s="1" t="s">
        <v>109</v>
      </c>
      <c r="B152" s="2" t="s">
        <v>121</v>
      </c>
      <c r="D152" s="1" t="s">
        <v>414</v>
      </c>
      <c r="E152" s="2" t="s">
        <v>22</v>
      </c>
      <c r="F152" s="2" t="s">
        <v>223</v>
      </c>
      <c r="G152" s="31">
        <v>1</v>
      </c>
      <c r="H152" s="36">
        <v>3100209000</v>
      </c>
      <c r="I152" s="40">
        <v>36718000</v>
      </c>
      <c r="M152" s="36">
        <v>3170000</v>
      </c>
    </row>
    <row r="153" spans="1:14" x14ac:dyDescent="0.25">
      <c r="A153" s="1" t="s">
        <v>109</v>
      </c>
      <c r="B153" s="2" t="s">
        <v>122</v>
      </c>
      <c r="D153" s="1" t="s">
        <v>415</v>
      </c>
      <c r="E153" s="2" t="s">
        <v>22</v>
      </c>
      <c r="F153" s="2" t="s">
        <v>23</v>
      </c>
      <c r="G153" s="31">
        <v>0.99880000000000002</v>
      </c>
      <c r="H153" s="36">
        <v>180811373</v>
      </c>
      <c r="I153" s="40">
        <v>2621588</v>
      </c>
      <c r="M153" s="36" t="s">
        <v>125</v>
      </c>
    </row>
    <row r="154" spans="1:14" x14ac:dyDescent="0.25">
      <c r="A154" s="1" t="s">
        <v>109</v>
      </c>
      <c r="B154" s="2" t="s">
        <v>123</v>
      </c>
      <c r="D154" s="1" t="s">
        <v>415</v>
      </c>
      <c r="E154" s="2" t="s">
        <v>22</v>
      </c>
      <c r="F154" s="2" t="s">
        <v>66</v>
      </c>
      <c r="G154" s="31">
        <v>0.17</v>
      </c>
      <c r="H154" s="36">
        <v>282092540</v>
      </c>
      <c r="I154" s="40">
        <v>81625590</v>
      </c>
      <c r="J154" s="36">
        <v>9484633.5299999993</v>
      </c>
      <c r="M154" s="36">
        <v>2362872.48</v>
      </c>
    </row>
    <row r="155" spans="1:14" x14ac:dyDescent="0.25">
      <c r="A155" s="1" t="s">
        <v>109</v>
      </c>
      <c r="B155" s="2" t="s">
        <v>124</v>
      </c>
      <c r="D155" s="1" t="s">
        <v>415</v>
      </c>
      <c r="E155" s="2" t="s">
        <v>22</v>
      </c>
      <c r="F155" s="2" t="s">
        <v>223</v>
      </c>
      <c r="G155" s="31">
        <v>0.99990000000000001</v>
      </c>
      <c r="H155" s="36">
        <v>43354306</v>
      </c>
      <c r="I155" s="40">
        <v>-24589173</v>
      </c>
      <c r="M155" s="36">
        <v>2450000</v>
      </c>
    </row>
    <row r="156" spans="1:14" x14ac:dyDescent="0.25">
      <c r="A156" s="10" t="s">
        <v>126</v>
      </c>
      <c r="B156" s="30" t="s">
        <v>288</v>
      </c>
      <c r="C156" s="2" t="s">
        <v>307</v>
      </c>
      <c r="D156" s="1" t="s">
        <v>414</v>
      </c>
      <c r="E156" s="2" t="s">
        <v>349</v>
      </c>
      <c r="F156" s="2" t="s">
        <v>28</v>
      </c>
      <c r="G156" s="31" t="s">
        <v>423</v>
      </c>
      <c r="I156" s="40"/>
    </row>
    <row r="157" spans="1:14" x14ac:dyDescent="0.25">
      <c r="A157" s="10" t="s">
        <v>126</v>
      </c>
      <c r="B157" s="15" t="s">
        <v>306</v>
      </c>
      <c r="C157" s="2" t="s">
        <v>299</v>
      </c>
      <c r="D157" s="1" t="s">
        <v>414</v>
      </c>
      <c r="E157" s="2" t="s">
        <v>349</v>
      </c>
      <c r="F157" s="2" t="s">
        <v>66</v>
      </c>
      <c r="G157" s="31" t="s">
        <v>423</v>
      </c>
      <c r="H157" s="36">
        <v>-852906000</v>
      </c>
      <c r="I157" s="40">
        <v>-70626000</v>
      </c>
    </row>
    <row r="158" spans="1:14" x14ac:dyDescent="0.25">
      <c r="A158" s="10" t="s">
        <v>126</v>
      </c>
      <c r="B158" s="11" t="s">
        <v>290</v>
      </c>
      <c r="C158" s="2" t="s">
        <v>300</v>
      </c>
      <c r="D158" s="1" t="s">
        <v>414</v>
      </c>
      <c r="E158" s="2" t="s">
        <v>349</v>
      </c>
      <c r="F158" s="2" t="s">
        <v>27</v>
      </c>
      <c r="G158" s="31" t="s">
        <v>423</v>
      </c>
      <c r="I158" s="40"/>
    </row>
    <row r="159" spans="1:14" x14ac:dyDescent="0.25">
      <c r="A159" s="10" t="s">
        <v>126</v>
      </c>
      <c r="B159" s="11" t="s">
        <v>289</v>
      </c>
      <c r="C159" s="2" t="s">
        <v>301</v>
      </c>
      <c r="D159" s="2" t="s">
        <v>349</v>
      </c>
      <c r="E159" s="2" t="s">
        <v>349</v>
      </c>
      <c r="F159" s="2" t="s">
        <v>23</v>
      </c>
      <c r="G159" s="31">
        <v>0.99980000000000002</v>
      </c>
      <c r="H159" s="36">
        <v>15002400</v>
      </c>
      <c r="I159" s="40">
        <v>-1680</v>
      </c>
    </row>
    <row r="160" spans="1:14" x14ac:dyDescent="0.25">
      <c r="A160" s="10" t="s">
        <v>126</v>
      </c>
      <c r="B160" s="2" t="s">
        <v>291</v>
      </c>
      <c r="C160" s="2" t="s">
        <v>345</v>
      </c>
      <c r="D160" s="2" t="s">
        <v>349</v>
      </c>
      <c r="E160" s="2" t="s">
        <v>349</v>
      </c>
      <c r="F160" s="2" t="s">
        <v>29</v>
      </c>
      <c r="G160" s="31" t="s">
        <v>423</v>
      </c>
      <c r="I160" s="40"/>
    </row>
    <row r="161" spans="1:14" x14ac:dyDescent="0.25">
      <c r="A161" s="10" t="s">
        <v>126</v>
      </c>
      <c r="B161" s="2" t="s">
        <v>302</v>
      </c>
      <c r="C161" s="2" t="s">
        <v>303</v>
      </c>
      <c r="D161" s="2" t="s">
        <v>349</v>
      </c>
      <c r="E161" s="2" t="s">
        <v>349</v>
      </c>
      <c r="F161" s="2" t="s">
        <v>29</v>
      </c>
      <c r="G161" s="31" t="s">
        <v>423</v>
      </c>
      <c r="I161" s="40"/>
    </row>
    <row r="162" spans="1:14" x14ac:dyDescent="0.25">
      <c r="A162" s="10" t="s">
        <v>126</v>
      </c>
      <c r="B162" s="11" t="s">
        <v>304</v>
      </c>
      <c r="C162" s="2" t="s">
        <v>305</v>
      </c>
      <c r="D162" s="1" t="s">
        <v>414</v>
      </c>
      <c r="E162" s="2" t="s">
        <v>349</v>
      </c>
      <c r="F162" s="2" t="s">
        <v>65</v>
      </c>
      <c r="G162" s="31" t="s">
        <v>423</v>
      </c>
      <c r="I162" s="40"/>
    </row>
    <row r="163" spans="1:14" x14ac:dyDescent="0.25">
      <c r="A163" s="10" t="s">
        <v>126</v>
      </c>
      <c r="B163" s="11" t="s">
        <v>344</v>
      </c>
      <c r="C163" s="2" t="s">
        <v>346</v>
      </c>
      <c r="D163" s="2" t="s">
        <v>349</v>
      </c>
      <c r="E163" s="2" t="s">
        <v>349</v>
      </c>
      <c r="F163" s="2" t="s">
        <v>402</v>
      </c>
      <c r="G163" s="31" t="s">
        <v>423</v>
      </c>
      <c r="I163" s="40"/>
    </row>
    <row r="164" spans="1:14" x14ac:dyDescent="0.25">
      <c r="A164" s="10" t="s">
        <v>126</v>
      </c>
      <c r="B164" s="11" t="s">
        <v>347</v>
      </c>
      <c r="C164" s="2" t="s">
        <v>348</v>
      </c>
      <c r="D164" s="1" t="s">
        <v>414</v>
      </c>
      <c r="E164" s="2" t="s">
        <v>349</v>
      </c>
      <c r="F164" s="2" t="s">
        <v>24</v>
      </c>
      <c r="G164" s="31" t="s">
        <v>423</v>
      </c>
      <c r="I164" s="40"/>
    </row>
    <row r="165" spans="1:14" x14ac:dyDescent="0.25">
      <c r="A165" s="1" t="s">
        <v>127</v>
      </c>
      <c r="B165" s="2" t="s">
        <v>128</v>
      </c>
      <c r="D165" s="1" t="s">
        <v>415</v>
      </c>
      <c r="E165" s="2" t="s">
        <v>22</v>
      </c>
      <c r="F165" s="2" t="s">
        <v>47</v>
      </c>
      <c r="G165" s="31">
        <v>0.84733695200000003</v>
      </c>
      <c r="H165" s="36">
        <v>-56064346</v>
      </c>
      <c r="I165" s="40">
        <v>-14400312</v>
      </c>
      <c r="J165" s="36">
        <v>0</v>
      </c>
      <c r="L165" s="36">
        <v>0</v>
      </c>
      <c r="M165" s="36">
        <v>0</v>
      </c>
    </row>
    <row r="166" spans="1:14" x14ac:dyDescent="0.25">
      <c r="A166" s="1" t="s">
        <v>127</v>
      </c>
      <c r="B166" s="2" t="s">
        <v>129</v>
      </c>
      <c r="D166" s="1" t="s">
        <v>415</v>
      </c>
      <c r="E166" s="2" t="s">
        <v>22</v>
      </c>
      <c r="F166" s="2" t="s">
        <v>27</v>
      </c>
      <c r="G166" s="31">
        <v>0.2</v>
      </c>
      <c r="H166" s="36">
        <v>5717188</v>
      </c>
      <c r="I166" s="40">
        <v>892487</v>
      </c>
      <c r="J166" s="36">
        <v>79597</v>
      </c>
    </row>
    <row r="167" spans="1:14" x14ac:dyDescent="0.25">
      <c r="A167" s="1" t="s">
        <v>127</v>
      </c>
      <c r="B167" s="2" t="s">
        <v>130</v>
      </c>
      <c r="D167" s="1" t="s">
        <v>414</v>
      </c>
      <c r="E167" s="2" t="s">
        <v>22</v>
      </c>
      <c r="F167" s="2" t="s">
        <v>24</v>
      </c>
      <c r="G167" s="31">
        <v>1</v>
      </c>
      <c r="H167" s="36">
        <v>474606420</v>
      </c>
      <c r="I167" s="40">
        <v>81959668</v>
      </c>
      <c r="J167" s="36">
        <v>0</v>
      </c>
      <c r="L167" s="36">
        <v>0</v>
      </c>
      <c r="M167" s="36">
        <v>0</v>
      </c>
    </row>
    <row r="168" spans="1:14" x14ac:dyDescent="0.25">
      <c r="A168" s="1" t="s">
        <v>127</v>
      </c>
      <c r="B168" s="2" t="s">
        <v>131</v>
      </c>
      <c r="D168" s="1" t="s">
        <v>415</v>
      </c>
      <c r="E168" s="2" t="s">
        <v>22</v>
      </c>
      <c r="F168" s="2" t="s">
        <v>49</v>
      </c>
      <c r="G168" s="31">
        <v>0.94697500000000001</v>
      </c>
      <c r="H168" s="36">
        <v>128296329</v>
      </c>
      <c r="I168" s="40">
        <v>12446</v>
      </c>
      <c r="J168" s="36">
        <v>2078756.2000000002</v>
      </c>
      <c r="L168" s="36">
        <v>0</v>
      </c>
      <c r="M168" s="36">
        <v>0</v>
      </c>
    </row>
    <row r="169" spans="1:14" x14ac:dyDescent="0.25">
      <c r="A169" s="1" t="s">
        <v>127</v>
      </c>
      <c r="B169" s="2" t="s">
        <v>132</v>
      </c>
      <c r="D169" s="1" t="s">
        <v>415</v>
      </c>
      <c r="E169" s="2" t="s">
        <v>22</v>
      </c>
      <c r="F169" s="2" t="s">
        <v>65</v>
      </c>
      <c r="G169" s="31">
        <v>0.79679999999999995</v>
      </c>
      <c r="H169" s="36">
        <v>275598642</v>
      </c>
      <c r="I169" s="40">
        <v>-13692424</v>
      </c>
      <c r="M169" s="36">
        <v>8000000</v>
      </c>
    </row>
    <row r="170" spans="1:14" x14ac:dyDescent="0.25">
      <c r="A170" s="1" t="s">
        <v>127</v>
      </c>
      <c r="B170" s="2" t="s">
        <v>133</v>
      </c>
      <c r="D170" s="1" t="s">
        <v>415</v>
      </c>
      <c r="E170" s="2" t="s">
        <v>22</v>
      </c>
      <c r="F170" s="2" t="s">
        <v>66</v>
      </c>
      <c r="G170" s="31">
        <v>0.31069999999999998</v>
      </c>
      <c r="H170" s="36">
        <v>16032925</v>
      </c>
      <c r="I170" s="40">
        <v>1444004</v>
      </c>
      <c r="J170" s="36">
        <v>112195550.97</v>
      </c>
    </row>
    <row r="171" spans="1:14" x14ac:dyDescent="0.25">
      <c r="A171" s="1" t="s">
        <v>127</v>
      </c>
      <c r="B171" s="2" t="s">
        <v>134</v>
      </c>
      <c r="D171" s="1" t="s">
        <v>415</v>
      </c>
      <c r="E171" s="2" t="s">
        <v>22</v>
      </c>
      <c r="F171" s="2" t="s">
        <v>47</v>
      </c>
      <c r="G171" s="31">
        <v>0.99</v>
      </c>
      <c r="H171" s="36">
        <v>125872096</v>
      </c>
      <c r="I171" s="40">
        <v>3428478</v>
      </c>
    </row>
    <row r="172" spans="1:14" x14ac:dyDescent="0.25">
      <c r="A172" s="1" t="s">
        <v>127</v>
      </c>
      <c r="B172" s="2" t="s">
        <v>135</v>
      </c>
      <c r="D172" s="1" t="s">
        <v>414</v>
      </c>
      <c r="E172" s="2" t="s">
        <v>22</v>
      </c>
      <c r="F172" s="2" t="s">
        <v>138</v>
      </c>
      <c r="G172" s="31">
        <v>1</v>
      </c>
      <c r="H172" s="36">
        <v>-43968015</v>
      </c>
      <c r="I172" s="40">
        <v>-164684068</v>
      </c>
      <c r="L172" s="36">
        <v>0</v>
      </c>
    </row>
    <row r="173" spans="1:14" x14ac:dyDescent="0.25">
      <c r="A173" s="1" t="s">
        <v>127</v>
      </c>
      <c r="B173" s="2" t="s">
        <v>136</v>
      </c>
      <c r="D173" s="1" t="s">
        <v>415</v>
      </c>
      <c r="E173" s="2" t="s">
        <v>22</v>
      </c>
      <c r="F173" s="2" t="s">
        <v>275</v>
      </c>
      <c r="G173" s="31">
        <v>0.99990000000000001</v>
      </c>
      <c r="H173" s="36">
        <v>1205662930</v>
      </c>
      <c r="I173" s="40">
        <v>-4307548</v>
      </c>
      <c r="L173" s="36">
        <v>88852712</v>
      </c>
      <c r="M173" s="36">
        <v>122887545</v>
      </c>
    </row>
    <row r="174" spans="1:14" x14ac:dyDescent="0.25">
      <c r="A174" s="1" t="s">
        <v>127</v>
      </c>
      <c r="B174" s="2" t="s">
        <v>137</v>
      </c>
      <c r="D174" s="1" t="s">
        <v>415</v>
      </c>
      <c r="E174" s="2" t="s">
        <v>22</v>
      </c>
      <c r="F174" s="2" t="s">
        <v>26</v>
      </c>
      <c r="G174" s="31">
        <v>0.99980000000000002</v>
      </c>
      <c r="H174" s="36">
        <v>1646518701</v>
      </c>
      <c r="I174" s="40">
        <v>77942235</v>
      </c>
      <c r="M174" s="36">
        <v>78409000</v>
      </c>
    </row>
    <row r="175" spans="1:14" x14ac:dyDescent="0.25">
      <c r="A175" s="1" t="s">
        <v>149</v>
      </c>
      <c r="B175" s="2" t="s">
        <v>139</v>
      </c>
      <c r="D175" s="1" t="s">
        <v>415</v>
      </c>
      <c r="E175" s="2" t="s">
        <v>21</v>
      </c>
      <c r="F175" s="2" t="s">
        <v>65</v>
      </c>
      <c r="G175" s="31">
        <v>0.92259999999999998</v>
      </c>
      <c r="H175" s="36">
        <v>807298752.57000005</v>
      </c>
      <c r="I175" s="40">
        <v>-79700862.549999997</v>
      </c>
      <c r="K175" s="36">
        <v>1520639140.95</v>
      </c>
      <c r="L175" s="36">
        <v>118471548</v>
      </c>
      <c r="M175" s="36">
        <v>0</v>
      </c>
      <c r="N175" s="36">
        <f t="shared" ref="N175:N190" si="14">J175-L175-M175</f>
        <v>-118471548</v>
      </c>
    </row>
    <row r="176" spans="1:14" x14ac:dyDescent="0.25">
      <c r="A176" s="1" t="s">
        <v>149</v>
      </c>
      <c r="B176" s="2" t="s">
        <v>140</v>
      </c>
      <c r="D176" s="1" t="s">
        <v>414</v>
      </c>
      <c r="E176" s="2" t="s">
        <v>21</v>
      </c>
      <c r="F176" s="2" t="s">
        <v>29</v>
      </c>
      <c r="G176" s="31" t="s">
        <v>423</v>
      </c>
      <c r="H176" s="36">
        <v>-301434356</v>
      </c>
      <c r="I176" s="40">
        <v>-235573</v>
      </c>
      <c r="L176" s="36">
        <v>12098120</v>
      </c>
      <c r="N176" s="36">
        <f t="shared" si="14"/>
        <v>-12098120</v>
      </c>
    </row>
    <row r="177" spans="1:14" x14ac:dyDescent="0.25">
      <c r="A177" s="1" t="s">
        <v>149</v>
      </c>
      <c r="B177" s="2" t="s">
        <v>141</v>
      </c>
      <c r="D177" s="1" t="s">
        <v>414</v>
      </c>
      <c r="E177" s="2" t="s">
        <v>21</v>
      </c>
      <c r="F177" s="2" t="s">
        <v>138</v>
      </c>
      <c r="G177" s="31">
        <v>1</v>
      </c>
      <c r="H177" s="36">
        <v>-8511309.0299999993</v>
      </c>
      <c r="I177" s="40">
        <v>-9253300.8599999994</v>
      </c>
      <c r="K177" s="36">
        <v>29959277.760000002</v>
      </c>
      <c r="L177" s="36">
        <v>37636867.840000004</v>
      </c>
      <c r="N177" s="36">
        <f t="shared" si="14"/>
        <v>-37636867.840000004</v>
      </c>
    </row>
    <row r="178" spans="1:14" x14ac:dyDescent="0.25">
      <c r="A178" s="1" t="s">
        <v>149</v>
      </c>
      <c r="B178" s="2" t="s">
        <v>142</v>
      </c>
      <c r="D178" s="1" t="s">
        <v>414</v>
      </c>
      <c r="E178" s="2" t="s">
        <v>21</v>
      </c>
      <c r="F178" s="2" t="s">
        <v>25</v>
      </c>
      <c r="G178" s="31">
        <v>0.998475</v>
      </c>
      <c r="H178" s="36">
        <v>607497.26</v>
      </c>
      <c r="I178" s="40">
        <v>-166386.44</v>
      </c>
      <c r="K178" s="36">
        <v>55539425.899999999</v>
      </c>
      <c r="L178" s="36">
        <v>88363972.459999993</v>
      </c>
      <c r="M178" s="36">
        <v>0</v>
      </c>
      <c r="N178" s="36">
        <f t="shared" si="14"/>
        <v>-88363972.459999993</v>
      </c>
    </row>
    <row r="179" spans="1:14" x14ac:dyDescent="0.25">
      <c r="A179" s="1" t="s">
        <v>149</v>
      </c>
      <c r="B179" s="2" t="s">
        <v>143</v>
      </c>
      <c r="D179" s="1" t="s">
        <v>415</v>
      </c>
      <c r="E179" s="2" t="s">
        <v>21</v>
      </c>
      <c r="F179" s="2" t="s">
        <v>23</v>
      </c>
      <c r="G179" s="31">
        <v>0.99998756899999997</v>
      </c>
      <c r="H179" s="36">
        <v>44573553.439999998</v>
      </c>
      <c r="I179" s="40">
        <v>12640359.91</v>
      </c>
      <c r="K179" s="36">
        <v>20311372.079999998</v>
      </c>
      <c r="L179" s="36">
        <v>20461009.859999999</v>
      </c>
      <c r="M179" s="36">
        <v>12160.38</v>
      </c>
      <c r="N179" s="36">
        <f t="shared" si="14"/>
        <v>-20473170.239999998</v>
      </c>
    </row>
    <row r="180" spans="1:14" x14ac:dyDescent="0.25">
      <c r="A180" s="1" t="s">
        <v>149</v>
      </c>
      <c r="B180" s="2" t="s">
        <v>144</v>
      </c>
      <c r="D180" s="1" t="s">
        <v>415</v>
      </c>
      <c r="E180" s="2" t="s">
        <v>21</v>
      </c>
      <c r="F180" s="2" t="s">
        <v>275</v>
      </c>
      <c r="G180" s="31">
        <v>0.99429999999999996</v>
      </c>
      <c r="H180" s="36">
        <v>-129375114.77</v>
      </c>
      <c r="I180" s="40">
        <v>-4981328.66</v>
      </c>
      <c r="K180" s="36">
        <v>60336368.759999998</v>
      </c>
      <c r="L180" s="36">
        <v>61586954.340000004</v>
      </c>
      <c r="N180" s="36">
        <f t="shared" si="14"/>
        <v>-61586954.340000004</v>
      </c>
    </row>
    <row r="181" spans="1:14" x14ac:dyDescent="0.25">
      <c r="A181" s="1" t="s">
        <v>149</v>
      </c>
      <c r="B181" s="2" t="s">
        <v>145</v>
      </c>
      <c r="D181" s="1" t="s">
        <v>415</v>
      </c>
      <c r="E181" s="2" t="s">
        <v>21</v>
      </c>
      <c r="F181" s="2" t="s">
        <v>29</v>
      </c>
      <c r="G181" s="31">
        <v>1</v>
      </c>
      <c r="H181" s="36">
        <v>6315685.1799999997</v>
      </c>
      <c r="I181" s="40">
        <v>-22327773</v>
      </c>
      <c r="N181" s="36">
        <f t="shared" si="14"/>
        <v>0</v>
      </c>
    </row>
    <row r="182" spans="1:14" x14ac:dyDescent="0.25">
      <c r="A182" s="1" t="s">
        <v>149</v>
      </c>
      <c r="B182" s="2" t="s">
        <v>146</v>
      </c>
      <c r="D182" s="2" t="s">
        <v>349</v>
      </c>
      <c r="E182" s="2" t="s">
        <v>21</v>
      </c>
      <c r="F182" s="2" t="s">
        <v>47</v>
      </c>
      <c r="G182" s="31" t="s">
        <v>423</v>
      </c>
      <c r="H182" s="36">
        <v>-401510.53</v>
      </c>
      <c r="I182" s="40">
        <v>-391536.74</v>
      </c>
      <c r="L182" s="36">
        <v>4721472.8</v>
      </c>
      <c r="N182" s="36">
        <f t="shared" si="14"/>
        <v>-4721472.8</v>
      </c>
    </row>
    <row r="183" spans="1:14" x14ac:dyDescent="0.25">
      <c r="A183" s="1" t="s">
        <v>149</v>
      </c>
      <c r="B183" s="2" t="s">
        <v>147</v>
      </c>
      <c r="D183" s="1" t="s">
        <v>415</v>
      </c>
      <c r="E183" s="2" t="s">
        <v>21</v>
      </c>
      <c r="F183" s="2" t="s">
        <v>47</v>
      </c>
      <c r="G183" s="31">
        <v>0</v>
      </c>
      <c r="H183" s="36">
        <v>37641834.579999998</v>
      </c>
      <c r="I183" s="40">
        <v>18737352.23</v>
      </c>
      <c r="K183" s="36">
        <v>4928398.7299999995</v>
      </c>
      <c r="L183" s="36">
        <v>14186004.449999999</v>
      </c>
      <c r="N183" s="36">
        <f t="shared" si="14"/>
        <v>-14186004.449999999</v>
      </c>
    </row>
    <row r="184" spans="1:14" x14ac:dyDescent="0.25">
      <c r="A184" s="1" t="s">
        <v>149</v>
      </c>
      <c r="B184" s="2" t="s">
        <v>148</v>
      </c>
      <c r="D184" s="1" t="s">
        <v>415</v>
      </c>
      <c r="E184" s="2" t="s">
        <v>21</v>
      </c>
      <c r="F184" s="2" t="s">
        <v>29</v>
      </c>
      <c r="G184" s="31">
        <v>0.68489999999999995</v>
      </c>
      <c r="H184" s="36">
        <v>-225005.41</v>
      </c>
      <c r="I184" s="40">
        <v>-554285.86</v>
      </c>
      <c r="K184" s="36">
        <v>536601.81000000006</v>
      </c>
      <c r="N184" s="36">
        <f t="shared" si="14"/>
        <v>0</v>
      </c>
    </row>
    <row r="185" spans="1:14" s="8" customFormat="1" x14ac:dyDescent="0.25">
      <c r="A185" s="9" t="s">
        <v>149</v>
      </c>
      <c r="B185" s="8" t="s">
        <v>410</v>
      </c>
      <c r="D185" s="2" t="s">
        <v>349</v>
      </c>
      <c r="E185" s="8" t="s">
        <v>21</v>
      </c>
      <c r="F185" s="8" t="s">
        <v>27</v>
      </c>
      <c r="G185" s="31" t="s">
        <v>423</v>
      </c>
      <c r="H185" s="40">
        <v>7822945000</v>
      </c>
      <c r="I185" s="40">
        <v>832379000</v>
      </c>
      <c r="J185" s="36"/>
      <c r="K185" s="36"/>
      <c r="L185" s="36"/>
      <c r="M185" s="36"/>
      <c r="N185" s="36"/>
    </row>
    <row r="186" spans="1:14" x14ac:dyDescent="0.25">
      <c r="A186" s="1" t="s">
        <v>151</v>
      </c>
      <c r="B186" s="2" t="s">
        <v>152</v>
      </c>
      <c r="D186" s="1" t="s">
        <v>415</v>
      </c>
      <c r="E186" s="2" t="s">
        <v>21</v>
      </c>
      <c r="F186" s="2" t="s">
        <v>48</v>
      </c>
      <c r="G186" s="31">
        <v>0.95</v>
      </c>
      <c r="I186" s="40">
        <v>14453926</v>
      </c>
      <c r="N186" s="36">
        <f t="shared" si="14"/>
        <v>0</v>
      </c>
    </row>
    <row r="187" spans="1:14" x14ac:dyDescent="0.25">
      <c r="A187" s="1" t="s">
        <v>151</v>
      </c>
      <c r="B187" s="2" t="s">
        <v>153</v>
      </c>
      <c r="D187" s="1" t="s">
        <v>414</v>
      </c>
      <c r="E187" s="2" t="s">
        <v>21</v>
      </c>
      <c r="F187" s="2" t="s">
        <v>138</v>
      </c>
      <c r="G187" s="31">
        <v>0.51</v>
      </c>
      <c r="H187" s="36">
        <v>-4590895</v>
      </c>
      <c r="I187" s="40">
        <v>-1571170</v>
      </c>
      <c r="L187" s="36">
        <v>14137577</v>
      </c>
      <c r="N187" s="36">
        <f t="shared" si="14"/>
        <v>-14137577</v>
      </c>
    </row>
    <row r="188" spans="1:14" x14ac:dyDescent="0.25">
      <c r="A188" s="1" t="s">
        <v>151</v>
      </c>
      <c r="B188" s="2" t="s">
        <v>154</v>
      </c>
      <c r="D188" s="1" t="s">
        <v>415</v>
      </c>
      <c r="E188" s="2" t="s">
        <v>21</v>
      </c>
      <c r="F188" s="2" t="s">
        <v>47</v>
      </c>
      <c r="G188" s="31">
        <v>0.99953999999999998</v>
      </c>
      <c r="H188" s="36">
        <v>362740.08</v>
      </c>
      <c r="I188" s="40">
        <v>-54627.41</v>
      </c>
      <c r="L188" s="36">
        <v>8620345.8699999992</v>
      </c>
      <c r="N188" s="36">
        <f t="shared" si="14"/>
        <v>-8620345.8699999992</v>
      </c>
    </row>
    <row r="189" spans="1:14" x14ac:dyDescent="0.25">
      <c r="A189" s="1" t="s">
        <v>151</v>
      </c>
      <c r="B189" s="2" t="s">
        <v>155</v>
      </c>
      <c r="D189" s="1" t="s">
        <v>416</v>
      </c>
      <c r="E189" s="2" t="s">
        <v>21</v>
      </c>
      <c r="F189" s="2" t="s">
        <v>29</v>
      </c>
      <c r="G189" s="31">
        <v>0.95</v>
      </c>
      <c r="H189" s="36">
        <v>606438.97</v>
      </c>
      <c r="I189" s="40">
        <v>-410965.79</v>
      </c>
      <c r="K189" s="36">
        <v>4372744.87</v>
      </c>
      <c r="L189" s="36">
        <v>4287481.88</v>
      </c>
      <c r="N189" s="36">
        <f t="shared" si="14"/>
        <v>-4287481.88</v>
      </c>
    </row>
    <row r="190" spans="1:14" x14ac:dyDescent="0.25">
      <c r="A190" s="1" t="s">
        <v>151</v>
      </c>
      <c r="B190" s="2" t="s">
        <v>156</v>
      </c>
      <c r="D190" s="1" t="s">
        <v>415</v>
      </c>
      <c r="E190" s="2" t="s">
        <v>21</v>
      </c>
      <c r="F190" s="2" t="s">
        <v>29</v>
      </c>
      <c r="G190" s="31">
        <v>0.95</v>
      </c>
      <c r="H190" s="36">
        <v>-144817606</v>
      </c>
      <c r="I190" s="40">
        <v>8446069.75</v>
      </c>
      <c r="L190" s="36">
        <v>20032620.949999999</v>
      </c>
      <c r="N190" s="36">
        <f t="shared" si="14"/>
        <v>-20032620.949999999</v>
      </c>
    </row>
    <row r="191" spans="1:14" x14ac:dyDescent="0.25">
      <c r="A191" s="1" t="s">
        <v>151</v>
      </c>
      <c r="B191" s="2" t="s">
        <v>157</v>
      </c>
      <c r="D191" s="1" t="s">
        <v>415</v>
      </c>
      <c r="E191" s="2" t="s">
        <v>22</v>
      </c>
      <c r="F191" s="2" t="s">
        <v>27</v>
      </c>
      <c r="G191" s="31" t="s">
        <v>423</v>
      </c>
      <c r="H191" s="36">
        <v>693724435.88000023</v>
      </c>
      <c r="I191" s="40">
        <v>-10719563.659999678</v>
      </c>
      <c r="M191" s="36">
        <v>9975363.9799999986</v>
      </c>
    </row>
    <row r="192" spans="1:14" x14ac:dyDescent="0.25">
      <c r="A192" s="1" t="s">
        <v>151</v>
      </c>
      <c r="B192" s="2" t="s">
        <v>158</v>
      </c>
      <c r="D192" s="1" t="s">
        <v>414</v>
      </c>
      <c r="E192" s="2" t="s">
        <v>22</v>
      </c>
      <c r="F192" s="2" t="s">
        <v>30</v>
      </c>
      <c r="G192" s="31">
        <v>1</v>
      </c>
      <c r="H192" s="36">
        <v>79185.78</v>
      </c>
      <c r="I192" s="40" t="s">
        <v>67</v>
      </c>
    </row>
    <row r="193" spans="1:14" x14ac:dyDescent="0.25">
      <c r="A193" s="1" t="s">
        <v>151</v>
      </c>
      <c r="B193" s="30" t="s">
        <v>159</v>
      </c>
      <c r="D193" s="1" t="s">
        <v>415</v>
      </c>
      <c r="E193" s="2" t="s">
        <v>22</v>
      </c>
      <c r="F193" s="2" t="s">
        <v>28</v>
      </c>
      <c r="G193" s="31">
        <v>0.17</v>
      </c>
      <c r="H193" s="36">
        <v>73251000</v>
      </c>
      <c r="I193" s="40">
        <v>22398662.479999993</v>
      </c>
      <c r="J193" s="36">
        <v>2847416.05</v>
      </c>
    </row>
    <row r="194" spans="1:14" x14ac:dyDescent="0.25">
      <c r="A194" s="1" t="s">
        <v>151</v>
      </c>
      <c r="B194" s="2" t="s">
        <v>160</v>
      </c>
      <c r="D194" s="1" t="s">
        <v>415</v>
      </c>
      <c r="E194" s="2" t="s">
        <v>22</v>
      </c>
      <c r="F194" s="2" t="s">
        <v>26</v>
      </c>
      <c r="G194" s="31">
        <v>0.98760000000000003</v>
      </c>
      <c r="H194" s="36">
        <v>43427750</v>
      </c>
      <c r="I194" s="40">
        <v>2016817</v>
      </c>
    </row>
    <row r="195" spans="1:14" x14ac:dyDescent="0.25">
      <c r="A195" s="7" t="s">
        <v>161</v>
      </c>
      <c r="B195" s="2" t="s">
        <v>219</v>
      </c>
      <c r="D195" s="1" t="s">
        <v>416</v>
      </c>
      <c r="E195" s="2" t="s">
        <v>21</v>
      </c>
      <c r="F195" s="2" t="s">
        <v>28</v>
      </c>
      <c r="G195" s="31">
        <v>0.17</v>
      </c>
      <c r="H195" s="36">
        <v>1734074.23</v>
      </c>
      <c r="I195" s="40">
        <v>540866.05000000005</v>
      </c>
      <c r="M195" s="36">
        <v>170000</v>
      </c>
      <c r="N195" s="36">
        <f>J195-L195-M195</f>
        <v>-170000</v>
      </c>
    </row>
    <row r="196" spans="1:14" x14ac:dyDescent="0.25">
      <c r="A196" s="7" t="s">
        <v>161</v>
      </c>
      <c r="B196" s="2" t="s">
        <v>220</v>
      </c>
      <c r="D196" s="1" t="s">
        <v>415</v>
      </c>
      <c r="E196" s="2" t="s">
        <v>22</v>
      </c>
      <c r="F196" s="2" t="s">
        <v>27</v>
      </c>
      <c r="G196" s="31">
        <v>0.99990000000000001</v>
      </c>
      <c r="H196" s="36">
        <v>162631832.69</v>
      </c>
      <c r="I196" s="40"/>
    </row>
    <row r="197" spans="1:14" x14ac:dyDescent="0.25">
      <c r="A197" s="7" t="s">
        <v>161</v>
      </c>
      <c r="B197" s="2" t="s">
        <v>221</v>
      </c>
      <c r="D197" s="2" t="s">
        <v>349</v>
      </c>
      <c r="E197" s="2" t="s">
        <v>22</v>
      </c>
      <c r="F197" s="2" t="s">
        <v>223</v>
      </c>
      <c r="G197" s="31">
        <v>1</v>
      </c>
      <c r="H197" s="36">
        <v>6987776.21</v>
      </c>
      <c r="I197" s="40">
        <v>4249228.1900000004</v>
      </c>
      <c r="L197" s="36">
        <v>1928781.64</v>
      </c>
    </row>
    <row r="198" spans="1:14" x14ac:dyDescent="0.25">
      <c r="A198" s="7" t="s">
        <v>161</v>
      </c>
      <c r="B198" s="2" t="s">
        <v>222</v>
      </c>
      <c r="D198" s="1" t="s">
        <v>415</v>
      </c>
      <c r="E198" s="2" t="s">
        <v>22</v>
      </c>
      <c r="F198" s="2" t="s">
        <v>401</v>
      </c>
      <c r="G198" s="31" t="s">
        <v>423</v>
      </c>
      <c r="H198" s="36">
        <v>1843606621.1900001</v>
      </c>
      <c r="I198" s="40">
        <v>3178354.17</v>
      </c>
      <c r="M198" s="36">
        <v>1000000</v>
      </c>
    </row>
    <row r="199" spans="1:14" x14ac:dyDescent="0.25">
      <c r="A199" s="1" t="s">
        <v>150</v>
      </c>
      <c r="B199" s="2" t="s">
        <v>292</v>
      </c>
      <c r="D199" s="1" t="s">
        <v>415</v>
      </c>
      <c r="E199" s="2" t="s">
        <v>349</v>
      </c>
      <c r="F199" s="2" t="s">
        <v>23</v>
      </c>
      <c r="G199" s="31" t="s">
        <v>423</v>
      </c>
      <c r="H199" s="38">
        <v>228626667.16999999</v>
      </c>
      <c r="I199" s="40">
        <v>2657222.3199999998</v>
      </c>
    </row>
    <row r="200" spans="1:14" x14ac:dyDescent="0.25">
      <c r="A200" s="1" t="s">
        <v>150</v>
      </c>
      <c r="B200" s="2" t="s">
        <v>293</v>
      </c>
      <c r="D200" s="1" t="s">
        <v>415</v>
      </c>
      <c r="E200" s="2" t="s">
        <v>349</v>
      </c>
      <c r="F200" s="2" t="s">
        <v>27</v>
      </c>
      <c r="G200" s="31" t="s">
        <v>423</v>
      </c>
      <c r="H200" s="36">
        <v>-322334000</v>
      </c>
      <c r="I200" s="40">
        <v>-77594000</v>
      </c>
    </row>
    <row r="201" spans="1:14" x14ac:dyDescent="0.25">
      <c r="A201" s="1" t="s">
        <v>150</v>
      </c>
      <c r="B201" s="2" t="s">
        <v>294</v>
      </c>
      <c r="D201" s="1" t="s">
        <v>415</v>
      </c>
      <c r="E201" s="2" t="s">
        <v>349</v>
      </c>
      <c r="F201" s="2" t="s">
        <v>23</v>
      </c>
      <c r="G201" s="31" t="s">
        <v>423</v>
      </c>
      <c r="I201" s="40"/>
    </row>
    <row r="202" spans="1:14" s="8" customFormat="1" x14ac:dyDescent="0.25">
      <c r="A202" s="9" t="s">
        <v>162</v>
      </c>
      <c r="B202" s="8" t="s">
        <v>224</v>
      </c>
      <c r="D202" s="10" t="s">
        <v>415</v>
      </c>
      <c r="E202" s="8" t="s">
        <v>22</v>
      </c>
      <c r="F202" s="8" t="s">
        <v>235</v>
      </c>
      <c r="G202" s="31">
        <v>0.99590000000000001</v>
      </c>
      <c r="H202" s="36">
        <v>16509428.99</v>
      </c>
      <c r="I202" s="40">
        <v>-5200554.18</v>
      </c>
      <c r="J202" s="36">
        <v>0</v>
      </c>
      <c r="K202" s="36"/>
      <c r="L202" s="36"/>
      <c r="M202" s="36"/>
      <c r="N202" s="36"/>
    </row>
    <row r="203" spans="1:14" s="8" customFormat="1" x14ac:dyDescent="0.25">
      <c r="A203" s="9" t="s">
        <v>162</v>
      </c>
      <c r="B203" s="8" t="s">
        <v>225</v>
      </c>
      <c r="D203" s="10" t="s">
        <v>415</v>
      </c>
      <c r="E203" s="8" t="s">
        <v>22</v>
      </c>
      <c r="F203" s="8" t="s">
        <v>28</v>
      </c>
      <c r="G203" s="31">
        <v>0.51</v>
      </c>
      <c r="H203" s="36">
        <v>376249463.50999999</v>
      </c>
      <c r="I203" s="40">
        <v>73353063.430000007</v>
      </c>
      <c r="J203" s="36">
        <v>37410062.350000001</v>
      </c>
      <c r="K203" s="36"/>
      <c r="L203" s="36"/>
      <c r="M203" s="36"/>
      <c r="N203" s="36"/>
    </row>
    <row r="204" spans="1:14" s="8" customFormat="1" x14ac:dyDescent="0.25">
      <c r="A204" s="9" t="s">
        <v>162</v>
      </c>
      <c r="B204" s="8" t="s">
        <v>226</v>
      </c>
      <c r="D204" s="10" t="s">
        <v>415</v>
      </c>
      <c r="E204" s="8" t="s">
        <v>22</v>
      </c>
      <c r="F204" s="8" t="s">
        <v>26</v>
      </c>
      <c r="G204" s="31">
        <v>0.99990000000000001</v>
      </c>
      <c r="H204" s="36">
        <v>221582000</v>
      </c>
      <c r="I204" s="40">
        <v>-184000</v>
      </c>
      <c r="J204" s="36">
        <v>0</v>
      </c>
      <c r="K204" s="36"/>
      <c r="L204" s="36"/>
      <c r="M204" s="36"/>
      <c r="N204" s="36"/>
    </row>
    <row r="205" spans="1:14" s="8" customFormat="1" x14ac:dyDescent="0.25">
      <c r="A205" s="9" t="s">
        <v>162</v>
      </c>
      <c r="B205" s="8" t="s">
        <v>227</v>
      </c>
      <c r="D205" s="10" t="s">
        <v>415</v>
      </c>
      <c r="E205" s="8" t="s">
        <v>22</v>
      </c>
      <c r="F205" s="8" t="s">
        <v>66</v>
      </c>
      <c r="G205" s="31">
        <v>0.99990000000000001</v>
      </c>
      <c r="H205" s="36">
        <v>319235000</v>
      </c>
      <c r="I205" s="40">
        <v>-25871000</v>
      </c>
      <c r="J205" s="36">
        <v>0</v>
      </c>
      <c r="K205" s="36"/>
      <c r="L205" s="36"/>
      <c r="M205" s="36"/>
      <c r="N205" s="36"/>
    </row>
    <row r="206" spans="1:14" s="8" customFormat="1" x14ac:dyDescent="0.25">
      <c r="A206" s="9" t="s">
        <v>162</v>
      </c>
      <c r="B206" s="8" t="s">
        <v>228</v>
      </c>
      <c r="D206" s="10" t="s">
        <v>415</v>
      </c>
      <c r="E206" s="8" t="s">
        <v>22</v>
      </c>
      <c r="F206" s="8" t="s">
        <v>47</v>
      </c>
      <c r="G206" s="31" t="s">
        <v>423</v>
      </c>
      <c r="H206" s="36">
        <v>0</v>
      </c>
      <c r="I206" s="40">
        <v>0</v>
      </c>
      <c r="J206" s="36">
        <v>0</v>
      </c>
      <c r="K206" s="36"/>
      <c r="L206" s="36"/>
      <c r="M206" s="36"/>
      <c r="N206" s="36"/>
    </row>
    <row r="207" spans="1:14" s="8" customFormat="1" x14ac:dyDescent="0.25">
      <c r="A207" s="9" t="s">
        <v>162</v>
      </c>
      <c r="B207" s="8" t="s">
        <v>229</v>
      </c>
      <c r="D207" s="10" t="s">
        <v>415</v>
      </c>
      <c r="E207" s="8" t="s">
        <v>22</v>
      </c>
      <c r="F207" s="8" t="s">
        <v>27</v>
      </c>
      <c r="G207" s="31">
        <v>0.99990000000000001</v>
      </c>
      <c r="H207" s="36">
        <v>2095294000</v>
      </c>
      <c r="I207" s="40">
        <v>292087000</v>
      </c>
      <c r="J207" s="36">
        <v>152375000</v>
      </c>
      <c r="K207" s="36"/>
      <c r="L207" s="36"/>
      <c r="M207" s="36"/>
      <c r="N207" s="36"/>
    </row>
    <row r="208" spans="1:14" s="8" customFormat="1" x14ac:dyDescent="0.25">
      <c r="A208" s="9" t="s">
        <v>162</v>
      </c>
      <c r="B208" s="8" t="s">
        <v>230</v>
      </c>
      <c r="D208" s="10" t="s">
        <v>415</v>
      </c>
      <c r="E208" s="8" t="s">
        <v>22</v>
      </c>
      <c r="F208" s="8" t="s">
        <v>66</v>
      </c>
      <c r="G208" s="31">
        <v>0.65920000000000001</v>
      </c>
      <c r="H208" s="36">
        <v>2388818000</v>
      </c>
      <c r="I208" s="40">
        <v>173439000</v>
      </c>
      <c r="J208" s="36">
        <v>0</v>
      </c>
      <c r="K208" s="36"/>
      <c r="L208" s="36"/>
      <c r="M208" s="36"/>
      <c r="N208" s="36"/>
    </row>
    <row r="209" spans="1:14" s="8" customFormat="1" x14ac:dyDescent="0.25">
      <c r="A209" s="9" t="s">
        <v>162</v>
      </c>
      <c r="B209" s="8" t="s">
        <v>231</v>
      </c>
      <c r="D209" s="10" t="s">
        <v>415</v>
      </c>
      <c r="E209" s="8" t="s">
        <v>22</v>
      </c>
      <c r="F209" s="8" t="s">
        <v>66</v>
      </c>
      <c r="G209" s="31">
        <v>0.65920000000000001</v>
      </c>
      <c r="H209" s="36">
        <v>-2352441000</v>
      </c>
      <c r="I209" s="40">
        <v>-989345000</v>
      </c>
      <c r="J209" s="36">
        <v>0</v>
      </c>
      <c r="K209" s="36"/>
      <c r="L209" s="36"/>
      <c r="M209" s="36"/>
      <c r="N209" s="36"/>
    </row>
    <row r="210" spans="1:14" s="8" customFormat="1" x14ac:dyDescent="0.25">
      <c r="A210" s="9" t="s">
        <v>162</v>
      </c>
      <c r="B210" s="8" t="s">
        <v>232</v>
      </c>
      <c r="D210" s="10" t="s">
        <v>414</v>
      </c>
      <c r="E210" s="8" t="s">
        <v>22</v>
      </c>
      <c r="F210" s="8" t="s">
        <v>65</v>
      </c>
      <c r="G210" s="31">
        <v>1</v>
      </c>
      <c r="H210" s="36"/>
      <c r="I210" s="40"/>
      <c r="J210" s="36"/>
      <c r="K210" s="36"/>
      <c r="L210" s="36"/>
      <c r="M210" s="36"/>
      <c r="N210" s="36"/>
    </row>
    <row r="211" spans="1:14" s="8" customFormat="1" ht="17.25" x14ac:dyDescent="0.4">
      <c r="A211" s="9" t="s">
        <v>162</v>
      </c>
      <c r="B211" s="8" t="s">
        <v>233</v>
      </c>
      <c r="D211" s="10" t="s">
        <v>415</v>
      </c>
      <c r="E211" s="8" t="s">
        <v>22</v>
      </c>
      <c r="F211" s="8" t="s">
        <v>26</v>
      </c>
      <c r="G211" s="31">
        <v>0.49890000000000001</v>
      </c>
      <c r="H211" s="36">
        <v>7366063000</v>
      </c>
      <c r="I211" s="43">
        <v>908597000</v>
      </c>
      <c r="J211" s="36">
        <v>267009000</v>
      </c>
      <c r="K211" s="36"/>
      <c r="L211" s="36"/>
      <c r="M211" s="36"/>
      <c r="N211" s="36"/>
    </row>
    <row r="212" spans="1:14" s="8" customFormat="1" x14ac:dyDescent="0.25">
      <c r="A212" s="9" t="s">
        <v>162</v>
      </c>
      <c r="B212" s="8" t="s">
        <v>234</v>
      </c>
      <c r="D212" s="10" t="s">
        <v>415</v>
      </c>
      <c r="E212" s="8" t="s">
        <v>22</v>
      </c>
      <c r="F212" s="8" t="s">
        <v>26</v>
      </c>
      <c r="G212" s="31">
        <v>0.99990000000000001</v>
      </c>
      <c r="H212" s="36">
        <v>708845000</v>
      </c>
      <c r="I212" s="40">
        <v>17522000</v>
      </c>
      <c r="J212" s="36">
        <v>0</v>
      </c>
      <c r="K212" s="36"/>
      <c r="L212" s="36"/>
      <c r="M212" s="36"/>
      <c r="N212" s="36"/>
    </row>
    <row r="213" spans="1:14" x14ac:dyDescent="0.25">
      <c r="A213" s="1" t="s">
        <v>163</v>
      </c>
      <c r="B213" s="2" t="s">
        <v>164</v>
      </c>
      <c r="D213" s="1" t="s">
        <v>415</v>
      </c>
      <c r="E213" s="2" t="s">
        <v>21</v>
      </c>
      <c r="F213" s="2" t="s">
        <v>23</v>
      </c>
      <c r="G213" s="31">
        <v>0.96099999999999997</v>
      </c>
      <c r="H213" s="36">
        <v>-8235236.1600000001</v>
      </c>
      <c r="I213" s="40">
        <v>-2350856</v>
      </c>
      <c r="L213" s="36">
        <v>8447006.4199999999</v>
      </c>
      <c r="N213" s="36">
        <f t="shared" ref="N213:N216" si="15">J213-L213-M213</f>
        <v>-8447006.4199999999</v>
      </c>
    </row>
    <row r="214" spans="1:14" x14ac:dyDescent="0.25">
      <c r="A214" s="1" t="s">
        <v>163</v>
      </c>
      <c r="B214" s="2" t="s">
        <v>165</v>
      </c>
      <c r="D214" s="1" t="s">
        <v>414</v>
      </c>
      <c r="E214" s="2" t="s">
        <v>21</v>
      </c>
      <c r="F214" s="2" t="s">
        <v>24</v>
      </c>
      <c r="G214" s="31">
        <v>1</v>
      </c>
      <c r="H214" s="36">
        <v>15454268.359999999</v>
      </c>
      <c r="I214" s="40">
        <v>-2279008.2000000002</v>
      </c>
      <c r="N214" s="36">
        <f t="shared" si="15"/>
        <v>0</v>
      </c>
    </row>
    <row r="215" spans="1:14" x14ac:dyDescent="0.25">
      <c r="A215" s="1" t="s">
        <v>163</v>
      </c>
      <c r="B215" s="2" t="s">
        <v>166</v>
      </c>
      <c r="D215" s="1" t="s">
        <v>415</v>
      </c>
      <c r="E215" s="2" t="s">
        <v>21</v>
      </c>
      <c r="F215" s="2" t="s">
        <v>23</v>
      </c>
      <c r="G215" s="31">
        <v>0.97</v>
      </c>
      <c r="H215" s="36">
        <v>612454.28</v>
      </c>
      <c r="I215" s="40">
        <v>-22047.57</v>
      </c>
      <c r="L215" s="36">
        <v>13376238.9</v>
      </c>
      <c r="N215" s="36">
        <f t="shared" si="15"/>
        <v>-13376238.9</v>
      </c>
    </row>
    <row r="216" spans="1:14" x14ac:dyDescent="0.25">
      <c r="A216" s="1" t="s">
        <v>163</v>
      </c>
      <c r="B216" s="2" t="s">
        <v>167</v>
      </c>
      <c r="D216" s="1" t="s">
        <v>414</v>
      </c>
      <c r="E216" s="2" t="s">
        <v>21</v>
      </c>
      <c r="F216" s="2" t="s">
        <v>138</v>
      </c>
      <c r="G216" s="34">
        <v>0.9682752</v>
      </c>
      <c r="H216" s="36">
        <v>-22552236</v>
      </c>
      <c r="I216" s="40">
        <v>-8815244</v>
      </c>
      <c r="L216" s="36">
        <v>333578562.31</v>
      </c>
      <c r="M216" s="36">
        <v>4854000</v>
      </c>
      <c r="N216" s="36">
        <f t="shared" si="15"/>
        <v>-338432562.31</v>
      </c>
    </row>
    <row r="217" spans="1:14" x14ac:dyDescent="0.25">
      <c r="A217" s="1" t="s">
        <v>163</v>
      </c>
      <c r="B217" s="2" t="s">
        <v>168</v>
      </c>
      <c r="D217" s="1" t="s">
        <v>415</v>
      </c>
      <c r="E217" s="2" t="s">
        <v>22</v>
      </c>
      <c r="F217" s="2" t="s">
        <v>23</v>
      </c>
      <c r="G217" s="31">
        <v>0.99</v>
      </c>
      <c r="H217" s="36">
        <v>0</v>
      </c>
      <c r="I217" s="40">
        <v>1383229.41</v>
      </c>
      <c r="J217" s="36">
        <v>0</v>
      </c>
      <c r="M217" s="36">
        <v>7293811.54</v>
      </c>
    </row>
    <row r="218" spans="1:14" x14ac:dyDescent="0.25">
      <c r="A218" s="1" t="s">
        <v>163</v>
      </c>
      <c r="B218" s="2" t="s">
        <v>169</v>
      </c>
      <c r="D218" s="1" t="s">
        <v>415</v>
      </c>
      <c r="E218" s="2" t="s">
        <v>22</v>
      </c>
      <c r="F218" s="2" t="s">
        <v>26</v>
      </c>
      <c r="G218" s="31">
        <v>0.51819999999999999</v>
      </c>
      <c r="H218" s="36">
        <v>554061839.69000006</v>
      </c>
      <c r="I218" s="40">
        <v>14735843.970000001</v>
      </c>
      <c r="J218" s="36">
        <v>2274039.61</v>
      </c>
    </row>
    <row r="219" spans="1:14" x14ac:dyDescent="0.25">
      <c r="A219" s="1" t="s">
        <v>163</v>
      </c>
      <c r="B219" s="2" t="s">
        <v>170</v>
      </c>
      <c r="D219" s="1" t="s">
        <v>415</v>
      </c>
      <c r="E219" s="2" t="s">
        <v>22</v>
      </c>
      <c r="F219" s="2" t="s">
        <v>66</v>
      </c>
      <c r="G219" s="31">
        <v>0.20200000000000001</v>
      </c>
      <c r="H219" s="36">
        <v>1800856205.0999999</v>
      </c>
      <c r="I219" s="40">
        <v>165032458.84999999</v>
      </c>
      <c r="J219" s="36">
        <v>3611629.72</v>
      </c>
    </row>
    <row r="220" spans="1:14" x14ac:dyDescent="0.25">
      <c r="A220" s="1" t="s">
        <v>163</v>
      </c>
      <c r="B220" s="2" t="s">
        <v>171</v>
      </c>
      <c r="D220" s="1" t="s">
        <v>415</v>
      </c>
      <c r="E220" s="2" t="s">
        <v>22</v>
      </c>
      <c r="F220" s="2" t="s">
        <v>26</v>
      </c>
      <c r="G220" s="31">
        <v>0.995</v>
      </c>
      <c r="H220" s="36">
        <v>82447015.319999993</v>
      </c>
      <c r="I220" s="40">
        <v>-163349199.52000001</v>
      </c>
    </row>
    <row r="221" spans="1:14" x14ac:dyDescent="0.25">
      <c r="A221" s="1" t="s">
        <v>163</v>
      </c>
      <c r="B221" s="2" t="s">
        <v>172</v>
      </c>
      <c r="D221" s="1" t="s">
        <v>415</v>
      </c>
      <c r="E221" s="2" t="s">
        <v>22</v>
      </c>
      <c r="F221" s="2" t="s">
        <v>47</v>
      </c>
      <c r="G221" s="31">
        <v>0.94530000000000003</v>
      </c>
      <c r="H221" s="36">
        <v>7619398.1299999999</v>
      </c>
      <c r="I221" s="40">
        <v>1006616.18</v>
      </c>
      <c r="J221" s="36">
        <v>0</v>
      </c>
    </row>
    <row r="222" spans="1:14" x14ac:dyDescent="0.25">
      <c r="A222" s="1" t="s">
        <v>163</v>
      </c>
      <c r="B222" s="2" t="s">
        <v>173</v>
      </c>
      <c r="D222" s="1" t="s">
        <v>414</v>
      </c>
      <c r="E222" s="2" t="s">
        <v>22</v>
      </c>
      <c r="F222" s="2" t="s">
        <v>49</v>
      </c>
      <c r="G222" s="31">
        <v>1</v>
      </c>
      <c r="H222" s="36">
        <v>45305015.969999999</v>
      </c>
      <c r="I222" s="40">
        <v>17695308.420000002</v>
      </c>
      <c r="J222" s="36">
        <v>0</v>
      </c>
      <c r="M222" s="36">
        <v>866345.6</v>
      </c>
    </row>
    <row r="223" spans="1:14" x14ac:dyDescent="0.25">
      <c r="A223" s="1" t="s">
        <v>163</v>
      </c>
      <c r="B223" s="2" t="s">
        <v>174</v>
      </c>
      <c r="D223" s="1" t="s">
        <v>415</v>
      </c>
      <c r="E223" s="2" t="s">
        <v>22</v>
      </c>
      <c r="F223" s="2" t="s">
        <v>27</v>
      </c>
      <c r="G223" s="31">
        <v>0.6421</v>
      </c>
      <c r="H223" s="36">
        <v>1365307297.77</v>
      </c>
      <c r="I223" s="40">
        <v>-119225401.54000001</v>
      </c>
      <c r="J223" s="36">
        <v>0</v>
      </c>
    </row>
    <row r="224" spans="1:14" x14ac:dyDescent="0.25">
      <c r="A224" s="1" t="s">
        <v>163</v>
      </c>
      <c r="B224" s="2" t="s">
        <v>175</v>
      </c>
      <c r="D224" s="2" t="s">
        <v>349</v>
      </c>
      <c r="E224" s="2" t="s">
        <v>22</v>
      </c>
      <c r="F224" s="2" t="s">
        <v>23</v>
      </c>
      <c r="G224" s="31">
        <v>1</v>
      </c>
      <c r="H224" s="36">
        <v>393427.23</v>
      </c>
      <c r="I224" s="40">
        <v>-234560.88</v>
      </c>
    </row>
    <row r="225" spans="1:14" x14ac:dyDescent="0.25">
      <c r="A225" s="1" t="s">
        <v>163</v>
      </c>
      <c r="B225" s="2" t="s">
        <v>176</v>
      </c>
      <c r="D225" s="1" t="s">
        <v>415</v>
      </c>
      <c r="E225" s="2" t="s">
        <v>22</v>
      </c>
      <c r="F225" s="2" t="s">
        <v>23</v>
      </c>
      <c r="G225" s="31">
        <v>1</v>
      </c>
      <c r="H225" s="36">
        <v>415053894.30000001</v>
      </c>
      <c r="I225" s="40">
        <v>-22930382.550000001</v>
      </c>
    </row>
    <row r="226" spans="1:14" x14ac:dyDescent="0.25">
      <c r="A226" s="1" t="s">
        <v>184</v>
      </c>
      <c r="B226" s="2" t="s">
        <v>177</v>
      </c>
      <c r="D226" s="1" t="s">
        <v>414</v>
      </c>
      <c r="E226" s="2" t="s">
        <v>21</v>
      </c>
      <c r="F226" s="2" t="s">
        <v>25</v>
      </c>
      <c r="G226" s="31">
        <v>1</v>
      </c>
      <c r="H226" s="36">
        <v>-21328713.460000001</v>
      </c>
      <c r="I226" s="40">
        <v>-10469402.210000001</v>
      </c>
      <c r="N226" s="36">
        <f t="shared" ref="N226:N232" si="16">J226-L226-M226</f>
        <v>0</v>
      </c>
    </row>
    <row r="227" spans="1:14" x14ac:dyDescent="0.25">
      <c r="A227" s="1" t="s">
        <v>184</v>
      </c>
      <c r="B227" s="2" t="s">
        <v>178</v>
      </c>
      <c r="D227" s="1" t="s">
        <v>415</v>
      </c>
      <c r="E227" s="2" t="s">
        <v>21</v>
      </c>
      <c r="F227" s="2" t="s">
        <v>275</v>
      </c>
      <c r="G227" s="31">
        <v>0.99990000000000001</v>
      </c>
      <c r="H227" s="36">
        <v>97033909</v>
      </c>
      <c r="I227" s="40">
        <v>-58086815.270000003</v>
      </c>
      <c r="N227" s="36">
        <f t="shared" si="16"/>
        <v>0</v>
      </c>
    </row>
    <row r="228" spans="1:14" x14ac:dyDescent="0.25">
      <c r="A228" s="1" t="s">
        <v>184</v>
      </c>
      <c r="B228" s="2" t="s">
        <v>179</v>
      </c>
      <c r="D228" s="1" t="s">
        <v>414</v>
      </c>
      <c r="E228" s="2" t="s">
        <v>21</v>
      </c>
      <c r="F228" s="2" t="s">
        <v>49</v>
      </c>
      <c r="G228" s="31">
        <v>1</v>
      </c>
      <c r="H228" s="36">
        <v>-6949520.3099999996</v>
      </c>
      <c r="I228" s="40">
        <v>-718740</v>
      </c>
      <c r="N228" s="36">
        <f t="shared" si="16"/>
        <v>0</v>
      </c>
    </row>
    <row r="229" spans="1:14" x14ac:dyDescent="0.25">
      <c r="A229" s="1" t="s">
        <v>184</v>
      </c>
      <c r="B229" s="2" t="s">
        <v>180</v>
      </c>
      <c r="D229" s="1" t="s">
        <v>415</v>
      </c>
      <c r="E229" s="2" t="s">
        <v>21</v>
      </c>
      <c r="F229" s="2" t="s">
        <v>23</v>
      </c>
      <c r="G229" s="31">
        <v>0.99490000000000001</v>
      </c>
      <c r="H229" s="36">
        <v>203544627</v>
      </c>
      <c r="I229" s="40">
        <v>-8653695</v>
      </c>
      <c r="N229" s="36">
        <f t="shared" si="16"/>
        <v>0</v>
      </c>
    </row>
    <row r="230" spans="1:14" x14ac:dyDescent="0.25">
      <c r="A230" s="1" t="s">
        <v>184</v>
      </c>
      <c r="B230" s="2" t="s">
        <v>181</v>
      </c>
      <c r="D230" s="1" t="s">
        <v>414</v>
      </c>
      <c r="E230" s="2" t="s">
        <v>21</v>
      </c>
      <c r="F230" s="2" t="s">
        <v>23</v>
      </c>
      <c r="G230" s="31">
        <v>0.98309999999999997</v>
      </c>
      <c r="H230" s="36">
        <v>12571521.460000001</v>
      </c>
      <c r="I230" s="40">
        <v>-554574.31999999995</v>
      </c>
      <c r="N230" s="36">
        <f t="shared" si="16"/>
        <v>0</v>
      </c>
    </row>
    <row r="231" spans="1:14" x14ac:dyDescent="0.25">
      <c r="A231" s="1" t="s">
        <v>184</v>
      </c>
      <c r="B231" s="2" t="s">
        <v>182</v>
      </c>
      <c r="D231" s="1" t="s">
        <v>415</v>
      </c>
      <c r="E231" s="2" t="s">
        <v>21</v>
      </c>
      <c r="F231" s="2" t="s">
        <v>29</v>
      </c>
      <c r="G231" s="31">
        <v>0.9929</v>
      </c>
      <c r="H231" s="36">
        <v>-2129913.09</v>
      </c>
      <c r="I231" s="40">
        <v>-16085495.65</v>
      </c>
      <c r="N231" s="36">
        <f t="shared" si="16"/>
        <v>0</v>
      </c>
    </row>
    <row r="232" spans="1:14" x14ac:dyDescent="0.25">
      <c r="A232" s="1" t="s">
        <v>184</v>
      </c>
      <c r="B232" s="2" t="s">
        <v>183</v>
      </c>
      <c r="D232" s="1" t="s">
        <v>414</v>
      </c>
      <c r="E232" s="2" t="s">
        <v>21</v>
      </c>
      <c r="F232" s="2" t="s">
        <v>23</v>
      </c>
      <c r="G232" s="31" t="s">
        <v>423</v>
      </c>
      <c r="H232" s="36">
        <v>-641580.82999999996</v>
      </c>
      <c r="I232" s="40">
        <v>-98119.26</v>
      </c>
      <c r="N232" s="36">
        <f t="shared" si="16"/>
        <v>0</v>
      </c>
    </row>
    <row r="233" spans="1:14" x14ac:dyDescent="0.25">
      <c r="A233" s="1" t="s">
        <v>184</v>
      </c>
      <c r="B233" s="2" t="s">
        <v>185</v>
      </c>
      <c r="D233" s="1" t="s">
        <v>415</v>
      </c>
      <c r="E233" s="2" t="s">
        <v>22</v>
      </c>
      <c r="F233" s="2" t="s">
        <v>28</v>
      </c>
      <c r="G233" s="31">
        <v>0.51</v>
      </c>
      <c r="H233" s="36">
        <v>53433663.579999998</v>
      </c>
      <c r="I233" s="40">
        <v>3186813.080000008</v>
      </c>
      <c r="J233" s="36">
        <v>254390.34</v>
      </c>
    </row>
    <row r="234" spans="1:14" x14ac:dyDescent="0.25">
      <c r="A234" s="1" t="s">
        <v>184</v>
      </c>
      <c r="B234" s="2" t="s">
        <v>186</v>
      </c>
      <c r="D234" s="1" t="s">
        <v>415</v>
      </c>
      <c r="E234" s="2" t="s">
        <v>22</v>
      </c>
      <c r="F234" s="2" t="s">
        <v>27</v>
      </c>
      <c r="G234" s="31">
        <v>0.99990000000000001</v>
      </c>
      <c r="H234" s="36">
        <v>1381542610</v>
      </c>
      <c r="I234" s="40">
        <v>4049520</v>
      </c>
      <c r="M234" s="36">
        <v>11447648</v>
      </c>
    </row>
    <row r="235" spans="1:14" x14ac:dyDescent="0.25">
      <c r="A235" s="1" t="s">
        <v>184</v>
      </c>
      <c r="B235" s="2" t="s">
        <v>187</v>
      </c>
      <c r="D235" s="1" t="s">
        <v>414</v>
      </c>
      <c r="E235" s="2" t="s">
        <v>22</v>
      </c>
      <c r="F235" s="2" t="s">
        <v>31</v>
      </c>
      <c r="G235" s="31">
        <v>1</v>
      </c>
      <c r="H235" s="36">
        <v>6088642.54</v>
      </c>
      <c r="I235" s="40">
        <v>-918653.23</v>
      </c>
    </row>
    <row r="236" spans="1:14" x14ac:dyDescent="0.25">
      <c r="A236" s="1" t="s">
        <v>184</v>
      </c>
      <c r="B236" s="2" t="s">
        <v>188</v>
      </c>
      <c r="D236" s="1" t="s">
        <v>415</v>
      </c>
      <c r="E236" s="2" t="s">
        <v>22</v>
      </c>
      <c r="F236" s="2" t="s">
        <v>26</v>
      </c>
      <c r="G236" s="31">
        <v>0.89870000000000005</v>
      </c>
      <c r="H236" s="36">
        <v>405939983</v>
      </c>
      <c r="I236" s="40">
        <v>62539382.810000002</v>
      </c>
      <c r="J236" s="36">
        <v>22623868.799999997</v>
      </c>
    </row>
    <row r="237" spans="1:14" x14ac:dyDescent="0.25">
      <c r="A237" s="7" t="s">
        <v>189</v>
      </c>
      <c r="B237" s="2" t="s">
        <v>236</v>
      </c>
      <c r="D237" s="1" t="s">
        <v>415</v>
      </c>
      <c r="E237" s="2" t="s">
        <v>21</v>
      </c>
      <c r="F237" s="2" t="s">
        <v>29</v>
      </c>
      <c r="G237" s="31">
        <v>0.99998900000000002</v>
      </c>
      <c r="H237" s="36">
        <v>219531000</v>
      </c>
      <c r="I237" s="40">
        <v>-170050000</v>
      </c>
      <c r="J237" s="36">
        <v>0</v>
      </c>
      <c r="K237" s="36">
        <v>0</v>
      </c>
      <c r="L237" s="36">
        <v>166623000</v>
      </c>
      <c r="M237" s="36">
        <v>407000</v>
      </c>
      <c r="N237" s="36">
        <f t="shared" ref="N237:N242" si="17">J237-L237-M237</f>
        <v>-167030000</v>
      </c>
    </row>
    <row r="238" spans="1:14" x14ac:dyDescent="0.25">
      <c r="A238" s="7" t="s">
        <v>189</v>
      </c>
      <c r="B238" s="2" t="s">
        <v>237</v>
      </c>
      <c r="D238" s="1" t="s">
        <v>415</v>
      </c>
      <c r="E238" s="2" t="s">
        <v>21</v>
      </c>
      <c r="F238" s="2" t="s">
        <v>223</v>
      </c>
      <c r="G238" s="31">
        <v>0.99943700000000002</v>
      </c>
      <c r="H238" s="36">
        <v>232781000</v>
      </c>
      <c r="I238" s="40">
        <v>-25960000</v>
      </c>
      <c r="J238" s="36">
        <v>0</v>
      </c>
      <c r="K238" s="36">
        <v>0</v>
      </c>
      <c r="L238" s="36">
        <v>16758000</v>
      </c>
      <c r="M238" s="36">
        <v>0</v>
      </c>
      <c r="N238" s="36">
        <f t="shared" si="17"/>
        <v>-16758000</v>
      </c>
    </row>
    <row r="239" spans="1:14" x14ac:dyDescent="0.25">
      <c r="A239" s="7" t="s">
        <v>189</v>
      </c>
      <c r="B239" s="2" t="s">
        <v>238</v>
      </c>
      <c r="D239" s="1" t="s">
        <v>415</v>
      </c>
      <c r="E239" s="2" t="s">
        <v>21</v>
      </c>
      <c r="F239" s="2" t="s">
        <v>29</v>
      </c>
      <c r="G239" s="31">
        <v>0.99999899999999997</v>
      </c>
      <c r="H239" s="36">
        <v>6732000</v>
      </c>
      <c r="I239" s="40">
        <v>1839000</v>
      </c>
      <c r="J239" s="36">
        <v>0</v>
      </c>
      <c r="K239" s="36">
        <v>0</v>
      </c>
      <c r="L239" s="36">
        <v>28582000</v>
      </c>
      <c r="M239" s="36">
        <v>0</v>
      </c>
      <c r="N239" s="36">
        <f t="shared" si="17"/>
        <v>-28582000</v>
      </c>
    </row>
    <row r="240" spans="1:14" x14ac:dyDescent="0.25">
      <c r="A240" s="7" t="s">
        <v>189</v>
      </c>
      <c r="B240" s="2" t="s">
        <v>239</v>
      </c>
      <c r="D240" s="1" t="s">
        <v>415</v>
      </c>
      <c r="E240" s="2" t="s">
        <v>21</v>
      </c>
      <c r="F240" s="2" t="s">
        <v>29</v>
      </c>
      <c r="G240" s="31">
        <v>0.99999800000000005</v>
      </c>
      <c r="H240" s="36">
        <v>33758000</v>
      </c>
      <c r="I240" s="40">
        <v>654000</v>
      </c>
      <c r="J240" s="36">
        <v>0</v>
      </c>
      <c r="K240" s="36">
        <v>0</v>
      </c>
      <c r="L240" s="36">
        <v>40347000</v>
      </c>
      <c r="M240" s="36">
        <v>0</v>
      </c>
      <c r="N240" s="36">
        <f t="shared" si="17"/>
        <v>-40347000</v>
      </c>
    </row>
    <row r="241" spans="1:14" x14ac:dyDescent="0.25">
      <c r="A241" s="7" t="s">
        <v>189</v>
      </c>
      <c r="B241" s="2" t="s">
        <v>240</v>
      </c>
      <c r="D241" s="1" t="s">
        <v>415</v>
      </c>
      <c r="E241" s="2" t="s">
        <v>21</v>
      </c>
      <c r="F241" s="2" t="s">
        <v>138</v>
      </c>
      <c r="G241" s="31">
        <v>0.99999700000000002</v>
      </c>
      <c r="H241" s="36">
        <v>113562000</v>
      </c>
      <c r="I241" s="40">
        <v>-7244000</v>
      </c>
      <c r="J241" s="36">
        <v>0</v>
      </c>
      <c r="K241" s="36">
        <v>0</v>
      </c>
      <c r="L241" s="36">
        <v>89764000</v>
      </c>
      <c r="M241" s="36">
        <v>51000</v>
      </c>
      <c r="N241" s="36">
        <f t="shared" si="17"/>
        <v>-89815000</v>
      </c>
    </row>
    <row r="242" spans="1:14" x14ac:dyDescent="0.25">
      <c r="A242" s="7" t="s">
        <v>189</v>
      </c>
      <c r="B242" s="2" t="s">
        <v>241</v>
      </c>
      <c r="D242" s="1" t="s">
        <v>415</v>
      </c>
      <c r="E242" s="2" t="s">
        <v>21</v>
      </c>
      <c r="F242" s="2" t="s">
        <v>65</v>
      </c>
      <c r="G242" s="31">
        <v>0.99990000000000001</v>
      </c>
      <c r="H242" s="36">
        <v>9826139000</v>
      </c>
      <c r="I242" s="40">
        <v>-547729000</v>
      </c>
      <c r="J242" s="36">
        <v>0</v>
      </c>
      <c r="K242" s="36">
        <v>0</v>
      </c>
      <c r="L242" s="36">
        <v>958888000</v>
      </c>
      <c r="M242" s="36">
        <v>865656000</v>
      </c>
      <c r="N242" s="36">
        <f t="shared" si="17"/>
        <v>-1824544000</v>
      </c>
    </row>
    <row r="243" spans="1:14" x14ac:dyDescent="0.25">
      <c r="A243" s="7" t="s">
        <v>189</v>
      </c>
      <c r="B243" s="2" t="s">
        <v>242</v>
      </c>
      <c r="D243" s="1" t="s">
        <v>415</v>
      </c>
      <c r="E243" s="2" t="s">
        <v>22</v>
      </c>
      <c r="F243" s="2" t="s">
        <v>27</v>
      </c>
      <c r="G243" s="31">
        <v>0.50258899999999995</v>
      </c>
      <c r="H243" s="36">
        <v>19551688000</v>
      </c>
      <c r="I243" s="40">
        <v>2835068000</v>
      </c>
      <c r="J243" s="36">
        <v>353761000</v>
      </c>
      <c r="K243" s="36">
        <v>0</v>
      </c>
      <c r="L243" s="36">
        <v>0</v>
      </c>
      <c r="M243" s="36">
        <v>5000000000</v>
      </c>
    </row>
    <row r="244" spans="1:14" x14ac:dyDescent="0.25">
      <c r="A244" s="7" t="s">
        <v>189</v>
      </c>
      <c r="B244" s="2" t="s">
        <v>243</v>
      </c>
      <c r="D244" s="1" t="s">
        <v>415</v>
      </c>
      <c r="E244" s="2" t="s">
        <v>22</v>
      </c>
      <c r="F244" s="2" t="s">
        <v>49</v>
      </c>
      <c r="G244" s="31">
        <v>1</v>
      </c>
      <c r="H244" s="36">
        <v>564053000</v>
      </c>
      <c r="I244" s="40">
        <v>59707000</v>
      </c>
      <c r="J244" s="36">
        <v>15439000</v>
      </c>
      <c r="K244" s="36">
        <v>0</v>
      </c>
      <c r="L244" s="36">
        <v>0</v>
      </c>
      <c r="M244" s="36">
        <v>10424000</v>
      </c>
    </row>
    <row r="245" spans="1:14" x14ac:dyDescent="0.25">
      <c r="A245" s="7" t="s">
        <v>189</v>
      </c>
      <c r="B245" s="2" t="s">
        <v>244</v>
      </c>
      <c r="D245" s="1" t="s">
        <v>415</v>
      </c>
      <c r="E245" s="2" t="s">
        <v>22</v>
      </c>
      <c r="F245" s="2" t="s">
        <v>26</v>
      </c>
      <c r="G245" s="31">
        <v>0.94730800000000004</v>
      </c>
      <c r="H245" s="36">
        <v>162454000</v>
      </c>
      <c r="I245" s="40">
        <v>6341000</v>
      </c>
      <c r="J245" s="36">
        <v>1428000</v>
      </c>
      <c r="K245" s="36">
        <v>0</v>
      </c>
      <c r="L245" s="36">
        <v>0</v>
      </c>
      <c r="M245" s="36">
        <v>0</v>
      </c>
    </row>
    <row r="246" spans="1:14" x14ac:dyDescent="0.25">
      <c r="A246" s="7" t="s">
        <v>189</v>
      </c>
      <c r="B246" s="2" t="s">
        <v>245</v>
      </c>
      <c r="D246" s="1" t="s">
        <v>415</v>
      </c>
      <c r="E246" s="2" t="s">
        <v>22</v>
      </c>
      <c r="F246" s="2" t="s">
        <v>65</v>
      </c>
      <c r="G246" s="31">
        <v>0.97029200000000004</v>
      </c>
      <c r="H246" s="36">
        <v>32291500000</v>
      </c>
      <c r="I246" s="40">
        <v>-519184000</v>
      </c>
      <c r="J246" s="36">
        <v>0</v>
      </c>
      <c r="K246" s="36">
        <v>0</v>
      </c>
      <c r="L246" s="36">
        <v>0</v>
      </c>
      <c r="M246" s="36">
        <v>2055429000</v>
      </c>
    </row>
    <row r="247" spans="1:14" x14ac:dyDescent="0.25">
      <c r="A247" s="7" t="s">
        <v>189</v>
      </c>
      <c r="B247" s="2" t="s">
        <v>246</v>
      </c>
      <c r="D247" s="1" t="s">
        <v>415</v>
      </c>
      <c r="E247" s="2" t="s">
        <v>22</v>
      </c>
      <c r="F247" s="2" t="s">
        <v>26</v>
      </c>
      <c r="G247" s="31">
        <v>0.99997999999999998</v>
      </c>
      <c r="H247" s="36">
        <v>1060213000</v>
      </c>
      <c r="I247" s="40">
        <v>14736000</v>
      </c>
      <c r="J247" s="36">
        <v>5748000</v>
      </c>
      <c r="K247" s="36">
        <v>0</v>
      </c>
      <c r="L247" s="36">
        <v>0</v>
      </c>
      <c r="M247" s="36">
        <v>0</v>
      </c>
    </row>
    <row r="248" spans="1:14" x14ac:dyDescent="0.25">
      <c r="A248" s="7" t="s">
        <v>189</v>
      </c>
      <c r="B248" s="2" t="s">
        <v>247</v>
      </c>
      <c r="D248" s="1" t="s">
        <v>415</v>
      </c>
      <c r="E248" s="2" t="s">
        <v>22</v>
      </c>
      <c r="F248" s="2" t="s">
        <v>65</v>
      </c>
      <c r="G248" s="31">
        <v>1</v>
      </c>
      <c r="H248" s="36">
        <v>2155763000</v>
      </c>
      <c r="I248" s="40">
        <v>-23642000</v>
      </c>
      <c r="J248" s="36">
        <v>0</v>
      </c>
      <c r="K248" s="36">
        <v>0</v>
      </c>
      <c r="L248" s="36">
        <v>0</v>
      </c>
      <c r="M248" s="36">
        <v>347000000</v>
      </c>
    </row>
    <row r="249" spans="1:14" x14ac:dyDescent="0.25">
      <c r="A249" s="7" t="s">
        <v>189</v>
      </c>
      <c r="B249" s="2" t="s">
        <v>247</v>
      </c>
      <c r="D249" s="1" t="s">
        <v>415</v>
      </c>
      <c r="E249" s="2" t="s">
        <v>22</v>
      </c>
      <c r="F249" s="2" t="s">
        <v>65</v>
      </c>
      <c r="G249" s="31">
        <v>0</v>
      </c>
      <c r="H249" s="36">
        <v>0</v>
      </c>
      <c r="I249" s="40">
        <v>0</v>
      </c>
      <c r="J249" s="36">
        <v>0</v>
      </c>
      <c r="K249" s="36">
        <v>0</v>
      </c>
      <c r="L249" s="36">
        <v>0</v>
      </c>
      <c r="M249" s="36">
        <v>186488000</v>
      </c>
    </row>
    <row r="250" spans="1:14" x14ac:dyDescent="0.25">
      <c r="A250" s="7" t="s">
        <v>189</v>
      </c>
      <c r="B250" s="2" t="s">
        <v>248</v>
      </c>
      <c r="D250" s="1" t="s">
        <v>415</v>
      </c>
      <c r="E250" s="2" t="s">
        <v>22</v>
      </c>
      <c r="F250" s="2" t="s">
        <v>66</v>
      </c>
      <c r="G250" s="31">
        <v>0.38990000000000002</v>
      </c>
      <c r="H250" s="36">
        <v>868855000</v>
      </c>
      <c r="I250" s="40">
        <v>101517000</v>
      </c>
      <c r="J250" s="36">
        <v>0</v>
      </c>
      <c r="K250" s="36">
        <v>0</v>
      </c>
      <c r="L250" s="36">
        <v>0</v>
      </c>
      <c r="M250" s="36">
        <v>0</v>
      </c>
    </row>
    <row r="251" spans="1:14" x14ac:dyDescent="0.25">
      <c r="A251" s="7" t="s">
        <v>189</v>
      </c>
      <c r="B251" s="2" t="s">
        <v>249</v>
      </c>
      <c r="D251" s="1" t="s">
        <v>415</v>
      </c>
      <c r="E251" s="2" t="s">
        <v>22</v>
      </c>
      <c r="F251" s="2" t="s">
        <v>48</v>
      </c>
      <c r="G251" s="31">
        <v>0.999996</v>
      </c>
      <c r="H251" s="36">
        <v>9628440000</v>
      </c>
      <c r="I251" s="40">
        <v>311720000</v>
      </c>
      <c r="J251" s="36">
        <v>0</v>
      </c>
      <c r="K251" s="36">
        <v>0</v>
      </c>
      <c r="L251" s="36">
        <v>0</v>
      </c>
      <c r="M251" s="36">
        <v>611250000</v>
      </c>
    </row>
    <row r="252" spans="1:14" x14ac:dyDescent="0.25">
      <c r="A252" s="7" t="s">
        <v>189</v>
      </c>
      <c r="B252" s="2" t="s">
        <v>250</v>
      </c>
      <c r="D252" s="1" t="s">
        <v>415</v>
      </c>
      <c r="E252" s="2" t="s">
        <v>22</v>
      </c>
      <c r="F252" s="2" t="s">
        <v>29</v>
      </c>
      <c r="G252" s="31">
        <v>0.99978800000000001</v>
      </c>
      <c r="H252" s="36">
        <v>67021000</v>
      </c>
      <c r="I252" s="40">
        <v>-13154000</v>
      </c>
      <c r="J252" s="36">
        <v>0</v>
      </c>
      <c r="K252" s="36">
        <v>0</v>
      </c>
      <c r="L252" s="36">
        <v>0</v>
      </c>
      <c r="M252" s="36">
        <v>0</v>
      </c>
    </row>
    <row r="253" spans="1:14" x14ac:dyDescent="0.25">
      <c r="A253" s="7" t="s">
        <v>189</v>
      </c>
      <c r="B253" s="2" t="s">
        <v>251</v>
      </c>
      <c r="D253" s="1" t="s">
        <v>415</v>
      </c>
      <c r="E253" s="2" t="s">
        <v>22</v>
      </c>
      <c r="F253" s="2" t="s">
        <v>29</v>
      </c>
      <c r="G253" s="31">
        <v>0.99970300000000001</v>
      </c>
      <c r="H253" s="36">
        <v>383299000</v>
      </c>
      <c r="I253" s="40">
        <v>59811000</v>
      </c>
      <c r="J253" s="36">
        <v>10656000</v>
      </c>
      <c r="K253" s="36">
        <v>0</v>
      </c>
      <c r="L253" s="36">
        <v>0</v>
      </c>
      <c r="M253" s="36">
        <v>8137000</v>
      </c>
    </row>
    <row r="254" spans="1:14" x14ac:dyDescent="0.25">
      <c r="A254" s="7" t="s">
        <v>189</v>
      </c>
      <c r="B254" s="2" t="s">
        <v>252</v>
      </c>
      <c r="D254" s="1" t="s">
        <v>415</v>
      </c>
      <c r="E254" s="2" t="s">
        <v>22</v>
      </c>
      <c r="F254" s="2" t="s">
        <v>29</v>
      </c>
      <c r="G254" s="31">
        <v>1</v>
      </c>
      <c r="H254" s="36">
        <v>1753058000</v>
      </c>
      <c r="I254" s="40">
        <v>112269000</v>
      </c>
      <c r="J254" s="36">
        <v>31464000</v>
      </c>
      <c r="K254" s="36">
        <v>0</v>
      </c>
      <c r="L254" s="36">
        <v>0</v>
      </c>
      <c r="M254" s="36">
        <v>65128000</v>
      </c>
    </row>
    <row r="255" spans="1:14" x14ac:dyDescent="0.25">
      <c r="A255" s="7" t="s">
        <v>189</v>
      </c>
      <c r="B255" s="2" t="s">
        <v>253</v>
      </c>
      <c r="D255" s="1" t="s">
        <v>415</v>
      </c>
      <c r="E255" s="2" t="s">
        <v>22</v>
      </c>
      <c r="F255" s="2" t="s">
        <v>31</v>
      </c>
      <c r="G255" s="31">
        <v>0.99997100000000005</v>
      </c>
      <c r="H255" s="36">
        <v>296449000</v>
      </c>
      <c r="I255" s="40">
        <v>61247000</v>
      </c>
      <c r="J255" s="36">
        <v>69429000</v>
      </c>
      <c r="K255" s="36">
        <v>0</v>
      </c>
      <c r="L255" s="36">
        <v>0</v>
      </c>
      <c r="M255" s="36">
        <v>0</v>
      </c>
    </row>
    <row r="256" spans="1:14" x14ac:dyDescent="0.25">
      <c r="A256" s="7" t="s">
        <v>189</v>
      </c>
      <c r="B256" s="2" t="s">
        <v>254</v>
      </c>
      <c r="D256" s="1" t="s">
        <v>415</v>
      </c>
      <c r="E256" s="2" t="s">
        <v>22</v>
      </c>
      <c r="F256" s="2" t="s">
        <v>29</v>
      </c>
      <c r="G256" s="31">
        <v>1</v>
      </c>
      <c r="H256" s="36">
        <v>1463345000</v>
      </c>
      <c r="I256" s="40">
        <v>29331000</v>
      </c>
      <c r="J256" s="36">
        <v>0</v>
      </c>
      <c r="K256" s="36">
        <v>0</v>
      </c>
      <c r="L256" s="36">
        <v>0</v>
      </c>
      <c r="M256" s="36">
        <v>65822000</v>
      </c>
    </row>
    <row r="257" spans="1:13" x14ac:dyDescent="0.25">
      <c r="A257" s="1" t="s">
        <v>193</v>
      </c>
      <c r="B257" s="2" t="s">
        <v>190</v>
      </c>
      <c r="D257" s="1" t="s">
        <v>415</v>
      </c>
      <c r="E257" s="2" t="s">
        <v>22</v>
      </c>
      <c r="F257" s="2" t="s">
        <v>23</v>
      </c>
      <c r="G257" s="31">
        <v>0.99399999999999999</v>
      </c>
      <c r="H257" s="36">
        <v>17000210.629999999</v>
      </c>
      <c r="I257" s="40">
        <v>-2971679.58</v>
      </c>
    </row>
    <row r="258" spans="1:13" x14ac:dyDescent="0.25">
      <c r="A258" s="1" t="s">
        <v>193</v>
      </c>
      <c r="B258" s="2" t="s">
        <v>191</v>
      </c>
      <c r="D258" s="1" t="s">
        <v>415</v>
      </c>
      <c r="E258" s="2" t="s">
        <v>22</v>
      </c>
      <c r="F258" s="2" t="s">
        <v>275</v>
      </c>
      <c r="G258" s="31">
        <v>0.99439999999999995</v>
      </c>
      <c r="H258" s="36">
        <v>42141024.75</v>
      </c>
      <c r="I258" s="40">
        <v>490802.29</v>
      </c>
    </row>
    <row r="259" spans="1:13" x14ac:dyDescent="0.25">
      <c r="A259" s="1" t="s">
        <v>193</v>
      </c>
      <c r="B259" s="2" t="s">
        <v>192</v>
      </c>
      <c r="D259" s="2" t="s">
        <v>349</v>
      </c>
      <c r="E259" s="2" t="s">
        <v>22</v>
      </c>
      <c r="F259" s="2" t="s">
        <v>401</v>
      </c>
      <c r="G259" s="31">
        <v>0.99970000000000003</v>
      </c>
      <c r="H259" s="36">
        <v>1191066.3999999999</v>
      </c>
      <c r="I259" s="40">
        <v>-93687.43</v>
      </c>
      <c r="M259" s="36">
        <v>185000</v>
      </c>
    </row>
  </sheetData>
  <conditionalFormatting sqref="B1:D31 B32:C32 B33:D1048576">
    <cfRule type="containsText" dxfId="7" priority="5" operator="containsText" text="Não tem Quadro">
      <formula>NOT(ISERROR(SEARCH("Não tem Quadro",B1)))</formula>
    </cfRule>
  </conditionalFormatting>
  <conditionalFormatting sqref="B185:D185">
    <cfRule type="containsText" dxfId="6" priority="4" operator="containsText" text="Não tem Quadro">
      <formula>NOT(ISERROR(SEARCH("Não tem Quadro",B185)))</formula>
    </cfRule>
  </conditionalFormatting>
  <conditionalFormatting sqref="B7:B223">
    <cfRule type="containsText" dxfId="5" priority="1" operator="containsText" text="SANEAMENTO">
      <formula>NOT(ISERROR(SEARCH("SANEAMENTO",B7)))</formula>
    </cfRule>
    <cfRule type="containsText" dxfId="4" priority="2" operator="containsText" text="Esgoto">
      <formula>NOT(ISERROR(SEARCH("Esgoto",B7)))</formula>
    </cfRule>
    <cfRule type="containsText" dxfId="3" priority="3" operator="containsText" text="água">
      <formula>NOT(ISERROR(SEARCH("água",B7)))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38 G3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23DA-CA76-413E-8613-6D7283563F16}">
  <sheetPr codeName="Planilha4"/>
  <dimension ref="A1:G21"/>
  <sheetViews>
    <sheetView workbookViewId="0">
      <selection activeCell="K14" sqref="K14"/>
    </sheetView>
  </sheetViews>
  <sheetFormatPr defaultRowHeight="15" x14ac:dyDescent="0.25"/>
  <cols>
    <col min="1" max="1" width="6.85546875" bestFit="1" customWidth="1"/>
    <col min="2" max="2" width="16.42578125" bestFit="1" customWidth="1"/>
    <col min="3" max="3" width="26.140625" bestFit="1" customWidth="1"/>
    <col min="4" max="4" width="40.42578125" bestFit="1" customWidth="1"/>
    <col min="5" max="5" width="21.7109375" bestFit="1" customWidth="1"/>
    <col min="6" max="6" width="21" bestFit="1" customWidth="1"/>
    <col min="7" max="7" width="10" bestFit="1" customWidth="1"/>
  </cols>
  <sheetData>
    <row r="1" spans="1:7" x14ac:dyDescent="0.25">
      <c r="A1" s="3" t="s">
        <v>0</v>
      </c>
      <c r="B1" s="3" t="s">
        <v>2</v>
      </c>
      <c r="C1" s="3" t="s">
        <v>279</v>
      </c>
      <c r="D1" s="3" t="s">
        <v>1</v>
      </c>
      <c r="E1" s="3" t="s">
        <v>354</v>
      </c>
      <c r="F1" s="3" t="s">
        <v>355</v>
      </c>
      <c r="G1" s="23" t="s">
        <v>364</v>
      </c>
    </row>
    <row r="2" spans="1:7" ht="15.75" thickBot="1" x14ac:dyDescent="0.3">
      <c r="B2" s="18" t="s">
        <v>350</v>
      </c>
      <c r="C2" s="20" t="s">
        <v>351</v>
      </c>
      <c r="D2" s="16" t="s">
        <v>28</v>
      </c>
      <c r="E2" s="16">
        <f>1000*9800029</f>
        <v>9800029000</v>
      </c>
      <c r="F2" s="16">
        <f>1000*72851</f>
        <v>72851000</v>
      </c>
      <c r="G2" s="24">
        <f>F2/E2</f>
        <v>7.4337535123620551E-3</v>
      </c>
    </row>
    <row r="3" spans="1:7" ht="15.75" thickBot="1" x14ac:dyDescent="0.3">
      <c r="B3" s="21" t="s">
        <v>352</v>
      </c>
      <c r="C3" s="20" t="s">
        <v>353</v>
      </c>
      <c r="D3" s="16" t="s">
        <v>28</v>
      </c>
      <c r="E3" s="16">
        <f>1000*283543000</f>
        <v>283543000000</v>
      </c>
      <c r="F3" s="16">
        <f>1000*7125000</f>
        <v>7125000000</v>
      </c>
      <c r="G3" s="24">
        <f t="shared" ref="G3:G21" si="0">F3/E3</f>
        <v>2.5128463760346754E-2</v>
      </c>
    </row>
    <row r="4" spans="1:7" ht="30.75" thickBot="1" x14ac:dyDescent="0.3">
      <c r="B4" s="21" t="s">
        <v>356</v>
      </c>
      <c r="C4" s="20" t="s">
        <v>357</v>
      </c>
      <c r="D4" s="16" t="s">
        <v>28</v>
      </c>
      <c r="E4" s="16">
        <f>1000*9686000</f>
        <v>9686000000</v>
      </c>
      <c r="F4" s="16">
        <f>247000*1000</f>
        <v>247000000</v>
      </c>
      <c r="G4" s="24">
        <f t="shared" si="0"/>
        <v>2.5500722692545944E-2</v>
      </c>
    </row>
    <row r="5" spans="1:7" x14ac:dyDescent="0.25">
      <c r="B5" s="18" t="s">
        <v>358</v>
      </c>
      <c r="C5" s="20" t="s">
        <v>359</v>
      </c>
      <c r="D5" s="16" t="s">
        <v>28</v>
      </c>
      <c r="E5" s="16">
        <f>10923133*1000</f>
        <v>10923133000</v>
      </c>
      <c r="F5" s="16">
        <f>1000*377714</f>
        <v>377714000</v>
      </c>
      <c r="G5" s="24">
        <f t="shared" si="0"/>
        <v>3.4579273181055289E-2</v>
      </c>
    </row>
    <row r="6" spans="1:7" ht="15.75" thickBot="1" x14ac:dyDescent="0.3">
      <c r="B6" s="18" t="s">
        <v>360</v>
      </c>
      <c r="C6" s="20" t="s">
        <v>361</v>
      </c>
      <c r="D6" s="16" t="s">
        <v>28</v>
      </c>
      <c r="E6" s="16">
        <f>1000*-376350</f>
        <v>-376350000</v>
      </c>
      <c r="F6" s="16">
        <f>1000*64069</f>
        <v>64069000</v>
      </c>
      <c r="G6" s="24">
        <f t="shared" si="0"/>
        <v>-0.17023781054869139</v>
      </c>
    </row>
    <row r="7" spans="1:7" ht="30.75" thickBot="1" x14ac:dyDescent="0.3">
      <c r="B7" s="21" t="s">
        <v>362</v>
      </c>
      <c r="C7" s="20" t="s">
        <v>363</v>
      </c>
      <c r="D7" s="16" t="s">
        <v>28</v>
      </c>
      <c r="E7" s="16">
        <f>1000*3199587</f>
        <v>3199587000</v>
      </c>
      <c r="F7" s="16">
        <f>1000*159084</f>
        <v>159084000</v>
      </c>
      <c r="G7" s="24">
        <f t="shared" si="0"/>
        <v>4.9720167009054607E-2</v>
      </c>
    </row>
    <row r="8" spans="1:7" x14ac:dyDescent="0.25">
      <c r="B8" s="18" t="s">
        <v>365</v>
      </c>
      <c r="C8" s="20" t="s">
        <v>366</v>
      </c>
      <c r="D8" s="16" t="s">
        <v>28</v>
      </c>
      <c r="E8" s="16">
        <f>1000*1006596</f>
        <v>1006596000</v>
      </c>
      <c r="F8" s="16">
        <f>1000*2694</f>
        <v>2694000</v>
      </c>
      <c r="G8" s="24">
        <f t="shared" si="0"/>
        <v>2.6763468163990322E-3</v>
      </c>
    </row>
    <row r="9" spans="1:7" x14ac:dyDescent="0.25">
      <c r="B9" s="18" t="s">
        <v>367</v>
      </c>
      <c r="C9" s="20" t="s">
        <v>368</v>
      </c>
      <c r="D9" s="16" t="s">
        <v>28</v>
      </c>
      <c r="E9" s="16">
        <f>1293337*1000</f>
        <v>1293337000</v>
      </c>
      <c r="F9" s="16">
        <f>1000*50415</f>
        <v>50415000</v>
      </c>
      <c r="G9" s="24">
        <f t="shared" si="0"/>
        <v>3.8980559591197034E-2</v>
      </c>
    </row>
    <row r="10" spans="1:7" x14ac:dyDescent="0.25">
      <c r="B10" s="18" t="s">
        <v>369</v>
      </c>
      <c r="C10" s="20" t="s">
        <v>370</v>
      </c>
      <c r="D10" s="16" t="s">
        <v>28</v>
      </c>
      <c r="E10" s="16">
        <f>2721324*1000</f>
        <v>2721324000</v>
      </c>
      <c r="F10" s="16">
        <f>179093*1000</f>
        <v>179093000</v>
      </c>
      <c r="G10" s="24">
        <f t="shared" si="0"/>
        <v>6.5810980243440328E-2</v>
      </c>
    </row>
    <row r="11" spans="1:7" x14ac:dyDescent="0.25">
      <c r="B11" s="18" t="s">
        <v>371</v>
      </c>
      <c r="C11" s="20" t="s">
        <v>372</v>
      </c>
      <c r="D11" s="16" t="s">
        <v>27</v>
      </c>
      <c r="E11" s="16">
        <f>1246082*1000</f>
        <v>1246082000</v>
      </c>
      <c r="F11" s="16">
        <f>1000*-29533</f>
        <v>-29533000</v>
      </c>
      <c r="G11" s="24">
        <f t="shared" si="0"/>
        <v>-2.3700687434695309E-2</v>
      </c>
    </row>
    <row r="12" spans="1:7" x14ac:dyDescent="0.25">
      <c r="B12" s="18" t="s">
        <v>373</v>
      </c>
      <c r="C12" s="20" t="s">
        <v>374</v>
      </c>
      <c r="D12" s="16" t="s">
        <v>27</v>
      </c>
      <c r="E12" s="16">
        <f>19551688*1000</f>
        <v>19551688000</v>
      </c>
      <c r="F12" s="16">
        <f>1000*580431</f>
        <v>580431000</v>
      </c>
      <c r="G12" s="24">
        <f t="shared" si="0"/>
        <v>2.968700196116059E-2</v>
      </c>
    </row>
    <row r="13" spans="1:7" x14ac:dyDescent="0.25">
      <c r="B13" s="18" t="s">
        <v>375</v>
      </c>
      <c r="C13" s="20" t="s">
        <v>376</v>
      </c>
      <c r="D13" s="16" t="s">
        <v>27</v>
      </c>
      <c r="E13" s="16">
        <f>1000*6226633</f>
        <v>6226633000</v>
      </c>
      <c r="F13" s="16">
        <f>1000*164233</f>
        <v>164233000</v>
      </c>
      <c r="G13" s="24">
        <f t="shared" si="0"/>
        <v>2.6375892075219464E-2</v>
      </c>
    </row>
    <row r="14" spans="1:7" x14ac:dyDescent="0.25">
      <c r="B14" s="18" t="s">
        <v>377</v>
      </c>
      <c r="C14" s="22" t="s">
        <v>378</v>
      </c>
      <c r="D14" s="16" t="s">
        <v>27</v>
      </c>
      <c r="E14" s="16">
        <f>5717188*1000</f>
        <v>5717188000</v>
      </c>
      <c r="F14" s="16">
        <f>186911*1000</f>
        <v>186911000</v>
      </c>
      <c r="G14" s="24">
        <f t="shared" si="0"/>
        <v>3.2692820316561219E-2</v>
      </c>
    </row>
    <row r="15" spans="1:7" x14ac:dyDescent="0.25">
      <c r="B15" s="18" t="s">
        <v>379</v>
      </c>
      <c r="C15" s="20" t="s">
        <v>380</v>
      </c>
      <c r="D15" s="16" t="s">
        <v>27</v>
      </c>
      <c r="E15" s="16">
        <f>646262*1000</f>
        <v>646262000</v>
      </c>
      <c r="F15" s="16">
        <f>8335*1000</f>
        <v>8335000</v>
      </c>
      <c r="G15" s="24">
        <f t="shared" si="0"/>
        <v>1.2897246008584754E-2</v>
      </c>
    </row>
    <row r="16" spans="1:7" x14ac:dyDescent="0.25">
      <c r="B16" s="18" t="s">
        <v>381</v>
      </c>
      <c r="C16" s="19" t="s">
        <v>382</v>
      </c>
      <c r="D16" s="16" t="s">
        <v>383</v>
      </c>
      <c r="E16" s="16">
        <f>1523474*1000</f>
        <v>1523474000</v>
      </c>
      <c r="F16" s="16">
        <f>54758*1000</f>
        <v>54758000</v>
      </c>
      <c r="G16" s="24">
        <f t="shared" si="0"/>
        <v>3.594285166665135E-2</v>
      </c>
    </row>
    <row r="17" spans="2:7" x14ac:dyDescent="0.25">
      <c r="B17" s="18" t="s">
        <v>384</v>
      </c>
      <c r="C17" s="19" t="s">
        <v>385</v>
      </c>
      <c r="D17" s="16" t="s">
        <v>383</v>
      </c>
      <c r="E17" s="16">
        <f>6261709*1000</f>
        <v>6261709000</v>
      </c>
      <c r="F17" s="16">
        <f>129429*1000</f>
        <v>129429000</v>
      </c>
      <c r="G17" s="24">
        <f t="shared" si="0"/>
        <v>2.0669916152283665E-2</v>
      </c>
    </row>
    <row r="18" spans="2:7" ht="15.75" thickBot="1" x14ac:dyDescent="0.3">
      <c r="B18" s="18" t="s">
        <v>386</v>
      </c>
      <c r="C18" s="20" t="s">
        <v>387</v>
      </c>
      <c r="D18" s="16" t="s">
        <v>390</v>
      </c>
      <c r="E18" s="16">
        <f>1248499*1000</f>
        <v>1248499000</v>
      </c>
      <c r="F18" s="16">
        <f>25091*1000</f>
        <v>25091000</v>
      </c>
      <c r="G18" s="24">
        <f t="shared" si="0"/>
        <v>2.0096932396421623E-2</v>
      </c>
    </row>
    <row r="19" spans="2:7" ht="15.75" thickBot="1" x14ac:dyDescent="0.3">
      <c r="B19" s="21" t="s">
        <v>389</v>
      </c>
      <c r="C19" s="20" t="s">
        <v>388</v>
      </c>
      <c r="D19" s="16" t="s">
        <v>390</v>
      </c>
      <c r="E19" s="16">
        <f>48437*1000</f>
        <v>48437000</v>
      </c>
      <c r="F19" s="16">
        <f>13996*1000</f>
        <v>13996000</v>
      </c>
      <c r="G19" s="24">
        <f t="shared" si="0"/>
        <v>0.28895266015649196</v>
      </c>
    </row>
    <row r="20" spans="2:7" ht="15.75" thickBot="1" x14ac:dyDescent="0.3">
      <c r="B20" s="18" t="s">
        <v>391</v>
      </c>
      <c r="C20" s="19" t="s">
        <v>392</v>
      </c>
      <c r="D20" s="16" t="s">
        <v>390</v>
      </c>
      <c r="E20" s="16">
        <f>105113*1000</f>
        <v>105113000</v>
      </c>
      <c r="F20" s="16">
        <f>-(600)*1000</f>
        <v>-600000</v>
      </c>
      <c r="G20" s="24">
        <f t="shared" si="0"/>
        <v>-5.7081426655123529E-3</v>
      </c>
    </row>
    <row r="21" spans="2:7" ht="15.75" thickBot="1" x14ac:dyDescent="0.3">
      <c r="B21" s="21" t="s">
        <v>394</v>
      </c>
      <c r="C21" s="20" t="s">
        <v>393</v>
      </c>
      <c r="D21" s="16" t="s">
        <v>390</v>
      </c>
      <c r="E21" s="16">
        <f>-354627*1000</f>
        <v>-354627000</v>
      </c>
      <c r="F21" s="16">
        <v>41772</v>
      </c>
      <c r="G21" s="24">
        <f t="shared" si="0"/>
        <v>-1.1779136952347115E-4</v>
      </c>
    </row>
  </sheetData>
  <conditionalFormatting sqref="B1:C1">
    <cfRule type="containsText" dxfId="0" priority="1" operator="containsText" text="Não tem Quadro">
      <formula>NOT(ISERROR(SEARCH("Não tem Quadro",B1)))</formula>
    </cfRule>
  </conditionalFormatting>
  <hyperlinks>
    <hyperlink ref="C2" r:id="rId1" display="javascript:;" xr:uid="{B8C01B1B-3A5F-4FB4-ACE2-9C8F1EDB1C2A}"/>
    <hyperlink ref="C3" r:id="rId2" display="javascript:;" xr:uid="{20BE742D-49FC-44D8-9586-8AD45AC8DE10}"/>
    <hyperlink ref="C4" r:id="rId3" display="javascript:;" xr:uid="{DDABF640-378A-4E4C-B2E0-538346257D16}"/>
    <hyperlink ref="C5" r:id="rId4" display="javascript:;" xr:uid="{BC74223B-2884-4FD3-B2ED-F5D5CC00A27A}"/>
    <hyperlink ref="C6" r:id="rId5" display="javascript:;" xr:uid="{3ED9F169-219A-4923-8F34-23C87C8B48EC}"/>
    <hyperlink ref="C7" r:id="rId6" display="javascript:;" xr:uid="{065FEFB0-048A-4D2A-AA55-BA39C07EBC46}"/>
    <hyperlink ref="C8" r:id="rId7" display="javascript:;" xr:uid="{CB71BABD-92A8-4DB4-82F6-EB65E3841EA9}"/>
    <hyperlink ref="C9" r:id="rId8" display="javascript:;" xr:uid="{9624D2F3-A508-4F29-BB57-52409B462163}"/>
    <hyperlink ref="C10" r:id="rId9" display="javascript:;" xr:uid="{8CA45F65-AA2F-48D7-A75A-24171881F2AC}"/>
    <hyperlink ref="C11" r:id="rId10" display="javascript:;" xr:uid="{60E47B07-58DD-4E75-A058-47D3D9E511C4}"/>
    <hyperlink ref="C12" r:id="rId11" display="javascript:;" xr:uid="{F31CEE54-253D-4609-BADC-D29616371B9F}"/>
    <hyperlink ref="C13" r:id="rId12" display="javascript:;" xr:uid="{DF8377BE-69F7-4C52-9121-BA63EA5B180D}"/>
    <hyperlink ref="C15" r:id="rId13" display="javascript:;" xr:uid="{46ECB271-94C0-49FC-AC46-8C1BB2EEF922}"/>
    <hyperlink ref="C18" r:id="rId14" display="javascript:;" xr:uid="{9CA47EDC-A686-4C3A-B49A-7005C44F21F6}"/>
    <hyperlink ref="C19" r:id="rId15" display="javascript:;" xr:uid="{9C4A1604-9143-47ED-828C-CD513CEE486F}"/>
    <hyperlink ref="C21" r:id="rId16" display="javascript:;" xr:uid="{52BC8C7B-0A61-4795-8D88-E4A0DC6B9F20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AB0A-AA04-4F1C-A8D3-766A71243D14}">
  <sheetPr codeName="Planilha5"/>
  <dimension ref="A3:E25"/>
  <sheetViews>
    <sheetView workbookViewId="0">
      <selection activeCell="A5" sqref="A5:D24"/>
    </sheetView>
  </sheetViews>
  <sheetFormatPr defaultRowHeight="15" x14ac:dyDescent="0.25"/>
  <cols>
    <col min="1" max="1" width="21" bestFit="1" customWidth="1"/>
    <col min="2" max="2" width="19.5703125" bestFit="1" customWidth="1"/>
    <col min="3" max="3" width="16.28515625" bestFit="1" customWidth="1"/>
    <col min="4" max="4" width="14.42578125" bestFit="1" customWidth="1"/>
    <col min="5" max="5" width="10.7109375" bestFit="1" customWidth="1"/>
  </cols>
  <sheetData>
    <row r="3" spans="1:5" x14ac:dyDescent="0.25">
      <c r="A3" s="12" t="s">
        <v>400</v>
      </c>
      <c r="B3" s="12" t="s">
        <v>411</v>
      </c>
    </row>
    <row r="4" spans="1:5" x14ac:dyDescent="0.25">
      <c r="A4" s="12" t="s">
        <v>295</v>
      </c>
      <c r="B4" t="s">
        <v>21</v>
      </c>
      <c r="C4" t="s">
        <v>22</v>
      </c>
      <c r="D4" t="s">
        <v>349</v>
      </c>
      <c r="E4" t="s">
        <v>297</v>
      </c>
    </row>
    <row r="5" spans="1:5" x14ac:dyDescent="0.25">
      <c r="A5" s="13" t="s">
        <v>29</v>
      </c>
      <c r="B5" s="14">
        <v>24</v>
      </c>
      <c r="C5" s="14">
        <v>22</v>
      </c>
      <c r="D5" s="14">
        <v>2</v>
      </c>
      <c r="E5" s="14">
        <v>48</v>
      </c>
    </row>
    <row r="6" spans="1:5" x14ac:dyDescent="0.25">
      <c r="A6" s="13" t="s">
        <v>23</v>
      </c>
      <c r="B6" s="14">
        <v>13</v>
      </c>
      <c r="C6" s="14">
        <v>14</v>
      </c>
      <c r="D6" s="14">
        <v>3</v>
      </c>
      <c r="E6" s="14">
        <v>30</v>
      </c>
    </row>
    <row r="7" spans="1:5" x14ac:dyDescent="0.25">
      <c r="A7" s="13" t="s">
        <v>27</v>
      </c>
      <c r="B7" s="14">
        <v>6</v>
      </c>
      <c r="C7" s="14">
        <v>19</v>
      </c>
      <c r="D7" s="14">
        <v>3</v>
      </c>
      <c r="E7" s="14">
        <v>28</v>
      </c>
    </row>
    <row r="8" spans="1:5" x14ac:dyDescent="0.25">
      <c r="A8" s="13" t="s">
        <v>26</v>
      </c>
      <c r="B8" s="14">
        <v>2</v>
      </c>
      <c r="C8" s="14">
        <v>18</v>
      </c>
      <c r="D8" s="14"/>
      <c r="E8" s="14">
        <v>20</v>
      </c>
    </row>
    <row r="9" spans="1:5" x14ac:dyDescent="0.25">
      <c r="A9" s="13" t="s">
        <v>47</v>
      </c>
      <c r="B9" s="14">
        <v>10</v>
      </c>
      <c r="C9" s="14">
        <v>8</v>
      </c>
      <c r="D9" s="14"/>
      <c r="E9" s="14">
        <v>18</v>
      </c>
    </row>
    <row r="10" spans="1:5" x14ac:dyDescent="0.25">
      <c r="A10" s="13" t="s">
        <v>65</v>
      </c>
      <c r="B10" s="14">
        <v>7</v>
      </c>
      <c r="C10" s="14">
        <v>9</v>
      </c>
      <c r="D10" s="14">
        <v>1</v>
      </c>
      <c r="E10" s="14">
        <v>17</v>
      </c>
    </row>
    <row r="11" spans="1:5" x14ac:dyDescent="0.25">
      <c r="A11" s="13" t="s">
        <v>28</v>
      </c>
      <c r="B11" s="14">
        <v>4</v>
      </c>
      <c r="C11" s="14">
        <v>11</v>
      </c>
      <c r="D11" s="14">
        <v>1</v>
      </c>
      <c r="E11" s="14">
        <v>16</v>
      </c>
    </row>
    <row r="12" spans="1:5" x14ac:dyDescent="0.25">
      <c r="A12" s="13" t="s">
        <v>66</v>
      </c>
      <c r="B12" s="14"/>
      <c r="C12" s="14">
        <v>12</v>
      </c>
      <c r="D12" s="14">
        <v>2</v>
      </c>
      <c r="E12" s="14">
        <v>14</v>
      </c>
    </row>
    <row r="13" spans="1:5" x14ac:dyDescent="0.25">
      <c r="A13" s="13" t="s">
        <v>49</v>
      </c>
      <c r="B13" s="14">
        <v>5</v>
      </c>
      <c r="C13" s="14">
        <v>8</v>
      </c>
      <c r="D13" s="14"/>
      <c r="E13" s="14">
        <v>13</v>
      </c>
    </row>
    <row r="14" spans="1:5" x14ac:dyDescent="0.25">
      <c r="A14" s="13" t="s">
        <v>24</v>
      </c>
      <c r="B14" s="14">
        <v>9</v>
      </c>
      <c r="C14" s="14">
        <v>2</v>
      </c>
      <c r="D14" s="14">
        <v>1</v>
      </c>
      <c r="E14" s="14">
        <v>12</v>
      </c>
    </row>
    <row r="15" spans="1:5" x14ac:dyDescent="0.25">
      <c r="A15" s="13" t="s">
        <v>25</v>
      </c>
      <c r="B15" s="14">
        <v>9</v>
      </c>
      <c r="C15" s="14"/>
      <c r="D15" s="14"/>
      <c r="E15" s="14">
        <v>9</v>
      </c>
    </row>
    <row r="16" spans="1:5" x14ac:dyDescent="0.25">
      <c r="A16" s="13" t="s">
        <v>48</v>
      </c>
      <c r="B16" s="14">
        <v>4</v>
      </c>
      <c r="C16" s="14">
        <v>4</v>
      </c>
      <c r="D16" s="14"/>
      <c r="E16" s="14">
        <v>8</v>
      </c>
    </row>
    <row r="17" spans="1:5" x14ac:dyDescent="0.25">
      <c r="A17" s="13" t="s">
        <v>30</v>
      </c>
      <c r="B17" s="14">
        <v>2</v>
      </c>
      <c r="C17" s="14">
        <v>6</v>
      </c>
      <c r="D17" s="14"/>
      <c r="E17" s="14">
        <v>8</v>
      </c>
    </row>
    <row r="18" spans="1:5" x14ac:dyDescent="0.25">
      <c r="A18" s="13" t="s">
        <v>138</v>
      </c>
      <c r="B18" s="14">
        <v>5</v>
      </c>
      <c r="C18" s="14">
        <v>1</v>
      </c>
      <c r="D18" s="14"/>
      <c r="E18" s="14">
        <v>6</v>
      </c>
    </row>
    <row r="19" spans="1:5" x14ac:dyDescent="0.25">
      <c r="A19" s="13" t="s">
        <v>31</v>
      </c>
      <c r="B19" s="14">
        <v>3</v>
      </c>
      <c r="C19" s="14">
        <v>3</v>
      </c>
      <c r="D19" s="14"/>
      <c r="E19" s="14">
        <v>6</v>
      </c>
    </row>
    <row r="20" spans="1:5" x14ac:dyDescent="0.25">
      <c r="A20" s="13" t="s">
        <v>275</v>
      </c>
      <c r="B20" s="14">
        <v>1</v>
      </c>
      <c r="C20" s="14"/>
      <c r="D20" s="14"/>
      <c r="E20" s="14">
        <v>1</v>
      </c>
    </row>
    <row r="21" spans="1:5" x14ac:dyDescent="0.25">
      <c r="A21" s="13" t="s">
        <v>98</v>
      </c>
      <c r="B21" s="14">
        <v>1</v>
      </c>
      <c r="C21" s="14"/>
      <c r="D21" s="14"/>
      <c r="E21" s="14">
        <v>1</v>
      </c>
    </row>
    <row r="22" spans="1:5" x14ac:dyDescent="0.25">
      <c r="A22" s="13" t="s">
        <v>401</v>
      </c>
      <c r="B22" s="14">
        <v>1</v>
      </c>
      <c r="C22" s="14"/>
      <c r="D22" s="14"/>
      <c r="E22" s="14">
        <v>1</v>
      </c>
    </row>
    <row r="23" spans="1:5" x14ac:dyDescent="0.25">
      <c r="A23" s="13" t="s">
        <v>223</v>
      </c>
      <c r="B23" s="14"/>
      <c r="C23" s="14">
        <v>1</v>
      </c>
      <c r="D23" s="14"/>
      <c r="E23" s="14">
        <v>1</v>
      </c>
    </row>
    <row r="24" spans="1:5" x14ac:dyDescent="0.25">
      <c r="A24" s="13" t="s">
        <v>402</v>
      </c>
      <c r="B24" s="14"/>
      <c r="C24" s="14"/>
      <c r="D24" s="14">
        <v>1</v>
      </c>
      <c r="E24" s="14">
        <v>1</v>
      </c>
    </row>
    <row r="25" spans="1:5" x14ac:dyDescent="0.25">
      <c r="A25" s="13" t="s">
        <v>297</v>
      </c>
      <c r="B25" s="14">
        <v>106</v>
      </c>
      <c r="C25" s="14">
        <v>138</v>
      </c>
      <c r="D25" s="14">
        <v>14</v>
      </c>
      <c r="E25" s="14">
        <v>258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6B9-370B-4256-A8FD-A94320851BC1}">
  <sheetPr codeName="Planilha6">
    <tabColor rgb="FF440154"/>
  </sheetPr>
  <dimension ref="A1:D56"/>
  <sheetViews>
    <sheetView showGridLines="0" workbookViewId="0">
      <selection activeCell="Q10" sqref="Q10"/>
    </sheetView>
  </sheetViews>
  <sheetFormatPr defaultRowHeight="15" x14ac:dyDescent="0.25"/>
  <cols>
    <col min="1" max="1" width="20.42578125" bestFit="1" customWidth="1"/>
    <col min="2" max="2" width="12.140625" bestFit="1" customWidth="1"/>
    <col min="3" max="3" width="16.28515625" bestFit="1" customWidth="1"/>
    <col min="4" max="4" width="14.42578125" bestFit="1" customWidth="1"/>
  </cols>
  <sheetData>
    <row r="1" spans="1:4" x14ac:dyDescent="0.25">
      <c r="A1" t="s">
        <v>1</v>
      </c>
      <c r="B1" t="s">
        <v>21</v>
      </c>
      <c r="C1" t="s">
        <v>22</v>
      </c>
      <c r="D1" t="s">
        <v>349</v>
      </c>
    </row>
    <row r="2" spans="1:4" x14ac:dyDescent="0.25">
      <c r="A2" t="s">
        <v>29</v>
      </c>
      <c r="B2">
        <v>24</v>
      </c>
      <c r="C2">
        <v>22</v>
      </c>
      <c r="D2">
        <v>2</v>
      </c>
    </row>
    <row r="3" spans="1:4" x14ac:dyDescent="0.25">
      <c r="A3" t="s">
        <v>23</v>
      </c>
      <c r="B3">
        <v>13</v>
      </c>
      <c r="C3">
        <v>14</v>
      </c>
      <c r="D3">
        <v>3</v>
      </c>
    </row>
    <row r="4" spans="1:4" x14ac:dyDescent="0.25">
      <c r="A4" t="s">
        <v>27</v>
      </c>
      <c r="B4">
        <v>6</v>
      </c>
      <c r="C4">
        <v>19</v>
      </c>
      <c r="D4">
        <v>3</v>
      </c>
    </row>
    <row r="5" spans="1:4" x14ac:dyDescent="0.25">
      <c r="A5" t="s">
        <v>26</v>
      </c>
      <c r="B5">
        <v>2</v>
      </c>
      <c r="C5">
        <v>18</v>
      </c>
    </row>
    <row r="6" spans="1:4" x14ac:dyDescent="0.25">
      <c r="A6" t="s">
        <v>47</v>
      </c>
      <c r="B6">
        <v>10</v>
      </c>
      <c r="C6">
        <v>8</v>
      </c>
    </row>
    <row r="7" spans="1:4" x14ac:dyDescent="0.25">
      <c r="A7" t="s">
        <v>65</v>
      </c>
      <c r="B7">
        <v>7</v>
      </c>
      <c r="C7">
        <v>9</v>
      </c>
      <c r="D7">
        <v>1</v>
      </c>
    </row>
    <row r="8" spans="1:4" x14ac:dyDescent="0.25">
      <c r="A8" t="s">
        <v>28</v>
      </c>
      <c r="B8">
        <v>4</v>
      </c>
      <c r="C8">
        <v>11</v>
      </c>
      <c r="D8">
        <v>1</v>
      </c>
    </row>
    <row r="9" spans="1:4" x14ac:dyDescent="0.25">
      <c r="A9" t="s">
        <v>66</v>
      </c>
      <c r="C9">
        <v>12</v>
      </c>
      <c r="D9">
        <v>2</v>
      </c>
    </row>
    <row r="10" spans="1:4" x14ac:dyDescent="0.25">
      <c r="A10" t="s">
        <v>49</v>
      </c>
      <c r="B10">
        <v>5</v>
      </c>
      <c r="C10">
        <v>8</v>
      </c>
    </row>
    <row r="11" spans="1:4" x14ac:dyDescent="0.25">
      <c r="A11" t="s">
        <v>24</v>
      </c>
      <c r="B11">
        <v>9</v>
      </c>
      <c r="C11">
        <v>2</v>
      </c>
      <c r="D11">
        <v>1</v>
      </c>
    </row>
    <row r="12" spans="1:4" x14ac:dyDescent="0.25">
      <c r="A12" t="s">
        <v>25</v>
      </c>
      <c r="B12">
        <v>9</v>
      </c>
    </row>
    <row r="13" spans="1:4" x14ac:dyDescent="0.25">
      <c r="A13" t="s">
        <v>48</v>
      </c>
      <c r="B13">
        <v>4</v>
      </c>
      <c r="C13">
        <v>4</v>
      </c>
    </row>
    <row r="14" spans="1:4" x14ac:dyDescent="0.25">
      <c r="A14" t="s">
        <v>30</v>
      </c>
      <c r="B14">
        <v>2</v>
      </c>
      <c r="C14">
        <v>6</v>
      </c>
    </row>
    <row r="15" spans="1:4" x14ac:dyDescent="0.25">
      <c r="A15" t="s">
        <v>138</v>
      </c>
      <c r="B15">
        <v>5</v>
      </c>
      <c r="C15">
        <v>1</v>
      </c>
    </row>
    <row r="16" spans="1:4" x14ac:dyDescent="0.25">
      <c r="A16" t="s">
        <v>31</v>
      </c>
      <c r="B16">
        <v>3</v>
      </c>
      <c r="C16">
        <v>3</v>
      </c>
    </row>
    <row r="17" spans="1:4" x14ac:dyDescent="0.25">
      <c r="A17" t="s">
        <v>275</v>
      </c>
      <c r="B17">
        <v>1</v>
      </c>
    </row>
    <row r="18" spans="1:4" x14ac:dyDescent="0.25">
      <c r="A18" t="s">
        <v>98</v>
      </c>
      <c r="B18">
        <v>1</v>
      </c>
    </row>
    <row r="19" spans="1:4" x14ac:dyDescent="0.25">
      <c r="A19" t="s">
        <v>401</v>
      </c>
      <c r="B19">
        <v>1</v>
      </c>
    </row>
    <row r="20" spans="1:4" x14ac:dyDescent="0.25">
      <c r="A20" t="s">
        <v>223</v>
      </c>
      <c r="C20">
        <v>1</v>
      </c>
    </row>
    <row r="21" spans="1:4" x14ac:dyDescent="0.25">
      <c r="A21" t="s">
        <v>402</v>
      </c>
      <c r="D21">
        <v>1</v>
      </c>
    </row>
    <row r="29" spans="1:4" x14ac:dyDescent="0.25">
      <c r="A29" t="s">
        <v>295</v>
      </c>
      <c r="B29" t="s">
        <v>21</v>
      </c>
      <c r="C29" t="s">
        <v>22</v>
      </c>
      <c r="D29" t="s">
        <v>349</v>
      </c>
    </row>
    <row r="30" spans="1:4" x14ac:dyDescent="0.25">
      <c r="A30" t="s">
        <v>189</v>
      </c>
      <c r="B30">
        <v>6</v>
      </c>
      <c r="C30">
        <v>14</v>
      </c>
    </row>
    <row r="31" spans="1:4" x14ac:dyDescent="0.25">
      <c r="A31" t="s">
        <v>99</v>
      </c>
      <c r="B31">
        <v>3</v>
      </c>
      <c r="C31">
        <v>16</v>
      </c>
    </row>
    <row r="32" spans="1:4" x14ac:dyDescent="0.25">
      <c r="A32" t="s">
        <v>75</v>
      </c>
      <c r="B32">
        <v>5</v>
      </c>
      <c r="C32">
        <v>11</v>
      </c>
    </row>
    <row r="33" spans="1:4" x14ac:dyDescent="0.25">
      <c r="A33" t="s">
        <v>109</v>
      </c>
      <c r="B33">
        <v>7</v>
      </c>
      <c r="C33">
        <v>8</v>
      </c>
    </row>
    <row r="34" spans="1:4" x14ac:dyDescent="0.25">
      <c r="A34" t="s">
        <v>163</v>
      </c>
      <c r="B34">
        <v>4</v>
      </c>
      <c r="C34">
        <v>9</v>
      </c>
    </row>
    <row r="35" spans="1:4" x14ac:dyDescent="0.25">
      <c r="A35" t="s">
        <v>51</v>
      </c>
      <c r="B35">
        <v>7</v>
      </c>
      <c r="C35">
        <v>6</v>
      </c>
    </row>
    <row r="36" spans="1:4" x14ac:dyDescent="0.25">
      <c r="A36" t="s">
        <v>50</v>
      </c>
      <c r="B36">
        <v>4</v>
      </c>
      <c r="C36">
        <v>8</v>
      </c>
    </row>
    <row r="37" spans="1:4" x14ac:dyDescent="0.25">
      <c r="A37" t="s">
        <v>35</v>
      </c>
      <c r="B37">
        <v>6</v>
      </c>
      <c r="C37">
        <v>6</v>
      </c>
    </row>
    <row r="38" spans="1:4" x14ac:dyDescent="0.25">
      <c r="A38" t="s">
        <v>162</v>
      </c>
      <c r="C38">
        <v>11</v>
      </c>
    </row>
    <row r="39" spans="1:4" x14ac:dyDescent="0.25">
      <c r="A39" t="s">
        <v>184</v>
      </c>
      <c r="B39">
        <v>7</v>
      </c>
      <c r="C39">
        <v>4</v>
      </c>
    </row>
    <row r="40" spans="1:4" x14ac:dyDescent="0.25">
      <c r="A40" t="s">
        <v>149</v>
      </c>
      <c r="B40">
        <v>11</v>
      </c>
    </row>
    <row r="41" spans="1:4" x14ac:dyDescent="0.25">
      <c r="A41" t="s">
        <v>127</v>
      </c>
      <c r="C41">
        <v>10</v>
      </c>
    </row>
    <row r="42" spans="1:4" x14ac:dyDescent="0.25">
      <c r="A42" t="s">
        <v>107</v>
      </c>
      <c r="B42">
        <v>8</v>
      </c>
      <c r="C42">
        <v>2</v>
      </c>
    </row>
    <row r="43" spans="1:4" x14ac:dyDescent="0.25">
      <c r="A43" t="s">
        <v>13</v>
      </c>
      <c r="B43">
        <v>4</v>
      </c>
      <c r="C43">
        <v>5</v>
      </c>
    </row>
    <row r="44" spans="1:4" x14ac:dyDescent="0.25">
      <c r="A44" t="s">
        <v>126</v>
      </c>
      <c r="D44">
        <v>9</v>
      </c>
    </row>
    <row r="45" spans="1:4" x14ac:dyDescent="0.25">
      <c r="A45" t="s">
        <v>108</v>
      </c>
      <c r="B45">
        <v>6</v>
      </c>
      <c r="C45">
        <v>3</v>
      </c>
    </row>
    <row r="46" spans="1:4" x14ac:dyDescent="0.25">
      <c r="A46" t="s">
        <v>151</v>
      </c>
      <c r="B46">
        <v>5</v>
      </c>
      <c r="C46">
        <v>4</v>
      </c>
    </row>
    <row r="47" spans="1:4" x14ac:dyDescent="0.25">
      <c r="A47" t="s">
        <v>106</v>
      </c>
      <c r="B47">
        <v>6</v>
      </c>
      <c r="C47">
        <v>1</v>
      </c>
    </row>
    <row r="48" spans="1:4" x14ac:dyDescent="0.25">
      <c r="A48" t="s">
        <v>262</v>
      </c>
      <c r="B48">
        <v>3</v>
      </c>
      <c r="C48">
        <v>4</v>
      </c>
    </row>
    <row r="49" spans="1:4" x14ac:dyDescent="0.25">
      <c r="A49" t="s">
        <v>32</v>
      </c>
      <c r="B49">
        <v>7</v>
      </c>
    </row>
    <row r="50" spans="1:4" x14ac:dyDescent="0.25">
      <c r="A50" t="s">
        <v>68</v>
      </c>
      <c r="B50">
        <v>2</v>
      </c>
      <c r="C50">
        <v>4</v>
      </c>
    </row>
    <row r="51" spans="1:4" x14ac:dyDescent="0.25">
      <c r="A51" t="s">
        <v>92</v>
      </c>
      <c r="B51">
        <v>2</v>
      </c>
      <c r="C51">
        <v>3</v>
      </c>
    </row>
    <row r="52" spans="1:4" x14ac:dyDescent="0.25">
      <c r="A52" t="s">
        <v>100</v>
      </c>
      <c r="B52">
        <v>2</v>
      </c>
      <c r="C52">
        <v>3</v>
      </c>
    </row>
    <row r="53" spans="1:4" x14ac:dyDescent="0.25">
      <c r="A53" t="s">
        <v>161</v>
      </c>
      <c r="B53">
        <v>1</v>
      </c>
      <c r="C53">
        <v>3</v>
      </c>
    </row>
    <row r="54" spans="1:4" x14ac:dyDescent="0.25">
      <c r="A54" t="s">
        <v>193</v>
      </c>
      <c r="C54">
        <v>3</v>
      </c>
    </row>
    <row r="55" spans="1:4" x14ac:dyDescent="0.25">
      <c r="A55" t="s">
        <v>150</v>
      </c>
      <c r="D55">
        <v>3</v>
      </c>
    </row>
    <row r="56" spans="1:4" x14ac:dyDescent="0.25">
      <c r="A56" t="s">
        <v>33</v>
      </c>
      <c r="D56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4B54-090A-455D-ACF1-974D9D254D3C}">
  <sheetPr codeName="Planilha7"/>
  <dimension ref="A1:E29"/>
  <sheetViews>
    <sheetView workbookViewId="0"/>
  </sheetViews>
  <sheetFormatPr defaultRowHeight="15" x14ac:dyDescent="0.25"/>
  <cols>
    <col min="1" max="1" width="15.7109375" bestFit="1" customWidth="1"/>
    <col min="2" max="2" width="19.7109375" bestFit="1" customWidth="1"/>
    <col min="3" max="3" width="18.85546875" bestFit="1" customWidth="1"/>
    <col min="4" max="4" width="25.7109375" bestFit="1" customWidth="1"/>
    <col min="5" max="5" width="16.28515625" customWidth="1"/>
  </cols>
  <sheetData>
    <row r="1" spans="1:5" x14ac:dyDescent="0.25">
      <c r="A1" t="s">
        <v>295</v>
      </c>
      <c r="B1" t="s">
        <v>407</v>
      </c>
      <c r="C1" t="s">
        <v>408</v>
      </c>
      <c r="D1" t="s">
        <v>409</v>
      </c>
    </row>
    <row r="2" spans="1:5" x14ac:dyDescent="0.25">
      <c r="A2" t="s">
        <v>32</v>
      </c>
      <c r="B2" s="27"/>
      <c r="C2" s="27">
        <v>18573932.599999998</v>
      </c>
      <c r="D2" s="27"/>
      <c r="E2" s="27">
        <f>B2-C2-D2</f>
        <v>-18573932.599999998</v>
      </c>
    </row>
    <row r="3" spans="1:5" x14ac:dyDescent="0.25">
      <c r="A3" t="s">
        <v>13</v>
      </c>
      <c r="B3" s="27"/>
      <c r="C3" s="27"/>
      <c r="D3" s="27"/>
      <c r="E3" s="27">
        <f t="shared" ref="E3:E29" si="0">B3-C3-D3</f>
        <v>0</v>
      </c>
    </row>
    <row r="4" spans="1:5" x14ac:dyDescent="0.25">
      <c r="A4" t="s">
        <v>262</v>
      </c>
      <c r="B4" s="27">
        <v>12325387.83</v>
      </c>
      <c r="C4" s="27">
        <v>263990806.00999999</v>
      </c>
      <c r="D4" s="27">
        <v>600000</v>
      </c>
      <c r="E4" s="27">
        <f t="shared" si="0"/>
        <v>-252265418.17999998</v>
      </c>
    </row>
    <row r="5" spans="1:5" x14ac:dyDescent="0.25">
      <c r="A5" t="s">
        <v>33</v>
      </c>
      <c r="B5" s="27"/>
      <c r="C5" s="27"/>
      <c r="D5" s="27"/>
      <c r="E5" s="27">
        <f t="shared" si="0"/>
        <v>0</v>
      </c>
    </row>
    <row r="6" spans="1:5" x14ac:dyDescent="0.25">
      <c r="A6" t="s">
        <v>35</v>
      </c>
      <c r="B6" s="27">
        <v>16246971.57</v>
      </c>
      <c r="C6" s="27">
        <v>41616573.879999995</v>
      </c>
      <c r="D6" s="27">
        <v>142895601.53999999</v>
      </c>
      <c r="E6" s="27">
        <f t="shared" si="0"/>
        <v>-168265203.84999999</v>
      </c>
    </row>
    <row r="7" spans="1:5" x14ac:dyDescent="0.25">
      <c r="A7" t="s">
        <v>50</v>
      </c>
      <c r="B7" s="27">
        <v>90299237.480133697</v>
      </c>
      <c r="C7" s="27">
        <v>180623154.66</v>
      </c>
      <c r="D7" s="27">
        <v>271754141.08729428</v>
      </c>
      <c r="E7" s="27">
        <f t="shared" si="0"/>
        <v>-362078058.26716059</v>
      </c>
    </row>
    <row r="8" spans="1:5" x14ac:dyDescent="0.25">
      <c r="A8" t="s">
        <v>51</v>
      </c>
      <c r="B8" s="27">
        <v>106032412.71000001</v>
      </c>
      <c r="C8" s="27">
        <v>36254784.620000005</v>
      </c>
      <c r="D8" s="27">
        <v>166792506.95999998</v>
      </c>
      <c r="E8" s="27">
        <f t="shared" si="0"/>
        <v>-97014878.869999975</v>
      </c>
    </row>
    <row r="9" spans="1:5" x14ac:dyDescent="0.25">
      <c r="A9" t="s">
        <v>68</v>
      </c>
      <c r="B9" s="27">
        <v>73399560.829999998</v>
      </c>
      <c r="C9" s="27">
        <v>9124124.0300000012</v>
      </c>
      <c r="D9" s="27">
        <v>140420000</v>
      </c>
      <c r="E9" s="27">
        <f t="shared" si="0"/>
        <v>-76144563.200000003</v>
      </c>
    </row>
    <row r="10" spans="1:5" x14ac:dyDescent="0.25">
      <c r="A10" t="s">
        <v>75</v>
      </c>
      <c r="B10" s="27"/>
      <c r="C10" s="27"/>
      <c r="D10" s="27">
        <v>49568741</v>
      </c>
      <c r="E10" s="27">
        <f t="shared" si="0"/>
        <v>-49568741</v>
      </c>
    </row>
    <row r="11" spans="1:5" x14ac:dyDescent="0.25">
      <c r="A11" t="s">
        <v>92</v>
      </c>
      <c r="B11" s="27">
        <v>4053937.58</v>
      </c>
      <c r="C11" s="27">
        <v>908299265.44999993</v>
      </c>
      <c r="D11" s="27">
        <v>627648</v>
      </c>
      <c r="E11" s="27">
        <f t="shared" si="0"/>
        <v>-904872975.86999989</v>
      </c>
    </row>
    <row r="12" spans="1:5" x14ac:dyDescent="0.25">
      <c r="A12" t="s">
        <v>99</v>
      </c>
      <c r="B12" s="27"/>
      <c r="C12" s="27"/>
      <c r="D12" s="27"/>
      <c r="E12" s="27">
        <f t="shared" si="0"/>
        <v>0</v>
      </c>
    </row>
    <row r="13" spans="1:5" x14ac:dyDescent="0.25">
      <c r="A13" t="s">
        <v>100</v>
      </c>
      <c r="B13" s="27">
        <v>7930865.9900000002</v>
      </c>
      <c r="C13" s="27">
        <v>19796.93</v>
      </c>
      <c r="D13" s="27"/>
      <c r="E13" s="27">
        <f t="shared" si="0"/>
        <v>7911069.0600000005</v>
      </c>
    </row>
    <row r="14" spans="1:5" x14ac:dyDescent="0.25">
      <c r="A14" t="s">
        <v>106</v>
      </c>
      <c r="B14" s="27"/>
      <c r="C14" s="27">
        <v>40219475.570800021</v>
      </c>
      <c r="D14" s="27">
        <v>954440</v>
      </c>
      <c r="E14" s="27">
        <f t="shared" si="0"/>
        <v>-41173915.570800021</v>
      </c>
    </row>
    <row r="15" spans="1:5" x14ac:dyDescent="0.25">
      <c r="A15" t="s">
        <v>107</v>
      </c>
      <c r="B15" s="27">
        <v>123301078.59999999</v>
      </c>
      <c r="C15" s="27">
        <v>272665178.34999996</v>
      </c>
      <c r="D15" s="27">
        <v>150117300.06</v>
      </c>
      <c r="E15" s="27">
        <f t="shared" si="0"/>
        <v>-299481399.80999994</v>
      </c>
    </row>
    <row r="16" spans="1:5" x14ac:dyDescent="0.25">
      <c r="A16" t="s">
        <v>108</v>
      </c>
      <c r="B16" s="27"/>
      <c r="C16" s="27"/>
      <c r="D16" s="27"/>
      <c r="E16" s="27">
        <f t="shared" si="0"/>
        <v>0</v>
      </c>
    </row>
    <row r="17" spans="1:5" x14ac:dyDescent="0.25">
      <c r="A17" t="s">
        <v>109</v>
      </c>
      <c r="B17" s="27">
        <v>9484633.5299999993</v>
      </c>
      <c r="C17" s="27">
        <v>486284869.46000004</v>
      </c>
      <c r="D17" s="27">
        <v>542343021.9000001</v>
      </c>
      <c r="E17" s="27">
        <f t="shared" si="0"/>
        <v>-1019143257.8300002</v>
      </c>
    </row>
    <row r="18" spans="1:5" x14ac:dyDescent="0.25">
      <c r="A18" t="s">
        <v>126</v>
      </c>
      <c r="B18" s="27"/>
      <c r="C18" s="27"/>
      <c r="D18" s="27"/>
      <c r="E18" s="27">
        <f t="shared" si="0"/>
        <v>0</v>
      </c>
    </row>
    <row r="19" spans="1:5" x14ac:dyDescent="0.25">
      <c r="A19" t="s">
        <v>127</v>
      </c>
      <c r="B19" s="27">
        <v>114353904.17</v>
      </c>
      <c r="C19" s="27">
        <v>88852712</v>
      </c>
      <c r="D19" s="27">
        <v>209296545</v>
      </c>
      <c r="E19" s="27">
        <f t="shared" si="0"/>
        <v>-183795352.82999998</v>
      </c>
    </row>
    <row r="20" spans="1:5" x14ac:dyDescent="0.25">
      <c r="A20" t="s">
        <v>149</v>
      </c>
      <c r="B20" s="27"/>
      <c r="C20" s="27">
        <v>357525949.75</v>
      </c>
      <c r="D20" s="27">
        <v>12160.38</v>
      </c>
      <c r="E20" s="27">
        <f t="shared" si="0"/>
        <v>-357538110.13</v>
      </c>
    </row>
    <row r="21" spans="1:5" x14ac:dyDescent="0.25">
      <c r="A21" t="s">
        <v>151</v>
      </c>
      <c r="B21" s="27">
        <v>2847416.05</v>
      </c>
      <c r="C21" s="27">
        <v>47078025.699999996</v>
      </c>
      <c r="D21" s="27">
        <v>9975363.9799999986</v>
      </c>
      <c r="E21" s="27">
        <f t="shared" si="0"/>
        <v>-54205973.629999995</v>
      </c>
    </row>
    <row r="22" spans="1:5" x14ac:dyDescent="0.25">
      <c r="A22" t="s">
        <v>161</v>
      </c>
      <c r="B22" s="27"/>
      <c r="C22" s="27">
        <v>1928781.64</v>
      </c>
      <c r="D22" s="27">
        <v>1170000</v>
      </c>
      <c r="E22" s="27">
        <f t="shared" si="0"/>
        <v>-3098781.6399999997</v>
      </c>
    </row>
    <row r="23" spans="1:5" x14ac:dyDescent="0.25">
      <c r="A23" t="s">
        <v>150</v>
      </c>
      <c r="B23" s="27"/>
      <c r="C23" s="27"/>
      <c r="D23" s="27"/>
      <c r="E23" s="27">
        <f t="shared" si="0"/>
        <v>0</v>
      </c>
    </row>
    <row r="24" spans="1:5" x14ac:dyDescent="0.25">
      <c r="A24" t="s">
        <v>162</v>
      </c>
      <c r="B24" s="27">
        <v>456794062.35000002</v>
      </c>
      <c r="C24" s="27"/>
      <c r="D24" s="27"/>
      <c r="E24" s="27">
        <f t="shared" si="0"/>
        <v>456794062.35000002</v>
      </c>
    </row>
    <row r="25" spans="1:5" x14ac:dyDescent="0.25">
      <c r="A25" t="s">
        <v>163</v>
      </c>
      <c r="B25" s="27">
        <v>5885669.3300000001</v>
      </c>
      <c r="C25" s="27">
        <v>355401807.63</v>
      </c>
      <c r="D25" s="27">
        <v>13014157.139999999</v>
      </c>
      <c r="E25" s="27">
        <f t="shared" si="0"/>
        <v>-362530295.44</v>
      </c>
    </row>
    <row r="26" spans="1:5" x14ac:dyDescent="0.25">
      <c r="A26" t="s">
        <v>184</v>
      </c>
      <c r="B26" s="27">
        <v>22878259.139999997</v>
      </c>
      <c r="C26" s="27"/>
      <c r="D26" s="27">
        <v>11447648</v>
      </c>
      <c r="E26" s="27">
        <f t="shared" si="0"/>
        <v>11430611.139999997</v>
      </c>
    </row>
    <row r="27" spans="1:5" x14ac:dyDescent="0.25">
      <c r="A27" t="s">
        <v>189</v>
      </c>
      <c r="B27" s="27">
        <v>487925000</v>
      </c>
      <c r="C27" s="27">
        <v>1300962000</v>
      </c>
      <c r="D27" s="27">
        <v>9215792000</v>
      </c>
      <c r="E27" s="27">
        <f t="shared" si="0"/>
        <v>-10028829000</v>
      </c>
    </row>
    <row r="28" spans="1:5" x14ac:dyDescent="0.25">
      <c r="A28" t="s">
        <v>193</v>
      </c>
      <c r="B28" s="27"/>
      <c r="C28" s="27"/>
      <c r="D28" s="27">
        <v>185000</v>
      </c>
      <c r="E28" s="27">
        <f t="shared" si="0"/>
        <v>-185000</v>
      </c>
    </row>
    <row r="29" spans="1:5" x14ac:dyDescent="0.25">
      <c r="A29" t="s">
        <v>297</v>
      </c>
      <c r="B29" s="27">
        <f>SUM(B2:B28)</f>
        <v>1533758397.1601336</v>
      </c>
      <c r="C29" s="27">
        <v>4409421238.2807999</v>
      </c>
      <c r="D29" s="27">
        <v>10926966275.047295</v>
      </c>
      <c r="E29" s="27">
        <f t="shared" si="0"/>
        <v>-13802629116.167961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70C9-477A-424C-B8AE-3592091BE5D8}">
  <sheetPr codeName="Planilha8"/>
  <dimension ref="A3:B76"/>
  <sheetViews>
    <sheetView workbookViewId="0">
      <selection activeCell="C24" sqref="C24"/>
    </sheetView>
  </sheetViews>
  <sheetFormatPr defaultRowHeight="15" x14ac:dyDescent="0.25"/>
  <cols>
    <col min="1" max="1" width="20.140625" bestFit="1" customWidth="1"/>
    <col min="2" max="2" width="21" bestFit="1" customWidth="1"/>
    <col min="3" max="3" width="47" bestFit="1" customWidth="1"/>
    <col min="4" max="4" width="56.42578125" bestFit="1" customWidth="1"/>
    <col min="5" max="5" width="66.28515625" bestFit="1" customWidth="1"/>
    <col min="6" max="6" width="52.5703125" bestFit="1" customWidth="1"/>
    <col min="7" max="7" width="44.28515625" bestFit="1" customWidth="1"/>
    <col min="8" max="8" width="47.5703125" bestFit="1" customWidth="1"/>
    <col min="9" max="9" width="52.7109375" bestFit="1" customWidth="1"/>
    <col min="10" max="10" width="72.7109375" bestFit="1" customWidth="1"/>
    <col min="11" max="11" width="56.5703125" bestFit="1" customWidth="1"/>
    <col min="12" max="12" width="47.140625" bestFit="1" customWidth="1"/>
    <col min="13" max="13" width="64.42578125" bestFit="1" customWidth="1"/>
    <col min="14" max="14" width="49.42578125" bestFit="1" customWidth="1"/>
    <col min="15" max="15" width="57.42578125" bestFit="1" customWidth="1"/>
    <col min="16" max="16" width="47.42578125" bestFit="1" customWidth="1"/>
    <col min="17" max="17" width="28.85546875" bestFit="1" customWidth="1"/>
    <col min="18" max="18" width="36.140625" bestFit="1" customWidth="1"/>
    <col min="19" max="19" width="45.5703125" bestFit="1" customWidth="1"/>
    <col min="20" max="20" width="5.140625" bestFit="1" customWidth="1"/>
    <col min="21" max="21" width="37.28515625" bestFit="1" customWidth="1"/>
    <col min="22" max="22" width="20.7109375" bestFit="1" customWidth="1"/>
    <col min="23" max="23" width="53.140625" bestFit="1" customWidth="1"/>
    <col min="24" max="24" width="16.28515625" bestFit="1" customWidth="1"/>
    <col min="25" max="25" width="45.7109375" bestFit="1" customWidth="1"/>
    <col min="26" max="26" width="39.5703125" bestFit="1" customWidth="1"/>
    <col min="27" max="27" width="24.28515625" bestFit="1" customWidth="1"/>
    <col min="28" max="28" width="57.28515625" bestFit="1" customWidth="1"/>
    <col min="29" max="29" width="38.140625" bestFit="1" customWidth="1"/>
    <col min="30" max="30" width="33" bestFit="1" customWidth="1"/>
    <col min="31" max="31" width="22.7109375" bestFit="1" customWidth="1"/>
    <col min="32" max="32" width="45.7109375" bestFit="1" customWidth="1"/>
    <col min="33" max="33" width="53.42578125" bestFit="1" customWidth="1"/>
    <col min="34" max="34" width="41.140625" bestFit="1" customWidth="1"/>
    <col min="35" max="35" width="7" bestFit="1" customWidth="1"/>
    <col min="36" max="36" width="10.42578125" bestFit="1" customWidth="1"/>
    <col min="37" max="37" width="53.28515625" bestFit="1" customWidth="1"/>
    <col min="38" max="38" width="52.140625" bestFit="1" customWidth="1"/>
    <col min="39" max="39" width="4.5703125" bestFit="1" customWidth="1"/>
    <col min="40" max="41" width="65.42578125" bestFit="1" customWidth="1"/>
    <col min="42" max="42" width="6.7109375" bestFit="1" customWidth="1"/>
    <col min="43" max="43" width="45.140625" bestFit="1" customWidth="1"/>
    <col min="44" max="44" width="51.85546875" bestFit="1" customWidth="1"/>
    <col min="45" max="45" width="6.85546875" bestFit="1" customWidth="1"/>
    <col min="46" max="46" width="36.28515625" bestFit="1" customWidth="1"/>
    <col min="47" max="47" width="39" bestFit="1" customWidth="1"/>
    <col min="48" max="48" width="67.140625" bestFit="1" customWidth="1"/>
    <col min="49" max="49" width="45" bestFit="1" customWidth="1"/>
    <col min="50" max="50" width="57.140625" bestFit="1" customWidth="1"/>
    <col min="51" max="51" width="62.140625" bestFit="1" customWidth="1"/>
    <col min="52" max="52" width="40" bestFit="1" customWidth="1"/>
    <col min="53" max="53" width="46" bestFit="1" customWidth="1"/>
    <col min="54" max="54" width="52.42578125" bestFit="1" customWidth="1"/>
    <col min="55" max="55" width="40.5703125" bestFit="1" customWidth="1"/>
    <col min="56" max="56" width="49.140625" bestFit="1" customWidth="1"/>
    <col min="57" max="57" width="5.42578125" bestFit="1" customWidth="1"/>
    <col min="58" max="58" width="49.140625" bestFit="1" customWidth="1"/>
    <col min="59" max="59" width="56.7109375" bestFit="1" customWidth="1"/>
    <col min="60" max="60" width="79.85546875" bestFit="1" customWidth="1"/>
    <col min="61" max="61" width="40" bestFit="1" customWidth="1"/>
    <col min="62" max="62" width="29.140625" bestFit="1" customWidth="1"/>
    <col min="63" max="63" width="72.28515625" bestFit="1" customWidth="1"/>
    <col min="64" max="64" width="46" bestFit="1" customWidth="1"/>
    <col min="65" max="65" width="64" bestFit="1" customWidth="1"/>
    <col min="66" max="66" width="48.85546875" bestFit="1" customWidth="1"/>
    <col min="67" max="67" width="39.42578125" bestFit="1" customWidth="1"/>
    <col min="68" max="68" width="33.28515625" bestFit="1" customWidth="1"/>
    <col min="69" max="69" width="40.85546875" bestFit="1" customWidth="1"/>
    <col min="70" max="70" width="28.140625" bestFit="1" customWidth="1"/>
    <col min="71" max="71" width="32.5703125" bestFit="1" customWidth="1"/>
    <col min="72" max="72" width="29.42578125" bestFit="1" customWidth="1"/>
    <col min="73" max="73" width="73.28515625" bestFit="1" customWidth="1"/>
    <col min="74" max="74" width="7.140625" bestFit="1" customWidth="1"/>
    <col min="75" max="75" width="67.28515625" bestFit="1" customWidth="1"/>
    <col min="76" max="76" width="65.28515625" bestFit="1" customWidth="1"/>
    <col min="77" max="77" width="83.85546875" bestFit="1" customWidth="1"/>
    <col min="78" max="78" width="47.5703125" bestFit="1" customWidth="1"/>
    <col min="79" max="79" width="38.7109375" bestFit="1" customWidth="1"/>
    <col min="80" max="80" width="40.5703125" bestFit="1" customWidth="1"/>
    <col min="81" max="81" width="69" bestFit="1" customWidth="1"/>
    <col min="82" max="82" width="67.85546875" bestFit="1" customWidth="1"/>
    <col min="83" max="83" width="61.7109375" bestFit="1" customWidth="1"/>
    <col min="84" max="84" width="47.42578125" bestFit="1" customWidth="1"/>
    <col min="85" max="85" width="52.7109375" bestFit="1" customWidth="1"/>
    <col min="86" max="86" width="60.85546875" bestFit="1" customWidth="1"/>
    <col min="87" max="87" width="37" bestFit="1" customWidth="1"/>
    <col min="88" max="88" width="44.28515625" bestFit="1" customWidth="1"/>
    <col min="89" max="89" width="48.42578125" bestFit="1" customWidth="1"/>
    <col min="90" max="90" width="39.5703125" bestFit="1" customWidth="1"/>
    <col min="91" max="91" width="62" bestFit="1" customWidth="1"/>
    <col min="92" max="92" width="56" bestFit="1" customWidth="1"/>
    <col min="93" max="93" width="80" bestFit="1" customWidth="1"/>
    <col min="94" max="94" width="63.7109375" bestFit="1" customWidth="1"/>
    <col min="95" max="95" width="41.28515625" bestFit="1" customWidth="1"/>
    <col min="96" max="96" width="47.85546875" bestFit="1" customWidth="1"/>
    <col min="97" max="97" width="73.85546875" bestFit="1" customWidth="1"/>
    <col min="98" max="98" width="65.5703125" bestFit="1" customWidth="1"/>
    <col min="99" max="99" width="64" bestFit="1" customWidth="1"/>
    <col min="100" max="100" width="69.85546875" bestFit="1" customWidth="1"/>
    <col min="101" max="101" width="60.140625" bestFit="1" customWidth="1"/>
    <col min="102" max="102" width="35.28515625" bestFit="1" customWidth="1"/>
    <col min="103" max="103" width="45.7109375" bestFit="1" customWidth="1"/>
    <col min="104" max="104" width="36.5703125" bestFit="1" customWidth="1"/>
    <col min="105" max="105" width="33.85546875" bestFit="1" customWidth="1"/>
    <col min="106" max="106" width="63.28515625" bestFit="1" customWidth="1"/>
    <col min="107" max="107" width="40" bestFit="1" customWidth="1"/>
    <col min="108" max="108" width="28.7109375" bestFit="1" customWidth="1"/>
    <col min="109" max="109" width="58.7109375" bestFit="1" customWidth="1"/>
    <col min="110" max="111" width="39.85546875" bestFit="1" customWidth="1"/>
    <col min="112" max="112" width="62.28515625" bestFit="1" customWidth="1"/>
    <col min="113" max="113" width="71.42578125" bestFit="1" customWidth="1"/>
    <col min="114" max="114" width="43.42578125" bestFit="1" customWidth="1"/>
    <col min="115" max="115" width="41.85546875" bestFit="1" customWidth="1"/>
    <col min="116" max="116" width="55" bestFit="1" customWidth="1"/>
    <col min="117" max="117" width="48.5703125" bestFit="1" customWidth="1"/>
    <col min="118" max="118" width="63.42578125" bestFit="1" customWidth="1"/>
    <col min="119" max="119" width="53.5703125" bestFit="1" customWidth="1"/>
    <col min="120" max="120" width="63.7109375" bestFit="1" customWidth="1"/>
    <col min="121" max="121" width="48.42578125" bestFit="1" customWidth="1"/>
    <col min="122" max="122" width="54.85546875" bestFit="1" customWidth="1"/>
    <col min="123" max="123" width="46.5703125" bestFit="1" customWidth="1"/>
    <col min="124" max="124" width="47.140625" bestFit="1" customWidth="1"/>
    <col min="125" max="125" width="39.85546875" bestFit="1" customWidth="1"/>
    <col min="126" max="126" width="37.5703125" bestFit="1" customWidth="1"/>
    <col min="127" max="127" width="45.42578125" bestFit="1" customWidth="1"/>
    <col min="128" max="128" width="84.28515625" bestFit="1" customWidth="1"/>
    <col min="129" max="129" width="71.140625" bestFit="1" customWidth="1"/>
    <col min="130" max="130" width="85" bestFit="1" customWidth="1"/>
    <col min="131" max="131" width="62.140625" bestFit="1" customWidth="1"/>
    <col min="132" max="132" width="27.7109375" bestFit="1" customWidth="1"/>
    <col min="133" max="133" width="36.85546875" bestFit="1" customWidth="1"/>
    <col min="134" max="134" width="37.5703125" bestFit="1" customWidth="1"/>
    <col min="135" max="135" width="41.140625" bestFit="1" customWidth="1"/>
    <col min="136" max="137" width="57.85546875" bestFit="1" customWidth="1"/>
    <col min="138" max="138" width="68.85546875" bestFit="1" customWidth="1"/>
    <col min="139" max="139" width="56.28515625" bestFit="1" customWidth="1"/>
    <col min="140" max="140" width="52.28515625" bestFit="1" customWidth="1"/>
    <col min="141" max="141" width="61.7109375" bestFit="1" customWidth="1"/>
    <col min="142" max="142" width="55.5703125" bestFit="1" customWidth="1"/>
    <col min="143" max="143" width="47.5703125" bestFit="1" customWidth="1"/>
    <col min="144" max="144" width="37.7109375" bestFit="1" customWidth="1"/>
    <col min="145" max="145" width="70.85546875" bestFit="1" customWidth="1"/>
    <col min="146" max="146" width="43.140625" bestFit="1" customWidth="1"/>
    <col min="147" max="147" width="45" bestFit="1" customWidth="1"/>
    <col min="148" max="148" width="27.140625" bestFit="1" customWidth="1"/>
    <col min="149" max="149" width="52.42578125" bestFit="1" customWidth="1"/>
    <col min="150" max="150" width="47.7109375" bestFit="1" customWidth="1"/>
    <col min="151" max="151" width="45.42578125" bestFit="1" customWidth="1"/>
    <col min="152" max="152" width="43" bestFit="1" customWidth="1"/>
    <col min="153" max="153" width="48.140625" bestFit="1" customWidth="1"/>
    <col min="154" max="154" width="43.28515625" bestFit="1" customWidth="1"/>
    <col min="155" max="155" width="8.42578125" bestFit="1" customWidth="1"/>
    <col min="156" max="156" width="64.85546875" bestFit="1" customWidth="1"/>
    <col min="157" max="157" width="99.28515625" bestFit="1" customWidth="1"/>
    <col min="158" max="158" width="58.28515625" bestFit="1" customWidth="1"/>
    <col min="159" max="159" width="49" bestFit="1" customWidth="1"/>
    <col min="160" max="160" width="43.28515625" bestFit="1" customWidth="1"/>
    <col min="161" max="161" width="46.85546875" bestFit="1" customWidth="1"/>
    <col min="162" max="162" width="60.5703125" bestFit="1" customWidth="1"/>
    <col min="163" max="163" width="11.85546875" bestFit="1" customWidth="1"/>
    <col min="164" max="164" width="42.85546875" bestFit="1" customWidth="1"/>
    <col min="165" max="165" width="12.28515625" bestFit="1" customWidth="1"/>
    <col min="166" max="166" width="67" bestFit="1" customWidth="1"/>
    <col min="167" max="167" width="26.7109375" bestFit="1" customWidth="1"/>
    <col min="168" max="168" width="5.85546875" bestFit="1" customWidth="1"/>
    <col min="169" max="169" width="52.7109375" bestFit="1" customWidth="1"/>
    <col min="170" max="170" width="6.28515625" bestFit="1" customWidth="1"/>
    <col min="171" max="171" width="93.140625" bestFit="1" customWidth="1"/>
    <col min="172" max="172" width="8.85546875" bestFit="1" customWidth="1"/>
    <col min="173" max="173" width="55.5703125" bestFit="1" customWidth="1"/>
    <col min="174" max="174" width="47.5703125" bestFit="1" customWidth="1"/>
    <col min="175" max="175" width="12" bestFit="1" customWidth="1"/>
    <col min="176" max="176" width="8.85546875" bestFit="1" customWidth="1"/>
    <col min="177" max="177" width="67.5703125" bestFit="1" customWidth="1"/>
    <col min="178" max="178" width="43.42578125" bestFit="1" customWidth="1"/>
    <col min="179" max="179" width="49.42578125" bestFit="1" customWidth="1"/>
    <col min="180" max="180" width="64.5703125" bestFit="1" customWidth="1"/>
    <col min="181" max="181" width="92.85546875" bestFit="1" customWidth="1"/>
    <col min="182" max="182" width="53" bestFit="1" customWidth="1"/>
    <col min="183" max="183" width="69.140625" bestFit="1" customWidth="1"/>
    <col min="184" max="184" width="62.140625" bestFit="1" customWidth="1"/>
    <col min="185" max="185" width="57.140625" bestFit="1" customWidth="1"/>
    <col min="186" max="186" width="72" bestFit="1" customWidth="1"/>
    <col min="187" max="187" width="60" bestFit="1" customWidth="1"/>
    <col min="188" max="188" width="45" bestFit="1" customWidth="1"/>
    <col min="189" max="189" width="61.140625" bestFit="1" customWidth="1"/>
    <col min="190" max="190" width="62.85546875" bestFit="1" customWidth="1"/>
    <col min="191" max="191" width="50" bestFit="1" customWidth="1"/>
    <col min="192" max="192" width="80.5703125" bestFit="1" customWidth="1"/>
    <col min="193" max="193" width="27.28515625" bestFit="1" customWidth="1"/>
    <col min="194" max="194" width="32.5703125" bestFit="1" customWidth="1"/>
    <col min="195" max="195" width="89" bestFit="1" customWidth="1"/>
    <col min="196" max="196" width="58.140625" bestFit="1" customWidth="1"/>
    <col min="197" max="197" width="63.85546875" bestFit="1" customWidth="1"/>
    <col min="198" max="198" width="66.140625" bestFit="1" customWidth="1"/>
    <col min="199" max="199" width="44" bestFit="1" customWidth="1"/>
    <col min="200" max="200" width="67" bestFit="1" customWidth="1"/>
    <col min="201" max="201" width="49.85546875" bestFit="1" customWidth="1"/>
    <col min="202" max="202" width="60.7109375" bestFit="1" customWidth="1"/>
    <col min="203" max="203" width="36.140625" bestFit="1" customWidth="1"/>
    <col min="204" max="204" width="11.140625" bestFit="1" customWidth="1"/>
    <col min="205" max="205" width="62.140625" bestFit="1" customWidth="1"/>
    <col min="206" max="206" width="31.7109375" bestFit="1" customWidth="1"/>
    <col min="207" max="207" width="28" bestFit="1" customWidth="1"/>
    <col min="208" max="208" width="48" bestFit="1" customWidth="1"/>
    <col min="209" max="209" width="51.85546875" bestFit="1" customWidth="1"/>
    <col min="210" max="210" width="79.5703125" bestFit="1" customWidth="1"/>
    <col min="211" max="211" width="46.28515625" bestFit="1" customWidth="1"/>
    <col min="212" max="212" width="39.7109375" bestFit="1" customWidth="1"/>
    <col min="213" max="213" width="45.85546875" bestFit="1" customWidth="1"/>
    <col min="214" max="214" width="65.85546875" bestFit="1" customWidth="1"/>
    <col min="215" max="215" width="40" bestFit="1" customWidth="1"/>
    <col min="216" max="216" width="71.5703125" bestFit="1" customWidth="1"/>
    <col min="217" max="217" width="52.7109375" bestFit="1" customWidth="1"/>
    <col min="218" max="218" width="97.7109375" bestFit="1" customWidth="1"/>
    <col min="219" max="219" width="53.7109375" bestFit="1" customWidth="1"/>
    <col min="220" max="220" width="54" bestFit="1" customWidth="1"/>
    <col min="221" max="221" width="30.42578125" bestFit="1" customWidth="1"/>
    <col min="222" max="222" width="10.28515625" bestFit="1" customWidth="1"/>
    <col min="223" max="223" width="55" bestFit="1" customWidth="1"/>
    <col min="224" max="224" width="48.5703125" bestFit="1" customWidth="1"/>
    <col min="225" max="225" width="51.28515625" bestFit="1" customWidth="1"/>
    <col min="226" max="226" width="32.85546875" bestFit="1" customWidth="1"/>
    <col min="227" max="227" width="18.140625" bestFit="1" customWidth="1"/>
    <col min="228" max="228" width="59.7109375" bestFit="1" customWidth="1"/>
    <col min="229" max="229" width="20.7109375" bestFit="1" customWidth="1"/>
    <col min="230" max="230" width="8.85546875" bestFit="1" customWidth="1"/>
    <col min="231" max="231" width="69" bestFit="1" customWidth="1"/>
    <col min="232" max="232" width="41.42578125" bestFit="1" customWidth="1"/>
    <col min="233" max="233" width="8.140625" bestFit="1" customWidth="1"/>
    <col min="234" max="234" width="68.140625" bestFit="1" customWidth="1"/>
    <col min="235" max="235" width="58.42578125" bestFit="1" customWidth="1"/>
    <col min="236" max="236" width="37.42578125" bestFit="1" customWidth="1"/>
    <col min="237" max="237" width="52.42578125" bestFit="1" customWidth="1"/>
    <col min="238" max="238" width="34.140625" bestFit="1" customWidth="1"/>
    <col min="239" max="239" width="35.42578125" bestFit="1" customWidth="1"/>
    <col min="240" max="240" width="24.85546875" bestFit="1" customWidth="1"/>
    <col min="241" max="241" width="50.85546875" bestFit="1" customWidth="1"/>
    <col min="242" max="242" width="39.42578125" bestFit="1" customWidth="1"/>
    <col min="243" max="243" width="47" bestFit="1" customWidth="1"/>
    <col min="244" max="244" width="57.5703125" bestFit="1" customWidth="1"/>
    <col min="245" max="245" width="70.42578125" bestFit="1" customWidth="1"/>
    <col min="246" max="246" width="40.5703125" bestFit="1" customWidth="1"/>
    <col min="247" max="247" width="68.7109375" bestFit="1" customWidth="1"/>
    <col min="248" max="248" width="6.28515625" bestFit="1" customWidth="1"/>
    <col min="249" max="249" width="10.7109375" bestFit="1" customWidth="1"/>
  </cols>
  <sheetData>
    <row r="3" spans="1:1" x14ac:dyDescent="0.25">
      <c r="A3" s="12" t="s">
        <v>295</v>
      </c>
    </row>
    <row r="4" spans="1:1" x14ac:dyDescent="0.25">
      <c r="A4" s="13" t="s">
        <v>32</v>
      </c>
    </row>
    <row r="5" spans="1:1" x14ac:dyDescent="0.25">
      <c r="A5" s="25" t="s">
        <v>21</v>
      </c>
    </row>
    <row r="6" spans="1:1" x14ac:dyDescent="0.25">
      <c r="A6" s="13" t="s">
        <v>13</v>
      </c>
    </row>
    <row r="7" spans="1:1" x14ac:dyDescent="0.25">
      <c r="A7" s="25" t="s">
        <v>21</v>
      </c>
    </row>
    <row r="8" spans="1:1" x14ac:dyDescent="0.25">
      <c r="A8" s="25" t="s">
        <v>22</v>
      </c>
    </row>
    <row r="9" spans="1:1" x14ac:dyDescent="0.25">
      <c r="A9" s="13" t="s">
        <v>262</v>
      </c>
    </row>
    <row r="10" spans="1:1" x14ac:dyDescent="0.25">
      <c r="A10" s="25" t="s">
        <v>21</v>
      </c>
    </row>
    <row r="11" spans="1:1" x14ac:dyDescent="0.25">
      <c r="A11" s="25" t="s">
        <v>22</v>
      </c>
    </row>
    <row r="12" spans="1:1" x14ac:dyDescent="0.25">
      <c r="A12" s="13" t="s">
        <v>33</v>
      </c>
    </row>
    <row r="13" spans="1:1" x14ac:dyDescent="0.25">
      <c r="A13" s="25" t="s">
        <v>296</v>
      </c>
    </row>
    <row r="14" spans="1:1" x14ac:dyDescent="0.25">
      <c r="A14" s="13" t="s">
        <v>35</v>
      </c>
    </row>
    <row r="15" spans="1:1" x14ac:dyDescent="0.25">
      <c r="A15" s="25" t="s">
        <v>21</v>
      </c>
    </row>
    <row r="16" spans="1:1" x14ac:dyDescent="0.25">
      <c r="A16" s="25" t="s">
        <v>22</v>
      </c>
    </row>
    <row r="17" spans="1:2" x14ac:dyDescent="0.25">
      <c r="A17" s="13" t="s">
        <v>50</v>
      </c>
    </row>
    <row r="18" spans="1:2" x14ac:dyDescent="0.25">
      <c r="A18" s="25" t="s">
        <v>21</v>
      </c>
    </row>
    <row r="19" spans="1:2" x14ac:dyDescent="0.25">
      <c r="A19" s="25" t="s">
        <v>22</v>
      </c>
    </row>
    <row r="20" spans="1:2" x14ac:dyDescent="0.25">
      <c r="A20" s="13" t="s">
        <v>51</v>
      </c>
    </row>
    <row r="21" spans="1:2" x14ac:dyDescent="0.25">
      <c r="A21" s="25" t="s">
        <v>21</v>
      </c>
      <c r="B21">
        <f>105/248</f>
        <v>0.42338709677419356</v>
      </c>
    </row>
    <row r="22" spans="1:2" x14ac:dyDescent="0.25">
      <c r="A22" s="25" t="s">
        <v>22</v>
      </c>
    </row>
    <row r="23" spans="1:2" x14ac:dyDescent="0.25">
      <c r="A23" s="13" t="s">
        <v>68</v>
      </c>
    </row>
    <row r="24" spans="1:2" x14ac:dyDescent="0.25">
      <c r="A24" s="25" t="s">
        <v>21</v>
      </c>
    </row>
    <row r="25" spans="1:2" x14ac:dyDescent="0.25">
      <c r="A25" s="25" t="s">
        <v>22</v>
      </c>
    </row>
    <row r="26" spans="1:2" x14ac:dyDescent="0.25">
      <c r="A26" s="13" t="s">
        <v>75</v>
      </c>
    </row>
    <row r="27" spans="1:2" x14ac:dyDescent="0.25">
      <c r="A27" s="25" t="s">
        <v>21</v>
      </c>
    </row>
    <row r="28" spans="1:2" x14ac:dyDescent="0.25">
      <c r="A28" s="25" t="s">
        <v>22</v>
      </c>
    </row>
    <row r="29" spans="1:2" x14ac:dyDescent="0.25">
      <c r="A29" s="13" t="s">
        <v>92</v>
      </c>
    </row>
    <row r="30" spans="1:2" x14ac:dyDescent="0.25">
      <c r="A30" s="25" t="s">
        <v>21</v>
      </c>
    </row>
    <row r="31" spans="1:2" x14ac:dyDescent="0.25">
      <c r="A31" s="25" t="s">
        <v>22</v>
      </c>
    </row>
    <row r="32" spans="1:2" x14ac:dyDescent="0.25">
      <c r="A32" s="13" t="s">
        <v>99</v>
      </c>
    </row>
    <row r="33" spans="1:1" x14ac:dyDescent="0.25">
      <c r="A33" s="25" t="s">
        <v>296</v>
      </c>
    </row>
    <row r="34" spans="1:1" x14ac:dyDescent="0.25">
      <c r="A34" s="13" t="s">
        <v>100</v>
      </c>
    </row>
    <row r="35" spans="1:1" x14ac:dyDescent="0.25">
      <c r="A35" s="25" t="s">
        <v>21</v>
      </c>
    </row>
    <row r="36" spans="1:1" x14ac:dyDescent="0.25">
      <c r="A36" s="25" t="s">
        <v>22</v>
      </c>
    </row>
    <row r="37" spans="1:1" x14ac:dyDescent="0.25">
      <c r="A37" s="13" t="s">
        <v>106</v>
      </c>
    </row>
    <row r="38" spans="1:1" x14ac:dyDescent="0.25">
      <c r="A38" s="25" t="s">
        <v>21</v>
      </c>
    </row>
    <row r="39" spans="1:1" x14ac:dyDescent="0.25">
      <c r="A39" s="25" t="s">
        <v>22</v>
      </c>
    </row>
    <row r="40" spans="1:1" x14ac:dyDescent="0.25">
      <c r="A40" s="13" t="s">
        <v>107</v>
      </c>
    </row>
    <row r="41" spans="1:1" x14ac:dyDescent="0.25">
      <c r="A41" s="25" t="s">
        <v>21</v>
      </c>
    </row>
    <row r="42" spans="1:1" x14ac:dyDescent="0.25">
      <c r="A42" s="25" t="s">
        <v>22</v>
      </c>
    </row>
    <row r="43" spans="1:1" x14ac:dyDescent="0.25">
      <c r="A43" s="13" t="s">
        <v>108</v>
      </c>
    </row>
    <row r="44" spans="1:1" x14ac:dyDescent="0.25">
      <c r="A44" s="25" t="s">
        <v>21</v>
      </c>
    </row>
    <row r="45" spans="1:1" x14ac:dyDescent="0.25">
      <c r="A45" s="25" t="s">
        <v>22</v>
      </c>
    </row>
    <row r="46" spans="1:1" x14ac:dyDescent="0.25">
      <c r="A46" s="13" t="s">
        <v>109</v>
      </c>
    </row>
    <row r="47" spans="1:1" x14ac:dyDescent="0.25">
      <c r="A47" s="25" t="s">
        <v>21</v>
      </c>
    </row>
    <row r="48" spans="1:1" x14ac:dyDescent="0.25">
      <c r="A48" s="25" t="s">
        <v>22</v>
      </c>
    </row>
    <row r="49" spans="1:1" x14ac:dyDescent="0.25">
      <c r="A49" s="13" t="s">
        <v>126</v>
      </c>
    </row>
    <row r="50" spans="1:1" x14ac:dyDescent="0.25">
      <c r="A50" s="25" t="s">
        <v>296</v>
      </c>
    </row>
    <row r="51" spans="1:1" x14ac:dyDescent="0.25">
      <c r="A51" s="13" t="s">
        <v>127</v>
      </c>
    </row>
    <row r="52" spans="1:1" x14ac:dyDescent="0.25">
      <c r="A52" s="25" t="s">
        <v>22</v>
      </c>
    </row>
    <row r="53" spans="1:1" x14ac:dyDescent="0.25">
      <c r="A53" s="13" t="s">
        <v>149</v>
      </c>
    </row>
    <row r="54" spans="1:1" x14ac:dyDescent="0.25">
      <c r="A54" s="25" t="s">
        <v>21</v>
      </c>
    </row>
    <row r="55" spans="1:1" x14ac:dyDescent="0.25">
      <c r="A55" s="13" t="s">
        <v>151</v>
      </c>
    </row>
    <row r="56" spans="1:1" x14ac:dyDescent="0.25">
      <c r="A56" s="25" t="s">
        <v>21</v>
      </c>
    </row>
    <row r="57" spans="1:1" x14ac:dyDescent="0.25">
      <c r="A57" s="25" t="s">
        <v>22</v>
      </c>
    </row>
    <row r="58" spans="1:1" x14ac:dyDescent="0.25">
      <c r="A58" s="13" t="s">
        <v>161</v>
      </c>
    </row>
    <row r="59" spans="1:1" x14ac:dyDescent="0.25">
      <c r="A59" s="25" t="s">
        <v>21</v>
      </c>
    </row>
    <row r="60" spans="1:1" x14ac:dyDescent="0.25">
      <c r="A60" s="25" t="s">
        <v>22</v>
      </c>
    </row>
    <row r="61" spans="1:1" x14ac:dyDescent="0.25">
      <c r="A61" s="13" t="s">
        <v>150</v>
      </c>
    </row>
    <row r="62" spans="1:1" x14ac:dyDescent="0.25">
      <c r="A62" s="25" t="s">
        <v>296</v>
      </c>
    </row>
    <row r="63" spans="1:1" x14ac:dyDescent="0.25">
      <c r="A63" s="13" t="s">
        <v>162</v>
      </c>
    </row>
    <row r="64" spans="1:1" x14ac:dyDescent="0.25">
      <c r="A64" s="25" t="s">
        <v>22</v>
      </c>
    </row>
    <row r="65" spans="1:1" x14ac:dyDescent="0.25">
      <c r="A65" s="13" t="s">
        <v>163</v>
      </c>
    </row>
    <row r="66" spans="1:1" x14ac:dyDescent="0.25">
      <c r="A66" s="25" t="s">
        <v>21</v>
      </c>
    </row>
    <row r="67" spans="1:1" x14ac:dyDescent="0.25">
      <c r="A67" s="25" t="s">
        <v>22</v>
      </c>
    </row>
    <row r="68" spans="1:1" x14ac:dyDescent="0.25">
      <c r="A68" s="13" t="s">
        <v>184</v>
      </c>
    </row>
    <row r="69" spans="1:1" x14ac:dyDescent="0.25">
      <c r="A69" s="25" t="s">
        <v>21</v>
      </c>
    </row>
    <row r="70" spans="1:1" x14ac:dyDescent="0.25">
      <c r="A70" s="25" t="s">
        <v>22</v>
      </c>
    </row>
    <row r="71" spans="1:1" x14ac:dyDescent="0.25">
      <c r="A71" s="13" t="s">
        <v>189</v>
      </c>
    </row>
    <row r="72" spans="1:1" x14ac:dyDescent="0.25">
      <c r="A72" s="25" t="s">
        <v>21</v>
      </c>
    </row>
    <row r="73" spans="1:1" x14ac:dyDescent="0.25">
      <c r="A73" s="25" t="s">
        <v>22</v>
      </c>
    </row>
    <row r="74" spans="1:1" x14ac:dyDescent="0.25">
      <c r="A74" s="13" t="s">
        <v>193</v>
      </c>
    </row>
    <row r="75" spans="1:1" x14ac:dyDescent="0.25">
      <c r="A75" s="25" t="s">
        <v>22</v>
      </c>
    </row>
    <row r="76" spans="1:1" x14ac:dyDescent="0.25">
      <c r="A76" s="13" t="s">
        <v>297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909F-E4E0-4D4C-B7A8-D8852E0ECBF5}">
  <sheetPr codeName="Planilha9"/>
  <dimension ref="A3:H48"/>
  <sheetViews>
    <sheetView topLeftCell="A10" workbookViewId="0">
      <selection activeCell="E4" sqref="E4"/>
    </sheetView>
  </sheetViews>
  <sheetFormatPr defaultRowHeight="15" x14ac:dyDescent="0.25"/>
  <cols>
    <col min="1" max="1" width="20.42578125" bestFit="1" customWidth="1"/>
    <col min="2" max="2" width="21" bestFit="1" customWidth="1"/>
    <col min="3" max="3" width="18" bestFit="1" customWidth="1"/>
    <col min="4" max="4" width="19.7109375" bestFit="1" customWidth="1"/>
    <col min="5" max="5" width="18.85546875" bestFit="1" customWidth="1"/>
    <col min="6" max="6" width="25.7109375" bestFit="1" customWidth="1"/>
    <col min="7" max="7" width="39.5703125" hidden="1" customWidth="1"/>
    <col min="8" max="8" width="47.5703125" bestFit="1" customWidth="1"/>
    <col min="9" max="9" width="52.7109375" bestFit="1" customWidth="1"/>
    <col min="10" max="10" width="72.7109375" bestFit="1" customWidth="1"/>
    <col min="11" max="11" width="56.5703125" bestFit="1" customWidth="1"/>
    <col min="12" max="12" width="47.140625" bestFit="1" customWidth="1"/>
    <col min="13" max="13" width="64.42578125" bestFit="1" customWidth="1"/>
    <col min="14" max="14" width="49.42578125" bestFit="1" customWidth="1"/>
    <col min="15" max="15" width="57.42578125" bestFit="1" customWidth="1"/>
    <col min="16" max="16" width="47.42578125" bestFit="1" customWidth="1"/>
    <col min="17" max="17" width="28.85546875" bestFit="1" customWidth="1"/>
    <col min="18" max="18" width="36.140625" bestFit="1" customWidth="1"/>
    <col min="19" max="19" width="45.5703125" bestFit="1" customWidth="1"/>
    <col min="20" max="20" width="5.140625" bestFit="1" customWidth="1"/>
    <col min="21" max="21" width="37.28515625" bestFit="1" customWidth="1"/>
    <col min="22" max="22" width="20.7109375" bestFit="1" customWidth="1"/>
    <col min="23" max="23" width="53.140625" bestFit="1" customWidth="1"/>
    <col min="24" max="24" width="16.28515625" bestFit="1" customWidth="1"/>
    <col min="25" max="25" width="45.7109375" bestFit="1" customWidth="1"/>
    <col min="26" max="26" width="39.5703125" bestFit="1" customWidth="1"/>
    <col min="27" max="27" width="24.28515625" bestFit="1" customWidth="1"/>
    <col min="28" max="28" width="57.28515625" bestFit="1" customWidth="1"/>
    <col min="29" max="29" width="38.140625" bestFit="1" customWidth="1"/>
    <col min="30" max="30" width="33" bestFit="1" customWidth="1"/>
    <col min="31" max="31" width="22.7109375" bestFit="1" customWidth="1"/>
    <col min="32" max="32" width="45.7109375" bestFit="1" customWidth="1"/>
    <col min="33" max="33" width="53.42578125" bestFit="1" customWidth="1"/>
    <col min="34" max="34" width="41.140625" bestFit="1" customWidth="1"/>
    <col min="35" max="35" width="7" bestFit="1" customWidth="1"/>
    <col min="36" max="36" width="10.42578125" bestFit="1" customWidth="1"/>
    <col min="37" max="37" width="53.28515625" bestFit="1" customWidth="1"/>
    <col min="38" max="38" width="52.140625" bestFit="1" customWidth="1"/>
    <col min="39" max="39" width="4.5703125" bestFit="1" customWidth="1"/>
    <col min="40" max="41" width="65.42578125" bestFit="1" customWidth="1"/>
    <col min="42" max="42" width="6.7109375" bestFit="1" customWidth="1"/>
    <col min="43" max="43" width="45.140625" bestFit="1" customWidth="1"/>
    <col min="44" max="44" width="51.85546875" bestFit="1" customWidth="1"/>
    <col min="45" max="45" width="6.85546875" bestFit="1" customWidth="1"/>
    <col min="46" max="46" width="36.28515625" bestFit="1" customWidth="1"/>
    <col min="47" max="47" width="39" bestFit="1" customWidth="1"/>
    <col min="48" max="48" width="67.140625" bestFit="1" customWidth="1"/>
    <col min="49" max="49" width="45" bestFit="1" customWidth="1"/>
    <col min="50" max="50" width="57.140625" bestFit="1" customWidth="1"/>
    <col min="51" max="51" width="62.140625" bestFit="1" customWidth="1"/>
    <col min="52" max="52" width="40" bestFit="1" customWidth="1"/>
    <col min="53" max="53" width="46" bestFit="1" customWidth="1"/>
    <col min="54" max="54" width="52.42578125" bestFit="1" customWidth="1"/>
    <col min="55" max="55" width="40.5703125" bestFit="1" customWidth="1"/>
    <col min="56" max="56" width="49.140625" bestFit="1" customWidth="1"/>
    <col min="57" max="57" width="5.42578125" bestFit="1" customWidth="1"/>
    <col min="58" max="58" width="49.140625" bestFit="1" customWidth="1"/>
    <col min="59" max="59" width="56.7109375" bestFit="1" customWidth="1"/>
    <col min="60" max="60" width="79.85546875" bestFit="1" customWidth="1"/>
    <col min="61" max="61" width="40" bestFit="1" customWidth="1"/>
    <col min="62" max="62" width="29.140625" bestFit="1" customWidth="1"/>
    <col min="63" max="63" width="72.28515625" bestFit="1" customWidth="1"/>
    <col min="64" max="64" width="46" bestFit="1" customWidth="1"/>
    <col min="65" max="65" width="64" bestFit="1" customWidth="1"/>
    <col min="66" max="66" width="48.85546875" bestFit="1" customWidth="1"/>
    <col min="67" max="67" width="39.42578125" bestFit="1" customWidth="1"/>
    <col min="68" max="68" width="33.28515625" bestFit="1" customWidth="1"/>
    <col min="69" max="69" width="40.85546875" bestFit="1" customWidth="1"/>
    <col min="70" max="70" width="28.140625" bestFit="1" customWidth="1"/>
    <col min="71" max="71" width="32.5703125" bestFit="1" customWidth="1"/>
    <col min="72" max="72" width="29.42578125" bestFit="1" customWidth="1"/>
    <col min="73" max="73" width="73.28515625" bestFit="1" customWidth="1"/>
    <col min="74" max="74" width="7.140625" bestFit="1" customWidth="1"/>
    <col min="75" max="75" width="67.28515625" bestFit="1" customWidth="1"/>
    <col min="76" max="76" width="65.28515625" bestFit="1" customWidth="1"/>
    <col min="77" max="77" width="83.85546875" bestFit="1" customWidth="1"/>
    <col min="78" max="78" width="47.5703125" bestFit="1" customWidth="1"/>
    <col min="79" max="79" width="38.7109375" bestFit="1" customWidth="1"/>
    <col min="80" max="80" width="40.5703125" bestFit="1" customWidth="1"/>
    <col min="81" max="81" width="69" bestFit="1" customWidth="1"/>
    <col min="82" max="82" width="67.85546875" bestFit="1" customWidth="1"/>
    <col min="83" max="83" width="61.7109375" bestFit="1" customWidth="1"/>
    <col min="84" max="84" width="47.42578125" bestFit="1" customWidth="1"/>
    <col min="85" max="85" width="52.7109375" bestFit="1" customWidth="1"/>
    <col min="86" max="86" width="60.85546875" bestFit="1" customWidth="1"/>
    <col min="87" max="87" width="37" bestFit="1" customWidth="1"/>
    <col min="88" max="88" width="44.28515625" bestFit="1" customWidth="1"/>
    <col min="89" max="89" width="48.42578125" bestFit="1" customWidth="1"/>
    <col min="90" max="90" width="39.5703125" bestFit="1" customWidth="1"/>
    <col min="91" max="91" width="62" bestFit="1" customWidth="1"/>
    <col min="92" max="92" width="56" bestFit="1" customWidth="1"/>
    <col min="93" max="93" width="80" bestFit="1" customWidth="1"/>
    <col min="94" max="94" width="63.7109375" bestFit="1" customWidth="1"/>
    <col min="95" max="95" width="41.28515625" bestFit="1" customWidth="1"/>
    <col min="96" max="96" width="47.85546875" bestFit="1" customWidth="1"/>
    <col min="97" max="97" width="73.85546875" bestFit="1" customWidth="1"/>
    <col min="98" max="98" width="65.5703125" bestFit="1" customWidth="1"/>
    <col min="99" max="99" width="64" bestFit="1" customWidth="1"/>
    <col min="100" max="100" width="69.85546875" bestFit="1" customWidth="1"/>
    <col min="101" max="101" width="60.140625" bestFit="1" customWidth="1"/>
    <col min="102" max="102" width="35.28515625" bestFit="1" customWidth="1"/>
    <col min="103" max="103" width="45.7109375" bestFit="1" customWidth="1"/>
    <col min="104" max="104" width="36.5703125" bestFit="1" customWidth="1"/>
    <col min="105" max="105" width="33.85546875" bestFit="1" customWidth="1"/>
    <col min="106" max="106" width="63.28515625" bestFit="1" customWidth="1"/>
    <col min="107" max="107" width="40" bestFit="1" customWidth="1"/>
    <col min="108" max="108" width="28.7109375" bestFit="1" customWidth="1"/>
    <col min="109" max="109" width="58.7109375" bestFit="1" customWidth="1"/>
    <col min="110" max="111" width="39.85546875" bestFit="1" customWidth="1"/>
    <col min="112" max="112" width="62.28515625" bestFit="1" customWidth="1"/>
    <col min="113" max="113" width="71.42578125" bestFit="1" customWidth="1"/>
    <col min="114" max="114" width="43.42578125" bestFit="1" customWidth="1"/>
    <col min="115" max="115" width="41.85546875" bestFit="1" customWidth="1"/>
    <col min="116" max="116" width="55" bestFit="1" customWidth="1"/>
    <col min="117" max="117" width="48.5703125" bestFit="1" customWidth="1"/>
    <col min="118" max="118" width="63.42578125" bestFit="1" customWidth="1"/>
    <col min="119" max="119" width="53.5703125" bestFit="1" customWidth="1"/>
    <col min="120" max="120" width="63.7109375" bestFit="1" customWidth="1"/>
    <col min="121" max="121" width="48.42578125" bestFit="1" customWidth="1"/>
    <col min="122" max="122" width="54.85546875" bestFit="1" customWidth="1"/>
    <col min="123" max="123" width="46.5703125" bestFit="1" customWidth="1"/>
    <col min="124" max="124" width="47.140625" bestFit="1" customWidth="1"/>
    <col min="125" max="125" width="39.85546875" bestFit="1" customWidth="1"/>
    <col min="126" max="126" width="37.5703125" bestFit="1" customWidth="1"/>
    <col min="127" max="127" width="45.42578125" bestFit="1" customWidth="1"/>
    <col min="128" max="128" width="84.28515625" bestFit="1" customWidth="1"/>
    <col min="129" max="129" width="71.140625" bestFit="1" customWidth="1"/>
    <col min="130" max="130" width="85" bestFit="1" customWidth="1"/>
    <col min="131" max="131" width="62.140625" bestFit="1" customWidth="1"/>
    <col min="132" max="132" width="27.7109375" bestFit="1" customWidth="1"/>
    <col min="133" max="133" width="36.85546875" bestFit="1" customWidth="1"/>
    <col min="134" max="134" width="37.5703125" bestFit="1" customWidth="1"/>
    <col min="135" max="135" width="41.140625" bestFit="1" customWidth="1"/>
    <col min="136" max="137" width="57.85546875" bestFit="1" customWidth="1"/>
    <col min="138" max="138" width="68.85546875" bestFit="1" customWidth="1"/>
    <col min="139" max="139" width="56.28515625" bestFit="1" customWidth="1"/>
    <col min="140" max="140" width="52.28515625" bestFit="1" customWidth="1"/>
    <col min="141" max="141" width="61.7109375" bestFit="1" customWidth="1"/>
    <col min="142" max="142" width="55.5703125" bestFit="1" customWidth="1"/>
    <col min="143" max="143" width="47.5703125" bestFit="1" customWidth="1"/>
    <col min="144" max="144" width="37.7109375" bestFit="1" customWidth="1"/>
    <col min="145" max="145" width="70.85546875" bestFit="1" customWidth="1"/>
    <col min="146" max="146" width="43.140625" bestFit="1" customWidth="1"/>
    <col min="147" max="147" width="45" bestFit="1" customWidth="1"/>
    <col min="148" max="148" width="27.140625" bestFit="1" customWidth="1"/>
    <col min="149" max="149" width="52.42578125" bestFit="1" customWidth="1"/>
    <col min="150" max="150" width="47.7109375" bestFit="1" customWidth="1"/>
    <col min="151" max="151" width="45.42578125" bestFit="1" customWidth="1"/>
    <col min="152" max="152" width="43" bestFit="1" customWidth="1"/>
    <col min="153" max="153" width="48.140625" bestFit="1" customWidth="1"/>
    <col min="154" max="154" width="43.28515625" bestFit="1" customWidth="1"/>
    <col min="155" max="155" width="8.42578125" bestFit="1" customWidth="1"/>
    <col min="156" max="156" width="64.85546875" bestFit="1" customWidth="1"/>
    <col min="157" max="157" width="99.28515625" bestFit="1" customWidth="1"/>
    <col min="158" max="158" width="58.28515625" bestFit="1" customWidth="1"/>
    <col min="159" max="159" width="49" bestFit="1" customWidth="1"/>
    <col min="160" max="160" width="43.28515625" bestFit="1" customWidth="1"/>
    <col min="161" max="161" width="46.85546875" bestFit="1" customWidth="1"/>
    <col min="162" max="162" width="60.5703125" bestFit="1" customWidth="1"/>
    <col min="163" max="163" width="11.85546875" bestFit="1" customWidth="1"/>
    <col min="164" max="164" width="42.85546875" bestFit="1" customWidth="1"/>
    <col min="165" max="165" width="12.28515625" bestFit="1" customWidth="1"/>
    <col min="166" max="166" width="67" bestFit="1" customWidth="1"/>
    <col min="167" max="167" width="26.7109375" bestFit="1" customWidth="1"/>
    <col min="168" max="168" width="5.85546875" bestFit="1" customWidth="1"/>
    <col min="169" max="169" width="52.7109375" bestFit="1" customWidth="1"/>
    <col min="170" max="170" width="6.28515625" bestFit="1" customWidth="1"/>
    <col min="171" max="171" width="93.140625" bestFit="1" customWidth="1"/>
    <col min="172" max="172" width="8.85546875" bestFit="1" customWidth="1"/>
    <col min="173" max="173" width="55.5703125" bestFit="1" customWidth="1"/>
    <col min="174" max="174" width="47.5703125" bestFit="1" customWidth="1"/>
    <col min="175" max="175" width="12" bestFit="1" customWidth="1"/>
    <col min="176" max="176" width="8.85546875" bestFit="1" customWidth="1"/>
    <col min="177" max="177" width="67.5703125" bestFit="1" customWidth="1"/>
    <col min="178" max="178" width="43.42578125" bestFit="1" customWidth="1"/>
    <col min="179" max="179" width="49.42578125" bestFit="1" customWidth="1"/>
    <col min="180" max="180" width="64.5703125" bestFit="1" customWidth="1"/>
    <col min="181" max="181" width="92.85546875" bestFit="1" customWidth="1"/>
    <col min="182" max="182" width="53" bestFit="1" customWidth="1"/>
    <col min="183" max="183" width="69.140625" bestFit="1" customWidth="1"/>
    <col min="184" max="184" width="62.140625" bestFit="1" customWidth="1"/>
    <col min="185" max="185" width="57.140625" bestFit="1" customWidth="1"/>
    <col min="186" max="186" width="72" bestFit="1" customWidth="1"/>
    <col min="187" max="187" width="60" bestFit="1" customWidth="1"/>
    <col min="188" max="188" width="45" bestFit="1" customWidth="1"/>
    <col min="189" max="189" width="61.140625" bestFit="1" customWidth="1"/>
    <col min="190" max="190" width="62.85546875" bestFit="1" customWidth="1"/>
    <col min="191" max="191" width="50" bestFit="1" customWidth="1"/>
    <col min="192" max="192" width="80.5703125" bestFit="1" customWidth="1"/>
    <col min="193" max="193" width="27.28515625" bestFit="1" customWidth="1"/>
    <col min="194" max="194" width="32.5703125" bestFit="1" customWidth="1"/>
    <col min="195" max="195" width="89" bestFit="1" customWidth="1"/>
    <col min="196" max="196" width="58.140625" bestFit="1" customWidth="1"/>
    <col min="197" max="197" width="63.85546875" bestFit="1" customWidth="1"/>
    <col min="198" max="198" width="66.140625" bestFit="1" customWidth="1"/>
    <col min="199" max="199" width="44" bestFit="1" customWidth="1"/>
    <col min="200" max="200" width="67" bestFit="1" customWidth="1"/>
    <col min="201" max="201" width="49.85546875" bestFit="1" customWidth="1"/>
    <col min="202" max="202" width="60.7109375" bestFit="1" customWidth="1"/>
    <col min="203" max="203" width="36.140625" bestFit="1" customWidth="1"/>
    <col min="204" max="204" width="11.140625" bestFit="1" customWidth="1"/>
    <col min="205" max="205" width="62.140625" bestFit="1" customWidth="1"/>
    <col min="206" max="206" width="31.7109375" bestFit="1" customWidth="1"/>
    <col min="207" max="207" width="28" bestFit="1" customWidth="1"/>
    <col min="208" max="208" width="48" bestFit="1" customWidth="1"/>
    <col min="209" max="209" width="51.85546875" bestFit="1" customWidth="1"/>
    <col min="210" max="210" width="79.5703125" bestFit="1" customWidth="1"/>
    <col min="211" max="211" width="46.28515625" bestFit="1" customWidth="1"/>
    <col min="212" max="212" width="39.7109375" bestFit="1" customWidth="1"/>
    <col min="213" max="213" width="45.85546875" bestFit="1" customWidth="1"/>
    <col min="214" max="214" width="65.85546875" bestFit="1" customWidth="1"/>
    <col min="215" max="215" width="40" bestFit="1" customWidth="1"/>
    <col min="216" max="216" width="71.5703125" bestFit="1" customWidth="1"/>
    <col min="217" max="217" width="52.7109375" bestFit="1" customWidth="1"/>
    <col min="218" max="218" width="97.7109375" bestFit="1" customWidth="1"/>
    <col min="219" max="219" width="53.7109375" bestFit="1" customWidth="1"/>
    <col min="220" max="220" width="54" bestFit="1" customWidth="1"/>
    <col min="221" max="221" width="30.42578125" bestFit="1" customWidth="1"/>
    <col min="222" max="222" width="10.28515625" bestFit="1" customWidth="1"/>
    <col min="223" max="223" width="55" bestFit="1" customWidth="1"/>
    <col min="224" max="224" width="48.5703125" bestFit="1" customWidth="1"/>
    <col min="225" max="225" width="51.28515625" bestFit="1" customWidth="1"/>
    <col min="226" max="226" width="32.85546875" bestFit="1" customWidth="1"/>
    <col min="227" max="227" width="18.140625" bestFit="1" customWidth="1"/>
    <col min="228" max="228" width="59.7109375" bestFit="1" customWidth="1"/>
    <col min="229" max="229" width="20.7109375" bestFit="1" customWidth="1"/>
    <col min="230" max="230" width="8.85546875" bestFit="1" customWidth="1"/>
    <col min="231" max="231" width="69" bestFit="1" customWidth="1"/>
    <col min="232" max="232" width="41.42578125" bestFit="1" customWidth="1"/>
    <col min="233" max="233" width="8.140625" bestFit="1" customWidth="1"/>
    <col min="234" max="234" width="68.140625" bestFit="1" customWidth="1"/>
    <col min="235" max="235" width="58.42578125" bestFit="1" customWidth="1"/>
    <col min="236" max="236" width="37.42578125" bestFit="1" customWidth="1"/>
    <col min="237" max="237" width="52.42578125" bestFit="1" customWidth="1"/>
    <col min="238" max="238" width="34.140625" bestFit="1" customWidth="1"/>
    <col min="239" max="239" width="35.42578125" bestFit="1" customWidth="1"/>
    <col min="240" max="240" width="24.85546875" bestFit="1" customWidth="1"/>
    <col min="241" max="241" width="50.85546875" bestFit="1" customWidth="1"/>
    <col min="242" max="242" width="39.42578125" bestFit="1" customWidth="1"/>
    <col min="243" max="243" width="47" bestFit="1" customWidth="1"/>
    <col min="244" max="244" width="57.5703125" bestFit="1" customWidth="1"/>
    <col min="245" max="245" width="70.42578125" bestFit="1" customWidth="1"/>
    <col min="246" max="246" width="40.5703125" bestFit="1" customWidth="1"/>
    <col min="247" max="247" width="68.7109375" bestFit="1" customWidth="1"/>
    <col min="248" max="248" width="6.28515625" bestFit="1" customWidth="1"/>
    <col min="249" max="249" width="10.7109375" bestFit="1" customWidth="1"/>
  </cols>
  <sheetData>
    <row r="3" spans="1:8" x14ac:dyDescent="0.25">
      <c r="A3" s="12" t="s">
        <v>295</v>
      </c>
      <c r="B3" t="s">
        <v>400</v>
      </c>
      <c r="C3" s="12" t="s">
        <v>295</v>
      </c>
      <c r="D3" t="s">
        <v>407</v>
      </c>
      <c r="E3" t="s">
        <v>408</v>
      </c>
      <c r="F3" t="s">
        <v>409</v>
      </c>
    </row>
    <row r="4" spans="1:8" x14ac:dyDescent="0.25">
      <c r="A4" s="13" t="s">
        <v>47</v>
      </c>
      <c r="B4" s="14">
        <v>26</v>
      </c>
      <c r="C4" s="13" t="s">
        <v>32</v>
      </c>
      <c r="D4" s="29"/>
      <c r="E4" s="28">
        <v>18573932.599999998</v>
      </c>
      <c r="F4" s="28"/>
      <c r="H4">
        <f>GETPIVOTDATA("Soma de Dividendos ",$C$3,"Estado","AC")-GETPIVOTDATA("Soma de Subvenção",$C$3,"Estado","AC")-GETPIVOTDATA("Soma de Reforço de Capital",$C$3,"Estado","AC")</f>
        <v>-18573932.599999998</v>
      </c>
    </row>
    <row r="5" spans="1:8" x14ac:dyDescent="0.25">
      <c r="A5" s="13" t="s">
        <v>25</v>
      </c>
      <c r="B5" s="14">
        <v>8</v>
      </c>
      <c r="C5" s="13" t="s">
        <v>13</v>
      </c>
      <c r="D5" s="29"/>
      <c r="E5" s="28"/>
      <c r="F5" s="28"/>
      <c r="H5">
        <f t="shared" ref="H5:H31" si="0">GETPIVOTDATA("Soma de Dividendos ",$C$3,"Estado","AC")-GETPIVOTDATA("Soma de Subvenção",$C$3,"Estado","AC")-GETPIVOTDATA("Soma de Reforço de Capital",$C$3,"Estado","AC")</f>
        <v>-18573932.599999998</v>
      </c>
    </row>
    <row r="6" spans="1:8" x14ac:dyDescent="0.25">
      <c r="A6" s="13" t="s">
        <v>31</v>
      </c>
      <c r="B6" s="14">
        <v>5</v>
      </c>
      <c r="C6" s="13" t="s">
        <v>262</v>
      </c>
      <c r="D6" s="29">
        <v>12325387.83</v>
      </c>
      <c r="E6" s="28">
        <v>263990806.00999999</v>
      </c>
      <c r="F6" s="28">
        <v>600000</v>
      </c>
      <c r="H6">
        <f t="shared" si="0"/>
        <v>-18573932.599999998</v>
      </c>
    </row>
    <row r="7" spans="1:8" x14ac:dyDescent="0.25">
      <c r="A7" s="13" t="s">
        <v>23</v>
      </c>
      <c r="B7" s="14">
        <v>28</v>
      </c>
      <c r="C7" s="13" t="s">
        <v>33</v>
      </c>
      <c r="D7" s="29"/>
      <c r="E7" s="28"/>
      <c r="F7" s="28"/>
      <c r="H7">
        <f t="shared" si="0"/>
        <v>-18573932.599999998</v>
      </c>
    </row>
    <row r="8" spans="1:8" x14ac:dyDescent="0.25">
      <c r="A8" s="13" t="s">
        <v>28</v>
      </c>
      <c r="B8" s="14">
        <v>13</v>
      </c>
      <c r="C8" s="13" t="s">
        <v>35</v>
      </c>
      <c r="D8" s="29">
        <v>16246971.57</v>
      </c>
      <c r="E8" s="28">
        <v>41616573.879999995</v>
      </c>
      <c r="F8" s="28">
        <v>142895601.53999999</v>
      </c>
      <c r="H8">
        <f t="shared" si="0"/>
        <v>-18573932.599999998</v>
      </c>
    </row>
    <row r="9" spans="1:8" x14ac:dyDescent="0.25">
      <c r="A9" s="13" t="s">
        <v>66</v>
      </c>
      <c r="B9" s="14">
        <v>12</v>
      </c>
      <c r="C9" s="13" t="s">
        <v>50</v>
      </c>
      <c r="D9" s="29">
        <v>90299237.480133697</v>
      </c>
      <c r="E9" s="28">
        <v>180623154.66</v>
      </c>
      <c r="F9" s="28">
        <v>271754141.08729428</v>
      </c>
      <c r="H9">
        <f t="shared" si="0"/>
        <v>-18573932.599999998</v>
      </c>
    </row>
    <row r="10" spans="1:8" x14ac:dyDescent="0.25">
      <c r="A10" s="13" t="s">
        <v>26</v>
      </c>
      <c r="B10" s="14">
        <v>20</v>
      </c>
      <c r="C10" s="13" t="s">
        <v>51</v>
      </c>
      <c r="D10" s="29">
        <v>106032412.71000001</v>
      </c>
      <c r="E10" s="28">
        <v>36254784.620000005</v>
      </c>
      <c r="F10" s="28">
        <v>166792506.95999998</v>
      </c>
      <c r="H10">
        <f t="shared" si="0"/>
        <v>-18573932.599999998</v>
      </c>
    </row>
    <row r="11" spans="1:8" x14ac:dyDescent="0.25">
      <c r="A11" s="13" t="s">
        <v>30</v>
      </c>
      <c r="B11" s="14">
        <v>7</v>
      </c>
      <c r="C11" s="13" t="s">
        <v>68</v>
      </c>
      <c r="D11" s="29">
        <v>73399560.829999998</v>
      </c>
      <c r="E11" s="28">
        <v>9124124.0300000012</v>
      </c>
      <c r="F11" s="28">
        <v>140420000</v>
      </c>
      <c r="H11">
        <f t="shared" si="0"/>
        <v>-18573932.599999998</v>
      </c>
    </row>
    <row r="12" spans="1:8" x14ac:dyDescent="0.25">
      <c r="A12" s="13" t="s">
        <v>275</v>
      </c>
      <c r="B12" s="14">
        <v>1</v>
      </c>
      <c r="C12" s="13" t="s">
        <v>75</v>
      </c>
      <c r="D12" s="29"/>
      <c r="E12" s="28"/>
      <c r="F12" s="28">
        <v>49568741</v>
      </c>
      <c r="H12">
        <f t="shared" si="0"/>
        <v>-18573932.599999998</v>
      </c>
    </row>
    <row r="13" spans="1:8" x14ac:dyDescent="0.25">
      <c r="A13" s="13" t="s">
        <v>49</v>
      </c>
      <c r="B13" s="14">
        <v>13</v>
      </c>
      <c r="C13" s="13" t="s">
        <v>92</v>
      </c>
      <c r="D13" s="29">
        <v>4053937.58</v>
      </c>
      <c r="E13" s="28">
        <v>908299265.44999993</v>
      </c>
      <c r="F13" s="28">
        <v>627648</v>
      </c>
      <c r="H13">
        <f t="shared" si="0"/>
        <v>-18573932.599999998</v>
      </c>
    </row>
    <row r="14" spans="1:8" x14ac:dyDescent="0.25">
      <c r="A14" s="13" t="s">
        <v>29</v>
      </c>
      <c r="B14" s="14">
        <v>49</v>
      </c>
      <c r="C14" s="13" t="s">
        <v>99</v>
      </c>
      <c r="D14" s="29"/>
      <c r="E14" s="28"/>
      <c r="F14" s="28"/>
      <c r="H14">
        <f t="shared" si="0"/>
        <v>-18573932.599999998</v>
      </c>
    </row>
    <row r="15" spans="1:8" x14ac:dyDescent="0.25">
      <c r="A15" s="13" t="s">
        <v>138</v>
      </c>
      <c r="B15" s="14">
        <v>5</v>
      </c>
      <c r="C15" s="13" t="s">
        <v>100</v>
      </c>
      <c r="D15" s="29">
        <v>7930865.9900000002</v>
      </c>
      <c r="E15" s="28">
        <v>19796.93</v>
      </c>
      <c r="F15" s="28"/>
      <c r="H15">
        <f t="shared" si="0"/>
        <v>-18573932.599999998</v>
      </c>
    </row>
    <row r="16" spans="1:8" x14ac:dyDescent="0.25">
      <c r="A16" s="13" t="s">
        <v>223</v>
      </c>
      <c r="B16" s="14">
        <v>1</v>
      </c>
      <c r="C16" s="13" t="s">
        <v>106</v>
      </c>
      <c r="D16" s="29"/>
      <c r="E16" s="28">
        <v>40219475.570800021</v>
      </c>
      <c r="F16" s="28">
        <v>954440</v>
      </c>
      <c r="H16">
        <f t="shared" si="0"/>
        <v>-18573932.599999998</v>
      </c>
    </row>
    <row r="17" spans="1:8" x14ac:dyDescent="0.25">
      <c r="A17" s="13" t="s">
        <v>27</v>
      </c>
      <c r="B17" s="14">
        <v>22</v>
      </c>
      <c r="C17" s="13" t="s">
        <v>107</v>
      </c>
      <c r="D17" s="29">
        <v>123301078.59999999</v>
      </c>
      <c r="E17" s="28">
        <v>272665178.34999996</v>
      </c>
      <c r="F17" s="28">
        <v>150117300.06</v>
      </c>
      <c r="H17">
        <f t="shared" si="0"/>
        <v>-18573932.599999998</v>
      </c>
    </row>
    <row r="18" spans="1:8" x14ac:dyDescent="0.25">
      <c r="A18" s="13" t="s">
        <v>98</v>
      </c>
      <c r="B18" s="14">
        <v>1</v>
      </c>
      <c r="C18" s="13" t="s">
        <v>108</v>
      </c>
      <c r="D18" s="29"/>
      <c r="E18" s="28"/>
      <c r="F18" s="28"/>
      <c r="H18">
        <f t="shared" si="0"/>
        <v>-18573932.599999998</v>
      </c>
    </row>
    <row r="19" spans="1:8" x14ac:dyDescent="0.25">
      <c r="A19" s="13" t="s">
        <v>24</v>
      </c>
      <c r="B19" s="14">
        <v>11</v>
      </c>
      <c r="C19" s="13" t="s">
        <v>109</v>
      </c>
      <c r="D19" s="29">
        <v>9484633.5299999993</v>
      </c>
      <c r="E19" s="28">
        <v>486284869.46000004</v>
      </c>
      <c r="F19" s="28">
        <v>542343021.9000001</v>
      </c>
      <c r="H19">
        <f t="shared" si="0"/>
        <v>-18573932.599999998</v>
      </c>
    </row>
    <row r="20" spans="1:8" x14ac:dyDescent="0.25">
      <c r="A20" s="13" t="s">
        <v>65</v>
      </c>
      <c r="B20" s="14">
        <v>16</v>
      </c>
      <c r="C20" s="13" t="s">
        <v>126</v>
      </c>
      <c r="D20" s="29"/>
      <c r="E20" s="28"/>
      <c r="F20" s="28"/>
      <c r="H20">
        <f t="shared" si="0"/>
        <v>-18573932.599999998</v>
      </c>
    </row>
    <row r="21" spans="1:8" x14ac:dyDescent="0.25">
      <c r="A21" s="13" t="s">
        <v>48</v>
      </c>
      <c r="B21" s="14">
        <v>8</v>
      </c>
      <c r="C21" s="13" t="s">
        <v>127</v>
      </c>
      <c r="D21" s="29">
        <v>114353904.17</v>
      </c>
      <c r="E21" s="28">
        <v>88852712</v>
      </c>
      <c r="F21" s="28">
        <v>209296545</v>
      </c>
      <c r="H21">
        <f t="shared" si="0"/>
        <v>-18573932.599999998</v>
      </c>
    </row>
    <row r="22" spans="1:8" x14ac:dyDescent="0.25">
      <c r="A22" s="13" t="s">
        <v>296</v>
      </c>
      <c r="B22" s="14">
        <v>2</v>
      </c>
      <c r="C22" s="13" t="s">
        <v>149</v>
      </c>
      <c r="D22" s="29"/>
      <c r="E22" s="28">
        <v>357525949.75</v>
      </c>
      <c r="F22" s="28">
        <v>12160.38</v>
      </c>
      <c r="H22">
        <f t="shared" si="0"/>
        <v>-18573932.599999998</v>
      </c>
    </row>
    <row r="23" spans="1:8" x14ac:dyDescent="0.25">
      <c r="A23" s="13" t="s">
        <v>297</v>
      </c>
      <c r="B23" s="14">
        <v>248</v>
      </c>
      <c r="C23" s="13" t="s">
        <v>151</v>
      </c>
      <c r="D23" s="29">
        <v>2847416.05</v>
      </c>
      <c r="E23" s="28">
        <v>47078025.699999996</v>
      </c>
      <c r="F23" s="28">
        <v>9975363.9799999986</v>
      </c>
      <c r="H23">
        <f t="shared" si="0"/>
        <v>-18573932.599999998</v>
      </c>
    </row>
    <row r="24" spans="1:8" x14ac:dyDescent="0.25">
      <c r="C24" s="13" t="s">
        <v>161</v>
      </c>
      <c r="D24" s="29"/>
      <c r="E24" s="28">
        <v>1928781.64</v>
      </c>
      <c r="F24" s="28">
        <v>1170000</v>
      </c>
      <c r="H24">
        <f t="shared" si="0"/>
        <v>-18573932.599999998</v>
      </c>
    </row>
    <row r="25" spans="1:8" x14ac:dyDescent="0.25">
      <c r="C25" s="13" t="s">
        <v>150</v>
      </c>
      <c r="D25" s="29"/>
      <c r="E25" s="28"/>
      <c r="F25" s="28"/>
      <c r="H25">
        <f t="shared" si="0"/>
        <v>-18573932.599999998</v>
      </c>
    </row>
    <row r="26" spans="1:8" x14ac:dyDescent="0.25">
      <c r="C26" s="13" t="s">
        <v>162</v>
      </c>
      <c r="D26" s="29">
        <v>456794062.35000002</v>
      </c>
      <c r="E26" s="28"/>
      <c r="F26" s="28"/>
      <c r="H26">
        <f t="shared" si="0"/>
        <v>-18573932.599999998</v>
      </c>
    </row>
    <row r="27" spans="1:8" x14ac:dyDescent="0.25">
      <c r="C27" s="13" t="s">
        <v>163</v>
      </c>
      <c r="D27" s="29">
        <v>5885669.3300000001</v>
      </c>
      <c r="E27" s="28">
        <v>355401807.63</v>
      </c>
      <c r="F27" s="28">
        <v>13014157.139999999</v>
      </c>
      <c r="H27">
        <f t="shared" si="0"/>
        <v>-18573932.599999998</v>
      </c>
    </row>
    <row r="28" spans="1:8" x14ac:dyDescent="0.25">
      <c r="A28" t="s">
        <v>400</v>
      </c>
      <c r="B28" s="12" t="s">
        <v>295</v>
      </c>
      <c r="C28" s="13" t="s">
        <v>184</v>
      </c>
      <c r="D28" s="29">
        <v>22878259.139999997</v>
      </c>
      <c r="E28" s="28"/>
      <c r="F28" s="28">
        <v>11447648</v>
      </c>
      <c r="H28">
        <f t="shared" si="0"/>
        <v>-18573932.599999998</v>
      </c>
    </row>
    <row r="29" spans="1:8" x14ac:dyDescent="0.25">
      <c r="A29" s="14">
        <v>26</v>
      </c>
      <c r="B29" s="13" t="s">
        <v>47</v>
      </c>
      <c r="C29" s="13" t="s">
        <v>189</v>
      </c>
      <c r="D29" s="29">
        <v>487925000</v>
      </c>
      <c r="E29" s="28">
        <v>1300962000</v>
      </c>
      <c r="F29" s="28">
        <v>9215792000</v>
      </c>
      <c r="H29">
        <f t="shared" si="0"/>
        <v>-18573932.599999998</v>
      </c>
    </row>
    <row r="30" spans="1:8" x14ac:dyDescent="0.25">
      <c r="A30" s="14">
        <v>8</v>
      </c>
      <c r="B30" s="13" t="s">
        <v>25</v>
      </c>
      <c r="C30" s="13" t="s">
        <v>193</v>
      </c>
      <c r="D30" s="29"/>
      <c r="E30" s="28"/>
      <c r="F30" s="28">
        <v>185000</v>
      </c>
      <c r="H30">
        <f t="shared" si="0"/>
        <v>-18573932.599999998</v>
      </c>
    </row>
    <row r="31" spans="1:8" x14ac:dyDescent="0.25">
      <c r="A31" s="14">
        <v>5</v>
      </c>
      <c r="B31" s="13" t="s">
        <v>31</v>
      </c>
      <c r="C31" s="13" t="s">
        <v>297</v>
      </c>
      <c r="D31" s="29">
        <v>1533758397.1601336</v>
      </c>
      <c r="E31" s="28">
        <v>4409421238.2807999</v>
      </c>
      <c r="F31" s="28">
        <v>10926966275.047295</v>
      </c>
      <c r="H31">
        <f t="shared" si="0"/>
        <v>-18573932.599999998</v>
      </c>
    </row>
    <row r="32" spans="1:8" x14ac:dyDescent="0.25">
      <c r="A32" s="14">
        <v>28</v>
      </c>
      <c r="B32" s="13" t="s">
        <v>23</v>
      </c>
    </row>
    <row r="33" spans="1:2" x14ac:dyDescent="0.25">
      <c r="A33" s="14">
        <v>13</v>
      </c>
      <c r="B33" s="13" t="s">
        <v>28</v>
      </c>
    </row>
    <row r="34" spans="1:2" x14ac:dyDescent="0.25">
      <c r="A34" s="14">
        <v>12</v>
      </c>
      <c r="B34" s="13" t="s">
        <v>66</v>
      </c>
    </row>
    <row r="35" spans="1:2" x14ac:dyDescent="0.25">
      <c r="A35" s="14">
        <v>20</v>
      </c>
      <c r="B35" s="13" t="s">
        <v>26</v>
      </c>
    </row>
    <row r="36" spans="1:2" x14ac:dyDescent="0.25">
      <c r="A36" s="14">
        <v>7</v>
      </c>
      <c r="B36" s="13" t="s">
        <v>30</v>
      </c>
    </row>
    <row r="37" spans="1:2" x14ac:dyDescent="0.25">
      <c r="A37" s="14">
        <v>1</v>
      </c>
      <c r="B37" s="13" t="s">
        <v>275</v>
      </c>
    </row>
    <row r="38" spans="1:2" x14ac:dyDescent="0.25">
      <c r="A38" s="14">
        <v>13</v>
      </c>
      <c r="B38" s="13" t="s">
        <v>49</v>
      </c>
    </row>
    <row r="39" spans="1:2" x14ac:dyDescent="0.25">
      <c r="A39" s="14">
        <v>49</v>
      </c>
      <c r="B39" s="13" t="s">
        <v>29</v>
      </c>
    </row>
    <row r="40" spans="1:2" x14ac:dyDescent="0.25">
      <c r="A40" s="14">
        <v>5</v>
      </c>
      <c r="B40" s="13" t="s">
        <v>138</v>
      </c>
    </row>
    <row r="41" spans="1:2" x14ac:dyDescent="0.25">
      <c r="A41" s="14">
        <v>1</v>
      </c>
      <c r="B41" s="13" t="s">
        <v>223</v>
      </c>
    </row>
    <row r="42" spans="1:2" x14ac:dyDescent="0.25">
      <c r="A42" s="14">
        <v>22</v>
      </c>
      <c r="B42" s="13" t="s">
        <v>27</v>
      </c>
    </row>
    <row r="43" spans="1:2" x14ac:dyDescent="0.25">
      <c r="A43" s="14">
        <v>1</v>
      </c>
      <c r="B43" s="13" t="s">
        <v>98</v>
      </c>
    </row>
    <row r="44" spans="1:2" x14ac:dyDescent="0.25">
      <c r="A44" s="14">
        <v>11</v>
      </c>
      <c r="B44" s="13" t="s">
        <v>24</v>
      </c>
    </row>
    <row r="45" spans="1:2" x14ac:dyDescent="0.25">
      <c r="A45" s="14">
        <v>16</v>
      </c>
      <c r="B45" s="13" t="s">
        <v>65</v>
      </c>
    </row>
    <row r="46" spans="1:2" x14ac:dyDescent="0.25">
      <c r="A46" s="14">
        <v>8</v>
      </c>
      <c r="B46" s="13" t="s">
        <v>48</v>
      </c>
    </row>
    <row r="47" spans="1:2" x14ac:dyDescent="0.25">
      <c r="A47" s="14">
        <v>2</v>
      </c>
      <c r="B47" s="13" t="s">
        <v>296</v>
      </c>
    </row>
    <row r="48" spans="1:2" x14ac:dyDescent="0.25">
      <c r="A48" s="14">
        <v>248</v>
      </c>
      <c r="B48" s="13" t="s">
        <v>297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D157-E1A4-4A49-B822-B5B3FF584A1B}">
  <sheetPr codeName="Planilha10"/>
  <dimension ref="A1:G21"/>
  <sheetViews>
    <sheetView workbookViewId="0">
      <selection activeCell="N26" sqref="N26"/>
    </sheetView>
  </sheetViews>
  <sheetFormatPr defaultRowHeight="15" x14ac:dyDescent="0.25"/>
  <cols>
    <col min="2" max="2" width="20.42578125" bestFit="1" customWidth="1"/>
    <col min="6" max="6" width="20.42578125" bestFit="1" customWidth="1"/>
    <col min="7" max="7" width="25.140625" bestFit="1" customWidth="1"/>
  </cols>
  <sheetData>
    <row r="1" spans="1:7" x14ac:dyDescent="0.25">
      <c r="A1" t="s">
        <v>400</v>
      </c>
      <c r="B1" t="s">
        <v>295</v>
      </c>
    </row>
    <row r="2" spans="1:7" x14ac:dyDescent="0.25">
      <c r="A2">
        <v>248</v>
      </c>
      <c r="B2" t="s">
        <v>297</v>
      </c>
      <c r="F2" s="26" t="s">
        <v>404</v>
      </c>
      <c r="G2" s="26" t="s">
        <v>405</v>
      </c>
    </row>
    <row r="3" spans="1:7" x14ac:dyDescent="0.25">
      <c r="A3">
        <v>49</v>
      </c>
      <c r="B3" t="s">
        <v>29</v>
      </c>
      <c r="F3" t="s">
        <v>23</v>
      </c>
      <c r="G3">
        <v>28</v>
      </c>
    </row>
    <row r="4" spans="1:7" x14ac:dyDescent="0.25">
      <c r="A4">
        <v>28</v>
      </c>
      <c r="B4" t="s">
        <v>23</v>
      </c>
      <c r="F4" t="s">
        <v>47</v>
      </c>
      <c r="G4">
        <v>26</v>
      </c>
    </row>
    <row r="5" spans="1:7" x14ac:dyDescent="0.25">
      <c r="A5">
        <v>26</v>
      </c>
      <c r="B5" t="s">
        <v>47</v>
      </c>
      <c r="F5" t="s">
        <v>27</v>
      </c>
      <c r="G5">
        <v>22</v>
      </c>
    </row>
    <row r="6" spans="1:7" x14ac:dyDescent="0.25">
      <c r="A6">
        <v>22</v>
      </c>
      <c r="B6" t="s">
        <v>27</v>
      </c>
      <c r="F6" t="s">
        <v>26</v>
      </c>
      <c r="G6">
        <v>20</v>
      </c>
    </row>
    <row r="7" spans="1:7" x14ac:dyDescent="0.25">
      <c r="A7">
        <v>20</v>
      </c>
      <c r="B7" t="s">
        <v>26</v>
      </c>
      <c r="F7" t="s">
        <v>65</v>
      </c>
      <c r="G7">
        <v>16</v>
      </c>
    </row>
    <row r="8" spans="1:7" x14ac:dyDescent="0.25">
      <c r="A8">
        <v>16</v>
      </c>
      <c r="B8" t="s">
        <v>65</v>
      </c>
      <c r="F8" t="s">
        <v>28</v>
      </c>
      <c r="G8">
        <v>13</v>
      </c>
    </row>
    <row r="9" spans="1:7" x14ac:dyDescent="0.25">
      <c r="A9">
        <v>13</v>
      </c>
      <c r="B9" t="s">
        <v>28</v>
      </c>
      <c r="F9" t="s">
        <v>49</v>
      </c>
      <c r="G9">
        <v>13</v>
      </c>
    </row>
    <row r="10" spans="1:7" x14ac:dyDescent="0.25">
      <c r="A10">
        <v>13</v>
      </c>
      <c r="B10" t="s">
        <v>49</v>
      </c>
      <c r="F10" t="s">
        <v>66</v>
      </c>
      <c r="G10">
        <v>12</v>
      </c>
    </row>
    <row r="11" spans="1:7" x14ac:dyDescent="0.25">
      <c r="A11">
        <v>12</v>
      </c>
      <c r="B11" t="s">
        <v>66</v>
      </c>
      <c r="F11" t="s">
        <v>403</v>
      </c>
      <c r="G11">
        <v>98</v>
      </c>
    </row>
    <row r="12" spans="1:7" x14ac:dyDescent="0.25">
      <c r="A12">
        <v>11</v>
      </c>
      <c r="B12" t="s">
        <v>24</v>
      </c>
    </row>
    <row r="13" spans="1:7" x14ac:dyDescent="0.25">
      <c r="A13">
        <v>8</v>
      </c>
      <c r="B13" t="s">
        <v>25</v>
      </c>
    </row>
    <row r="14" spans="1:7" x14ac:dyDescent="0.25">
      <c r="A14">
        <v>8</v>
      </c>
      <c r="B14" t="s">
        <v>48</v>
      </c>
    </row>
    <row r="15" spans="1:7" x14ac:dyDescent="0.25">
      <c r="A15">
        <v>7</v>
      </c>
      <c r="B15" t="s">
        <v>30</v>
      </c>
    </row>
    <row r="16" spans="1:7" x14ac:dyDescent="0.25">
      <c r="A16">
        <v>5</v>
      </c>
      <c r="B16" t="s">
        <v>31</v>
      </c>
    </row>
    <row r="17" spans="1:2" x14ac:dyDescent="0.25">
      <c r="A17">
        <v>5</v>
      </c>
      <c r="B17" t="s">
        <v>138</v>
      </c>
    </row>
    <row r="18" spans="1:2" x14ac:dyDescent="0.25">
      <c r="A18">
        <v>2</v>
      </c>
      <c r="B18" t="s">
        <v>296</v>
      </c>
    </row>
    <row r="19" spans="1:2" x14ac:dyDescent="0.25">
      <c r="A19">
        <v>1</v>
      </c>
      <c r="B19" t="s">
        <v>275</v>
      </c>
    </row>
    <row r="20" spans="1:2" x14ac:dyDescent="0.25">
      <c r="A20">
        <v>1</v>
      </c>
      <c r="B20" t="s">
        <v>223</v>
      </c>
    </row>
    <row r="21" spans="1:2" x14ac:dyDescent="0.25">
      <c r="A21">
        <v>1</v>
      </c>
      <c r="B21" t="s">
        <v>98</v>
      </c>
    </row>
  </sheetData>
  <autoFilter ref="A1:B21" xr:uid="{8666C207-12C5-4CCB-82F6-64D61E14ADA3}">
    <sortState xmlns:xlrd2="http://schemas.microsoft.com/office/spreadsheetml/2017/richdata2" ref="A2:B21">
      <sortCondition descending="1" ref="A1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E454-D9BF-470F-8478-D5CBE943E508}">
  <sheetPr codeName="Planilha3"/>
  <dimension ref="A3:H40"/>
  <sheetViews>
    <sheetView topLeftCell="B13" workbookViewId="0">
      <selection activeCell="I14" sqref="I14"/>
    </sheetView>
  </sheetViews>
  <sheetFormatPr defaultRowHeight="15" x14ac:dyDescent="0.25"/>
  <cols>
    <col min="1" max="1" width="18" bestFit="1" customWidth="1"/>
    <col min="2" max="2" width="19.28515625" bestFit="1" customWidth="1"/>
    <col min="3" max="4" width="21.7109375" bestFit="1" customWidth="1"/>
    <col min="7" max="7" width="13.140625" bestFit="1" customWidth="1"/>
  </cols>
  <sheetData>
    <row r="3" spans="1:8" x14ac:dyDescent="0.25">
      <c r="A3" s="12" t="s">
        <v>295</v>
      </c>
      <c r="B3" t="s">
        <v>298</v>
      </c>
      <c r="D3" t="s">
        <v>395</v>
      </c>
      <c r="E3">
        <f>SUM(E4:E7)</f>
        <v>48</v>
      </c>
      <c r="G3" t="s">
        <v>395</v>
      </c>
      <c r="H3">
        <v>48</v>
      </c>
    </row>
    <row r="4" spans="1:8" x14ac:dyDescent="0.25">
      <c r="A4" s="13" t="s">
        <v>189</v>
      </c>
      <c r="B4" s="14">
        <v>20</v>
      </c>
      <c r="D4" s="13" t="s">
        <v>189</v>
      </c>
      <c r="E4" s="14">
        <v>20</v>
      </c>
      <c r="G4" t="s">
        <v>396</v>
      </c>
      <c r="H4">
        <v>41</v>
      </c>
    </row>
    <row r="5" spans="1:8" x14ac:dyDescent="0.25">
      <c r="A5" s="13" t="s">
        <v>75</v>
      </c>
      <c r="B5" s="14">
        <v>16</v>
      </c>
      <c r="D5" s="13" t="s">
        <v>99</v>
      </c>
      <c r="E5" s="14">
        <v>12</v>
      </c>
      <c r="G5" t="s">
        <v>397</v>
      </c>
      <c r="H5">
        <v>36</v>
      </c>
    </row>
    <row r="6" spans="1:8" x14ac:dyDescent="0.25">
      <c r="A6" s="13" t="s">
        <v>109</v>
      </c>
      <c r="B6" s="14">
        <v>15</v>
      </c>
      <c r="D6" s="13" t="s">
        <v>149</v>
      </c>
      <c r="E6" s="14">
        <v>10</v>
      </c>
      <c r="G6" t="s">
        <v>398</v>
      </c>
      <c r="H6">
        <v>34</v>
      </c>
    </row>
    <row r="7" spans="1:8" x14ac:dyDescent="0.25">
      <c r="A7" s="13" t="s">
        <v>163</v>
      </c>
      <c r="B7" s="14">
        <v>13</v>
      </c>
      <c r="D7" s="13" t="s">
        <v>68</v>
      </c>
      <c r="E7" s="14">
        <v>6</v>
      </c>
      <c r="G7" t="s">
        <v>399</v>
      </c>
      <c r="H7">
        <v>89</v>
      </c>
    </row>
    <row r="8" spans="1:8" x14ac:dyDescent="0.25">
      <c r="A8" s="13" t="s">
        <v>51</v>
      </c>
      <c r="B8" s="14">
        <v>13</v>
      </c>
      <c r="H8">
        <f>SUM(H3:H7)</f>
        <v>248</v>
      </c>
    </row>
    <row r="9" spans="1:8" x14ac:dyDescent="0.25">
      <c r="A9" s="13" t="s">
        <v>50</v>
      </c>
      <c r="B9" s="14">
        <v>12</v>
      </c>
      <c r="D9" t="s">
        <v>396</v>
      </c>
      <c r="E9">
        <f>SUM(E10:E13)</f>
        <v>41</v>
      </c>
    </row>
    <row r="10" spans="1:8" x14ac:dyDescent="0.25">
      <c r="A10" s="13" t="s">
        <v>35</v>
      </c>
      <c r="B10" s="14">
        <v>12</v>
      </c>
      <c r="D10" s="13" t="s">
        <v>75</v>
      </c>
      <c r="E10" s="14">
        <v>16</v>
      </c>
    </row>
    <row r="11" spans="1:8" x14ac:dyDescent="0.25">
      <c r="A11" s="13" t="s">
        <v>99</v>
      </c>
      <c r="B11" s="14">
        <v>12</v>
      </c>
      <c r="D11" s="13" t="s">
        <v>51</v>
      </c>
      <c r="E11" s="14">
        <v>13</v>
      </c>
    </row>
    <row r="12" spans="1:8" x14ac:dyDescent="0.25">
      <c r="A12" s="13" t="s">
        <v>184</v>
      </c>
      <c r="B12" s="14">
        <v>11</v>
      </c>
      <c r="D12" s="13" t="s">
        <v>106</v>
      </c>
      <c r="E12" s="14">
        <v>7</v>
      </c>
    </row>
    <row r="13" spans="1:8" x14ac:dyDescent="0.25">
      <c r="A13" s="13" t="s">
        <v>162</v>
      </c>
      <c r="B13" s="14">
        <v>11</v>
      </c>
      <c r="D13" s="13" t="s">
        <v>100</v>
      </c>
      <c r="E13" s="14">
        <v>5</v>
      </c>
    </row>
    <row r="14" spans="1:8" x14ac:dyDescent="0.25">
      <c r="A14" s="13" t="s">
        <v>149</v>
      </c>
      <c r="B14" s="14">
        <v>10</v>
      </c>
    </row>
    <row r="15" spans="1:8" x14ac:dyDescent="0.25">
      <c r="A15" s="13" t="s">
        <v>127</v>
      </c>
      <c r="B15" s="14">
        <v>10</v>
      </c>
      <c r="D15" t="s">
        <v>397</v>
      </c>
      <c r="E15">
        <f>SUM(E16:E22)</f>
        <v>36</v>
      </c>
    </row>
    <row r="16" spans="1:8" x14ac:dyDescent="0.25">
      <c r="A16" s="13" t="s">
        <v>107</v>
      </c>
      <c r="B16" s="14">
        <v>10</v>
      </c>
      <c r="D16" s="13" t="s">
        <v>107</v>
      </c>
      <c r="E16" s="14">
        <v>10</v>
      </c>
    </row>
    <row r="17" spans="1:5" x14ac:dyDescent="0.25">
      <c r="A17" s="13" t="s">
        <v>108</v>
      </c>
      <c r="B17" s="14">
        <v>9</v>
      </c>
      <c r="D17" s="13" t="s">
        <v>262</v>
      </c>
      <c r="E17" s="14">
        <v>7</v>
      </c>
    </row>
    <row r="18" spans="1:5" x14ac:dyDescent="0.25">
      <c r="A18" s="13" t="s">
        <v>151</v>
      </c>
      <c r="B18" s="14">
        <v>9</v>
      </c>
      <c r="D18" s="13" t="s">
        <v>32</v>
      </c>
      <c r="E18" s="14">
        <v>7</v>
      </c>
    </row>
    <row r="19" spans="1:5" x14ac:dyDescent="0.25">
      <c r="A19" s="13" t="s">
        <v>13</v>
      </c>
      <c r="B19" s="14">
        <v>9</v>
      </c>
      <c r="D19" s="13" t="s">
        <v>161</v>
      </c>
      <c r="E19" s="14">
        <v>4</v>
      </c>
    </row>
    <row r="20" spans="1:5" x14ac:dyDescent="0.25">
      <c r="A20" s="13" t="s">
        <v>262</v>
      </c>
      <c r="B20" s="14">
        <v>7</v>
      </c>
      <c r="D20" s="13" t="s">
        <v>193</v>
      </c>
      <c r="E20" s="14">
        <v>3</v>
      </c>
    </row>
    <row r="21" spans="1:5" x14ac:dyDescent="0.25">
      <c r="A21" s="13" t="s">
        <v>126</v>
      </c>
      <c r="B21" s="14">
        <v>7</v>
      </c>
      <c r="D21" s="13" t="s">
        <v>150</v>
      </c>
      <c r="E21" s="14">
        <v>3</v>
      </c>
    </row>
    <row r="22" spans="1:5" x14ac:dyDescent="0.25">
      <c r="A22" s="13" t="s">
        <v>106</v>
      </c>
      <c r="B22" s="14">
        <v>7</v>
      </c>
      <c r="D22" s="13" t="s">
        <v>33</v>
      </c>
      <c r="E22" s="14">
        <v>2</v>
      </c>
    </row>
    <row r="23" spans="1:5" x14ac:dyDescent="0.25">
      <c r="A23" s="13" t="s">
        <v>32</v>
      </c>
      <c r="B23" s="14">
        <v>7</v>
      </c>
    </row>
    <row r="24" spans="1:5" x14ac:dyDescent="0.25">
      <c r="A24" s="13" t="s">
        <v>68</v>
      </c>
      <c r="B24" s="14">
        <v>6</v>
      </c>
      <c r="D24" t="s">
        <v>398</v>
      </c>
      <c r="E24">
        <f>SUM(E25:E27)</f>
        <v>34</v>
      </c>
    </row>
    <row r="25" spans="1:5" x14ac:dyDescent="0.25">
      <c r="A25" s="13" t="s">
        <v>100</v>
      </c>
      <c r="B25" s="14">
        <v>5</v>
      </c>
      <c r="D25" s="13" t="s">
        <v>163</v>
      </c>
      <c r="E25" s="14">
        <v>13</v>
      </c>
    </row>
    <row r="26" spans="1:5" x14ac:dyDescent="0.25">
      <c r="A26" s="13" t="s">
        <v>92</v>
      </c>
      <c r="B26" s="14">
        <v>5</v>
      </c>
      <c r="D26" s="13" t="s">
        <v>162</v>
      </c>
      <c r="E26" s="14">
        <v>11</v>
      </c>
    </row>
    <row r="27" spans="1:5" x14ac:dyDescent="0.25">
      <c r="A27" s="13" t="s">
        <v>161</v>
      </c>
      <c r="B27" s="14">
        <v>4</v>
      </c>
      <c r="D27" s="13" t="s">
        <v>127</v>
      </c>
      <c r="E27" s="14">
        <v>10</v>
      </c>
    </row>
    <row r="28" spans="1:5" x14ac:dyDescent="0.25">
      <c r="A28" s="13" t="s">
        <v>193</v>
      </c>
      <c r="B28" s="14">
        <v>3</v>
      </c>
    </row>
    <row r="29" spans="1:5" x14ac:dyDescent="0.25">
      <c r="A29" s="13" t="s">
        <v>150</v>
      </c>
      <c r="B29" s="14">
        <v>3</v>
      </c>
      <c r="D29" t="s">
        <v>399</v>
      </c>
      <c r="E29">
        <f>SUM(E30:E38)</f>
        <v>89</v>
      </c>
    </row>
    <row r="30" spans="1:5" x14ac:dyDescent="0.25">
      <c r="A30" s="13" t="s">
        <v>33</v>
      </c>
      <c r="B30" s="14">
        <v>2</v>
      </c>
      <c r="D30" s="13" t="s">
        <v>109</v>
      </c>
      <c r="E30" s="14">
        <v>15</v>
      </c>
    </row>
    <row r="31" spans="1:5" x14ac:dyDescent="0.25">
      <c r="A31" s="13" t="s">
        <v>296</v>
      </c>
      <c r="B31" s="14"/>
      <c r="D31" s="13" t="s">
        <v>50</v>
      </c>
      <c r="E31" s="14">
        <v>12</v>
      </c>
    </row>
    <row r="32" spans="1:5" x14ac:dyDescent="0.25">
      <c r="A32" s="13" t="s">
        <v>297</v>
      </c>
      <c r="B32" s="14">
        <v>248</v>
      </c>
      <c r="D32" s="13" t="s">
        <v>35</v>
      </c>
      <c r="E32" s="14">
        <v>12</v>
      </c>
    </row>
    <row r="33" spans="4:5" x14ac:dyDescent="0.25">
      <c r="D33" s="13" t="s">
        <v>184</v>
      </c>
      <c r="E33" s="14">
        <v>11</v>
      </c>
    </row>
    <row r="34" spans="4:5" x14ac:dyDescent="0.25">
      <c r="D34" s="13" t="s">
        <v>108</v>
      </c>
      <c r="E34" s="14">
        <v>9</v>
      </c>
    </row>
    <row r="35" spans="4:5" x14ac:dyDescent="0.25">
      <c r="D35" s="13" t="s">
        <v>151</v>
      </c>
      <c r="E35" s="14">
        <v>9</v>
      </c>
    </row>
    <row r="36" spans="4:5" x14ac:dyDescent="0.25">
      <c r="D36" s="13" t="s">
        <v>13</v>
      </c>
      <c r="E36" s="14">
        <v>9</v>
      </c>
    </row>
    <row r="37" spans="4:5" x14ac:dyDescent="0.25">
      <c r="D37" s="13" t="s">
        <v>126</v>
      </c>
      <c r="E37" s="14">
        <v>7</v>
      </c>
    </row>
    <row r="38" spans="4:5" x14ac:dyDescent="0.25">
      <c r="D38" s="13" t="s">
        <v>92</v>
      </c>
      <c r="E38" s="14">
        <v>5</v>
      </c>
    </row>
    <row r="40" spans="4:5" x14ac:dyDescent="0.25">
      <c r="D40">
        <f>E29+E24+E15+E9+E3</f>
        <v>248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BEDB-E22E-4ABF-A9A2-65A40A7FA903}">
  <sheetPr codeName="Planilha2"/>
  <dimension ref="A1:AJ125"/>
  <sheetViews>
    <sheetView workbookViewId="0">
      <selection activeCell="H7" sqref="H7"/>
    </sheetView>
  </sheetViews>
  <sheetFormatPr defaultRowHeight="15" x14ac:dyDescent="0.25"/>
  <cols>
    <col min="1" max="1" width="9.140625" style="2"/>
    <col min="2" max="2" width="21.5703125" style="2" customWidth="1"/>
    <col min="3" max="3" width="27.140625" style="2" customWidth="1"/>
    <col min="4" max="4" width="28.42578125" style="2" customWidth="1"/>
    <col min="5" max="5" width="2.5703125" style="2" customWidth="1"/>
    <col min="6" max="16384" width="9.140625" style="2"/>
  </cols>
  <sheetData>
    <row r="1" spans="1:36" ht="39.75" customHeight="1" x14ac:dyDescent="0.25">
      <c r="A1" s="6" t="s">
        <v>0</v>
      </c>
      <c r="B1" s="6" t="s">
        <v>12</v>
      </c>
      <c r="C1" s="6" t="s">
        <v>8</v>
      </c>
      <c r="D1" s="6" t="s">
        <v>9</v>
      </c>
      <c r="E1" s="3"/>
      <c r="F1" s="1"/>
      <c r="G1" s="1"/>
      <c r="H1" s="1"/>
      <c r="I1" s="1" t="s">
        <v>194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2" t="s">
        <v>13</v>
      </c>
      <c r="B2" s="5">
        <f>F2/I2</f>
        <v>0.44444444444444442</v>
      </c>
      <c r="C2" s="5">
        <f>G2/I2</f>
        <v>0</v>
      </c>
      <c r="D2" s="5">
        <f>H2/I2</f>
        <v>0</v>
      </c>
      <c r="E2" s="4"/>
      <c r="F2" s="1">
        <v>4</v>
      </c>
      <c r="G2" s="1">
        <v>0</v>
      </c>
      <c r="H2" s="1">
        <v>0</v>
      </c>
      <c r="I2" s="1">
        <f>COUNTIF(PL!A:A,Governança!A2)</f>
        <v>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s="2" t="s">
        <v>32</v>
      </c>
      <c r="B3" s="5">
        <f>F3/I3</f>
        <v>0.42857142857142855</v>
      </c>
      <c r="C3" s="5">
        <f>G3/I3</f>
        <v>0.2857142857142857</v>
      </c>
      <c r="D3" s="5">
        <f>H3/I3</f>
        <v>0.14285714285714285</v>
      </c>
      <c r="E3" s="4"/>
      <c r="F3" s="1">
        <v>3</v>
      </c>
      <c r="G3" s="1">
        <v>2</v>
      </c>
      <c r="H3" s="1">
        <v>1</v>
      </c>
      <c r="I3" s="1">
        <f>COUNTIF(PL!A:A,Governança!A3)</f>
        <v>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2" t="s">
        <v>262</v>
      </c>
      <c r="B4" s="5">
        <f>F4/I4</f>
        <v>0.7142857142857143</v>
      </c>
      <c r="C4" s="5">
        <f>G4/I4</f>
        <v>1</v>
      </c>
      <c r="D4" s="5">
        <f>H4/I4</f>
        <v>0.7142857142857143</v>
      </c>
      <c r="E4" s="4"/>
      <c r="F4" s="1">
        <v>5</v>
      </c>
      <c r="G4" s="1">
        <v>7</v>
      </c>
      <c r="H4" s="1">
        <v>5</v>
      </c>
      <c r="I4" s="1">
        <f>COUNTIF(PL!A:A,Governança!A4)</f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A5" s="2" t="s">
        <v>35</v>
      </c>
      <c r="B5" s="5">
        <f t="shared" ref="B5:B23" si="0">F5/I5</f>
        <v>0.41666666666666669</v>
      </c>
      <c r="C5" s="5">
        <f t="shared" ref="C5:C23" si="1">G5/I5</f>
        <v>0.41666666666666669</v>
      </c>
      <c r="D5" s="5">
        <f t="shared" ref="D5:D23" si="2">H5/I5</f>
        <v>0</v>
      </c>
      <c r="E5" s="4"/>
      <c r="F5" s="1">
        <v>5</v>
      </c>
      <c r="G5" s="1">
        <v>5</v>
      </c>
      <c r="H5" s="1">
        <v>0</v>
      </c>
      <c r="I5" s="1">
        <f>COUNTIF(PL!A:A,Governança!A5)</f>
        <v>12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2" t="s">
        <v>50</v>
      </c>
      <c r="B6" s="5">
        <f t="shared" ref="B6" si="3">F6/I6</f>
        <v>0.91666666666666663</v>
      </c>
      <c r="C6" s="5">
        <f t="shared" ref="C6" si="4">G6/I6</f>
        <v>1</v>
      </c>
      <c r="D6" s="5">
        <f t="shared" ref="D6" si="5">H6/I6</f>
        <v>0.41666666666666669</v>
      </c>
      <c r="E6" s="4"/>
      <c r="F6" s="1">
        <v>11</v>
      </c>
      <c r="G6" s="1">
        <v>12</v>
      </c>
      <c r="H6" s="1">
        <v>5</v>
      </c>
      <c r="I6" s="1">
        <f>COUNTIF(PL!A:A,Governança!A6)</f>
        <v>12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2" t="s">
        <v>51</v>
      </c>
      <c r="B7" s="5">
        <f t="shared" si="0"/>
        <v>1</v>
      </c>
      <c r="C7" s="5">
        <f t="shared" si="1"/>
        <v>0.92307692307692313</v>
      </c>
      <c r="D7" s="5">
        <f t="shared" si="2"/>
        <v>0.30769230769230771</v>
      </c>
      <c r="E7" s="4"/>
      <c r="F7" s="1">
        <v>13</v>
      </c>
      <c r="G7" s="1">
        <v>12</v>
      </c>
      <c r="H7" s="1">
        <v>4</v>
      </c>
      <c r="I7" s="1">
        <f>COUNTIF(PL!A:A,Governança!A7)</f>
        <v>13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2" t="s">
        <v>75</v>
      </c>
      <c r="B8" s="5">
        <f t="shared" si="0"/>
        <v>0.8125</v>
      </c>
      <c r="C8" s="5">
        <f t="shared" si="1"/>
        <v>0.9375</v>
      </c>
      <c r="D8" s="5">
        <f t="shared" si="2"/>
        <v>0.1875</v>
      </c>
      <c r="E8" s="4"/>
      <c r="F8" s="1">
        <v>13</v>
      </c>
      <c r="G8" s="1">
        <v>15</v>
      </c>
      <c r="H8" s="1">
        <v>3</v>
      </c>
      <c r="I8" s="1">
        <f>COUNTIF(PL!A:A,Governança!A8)</f>
        <v>16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2" t="s">
        <v>68</v>
      </c>
      <c r="B9" s="5">
        <f t="shared" si="0"/>
        <v>0.83333333333333337</v>
      </c>
      <c r="C9" s="5">
        <f t="shared" si="1"/>
        <v>0.83333333333333337</v>
      </c>
      <c r="D9" s="5">
        <f t="shared" si="2"/>
        <v>0.5</v>
      </c>
      <c r="E9" s="4"/>
      <c r="F9" s="1">
        <v>5</v>
      </c>
      <c r="G9" s="1">
        <v>5</v>
      </c>
      <c r="H9" s="1">
        <v>3</v>
      </c>
      <c r="I9" s="1">
        <f>COUNTIF(PL!A:A,Governança!A9)</f>
        <v>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2" t="s">
        <v>106</v>
      </c>
      <c r="B10" s="5">
        <f>F10/I10</f>
        <v>0.7142857142857143</v>
      </c>
      <c r="C10" s="5">
        <f t="shared" si="1"/>
        <v>0.7142857142857143</v>
      </c>
      <c r="D10" s="5">
        <f t="shared" si="2"/>
        <v>0</v>
      </c>
      <c r="E10" s="4"/>
      <c r="F10" s="1">
        <v>5</v>
      </c>
      <c r="G10" s="1">
        <v>5</v>
      </c>
      <c r="H10" s="1">
        <v>0</v>
      </c>
      <c r="I10" s="1">
        <f>COUNTIF(PL!A:A,Governança!A10)</f>
        <v>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2" t="s">
        <v>92</v>
      </c>
      <c r="B11" s="5">
        <f t="shared" si="0"/>
        <v>0.8</v>
      </c>
      <c r="C11" s="5">
        <f t="shared" si="1"/>
        <v>0.8</v>
      </c>
      <c r="D11" s="5">
        <f t="shared" si="2"/>
        <v>0.2</v>
      </c>
      <c r="E11" s="4"/>
      <c r="F11" s="1">
        <v>4</v>
      </c>
      <c r="G11" s="1">
        <v>4</v>
      </c>
      <c r="H11" s="1">
        <v>1</v>
      </c>
      <c r="I11" s="1">
        <f>COUNTIF(PL!A:A,Governança!A11)</f>
        <v>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2" t="s">
        <v>100</v>
      </c>
      <c r="B12" s="5">
        <f t="shared" si="0"/>
        <v>0.8</v>
      </c>
      <c r="C12" s="5">
        <f t="shared" si="1"/>
        <v>1</v>
      </c>
      <c r="D12" s="5">
        <f t="shared" si="2"/>
        <v>0.8</v>
      </c>
      <c r="E12" s="4"/>
      <c r="F12" s="1">
        <v>4</v>
      </c>
      <c r="G12" s="1">
        <v>5</v>
      </c>
      <c r="H12" s="1">
        <v>4</v>
      </c>
      <c r="I12" s="1">
        <f>COUNTIF(PL!A:A,Governança!A12)</f>
        <v>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2" t="s">
        <v>107</v>
      </c>
      <c r="B13" s="5">
        <f t="shared" ref="B13" si="6">F13/I13</f>
        <v>0.8</v>
      </c>
      <c r="C13" s="5">
        <f t="shared" ref="C13" si="7">G13/I13</f>
        <v>0.7</v>
      </c>
      <c r="D13" s="5">
        <f t="shared" ref="D13" si="8">H13/I13</f>
        <v>0</v>
      </c>
      <c r="E13" s="4"/>
      <c r="F13" s="1">
        <v>8</v>
      </c>
      <c r="G13" s="1">
        <v>7</v>
      </c>
      <c r="H13" s="1">
        <v>0</v>
      </c>
      <c r="I13" s="1">
        <f>COUNTIF(PL!A:A,Governança!A13)</f>
        <v>10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2" t="s">
        <v>109</v>
      </c>
      <c r="B14" s="5">
        <f t="shared" si="0"/>
        <v>0.93333333333333335</v>
      </c>
      <c r="C14" s="5">
        <f t="shared" si="1"/>
        <v>0.93333333333333335</v>
      </c>
      <c r="D14" s="5">
        <f t="shared" si="2"/>
        <v>0.2</v>
      </c>
      <c r="E14" s="4"/>
      <c r="F14" s="1">
        <v>14</v>
      </c>
      <c r="G14" s="1">
        <v>14</v>
      </c>
      <c r="H14" s="1">
        <v>3</v>
      </c>
      <c r="I14" s="1">
        <f>COUNTIF(PL!A:A,Governança!A14)</f>
        <v>15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2" t="s">
        <v>127</v>
      </c>
      <c r="B15" s="5">
        <f t="shared" si="0"/>
        <v>0.8</v>
      </c>
      <c r="C15" s="5">
        <f t="shared" si="1"/>
        <v>1</v>
      </c>
      <c r="D15" s="5">
        <f t="shared" si="2"/>
        <v>0.6</v>
      </c>
      <c r="E15" s="4"/>
      <c r="F15" s="1">
        <v>8</v>
      </c>
      <c r="G15" s="1">
        <v>10</v>
      </c>
      <c r="H15" s="1">
        <v>6</v>
      </c>
      <c r="I15" s="1">
        <f>COUNTIF(PL!A:A,Governança!A15)</f>
        <v>10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2" t="s">
        <v>149</v>
      </c>
      <c r="B16" s="5">
        <f t="shared" si="0"/>
        <v>0.45454545454545453</v>
      </c>
      <c r="C16" s="5">
        <f t="shared" si="1"/>
        <v>0.54545454545454541</v>
      </c>
      <c r="D16" s="5">
        <f t="shared" si="2"/>
        <v>9.0909090909090912E-2</v>
      </c>
      <c r="E16" s="4"/>
      <c r="F16" s="1">
        <v>5</v>
      </c>
      <c r="G16" s="1">
        <v>6</v>
      </c>
      <c r="H16" s="1">
        <v>1</v>
      </c>
      <c r="I16" s="1">
        <f>COUNTIF(PL!A:A,Governança!A16)</f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2" t="s">
        <v>151</v>
      </c>
      <c r="B17" s="5">
        <f>F17/I17</f>
        <v>1</v>
      </c>
      <c r="C17" s="5">
        <f>G17/I17</f>
        <v>0.88888888888888884</v>
      </c>
      <c r="D17" s="5">
        <f t="shared" si="2"/>
        <v>0.1111111111111111</v>
      </c>
      <c r="E17" s="4"/>
      <c r="F17" s="1">
        <v>9</v>
      </c>
      <c r="G17" s="1">
        <v>8</v>
      </c>
      <c r="H17" s="1">
        <v>1</v>
      </c>
      <c r="I17" s="1">
        <f>COUNTIF(PL!A:A,Governança!A17)</f>
        <v>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2" t="s">
        <v>161</v>
      </c>
      <c r="B18" s="5">
        <f>F18/I18</f>
        <v>0</v>
      </c>
      <c r="C18" s="5">
        <f>G18/I18</f>
        <v>0</v>
      </c>
      <c r="D18" s="5">
        <f t="shared" ref="D18" si="9">H18/I18</f>
        <v>0</v>
      </c>
      <c r="E18" s="4"/>
      <c r="F18" s="1">
        <v>0</v>
      </c>
      <c r="G18" s="1">
        <v>0</v>
      </c>
      <c r="H18" s="1">
        <v>0</v>
      </c>
      <c r="I18" s="1">
        <f>COUNTIF(PL!A:A,Governança!A18)</f>
        <v>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2" t="s">
        <v>162</v>
      </c>
      <c r="B19" s="5">
        <f>F19/I19</f>
        <v>1</v>
      </c>
      <c r="C19" s="5">
        <f>G19/I19</f>
        <v>1</v>
      </c>
      <c r="D19" s="5">
        <f t="shared" ref="D19" si="10">H19/I19</f>
        <v>0.63636363636363635</v>
      </c>
      <c r="E19" s="4"/>
      <c r="F19" s="1">
        <v>11</v>
      </c>
      <c r="G19" s="1">
        <v>11</v>
      </c>
      <c r="H19" s="1">
        <v>7</v>
      </c>
      <c r="I19" s="1">
        <f>COUNTIF(PL!A:A,Governança!A19)</f>
        <v>11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2" t="s">
        <v>163</v>
      </c>
      <c r="B20" s="5">
        <f t="shared" si="0"/>
        <v>0.69230769230769229</v>
      </c>
      <c r="C20" s="5">
        <f t="shared" si="1"/>
        <v>1</v>
      </c>
      <c r="D20" s="5">
        <f t="shared" si="2"/>
        <v>0.23076923076923078</v>
      </c>
      <c r="E20" s="4"/>
      <c r="F20" s="1">
        <v>9</v>
      </c>
      <c r="G20" s="1">
        <v>13</v>
      </c>
      <c r="H20" s="1">
        <v>3</v>
      </c>
      <c r="I20" s="1">
        <f>COUNTIF(PL!A:A,Governança!A20)</f>
        <v>13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2" t="s">
        <v>184</v>
      </c>
      <c r="B21" s="5">
        <f t="shared" si="0"/>
        <v>0.45454545454545453</v>
      </c>
      <c r="C21" s="5">
        <f t="shared" si="1"/>
        <v>0.45454545454545453</v>
      </c>
      <c r="D21" s="5">
        <f t="shared" si="2"/>
        <v>9.0909090909090912E-2</v>
      </c>
      <c r="E21" s="4"/>
      <c r="F21" s="1">
        <v>5</v>
      </c>
      <c r="G21" s="1">
        <v>5</v>
      </c>
      <c r="H21" s="1">
        <v>1</v>
      </c>
      <c r="I21" s="1">
        <f>COUNTIF(PL!A:A,Governança!A21)</f>
        <v>11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2" t="s">
        <v>189</v>
      </c>
      <c r="B22" s="5">
        <f t="shared" ref="B22" si="11">F22/I22</f>
        <v>0.85</v>
      </c>
      <c r="C22" s="5">
        <f t="shared" ref="C22" si="12">G22/I22</f>
        <v>0.85</v>
      </c>
      <c r="D22" s="5">
        <f t="shared" ref="D22" si="13">H22/I22</f>
        <v>0.6</v>
      </c>
      <c r="E22" s="4"/>
      <c r="F22" s="1">
        <v>17</v>
      </c>
      <c r="G22" s="1">
        <v>17</v>
      </c>
      <c r="H22" s="1">
        <v>12</v>
      </c>
      <c r="I22" s="1">
        <f>COUNTIF(PL!A:A,Governança!A22)</f>
        <v>20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2" t="s">
        <v>193</v>
      </c>
      <c r="B23" s="5">
        <f t="shared" si="0"/>
        <v>1</v>
      </c>
      <c r="C23" s="5">
        <f t="shared" si="1"/>
        <v>1</v>
      </c>
      <c r="D23" s="5">
        <f t="shared" si="2"/>
        <v>0.33333333333333331</v>
      </c>
      <c r="E23" s="4"/>
      <c r="F23" s="1">
        <v>3</v>
      </c>
      <c r="G23" s="1">
        <v>3</v>
      </c>
      <c r="H23" s="1">
        <v>1</v>
      </c>
      <c r="I23" s="1">
        <f>COUNTIF(PL!A:A,Governança!A23)</f>
        <v>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6:36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6:36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6:36" x14ac:dyDescent="0.25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6:36" x14ac:dyDescent="0.25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6:36" x14ac:dyDescent="0.25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6:36" x14ac:dyDescent="0.25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6:36" x14ac:dyDescent="0.25"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6:36" x14ac:dyDescent="0.25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6:36" x14ac:dyDescent="0.25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6:36" x14ac:dyDescent="0.25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6:36" x14ac:dyDescent="0.25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6:36" x14ac:dyDescent="0.2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6:36" x14ac:dyDescent="0.25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6:36" x14ac:dyDescent="0.25"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6:36" x14ac:dyDescent="0.25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6:36" x14ac:dyDescent="0.25"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6:36" x14ac:dyDescent="0.25"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6:36" x14ac:dyDescent="0.25"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6:36" x14ac:dyDescent="0.25"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6:36" x14ac:dyDescent="0.25"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6:36" x14ac:dyDescent="0.25"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6:36" x14ac:dyDescent="0.25"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6:36" x14ac:dyDescent="0.25"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6:36" x14ac:dyDescent="0.25"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6:36" x14ac:dyDescent="0.25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6:36" x14ac:dyDescent="0.25"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6:36" x14ac:dyDescent="0.25"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6:36" x14ac:dyDescent="0.25"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6:36" x14ac:dyDescent="0.25"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6:36" x14ac:dyDescent="0.25"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6:36" x14ac:dyDescent="0.25"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6:36" x14ac:dyDescent="0.25"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6:36" x14ac:dyDescent="0.25"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6:36" x14ac:dyDescent="0.25"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6:36" x14ac:dyDescent="0.25"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6:36" x14ac:dyDescent="0.25"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6:36" x14ac:dyDescent="0.25"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6:36" x14ac:dyDescent="0.25"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6:36" x14ac:dyDescent="0.25"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6:36" x14ac:dyDescent="0.25"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6:36" x14ac:dyDescent="0.25"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6:36" x14ac:dyDescent="0.25"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6:36" x14ac:dyDescent="0.25"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6:36" x14ac:dyDescent="0.25"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6:36" x14ac:dyDescent="0.25"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6:36" x14ac:dyDescent="0.25"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6:36" x14ac:dyDescent="0.25"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6:36" x14ac:dyDescent="0.25"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6:36" x14ac:dyDescent="0.25"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6:36" x14ac:dyDescent="0.25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6:36" x14ac:dyDescent="0.25"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6:36" x14ac:dyDescent="0.25"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6:36" x14ac:dyDescent="0.25"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6:36" x14ac:dyDescent="0.25"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6:36" x14ac:dyDescent="0.25"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6:36" x14ac:dyDescent="0.25"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6:36" x14ac:dyDescent="0.25"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6:36" x14ac:dyDescent="0.25"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6:36" x14ac:dyDescent="0.25"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6:36" x14ac:dyDescent="0.25"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6:36" x14ac:dyDescent="0.25"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6:36" x14ac:dyDescent="0.25"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6:36" x14ac:dyDescent="0.25"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6:36" x14ac:dyDescent="0.25"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6:36" x14ac:dyDescent="0.25"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6:36" x14ac:dyDescent="0.25"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6:36" x14ac:dyDescent="0.25"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6:36" x14ac:dyDescent="0.25"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6:36" x14ac:dyDescent="0.25"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6:36" x14ac:dyDescent="0.25"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6:36" x14ac:dyDescent="0.25"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6:36" x14ac:dyDescent="0.25"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6:36" x14ac:dyDescent="0.25"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6:36" x14ac:dyDescent="0.25"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6:36" x14ac:dyDescent="0.25"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6:36" x14ac:dyDescent="0.25"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6:36" x14ac:dyDescent="0.25"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6:36" x14ac:dyDescent="0.25"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6:36" x14ac:dyDescent="0.25"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6:36" x14ac:dyDescent="0.25"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6:36" x14ac:dyDescent="0.25"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6:36" x14ac:dyDescent="0.25"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6:36" x14ac:dyDescent="0.25"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6:36" x14ac:dyDescent="0.25"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6:36" x14ac:dyDescent="0.25"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6:36" x14ac:dyDescent="0.25"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6:36" x14ac:dyDescent="0.25"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6:36" x14ac:dyDescent="0.25"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6:36" x14ac:dyDescent="0.25"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6:36" x14ac:dyDescent="0.25"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6:36" x14ac:dyDescent="0.25"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6:36" x14ac:dyDescent="0.25"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6:36" x14ac:dyDescent="0.25"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</vt:lpstr>
      <vt:lpstr>tab grafs</vt:lpstr>
      <vt:lpstr>grafs</vt:lpstr>
      <vt:lpstr>Planilha3</vt:lpstr>
      <vt:lpstr>Planilha1</vt:lpstr>
      <vt:lpstr>Planilha1 (2)</vt:lpstr>
      <vt:lpstr>Planilha5</vt:lpstr>
      <vt:lpstr>Planilha2</vt:lpstr>
      <vt:lpstr>Governança</vt:lpstr>
      <vt:lpstr>Setor Privado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Tiago Maranhao Barreto Pereira</cp:lastModifiedBy>
  <dcterms:created xsi:type="dcterms:W3CDTF">2019-07-13T17:58:53Z</dcterms:created>
  <dcterms:modified xsi:type="dcterms:W3CDTF">2019-08-09T11:39:51Z</dcterms:modified>
</cp:coreProperties>
</file>