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Estudos\Excel\~Projetos\Fluxo de Caixa\Planilha\"/>
    </mc:Choice>
  </mc:AlternateContent>
  <xr:revisionPtr revIDLastSave="0" documentId="13_ncr:1_{EB8ED21B-40BB-4A77-B9E6-774C42F1CD49}" xr6:coauthVersionLast="47" xr6:coauthVersionMax="47" xr10:uidLastSave="{00000000-0000-0000-0000-000000000000}"/>
  <bookViews>
    <workbookView xWindow="-120" yWindow="-120" windowWidth="29040" windowHeight="15840" activeTab="3" xr2:uid="{62CD81BC-73E1-4F35-9C30-050DBDE3560B}"/>
  </bookViews>
  <sheets>
    <sheet name="Base de Lançamentos" sheetId="4" r:id="rId1"/>
    <sheet name="Relatório" sheetId="5" r:id="rId2"/>
    <sheet name="Análises" sheetId="7" r:id="rId3"/>
    <sheet name="Dashboard" sheetId="6" r:id="rId4"/>
    <sheet name="Referências" sheetId="1" state="hidden" r:id="rId5"/>
    <sheet name="Paleta de Cores" sheetId="3" state="hidden" r:id="rId6"/>
  </sheets>
  <definedNames>
    <definedName name="CategoriaConta">Referências[Categoria da Conta]</definedName>
    <definedName name="Conta">Referências[Conta]</definedName>
    <definedName name="DadosExternos_1" localSheetId="0" hidden="1">'Base de Lançamentos'!$B$4:$G$93</definedName>
    <definedName name="DadosExternos_1" localSheetId="4" hidden="1">'Referências'!$B$4:$D$24</definedName>
    <definedName name="NativeTimeline_Data__Pagamento">#N/A</definedName>
    <definedName name="NativeTimeline_Data_Lançamento">#N/A</definedName>
    <definedName name="SegmentaçãodeDados_Atraso">#N/A</definedName>
    <definedName name="SegmentaçãodeDados_Categoria">#N/A</definedName>
    <definedName name="SegmentaçãodeDados_Forma_Pagamento">#N/A</definedName>
    <definedName name="SegmentaçãodeDados_Realizado">#N/A</definedName>
    <definedName name="Transação">Referências[Transação]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  <x15:timelineCacheRef r:id="rId13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I5" i="4"/>
  <c r="I6" i="4"/>
  <c r="L6" i="4" s="1"/>
  <c r="I7" i="4"/>
  <c r="L7" i="4" s="1"/>
  <c r="I8" i="4"/>
  <c r="I9" i="4"/>
  <c r="I10" i="4"/>
  <c r="L10" i="4" s="1"/>
  <c r="I11" i="4"/>
  <c r="L11" i="4" s="1"/>
  <c r="I12" i="4"/>
  <c r="I13" i="4"/>
  <c r="I14" i="4"/>
  <c r="L14" i="4" s="1"/>
  <c r="I15" i="4"/>
  <c r="L15" i="4" s="1"/>
  <c r="I16" i="4"/>
  <c r="I17" i="4"/>
  <c r="I18" i="4"/>
  <c r="L18" i="4" s="1"/>
  <c r="I19" i="4"/>
  <c r="L19" i="4" s="1"/>
  <c r="I20" i="4"/>
  <c r="I21" i="4"/>
  <c r="I22" i="4"/>
  <c r="L22" i="4" s="1"/>
  <c r="I23" i="4"/>
  <c r="L23" i="4" s="1"/>
  <c r="I24" i="4"/>
  <c r="I25" i="4"/>
  <c r="I26" i="4"/>
  <c r="L26" i="4" s="1"/>
  <c r="I27" i="4"/>
  <c r="L27" i="4" s="1"/>
  <c r="I28" i="4"/>
  <c r="I29" i="4"/>
  <c r="I30" i="4"/>
  <c r="L30" i="4" s="1"/>
  <c r="I31" i="4"/>
  <c r="L31" i="4" s="1"/>
  <c r="I32" i="4"/>
  <c r="I33" i="4"/>
  <c r="I34" i="4"/>
  <c r="L34" i="4" s="1"/>
  <c r="I35" i="4"/>
  <c r="L35" i="4" s="1"/>
  <c r="I36" i="4"/>
  <c r="I37" i="4"/>
  <c r="I38" i="4"/>
  <c r="L38" i="4" s="1"/>
  <c r="I39" i="4"/>
  <c r="L39" i="4" s="1"/>
  <c r="I40" i="4"/>
  <c r="I41" i="4"/>
  <c r="I42" i="4"/>
  <c r="L42" i="4" s="1"/>
  <c r="I43" i="4"/>
  <c r="L43" i="4" s="1"/>
  <c r="I44" i="4"/>
  <c r="I45" i="4"/>
  <c r="I46" i="4"/>
  <c r="L46" i="4" s="1"/>
  <c r="I47" i="4"/>
  <c r="L47" i="4" s="1"/>
  <c r="I48" i="4"/>
  <c r="I49" i="4"/>
  <c r="I50" i="4"/>
  <c r="L50" i="4" s="1"/>
  <c r="I51" i="4"/>
  <c r="L51" i="4" s="1"/>
  <c r="I52" i="4"/>
  <c r="I53" i="4"/>
  <c r="I54" i="4"/>
  <c r="L54" i="4" s="1"/>
  <c r="I55" i="4"/>
  <c r="L55" i="4" s="1"/>
  <c r="I56" i="4"/>
  <c r="I57" i="4"/>
  <c r="I58" i="4"/>
  <c r="L58" i="4" s="1"/>
  <c r="I59" i="4"/>
  <c r="L59" i="4" s="1"/>
  <c r="I60" i="4"/>
  <c r="I61" i="4"/>
  <c r="I62" i="4"/>
  <c r="L62" i="4" s="1"/>
  <c r="I63" i="4"/>
  <c r="L63" i="4" s="1"/>
  <c r="I64" i="4"/>
  <c r="I65" i="4"/>
  <c r="I66" i="4"/>
  <c r="L66" i="4" s="1"/>
  <c r="I67" i="4"/>
  <c r="L67" i="4" s="1"/>
  <c r="I68" i="4"/>
  <c r="I69" i="4"/>
  <c r="I70" i="4"/>
  <c r="L70" i="4" s="1"/>
  <c r="I71" i="4"/>
  <c r="L71" i="4" s="1"/>
  <c r="I72" i="4"/>
  <c r="I73" i="4"/>
  <c r="I74" i="4"/>
  <c r="L74" i="4" s="1"/>
  <c r="I75" i="4"/>
  <c r="L75" i="4" s="1"/>
  <c r="I76" i="4"/>
  <c r="I77" i="4"/>
  <c r="I78" i="4"/>
  <c r="L78" i="4" s="1"/>
  <c r="I79" i="4"/>
  <c r="L79" i="4" s="1"/>
  <c r="I80" i="4"/>
  <c r="I81" i="4"/>
  <c r="I82" i="4"/>
  <c r="L82" i="4" s="1"/>
  <c r="I83" i="4"/>
  <c r="L83" i="4" s="1"/>
  <c r="I84" i="4"/>
  <c r="I85" i="4"/>
  <c r="I86" i="4"/>
  <c r="L86" i="4" s="1"/>
  <c r="I87" i="4"/>
  <c r="L87" i="4" s="1"/>
  <c r="I88" i="4"/>
  <c r="I89" i="4"/>
  <c r="I90" i="4"/>
  <c r="L90" i="4" s="1"/>
  <c r="I91" i="4"/>
  <c r="L91" i="4" s="1"/>
  <c r="I92" i="4"/>
  <c r="I93" i="4"/>
  <c r="J5" i="4"/>
  <c r="J6" i="4"/>
  <c r="K6" i="4" s="1"/>
  <c r="J7" i="4"/>
  <c r="K7" i="4" s="1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8" i="4"/>
  <c r="K38" i="4" s="1"/>
  <c r="J39" i="4"/>
  <c r="K39" i="4" s="1"/>
  <c r="J40" i="4"/>
  <c r="K40" i="4" s="1"/>
  <c r="J41" i="4"/>
  <c r="K41" i="4" s="1"/>
  <c r="J42" i="4"/>
  <c r="K42" i="4" s="1"/>
  <c r="J43" i="4"/>
  <c r="K43" i="4" s="1"/>
  <c r="J44" i="4"/>
  <c r="K44" i="4" s="1"/>
  <c r="J45" i="4"/>
  <c r="K45" i="4" s="1"/>
  <c r="J46" i="4"/>
  <c r="K46" i="4" s="1"/>
  <c r="J47" i="4"/>
  <c r="K47" i="4" s="1"/>
  <c r="J48" i="4"/>
  <c r="K48" i="4" s="1"/>
  <c r="J49" i="4"/>
  <c r="K49" i="4" s="1"/>
  <c r="J50" i="4"/>
  <c r="K50" i="4" s="1"/>
  <c r="J51" i="4"/>
  <c r="K51" i="4" s="1"/>
  <c r="J52" i="4"/>
  <c r="K52" i="4" s="1"/>
  <c r="J53" i="4"/>
  <c r="K53" i="4" s="1"/>
  <c r="J54" i="4"/>
  <c r="K54" i="4" s="1"/>
  <c r="J55" i="4"/>
  <c r="K55" i="4" s="1"/>
  <c r="J56" i="4"/>
  <c r="K56" i="4" s="1"/>
  <c r="J57" i="4"/>
  <c r="K57" i="4" s="1"/>
  <c r="J58" i="4"/>
  <c r="K58" i="4" s="1"/>
  <c r="J59" i="4"/>
  <c r="K59" i="4" s="1"/>
  <c r="J60" i="4"/>
  <c r="K60" i="4" s="1"/>
  <c r="J61" i="4"/>
  <c r="K61" i="4" s="1"/>
  <c r="J62" i="4"/>
  <c r="K62" i="4" s="1"/>
  <c r="J63" i="4"/>
  <c r="K63" i="4" s="1"/>
  <c r="J64" i="4"/>
  <c r="K64" i="4" s="1"/>
  <c r="J65" i="4"/>
  <c r="K65" i="4" s="1"/>
  <c r="J66" i="4"/>
  <c r="K66" i="4" s="1"/>
  <c r="J67" i="4"/>
  <c r="K67" i="4" s="1"/>
  <c r="J68" i="4"/>
  <c r="K68" i="4" s="1"/>
  <c r="J69" i="4"/>
  <c r="K69" i="4" s="1"/>
  <c r="J70" i="4"/>
  <c r="K70" i="4" s="1"/>
  <c r="J71" i="4"/>
  <c r="K71" i="4" s="1"/>
  <c r="J72" i="4"/>
  <c r="K72" i="4" s="1"/>
  <c r="J73" i="4"/>
  <c r="K73" i="4" s="1"/>
  <c r="J74" i="4"/>
  <c r="K74" i="4" s="1"/>
  <c r="J75" i="4"/>
  <c r="K75" i="4" s="1"/>
  <c r="J76" i="4"/>
  <c r="K76" i="4" s="1"/>
  <c r="J77" i="4"/>
  <c r="K77" i="4" s="1"/>
  <c r="J78" i="4"/>
  <c r="K78" i="4" s="1"/>
  <c r="J79" i="4"/>
  <c r="K79" i="4" s="1"/>
  <c r="J80" i="4"/>
  <c r="K80" i="4" s="1"/>
  <c r="J81" i="4"/>
  <c r="K81" i="4" s="1"/>
  <c r="J82" i="4"/>
  <c r="K82" i="4" s="1"/>
  <c r="J83" i="4"/>
  <c r="K83" i="4" s="1"/>
  <c r="J84" i="4"/>
  <c r="K84" i="4" s="1"/>
  <c r="J85" i="4"/>
  <c r="K85" i="4" s="1"/>
  <c r="J86" i="4"/>
  <c r="K86" i="4" s="1"/>
  <c r="J87" i="4"/>
  <c r="K87" i="4" s="1"/>
  <c r="J88" i="4"/>
  <c r="K88" i="4" s="1"/>
  <c r="J89" i="4"/>
  <c r="K89" i="4" s="1"/>
  <c r="J90" i="4"/>
  <c r="K90" i="4" s="1"/>
  <c r="J91" i="4"/>
  <c r="K91" i="4" s="1"/>
  <c r="J92" i="4"/>
  <c r="K92" i="4" s="1"/>
  <c r="J93" i="4"/>
  <c r="K93" i="4" s="1"/>
  <c r="K5" i="4"/>
  <c r="L5" i="4"/>
  <c r="M5" i="4" s="1"/>
  <c r="L8" i="4"/>
  <c r="L9" i="4"/>
  <c r="L12" i="4"/>
  <c r="L13" i="4"/>
  <c r="L16" i="4"/>
  <c r="L17" i="4"/>
  <c r="L20" i="4"/>
  <c r="L21" i="4"/>
  <c r="L24" i="4"/>
  <c r="L25" i="4"/>
  <c r="L28" i="4"/>
  <c r="L29" i="4"/>
  <c r="L32" i="4"/>
  <c r="L33" i="4"/>
  <c r="L36" i="4"/>
  <c r="L37" i="4"/>
  <c r="L40" i="4"/>
  <c r="L41" i="4"/>
  <c r="L44" i="4"/>
  <c r="L45" i="4"/>
  <c r="L48" i="4"/>
  <c r="L49" i="4"/>
  <c r="L52" i="4"/>
  <c r="L53" i="4"/>
  <c r="L56" i="4"/>
  <c r="L57" i="4"/>
  <c r="L60" i="4"/>
  <c r="L61" i="4"/>
  <c r="L64" i="4"/>
  <c r="L65" i="4"/>
  <c r="L68" i="4"/>
  <c r="L69" i="4"/>
  <c r="L72" i="4"/>
  <c r="L73" i="4"/>
  <c r="L76" i="4"/>
  <c r="L77" i="4"/>
  <c r="L80" i="4"/>
  <c r="L81" i="4"/>
  <c r="L84" i="4"/>
  <c r="L85" i="4"/>
  <c r="L88" i="4"/>
  <c r="L89" i="4"/>
  <c r="L92" i="4"/>
  <c r="L93" i="4"/>
  <c r="N43" i="7"/>
  <c r="D43" i="7"/>
  <c r="E43" i="7"/>
  <c r="F43" i="7"/>
  <c r="G43" i="7"/>
  <c r="H43" i="7"/>
  <c r="I43" i="7"/>
  <c r="J43" i="7"/>
  <c r="K43" i="7"/>
  <c r="L43" i="7"/>
  <c r="M43" i="7"/>
  <c r="C43" i="7"/>
  <c r="C44" i="7" s="1"/>
  <c r="D39" i="7"/>
  <c r="E39" i="7"/>
  <c r="F39" i="7"/>
  <c r="G39" i="7"/>
  <c r="H39" i="7"/>
  <c r="I39" i="7"/>
  <c r="J39" i="7"/>
  <c r="K39" i="7"/>
  <c r="L39" i="7"/>
  <c r="M39" i="7"/>
  <c r="N39" i="7"/>
  <c r="C39" i="7"/>
  <c r="E38" i="7"/>
  <c r="F38" i="7"/>
  <c r="G38" i="7"/>
  <c r="H38" i="7"/>
  <c r="I38" i="7"/>
  <c r="J38" i="7"/>
  <c r="K38" i="7"/>
  <c r="L38" i="7"/>
  <c r="M38" i="7"/>
  <c r="N38" i="7"/>
  <c r="D38" i="7"/>
  <c r="C38" i="7"/>
  <c r="D22" i="7"/>
  <c r="E22" i="7"/>
  <c r="F22" i="7"/>
  <c r="G22" i="7"/>
  <c r="H22" i="7"/>
  <c r="I22" i="7"/>
  <c r="J22" i="7"/>
  <c r="K22" i="7"/>
  <c r="L22" i="7"/>
  <c r="M22" i="7"/>
  <c r="N22" i="7"/>
  <c r="C22" i="7"/>
  <c r="C23" i="7" s="1"/>
  <c r="C49" i="7" s="1"/>
  <c r="N17" i="7"/>
  <c r="D17" i="7"/>
  <c r="E17" i="7"/>
  <c r="F17" i="7"/>
  <c r="G17" i="7"/>
  <c r="H17" i="7"/>
  <c r="I17" i="7"/>
  <c r="J17" i="7"/>
  <c r="K17" i="7"/>
  <c r="L17" i="7"/>
  <c r="M17" i="7"/>
  <c r="N18" i="7"/>
  <c r="D18" i="7"/>
  <c r="E18" i="7"/>
  <c r="F18" i="7"/>
  <c r="G18" i="7"/>
  <c r="H18" i="7"/>
  <c r="I18" i="7"/>
  <c r="J18" i="7"/>
  <c r="K18" i="7"/>
  <c r="L18" i="7"/>
  <c r="M18" i="7"/>
  <c r="C18" i="7"/>
  <c r="C17" i="7"/>
  <c r="M6" i="4" l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D44" i="7"/>
  <c r="E44" i="7" s="1"/>
  <c r="F44" i="7" s="1"/>
  <c r="D49" i="7"/>
  <c r="E49" i="7" s="1"/>
  <c r="C64" i="7" s="1"/>
  <c r="D23" i="7"/>
  <c r="D50" i="7" l="1"/>
  <c r="G44" i="7"/>
  <c r="H44" i="7" s="1"/>
  <c r="I44" i="7" s="1"/>
  <c r="J44" i="7" s="1"/>
  <c r="D52" i="7"/>
  <c r="D51" i="7"/>
  <c r="E23" i="7"/>
  <c r="C50" i="7"/>
  <c r="D54" i="7" l="1"/>
  <c r="D53" i="7"/>
  <c r="E50" i="7"/>
  <c r="D64" i="7" s="1"/>
  <c r="D55" i="7"/>
  <c r="K44" i="7"/>
  <c r="D56" i="7"/>
  <c r="F23" i="7"/>
  <c r="C51" i="7"/>
  <c r="E51" i="7" s="1"/>
  <c r="E64" i="7" s="1"/>
  <c r="L44" i="7" l="1"/>
  <c r="D57" i="7"/>
  <c r="C52" i="7"/>
  <c r="E52" i="7" s="1"/>
  <c r="F64" i="7" s="1"/>
  <c r="G23" i="7"/>
  <c r="M44" i="7" l="1"/>
  <c r="D58" i="7"/>
  <c r="H23" i="7"/>
  <c r="C53" i="7"/>
  <c r="E53" i="7" s="1"/>
  <c r="G64" i="7" s="1"/>
  <c r="N44" i="7" l="1"/>
  <c r="D60" i="7" s="1"/>
  <c r="D59" i="7"/>
  <c r="I23" i="7"/>
  <c r="C54" i="7"/>
  <c r="E54" i="7" s="1"/>
  <c r="H64" i="7" s="1"/>
  <c r="J23" i="7" l="1"/>
  <c r="C55" i="7"/>
  <c r="E55" i="7" s="1"/>
  <c r="I64" i="7" s="1"/>
  <c r="K23" i="7" l="1"/>
  <c r="C56" i="7"/>
  <c r="E56" i="7" s="1"/>
  <c r="J64" i="7" s="1"/>
  <c r="L23" i="7" l="1"/>
  <c r="C57" i="7"/>
  <c r="E57" i="7" s="1"/>
  <c r="K64" i="7" s="1"/>
  <c r="M23" i="7" l="1"/>
  <c r="C58" i="7"/>
  <c r="E58" i="7" s="1"/>
  <c r="L64" i="7" s="1"/>
  <c r="N23" i="7" l="1"/>
  <c r="C60" i="7" s="1"/>
  <c r="E60" i="7" s="1"/>
  <c r="N64" i="7" s="1"/>
  <c r="C59" i="7"/>
  <c r="E59" i="7" s="1"/>
  <c r="M6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98156-0D21-4307-87F6-0E4018EB865C}" keepAlive="1" name="Consulta - csv_fluxo_de_caixa" description="Conexão com a consulta 'csv_fluxo_de_caixa' na pasta de trabalho." type="5" refreshedVersion="7" background="1" saveData="1">
    <dbPr connection="Provider=Microsoft.Mashup.OleDb.1;Data Source=$Workbook$;Location=csv_fluxo_de_caixa;Extended Properties=&quot;&quot;" command="SELECT * FROM [csv_fluxo_de_caixa]"/>
  </connection>
  <connection id="2" xr16:uid="{DA652EA6-5544-4DA6-9730-5787C1366AB5}" keepAlive="1" name="Consulta - csv_referências" description="Conexão com a consulta 'csv_referências' na pasta de trabalho." type="5" refreshedVersion="7" background="1" saveData="1">
    <dbPr connection="Provider=Microsoft.Mashup.OleDb.1;Data Source=$Workbook$;Location=csv_referências;Extended Properties=&quot;&quot;" command="SELECT * FROM [csv_referências]"/>
  </connection>
</connections>
</file>

<file path=xl/sharedStrings.xml><?xml version="1.0" encoding="utf-8"?>
<sst xmlns="http://schemas.openxmlformats.org/spreadsheetml/2006/main" count="554" uniqueCount="100">
  <si>
    <t>Conta</t>
  </si>
  <si>
    <t>Categoria da Conta</t>
  </si>
  <si>
    <t>Transação</t>
  </si>
  <si>
    <t>Saldo Inicial</t>
  </si>
  <si>
    <t>Receita</t>
  </si>
  <si>
    <t>Orçamento 1</t>
  </si>
  <si>
    <t>Venda de Produto</t>
  </si>
  <si>
    <t>Orçamento 2</t>
  </si>
  <si>
    <t>Orçamento 3</t>
  </si>
  <si>
    <t>Orçamento 4</t>
  </si>
  <si>
    <t>Consultoria</t>
  </si>
  <si>
    <t>Prestação de Serviço</t>
  </si>
  <si>
    <t>Salários e Benefícios</t>
  </si>
  <si>
    <t>Despesas Operacionais</t>
  </si>
  <si>
    <t>Despesa</t>
  </si>
  <si>
    <t>Aluguel de Escritório</t>
  </si>
  <si>
    <t>Água</t>
  </si>
  <si>
    <t>Luz</t>
  </si>
  <si>
    <t>Manutenção e Reparos</t>
  </si>
  <si>
    <t>Marketing</t>
  </si>
  <si>
    <t>Materiais de Escritório</t>
  </si>
  <si>
    <t>Limpeza</t>
  </si>
  <si>
    <t>Segurança</t>
  </si>
  <si>
    <t>Telefonia</t>
  </si>
  <si>
    <t>Despesas com Licenças</t>
  </si>
  <si>
    <t>Despesas Administrativas</t>
  </si>
  <si>
    <t>Despesas com Seguros</t>
  </si>
  <si>
    <t>Despesas com Assinaturas</t>
  </si>
  <si>
    <t>Imposto sobre Vendas</t>
  </si>
  <si>
    <t>Impostos</t>
  </si>
  <si>
    <t xml:space="preserve">  Referências</t>
  </si>
  <si>
    <t>#244870</t>
  </si>
  <si>
    <t>#74B3CE</t>
  </si>
  <si>
    <t>Forma Pagamento</t>
  </si>
  <si>
    <t>Valor</t>
  </si>
  <si>
    <t>Data Lançamento</t>
  </si>
  <si>
    <t>Realizado</t>
  </si>
  <si>
    <t>Transferência</t>
  </si>
  <si>
    <t>Sim</t>
  </si>
  <si>
    <t>Pix</t>
  </si>
  <si>
    <t>Boleto</t>
  </si>
  <si>
    <t>Não</t>
  </si>
  <si>
    <t xml:space="preserve">  Base de Lançamentos</t>
  </si>
  <si>
    <t>Categoria</t>
  </si>
  <si>
    <t>Atraso</t>
  </si>
  <si>
    <t>Registro de Valor</t>
  </si>
  <si>
    <t>Data 
Pagamento</t>
  </si>
  <si>
    <t>Prazo p/ 
Pagamento</t>
  </si>
  <si>
    <t>Saldo</t>
  </si>
  <si>
    <t xml:space="preserve">  Relatório de Contas</t>
  </si>
  <si>
    <t>Total Geral</t>
  </si>
  <si>
    <t>Transações</t>
  </si>
  <si>
    <t>Gastos</t>
  </si>
  <si>
    <t xml:space="preserve">  Análises</t>
  </si>
  <si>
    <t>Rótulos de Coluna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</si>
  <si>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</si>
  <si>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</si>
  <si>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</si>
  <si>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</si>
  <si>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</si>
  <si>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</si>
  <si>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</si>
  <si>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</si>
  <si>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</si>
  <si>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</si>
  <si>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</si>
  <si>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</si>
  <si>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Rótulos de Linha</t>
  </si>
  <si>
    <t>Soma de Registro de Valor</t>
  </si>
  <si>
    <t xml:space="preserve"> Cálculo do Fluxo de Caixa</t>
  </si>
  <si>
    <t>Tabela Referência com meses fixos - Receitas e Despesas</t>
  </si>
  <si>
    <t>Meses</t>
  </si>
  <si>
    <t>Tabela Referência com meses fixos - Fluxo de Caixa Total</t>
  </si>
  <si>
    <t>Acumulado</t>
  </si>
  <si>
    <t>Tabela Referência com meses fixos - Pagar/Receber</t>
  </si>
  <si>
    <t>Tabela Referência com meses fixos - Total Pagar/Receber</t>
  </si>
  <si>
    <t xml:space="preserve"> Contas a Pagar/Receber</t>
  </si>
  <si>
    <t xml:space="preserve"> Cálculo Acumulado</t>
  </si>
  <si>
    <t>Fluxo de Caixa (Acumulado)</t>
  </si>
  <si>
    <t>Total Acumulado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</si>
  <si>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</si>
  <si>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</si>
  <si>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</si>
  <si>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</si>
  <si>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</si>
  <si>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</si>
  <si>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</si>
  <si>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</si>
  <si>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</si>
  <si>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</si>
  <si>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</si>
  <si>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</si>
  <si>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Pagar/Receber (Acumulado)</t>
  </si>
  <si>
    <t>Tabela Referência com meses fixos - Total Acumulado</t>
  </si>
  <si>
    <t>Atrasado</t>
  </si>
  <si>
    <t xml:space="preserve">  Paleta de Cores</t>
  </si>
  <si>
    <t>#427FC2</t>
  </si>
  <si>
    <t>Soma de Registro de Valor Positivo</t>
  </si>
  <si>
    <t xml:space="preserve"> Contas Atrasadas</t>
  </si>
  <si>
    <t xml:space="preserve"> Contas Pendentes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</si>
</sst>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&quot;R$&quot;\ #,##0.00"/>
    <numFmt numFmtId="165" formatCode="[&gt;999999]#.0,,&quot;M&quot;;[&gt;999]#0,&quot;k&quot;;#0,&quot;k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u/>
      <sz val="11"/>
      <color theme="1"/>
      <name val="Calibri"/>
      <family val="2"/>
      <scheme val="minor"/>
    </font>
    <font>
      <b/>
      <sz val="26"/>
      <color theme="0"/>
      <name val="Segoe UI"/>
      <family val="2"/>
    </font>
    <font>
      <sz val="14"/>
      <color theme="1"/>
      <name val="Segoe UI"/>
      <family val="2"/>
    </font>
    <font>
      <b/>
      <sz val="14"/>
      <color theme="0"/>
      <name val="Segoe UI"/>
      <family val="2"/>
    </font>
    <font>
      <sz val="18"/>
      <color theme="0"/>
      <name val="Segoe UI"/>
      <family val="2"/>
    </font>
    <font>
      <b/>
      <sz val="18"/>
      <color theme="0"/>
      <name val="Segoe UI"/>
      <family val="2"/>
    </font>
    <font>
      <sz val="8"/>
      <name val="Calibri"/>
      <family val="2"/>
      <scheme val="minor"/>
    </font>
    <font>
      <b/>
      <sz val="12"/>
      <color theme="1"/>
      <name val="Segoe UI"/>
      <family val="2"/>
    </font>
    <font>
      <b/>
      <sz val="11"/>
      <color rgb="FF24487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44870"/>
        <bgColor indexed="64"/>
      </patternFill>
    </fill>
    <fill>
      <patternFill patternType="solid">
        <fgColor rgb="FF74B3CE"/>
        <bgColor indexed="64"/>
      </patternFill>
    </fill>
    <fill>
      <patternFill patternType="solid">
        <fgColor rgb="FFAAC6E4"/>
        <bgColor indexed="64"/>
      </patternFill>
    </fill>
    <fill>
      <patternFill patternType="solid">
        <fgColor rgb="FF427FC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74B3CE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C6E4"/>
      </left>
      <right/>
      <top style="thin">
        <color rgb="FFAAC6E4"/>
      </top>
      <bottom style="thin">
        <color rgb="FFAAC6E4"/>
      </bottom>
      <diagonal/>
    </border>
    <border>
      <left/>
      <right/>
      <top style="thin">
        <color rgb="FFAAC6E4"/>
      </top>
      <bottom style="thin">
        <color rgb="FFAAC6E4"/>
      </bottom>
      <diagonal/>
    </border>
    <border>
      <left/>
      <right style="thin">
        <color rgb="FFAAC6E4"/>
      </right>
      <top style="thin">
        <color rgb="FFAAC6E4"/>
      </top>
      <bottom style="thin">
        <color rgb="FFAAC6E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top"/>
    </xf>
    <xf numFmtId="0" fontId="4" fillId="0" borderId="0" xfId="0" applyFont="1"/>
    <xf numFmtId="0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6" fillId="0" borderId="0" xfId="0" applyFont="1" applyAlignment="1">
      <alignment horizontal="center"/>
    </xf>
    <xf numFmtId="0" fontId="6" fillId="0" borderId="2" xfId="0" pivotButton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pivotButton="1" applyFont="1"/>
    <xf numFmtId="0" fontId="2" fillId="0" borderId="0" xfId="0" applyFont="1"/>
    <xf numFmtId="0" fontId="9" fillId="2" borderId="3" xfId="0" applyFont="1" applyFill="1" applyBorder="1"/>
    <xf numFmtId="0" fontId="8" fillId="2" borderId="4" xfId="0" applyFont="1" applyFill="1" applyBorder="1"/>
    <xf numFmtId="0" fontId="11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2" borderId="5" xfId="0" applyFont="1" applyFill="1" applyBorder="1"/>
    <xf numFmtId="0" fontId="12" fillId="4" borderId="2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vertical="center"/>
    </xf>
    <xf numFmtId="165" fontId="2" fillId="0" borderId="2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164" fontId="2" fillId="0" borderId="2" xfId="0" applyNumberFormat="1" applyFont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103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&quot;R$&quot;\ 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&quot;R$&quot;\ #,##0.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numFmt numFmtId="164" formatCode="&quot;R$&quot;\ #,##0.00"/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alignment horizont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z val="14"/>
      </font>
    </dxf>
    <dxf>
      <font>
        <sz val="14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alignment horizontal="center"/>
    </dxf>
    <dxf>
      <alignment horizontal="center"/>
    </dxf>
    <dxf>
      <numFmt numFmtId="164" formatCode="&quot;R$&quot;\ #,##0.0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4" formatCode="&quot;R$&quot;\ 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4" formatCode="&quot;R$&quot;\ 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color rgb="FF548235"/>
      </font>
    </dxf>
    <dxf>
      <font>
        <color rgb="FF244870"/>
      </font>
    </dxf>
    <dxf>
      <font>
        <color theme="9" tint="-0.24994659260841701"/>
      </font>
    </dxf>
    <dxf>
      <font>
        <b val="0"/>
        <i val="0"/>
        <color rgb="FFFF0000"/>
      </font>
    </dxf>
    <dxf>
      <font>
        <b/>
        <i val="0"/>
        <sz val="11"/>
        <color rgb="FF28507C"/>
      </font>
      <border>
        <vertical/>
        <horizontal/>
      </border>
    </dxf>
    <dxf>
      <font>
        <color theme="1"/>
      </font>
      <border>
        <left style="thin">
          <color rgb="FF28507C"/>
        </left>
        <right style="thin">
          <color rgb="FF28507C"/>
        </right>
        <top style="thin">
          <color rgb="FF28507C"/>
        </top>
        <bottom style="thin">
          <color rgb="FF28507C"/>
        </bottom>
        <vertical/>
        <horizontal/>
      </border>
    </dxf>
    <dxf>
      <border>
        <left style="thin">
          <color theme="8"/>
        </left>
      </border>
    </dxf>
    <dxf>
      <border>
        <left style="thin">
          <color theme="8"/>
        </left>
      </border>
    </dxf>
    <dxf>
      <border>
        <top style="thin">
          <color theme="8"/>
        </top>
      </border>
    </dxf>
    <dxf>
      <border>
        <top style="thin">
          <color theme="8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8"/>
        </top>
      </border>
    </dxf>
    <dxf>
      <font>
        <b/>
        <i val="0"/>
        <color theme="0"/>
      </font>
      <fill>
        <patternFill patternType="solid">
          <fgColor theme="8"/>
          <bgColor rgb="FF244870"/>
        </patternFill>
      </fill>
    </dxf>
    <dxf>
      <font>
        <color theme="1"/>
      </font>
      <border diagonalUp="0" diagonalDown="0">
        <left style="thin">
          <color rgb="FF74B3CE"/>
        </left>
        <right style="thin">
          <color rgb="FF74B3CE"/>
        </right>
        <top style="thin">
          <color rgb="FF74B3CE"/>
        </top>
        <bottom style="thin">
          <color rgb="FF74B3CE"/>
        </bottom>
        <vertical/>
        <horizontal/>
      </border>
    </dxf>
    <dxf>
      <font>
        <b/>
        <i val="0"/>
        <color rgb="FF28507C"/>
      </font>
      <border>
        <bottom style="thin">
          <color rgb="FF244870"/>
        </bottom>
        <vertical/>
        <horizontal/>
      </border>
    </dxf>
    <dxf>
      <font>
        <color theme="1"/>
      </font>
      <fill>
        <patternFill>
          <fgColor rgb="FF28507C"/>
          <bgColor rgb="FFFFFFFF"/>
        </patternFill>
      </fill>
      <border>
        <left style="thin">
          <color rgb="FF244870"/>
        </left>
        <right style="thin">
          <color rgb="FF244870"/>
        </right>
        <top style="thin">
          <color rgb="FF244870"/>
        </top>
        <bottom style="thin">
          <color rgb="FF24487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  <color theme="0"/>
      </font>
      <fill>
        <patternFill patternType="solid">
          <fgColor theme="4" tint="0.79995117038483843"/>
          <bgColor rgb="FF244870"/>
        </patternFill>
      </fill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i val="0"/>
        <color theme="0"/>
      </font>
      <fill>
        <patternFill>
          <bgColor rgb="FF24487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  <color theme="1"/>
      </font>
    </dxf>
    <dxf>
      <font>
        <b/>
        <i val="0"/>
        <color theme="1"/>
      </font>
      <fill>
        <patternFill>
          <bgColor rgb="FF3C78BA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color theme="0"/>
      </font>
      <fill>
        <patternFill patternType="solid">
          <fgColor theme="4" tint="0.79995117038483843"/>
          <bgColor rgb="FF244870"/>
        </patternFill>
      </fill>
      <border diagonalUp="0" diagonalDown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font>
        <b/>
        <i val="0"/>
        <color theme="0"/>
      </font>
      <fill>
        <patternFill patternType="solid">
          <fgColor rgb="FF244870"/>
          <bgColor rgb="FF24487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4" defaultTableStyle="TableStyleMedium2" defaultPivotStyle="PivotStyleLight16">
    <tableStyle name="PivotStyleLight16 2" table="0" count="12" xr9:uid="{BD73F2DA-708F-4469-B39F-327C2B90B441}">
      <tableStyleElement type="wholeTable" dxfId="102"/>
      <tableStyleElement type="headerRow" dxfId="101"/>
      <tableStyleElement type="totalRow" dxfId="100"/>
      <tableStyleElement type="firstRowStripe" dxfId="99"/>
      <tableStyleElement type="firstColumnStripe" dxfId="98"/>
      <tableStyleElement type="firstSubtotalColumn" dxfId="97"/>
      <tableStyleElement type="firstSubtotalRow" dxfId="96"/>
      <tableStyleElement type="secondSubtotalRow" dxfId="95"/>
      <tableStyleElement type="firstRowSubheading" dxfId="94"/>
      <tableStyleElement type="secondRowSubheading" dxfId="93"/>
      <tableStyleElement type="pageFieldLabels" dxfId="92"/>
      <tableStyleElement type="pageFieldValues" dxfId="91"/>
    </tableStyle>
    <tableStyle name="Segmentação Azul" pivot="0" table="0" count="10" xr9:uid="{4D6267A8-82DE-4ABA-9C57-8FF94DF1E52B}">
      <tableStyleElement type="wholeTable" dxfId="90"/>
      <tableStyleElement type="headerRow" dxfId="89"/>
    </tableStyle>
    <tableStyle name="TableStyleLight13 2" pivot="0" count="9" xr9:uid="{58B82050-13C6-4007-9587-F5D24277E4F7}">
      <tableStyleElement type="wholeTable" dxfId="88"/>
      <tableStyleElement type="headerRow" dxfId="87"/>
      <tableStyleElement type="totalRow" dxfId="86"/>
      <tableStyleElement type="firstColumn" dxfId="85"/>
      <tableStyleElement type="lastColumn" dxfId="84"/>
      <tableStyleElement type="firstRowStripe" dxfId="83"/>
      <tableStyleElement type="secondRowStripe" dxfId="82"/>
      <tableStyleElement type="firstColumnStripe" dxfId="81"/>
      <tableStyleElement type="secondColumnStripe" dxfId="80"/>
    </tableStyle>
    <tableStyle name="TimeSlicerStyleLight1 2" pivot="0" table="0" count="9" xr9:uid="{78F24319-C98F-49FD-85DE-D0977D9560DA}">
      <tableStyleElement type="wholeTable" dxfId="79"/>
      <tableStyleElement type="headerRow" dxfId="78"/>
    </tableStyle>
  </tableStyles>
  <colors>
    <mruColors>
      <color rgb="FF244870"/>
      <color rgb="FF427FC2"/>
      <color rgb="FF4472C4"/>
      <color rgb="FF74B3CE"/>
      <color rgb="FFE2ECF6"/>
      <color rgb="FF32649A"/>
      <color rgb="FF74A1D2"/>
      <color rgb="FF5189C7"/>
      <color rgb="FF33669F"/>
      <color rgb="FF3B76B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FFFFF"/>
              </stop>
              <stop position="1">
                <color rgb="FF77A3D3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77A3D3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color theme="1"/>
          </font>
          <fill>
            <gradientFill degree="90">
              <stop position="0">
                <color rgb="FFFFFFFF"/>
              </stop>
              <stop position="1">
                <color rgb="FF77A3D3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77A3D3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 val="0"/>
            <i val="0"/>
            <color theme="0"/>
            <name val="Segoe UI"/>
            <family val="2"/>
            <scheme val="none"/>
          </font>
          <fill>
            <patternFill patternType="solid">
              <fgColor theme="4" tint="0.59999389629810485"/>
              <bgColor rgb="FF28507C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egmentação Azul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4" tint="0.39997558519241921"/>
              <bgColor theme="4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rgb="FF427FC2"/>
              </stop>
              <stop position="1">
                <color rgb="FF28507C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4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SlicerStyleLight1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microsoft.com/office/2011/relationships/timelineCache" Target="timelineCaches/timelineCache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1/relationships/timelineCache" Target="timelineCaches/timelineCache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microsoft.com/office/2007/relationships/slicerCache" Target="slicerCaches/slicerCache3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BR" sz="1400" b="0" i="0" u="none" strike="noStrike" kern="1200" spc="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400" b="0" i="0" u="none" strike="noStrike" kern="1200" spc="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Receitas e Despesas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400" b="0" i="0" u="none" strike="noStrike" kern="1200" spc="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Análises!$B$17</c:f>
              <c:strCache>
                <c:ptCount val="1"/>
                <c:pt idx="0">
                  <c:v>Despesa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solidFill>
                <a:srgbClr val="427FC2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Análises!$C$16:$N$16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Análises!$C$17:$N$17</c:f>
              <c:numCache>
                <c:formatCode>[&gt;999999]#.0,,"M";[&gt;999]#0,"k";#0,"k"</c:formatCode>
                <c:ptCount val="12"/>
                <c:pt idx="0">
                  <c:v>-64300</c:v>
                </c:pt>
                <c:pt idx="1">
                  <c:v>-61200</c:v>
                </c:pt>
                <c:pt idx="2">
                  <c:v>-60900</c:v>
                </c:pt>
                <c:pt idx="3">
                  <c:v>-58400</c:v>
                </c:pt>
                <c:pt idx="4">
                  <c:v>-58450</c:v>
                </c:pt>
                <c:pt idx="5">
                  <c:v>-62100</c:v>
                </c:pt>
                <c:pt idx="6">
                  <c:v>-64000</c:v>
                </c:pt>
                <c:pt idx="7">
                  <c:v>-58550</c:v>
                </c:pt>
                <c:pt idx="8">
                  <c:v>-63550</c:v>
                </c:pt>
                <c:pt idx="9">
                  <c:v>-64900</c:v>
                </c:pt>
                <c:pt idx="10">
                  <c:v>-61100</c:v>
                </c:pt>
                <c:pt idx="11">
                  <c:v>-62300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C-4265-9C34-C5176251875B}"/>
            </c:ext>
          </c:extLst>
        </c:ser>
        <c:ser>
          <c:idx val="1"/>
          <c:order val="1"/>
          <c:tx>
            <c:strRef>
              <c:f>Análises!$B$18</c:f>
              <c:strCache>
                <c:ptCount val="1"/>
                <c:pt idx="0">
                  <c:v>Receita</c:v>
                </c:pt>
              </c:strCache>
            </c:strRef>
          </c:tx>
          <c:spPr>
            <a:solidFill>
              <a:srgbClr val="24487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solidFill>
                <a:srgbClr val="24487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Análises!$C$16:$N$16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Análises!$C$18:$N$18</c:f>
              <c:numCache>
                <c:formatCode>[&gt;999999]#.0,,"M";[&gt;999]#0,"k";#0,"k"</c:formatCode>
                <c:ptCount val="12"/>
                <c:pt idx="0">
                  <c:v>107000</c:v>
                </c:pt>
                <c:pt idx="1">
                  <c:v>70000</c:v>
                </c:pt>
                <c:pt idx="2">
                  <c:v>38000</c:v>
                </c:pt>
                <c:pt idx="3">
                  <c:v>49000</c:v>
                </c:pt>
                <c:pt idx="4">
                  <c:v>110000</c:v>
                </c:pt>
                <c:pt idx="5">
                  <c:v>0</c:v>
                </c:pt>
                <c:pt idx="6">
                  <c:v>42000</c:v>
                </c:pt>
                <c:pt idx="7">
                  <c:v>75000</c:v>
                </c:pt>
                <c:pt idx="8">
                  <c:v>45000</c:v>
                </c:pt>
                <c:pt idx="9">
                  <c:v>80000</c:v>
                </c:pt>
                <c:pt idx="10">
                  <c:v>48000</c:v>
                </c:pt>
                <c:pt idx="11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BC-4265-9C34-C51762518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3051136"/>
        <c:axId val="593051552"/>
      </c:barChart>
      <c:catAx>
        <c:axId val="5930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593051552"/>
        <c:crosses val="autoZero"/>
        <c:auto val="1"/>
        <c:lblAlgn val="ctr"/>
        <c:lblOffset val="100"/>
        <c:noMultiLvlLbl val="0"/>
      </c:catAx>
      <c:valAx>
        <c:axId val="593051552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&gt;999999]#.0,,&quot;M&quot;;[&gt;999]#0,&quot;k&quot;;#0,&quot;k&quot;" sourceLinked="1"/>
        <c:majorTickMark val="none"/>
        <c:minorTickMark val="none"/>
        <c:tickLblPos val="nextTo"/>
        <c:crossAx val="5930511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b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Fluxo</a:t>
            </a:r>
            <a:r>
              <a:rPr lang="pt-BR" b="0" baseline="0">
                <a:solidFill>
                  <a:schemeClr val="tx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de Caixa</a:t>
            </a:r>
            <a:endParaRPr lang="pt-BR" b="0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Análises!$B$22</c:f>
              <c:strCache>
                <c:ptCount val="1"/>
                <c:pt idx="0">
                  <c:v>Total Geral</c:v>
                </c:pt>
              </c:strCache>
            </c:strRef>
          </c:tx>
          <c:spPr>
            <a:solidFill>
              <a:srgbClr val="24487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24487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Análises!$C$21:$N$21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Análises!$C$22:$N$22</c:f>
              <c:numCache>
                <c:formatCode>[&gt;999999]#.0,,"M";[&gt;999]#0,"k";#0,"k"</c:formatCode>
                <c:ptCount val="12"/>
                <c:pt idx="0">
                  <c:v>42700</c:v>
                </c:pt>
                <c:pt idx="1">
                  <c:v>8800</c:v>
                </c:pt>
                <c:pt idx="2">
                  <c:v>-22900</c:v>
                </c:pt>
                <c:pt idx="3">
                  <c:v>-9400</c:v>
                </c:pt>
                <c:pt idx="4">
                  <c:v>51550</c:v>
                </c:pt>
                <c:pt idx="5">
                  <c:v>-62100</c:v>
                </c:pt>
                <c:pt idx="6">
                  <c:v>-22000</c:v>
                </c:pt>
                <c:pt idx="7">
                  <c:v>16450</c:v>
                </c:pt>
                <c:pt idx="8">
                  <c:v>-18550</c:v>
                </c:pt>
                <c:pt idx="9">
                  <c:v>15100</c:v>
                </c:pt>
                <c:pt idx="10">
                  <c:v>-13100</c:v>
                </c:pt>
                <c:pt idx="11">
                  <c:v>37700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A5-4FDC-8CC4-900D16270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0223616"/>
        <c:axId val="770228192"/>
      </c:barChart>
      <c:lineChart>
        <c:grouping val="standard"/>
        <c:varyColors val="0"/>
        <c:ser>
          <c:idx val="1"/>
          <c:order val="1"/>
          <c:tx>
            <c:strRef>
              <c:f>Análises!$B$23</c:f>
              <c:strCache>
                <c:ptCount val="1"/>
                <c:pt idx="0">
                  <c:v>Acumulado</c:v>
                </c:pt>
              </c:strCache>
            </c:strRef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cat>
            <c:strRef>
              <c:f>Análises!$C$21:$N$21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Análises!$C$23:$N$23</c:f>
              <c:numCache>
                <c:formatCode>[&gt;999999]#.0,,"M";[&gt;999]#0,"k";#0,"k"</c:formatCode>
                <c:ptCount val="12"/>
                <c:pt idx="0">
                  <c:v>42700</c:v>
                </c:pt>
                <c:pt idx="1">
                  <c:v>51500</c:v>
                </c:pt>
                <c:pt idx="2">
                  <c:v>28600</c:v>
                </c:pt>
                <c:pt idx="3">
                  <c:v>19200</c:v>
                </c:pt>
                <c:pt idx="4">
                  <c:v>70750</c:v>
                </c:pt>
                <c:pt idx="5">
                  <c:v>8650</c:v>
                </c:pt>
                <c:pt idx="6">
                  <c:v>-13350</c:v>
                </c:pt>
                <c:pt idx="7">
                  <c:v>3100</c:v>
                </c:pt>
                <c:pt idx="8">
                  <c:v>-15450</c:v>
                </c:pt>
                <c:pt idx="9">
                  <c:v>-350</c:v>
                </c:pt>
                <c:pt idx="10">
                  <c:v>-13450</c:v>
                </c:pt>
                <c:pt idx="11">
                  <c:v>24250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BA5-4FDC-8CC4-900D16270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322880"/>
        <c:axId val="251326624"/>
      </c:lineChart>
      <c:catAx>
        <c:axId val="7702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770228192"/>
        <c:crosses val="autoZero"/>
        <c:auto val="1"/>
        <c:lblAlgn val="ctr"/>
        <c:lblOffset val="100"/>
        <c:noMultiLvlLbl val="0"/>
      </c:catAx>
      <c:valAx>
        <c:axId val="770228192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&gt;999999]#.0,,&quot;M&quot;;[&gt;999]#0,&quot;k&quot;;#0,&quot;k&quot;" sourceLinked="1"/>
        <c:majorTickMark val="none"/>
        <c:minorTickMark val="none"/>
        <c:tickLblPos val="nextTo"/>
        <c:crossAx val="770223616"/>
        <c:crosses val="autoZero"/>
        <c:crossBetween val="between"/>
      </c:valAx>
      <c:valAx>
        <c:axId val="251326624"/>
        <c:scaling>
          <c:orientation val="minMax"/>
        </c:scaling>
        <c:delete val="0"/>
        <c:axPos val="r"/>
        <c:numFmt formatCode="[&gt;999999]#.0,,&quot;M&quot;;[&gt;999]#0,&quot;k&quot;;#0,&quot;k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251322880"/>
        <c:crosses val="max"/>
        <c:crossBetween val="between"/>
        <c:majorUnit val="20000"/>
      </c:valAx>
      <c:catAx>
        <c:axId val="251322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1326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BR" sz="1400" b="0" i="0" u="none" strike="noStrike" kern="1200" spc="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400" b="0" i="0" u="none" strike="noStrike" kern="1200" spc="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Provisões - Mês a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400" b="0" i="0" u="none" strike="noStrike" kern="1200" spc="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Análises!$B$38</c:f>
              <c:strCache>
                <c:ptCount val="1"/>
                <c:pt idx="0">
                  <c:v>Despesa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427FC2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Análises!$C$37:$N$37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Análises!$C$38:$N$38</c:f>
              <c:numCache>
                <c:formatCode>[&gt;999999]#.0,,"M";[&gt;999]#0,"k";#0,"k"</c:formatCode>
                <c:ptCount val="12"/>
                <c:pt idx="0">
                  <c:v>0</c:v>
                </c:pt>
                <c:pt idx="1">
                  <c:v>-1200</c:v>
                </c:pt>
                <c:pt idx="2">
                  <c:v>-1200</c:v>
                </c:pt>
                <c:pt idx="3">
                  <c:v>0</c:v>
                </c:pt>
                <c:pt idx="4">
                  <c:v>-1200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-1200</c:v>
                </c:pt>
                <c:pt idx="9">
                  <c:v>0</c:v>
                </c:pt>
                <c:pt idx="10">
                  <c:v>0</c:v>
                </c:pt>
                <c:pt idx="11">
                  <c:v>-1200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C-4872-9863-45EE2C15AAA7}"/>
            </c:ext>
          </c:extLst>
        </c:ser>
        <c:ser>
          <c:idx val="1"/>
          <c:order val="1"/>
          <c:tx>
            <c:strRef>
              <c:f>Análises!$B$39</c:f>
              <c:strCache>
                <c:ptCount val="1"/>
                <c:pt idx="0">
                  <c:v>Receita</c:v>
                </c:pt>
              </c:strCache>
            </c:strRef>
          </c:tx>
          <c:spPr>
            <a:solidFill>
              <a:srgbClr val="24487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244870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Análises!$C$37:$N$37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Análises!$C$39:$N$39</c:f>
              <c:numCache>
                <c:formatCode>[&gt;999999]#.0,,"M";[&gt;999]#0,"k";#0,"k"</c:formatCode>
                <c:ptCount val="12"/>
                <c:pt idx="0">
                  <c:v>0</c:v>
                </c:pt>
                <c:pt idx="1">
                  <c:v>35000</c:v>
                </c:pt>
                <c:pt idx="2">
                  <c:v>48000</c:v>
                </c:pt>
                <c:pt idx="3">
                  <c:v>65000</c:v>
                </c:pt>
                <c:pt idx="4">
                  <c:v>15000</c:v>
                </c:pt>
                <c:pt idx="5">
                  <c:v>0</c:v>
                </c:pt>
                <c:pt idx="6">
                  <c:v>66000</c:v>
                </c:pt>
                <c:pt idx="7">
                  <c:v>18000</c:v>
                </c:pt>
                <c:pt idx="8">
                  <c:v>55000</c:v>
                </c:pt>
                <c:pt idx="9">
                  <c:v>20000</c:v>
                </c:pt>
                <c:pt idx="10">
                  <c:v>58000</c:v>
                </c:pt>
                <c:pt idx="11">
                  <c:v>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C-4872-9863-45EE2C15A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51357584"/>
        <c:axId val="251359664"/>
      </c:barChart>
      <c:catAx>
        <c:axId val="25135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251359664"/>
        <c:crosses val="autoZero"/>
        <c:auto val="1"/>
        <c:lblAlgn val="ctr"/>
        <c:lblOffset val="100"/>
        <c:noMultiLvlLbl val="0"/>
      </c:catAx>
      <c:valAx>
        <c:axId val="2513596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&gt;999999]#.0,,&quot;M&quot;;[&gt;999]#0,&quot;k&quot;;#0,&quot;k&quot;" sourceLinked="1"/>
        <c:majorTickMark val="none"/>
        <c:minorTickMark val="none"/>
        <c:tickLblPos val="nextTo"/>
        <c:crossAx val="25135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Análises!$B$64</c:f>
              <c:strCache>
                <c:ptCount val="1"/>
                <c:pt idx="0">
                  <c:v>Total Geral</c:v>
                </c:pt>
              </c:strCache>
            </c:strRef>
          </c:tx>
          <c:spPr>
            <a:solidFill>
              <a:srgbClr val="24487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solidFill>
                <a:srgbClr val="244870"/>
              </a:solidFill>
              <a:ln>
                <a:solidFill>
                  <a:sysClr val="windowText" lastClr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Análises!$C$63:$N$63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Análises!$C$64:$N$64</c:f>
              <c:numCache>
                <c:formatCode>[&gt;999999]#.0,,"M";[&gt;999]#0,"k";#0,"k"</c:formatCode>
                <c:ptCount val="12"/>
                <c:pt idx="0">
                  <c:v>42700</c:v>
                </c:pt>
                <c:pt idx="1">
                  <c:v>85300</c:v>
                </c:pt>
                <c:pt idx="2">
                  <c:v>109200</c:v>
                </c:pt>
                <c:pt idx="3">
                  <c:v>164800</c:v>
                </c:pt>
                <c:pt idx="4">
                  <c:v>230150</c:v>
                </c:pt>
                <c:pt idx="5">
                  <c:v>168050</c:v>
                </c:pt>
                <c:pt idx="6">
                  <c:v>212050</c:v>
                </c:pt>
                <c:pt idx="7">
                  <c:v>246500</c:v>
                </c:pt>
                <c:pt idx="8">
                  <c:v>281750</c:v>
                </c:pt>
                <c:pt idx="9">
                  <c:v>316850</c:v>
                </c:pt>
                <c:pt idx="10">
                  <c:v>361750</c:v>
                </c:pt>
                <c:pt idx="11">
                  <c:v>420250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5-42B4-A8DA-DB1D0EA07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526032"/>
        <c:axId val="245528112"/>
      </c:barChart>
      <c:catAx>
        <c:axId val="2455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245528112"/>
        <c:crosses val="autoZero"/>
        <c:auto val="1"/>
        <c:lblAlgn val="ctr"/>
        <c:lblOffset val="100"/>
        <c:noMultiLvlLbl val="0"/>
      </c:catAx>
      <c:valAx>
        <c:axId val="245528112"/>
        <c:scaling>
          <c:orientation val="minMax"/>
        </c:scaling>
        <c:delete val="1"/>
        <c:axPos val="l"/>
        <c:numFmt formatCode="[&gt;999999]#.0,,&quot;M&quot;;[&gt;999]#0,&quot;k&quot;;#0,&quot;k&quot;" sourceLinked="1"/>
        <c:majorTickMark val="none"/>
        <c:minorTickMark val="none"/>
        <c:tickLblPos val="nextTo"/>
        <c:crossAx val="2455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BR" sz="1400" b="0" i="0" u="none" strike="noStrike" kern="1200" spc="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400" b="0" i="0" u="none" strike="noStrike" kern="1200" spc="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Provisões - Total e Acumulado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400" b="0" i="0" u="none" strike="noStrike" kern="1200" spc="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Análises!$B$43</c:f>
              <c:strCache>
                <c:ptCount val="1"/>
                <c:pt idx="0">
                  <c:v>Total Geral</c:v>
                </c:pt>
              </c:strCache>
            </c:strRef>
          </c:tx>
          <c:spPr>
            <a:solidFill>
              <a:srgbClr val="24487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24487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Análises!$C$42:$N$42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Análises!$C$43:$N$43</c:f>
              <c:numCache>
                <c:formatCode>[&gt;999999]#.0,,"M";[&gt;999]#0,"k";#0,"k"</c:formatCode>
                <c:ptCount val="12"/>
                <c:pt idx="0">
                  <c:v>0</c:v>
                </c:pt>
                <c:pt idx="1">
                  <c:v>33800</c:v>
                </c:pt>
                <c:pt idx="2">
                  <c:v>46800</c:v>
                </c:pt>
                <c:pt idx="3">
                  <c:v>65000</c:v>
                </c:pt>
                <c:pt idx="4">
                  <c:v>13800</c:v>
                </c:pt>
                <c:pt idx="5">
                  <c:v>0</c:v>
                </c:pt>
                <c:pt idx="6">
                  <c:v>66000</c:v>
                </c:pt>
                <c:pt idx="7">
                  <c:v>18000</c:v>
                </c:pt>
                <c:pt idx="8">
                  <c:v>53800</c:v>
                </c:pt>
                <c:pt idx="9">
                  <c:v>20000</c:v>
                </c:pt>
                <c:pt idx="10">
                  <c:v>58000</c:v>
                </c:pt>
                <c:pt idx="11">
                  <c:v>20800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4-4D2F-B972-92EB69E0E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9687248"/>
        <c:axId val="2099684336"/>
      </c:barChart>
      <c:lineChart>
        <c:grouping val="standard"/>
        <c:varyColors val="0"/>
        <c:ser>
          <c:idx val="1"/>
          <c:order val="1"/>
          <c:tx>
            <c:strRef>
              <c:f>Análises!$B$44</c:f>
              <c:strCache>
                <c:ptCount val="1"/>
                <c:pt idx="0">
                  <c:v>Acumulado</c:v>
                </c:pt>
              </c:strCache>
            </c:strRef>
          </c:tx>
          <c:spPr>
            <a:ln w="28575" cap="rnd">
              <a:solidFill>
                <a:srgbClr val="427FC2"/>
              </a:solidFill>
              <a:round/>
            </a:ln>
            <a:effectLst/>
          </c:spPr>
          <c:marker>
            <c:symbol val="none"/>
          </c:marker>
          <c:cat>
            <c:strRef>
              <c:f>Análises!$C$42:$N$42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Análises!$C$44:$N$44</c:f>
              <c:numCache>
                <c:formatCode>[&gt;999999]#.0,,"M";[&gt;999]#0,"k";#0,"k"</c:formatCode>
                <c:ptCount val="12"/>
                <c:pt idx="0">
                  <c:v>0</c:v>
                </c:pt>
                <c:pt idx="1">
                  <c:v>33800</c:v>
                </c:pt>
                <c:pt idx="2">
                  <c:v>80600</c:v>
                </c:pt>
                <c:pt idx="3">
                  <c:v>145600</c:v>
                </c:pt>
                <c:pt idx="4">
                  <c:v>159400</c:v>
                </c:pt>
                <c:pt idx="5">
                  <c:v>159400</c:v>
                </c:pt>
                <c:pt idx="6">
                  <c:v>225400</c:v>
                </c:pt>
                <c:pt idx="7">
                  <c:v>243400</c:v>
                </c:pt>
                <c:pt idx="8">
                  <c:v>297200</c:v>
                </c:pt>
                <c:pt idx="9">
                  <c:v>317200</c:v>
                </c:pt>
                <c:pt idx="10">
                  <c:v>375200</c:v>
                </c:pt>
                <c:pt idx="11">
                  <c:v>396000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5A4-4D2F-B972-92EB69E0E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9682256"/>
        <c:axId val="2099684752"/>
      </c:lineChart>
      <c:catAx>
        <c:axId val="209968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2099684336"/>
        <c:crosses val="autoZero"/>
        <c:auto val="1"/>
        <c:lblAlgn val="ctr"/>
        <c:lblOffset val="100"/>
        <c:noMultiLvlLbl val="0"/>
      </c:catAx>
      <c:valAx>
        <c:axId val="209968433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&gt;999999]#.0,,&quot;M&quot;;[&gt;999]#0,&quot;k&quot;;#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9687248"/>
        <c:crosses val="autoZero"/>
        <c:crossBetween val="between"/>
      </c:valAx>
      <c:valAx>
        <c:axId val="2099684752"/>
        <c:scaling>
          <c:orientation val="minMax"/>
        </c:scaling>
        <c:delete val="0"/>
        <c:axPos val="r"/>
        <c:numFmt formatCode="[&gt;999999]#.0,,&quot;M&quot;;[&gt;999]#0,&quot;k&quot;;#0,&quot;k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9682256"/>
        <c:crosses val="max"/>
        <c:crossBetween val="between"/>
      </c:valAx>
      <c:catAx>
        <c:axId val="2099682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9684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[Dashboard_Fluxo_de_Caixa.xlsx]Análises!Contas_Atrasadas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244870"/>
            </a:solidFill>
            <a:round/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Análises!$C$70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244870"/>
              </a:solidFill>
              <a:round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Análises!$B$71:$B$81</c:f>
              <c:strCache>
                <c:ptCount val="10"/>
                <c:pt idx="0">
                  <c:v>fev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  <c:pt idx="4">
                  <c:v>jul</c:v>
                </c:pt>
                <c:pt idx="5">
                  <c:v>ago</c:v>
                </c:pt>
                <c:pt idx="6">
                  <c:v>set</c:v>
                </c:pt>
                <c:pt idx="7">
                  <c:v>out</c:v>
                </c:pt>
                <c:pt idx="8">
                  <c:v>nov</c:v>
                </c:pt>
                <c:pt idx="9">
                  <c:v>dez</c:v>
                </c:pt>
              </c:strCache>
            </c:strRef>
          </c:cat>
          <c:val>
            <c:numRef>
              <c:f>Análises!$C$71:$C$81</c:f>
              <c:numCache>
                <c:formatCode>"R$"\ #,##0.00</c:formatCode>
                <c:ptCount val="10"/>
                <c:pt idx="0">
                  <c:v>33800</c:v>
                </c:pt>
                <c:pt idx="1">
                  <c:v>46800</c:v>
                </c:pt>
                <c:pt idx="2">
                  <c:v>65000</c:v>
                </c:pt>
                <c:pt idx="3">
                  <c:v>13800</c:v>
                </c:pt>
                <c:pt idx="4">
                  <c:v>66000</c:v>
                </c:pt>
                <c:pt idx="5">
                  <c:v>18000</c:v>
                </c:pt>
                <c:pt idx="6">
                  <c:v>53800</c:v>
                </c:pt>
                <c:pt idx="7">
                  <c:v>20000</c:v>
                </c:pt>
                <c:pt idx="8">
                  <c:v>58000</c:v>
                </c:pt>
                <c:pt idx="9">
                  <c:v>20800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18A-4776-9D08-8173F79DD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438080"/>
        <c:axId val="241434752"/>
      </c:lineChart>
      <c:catAx>
        <c:axId val="2414380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1434752"/>
        <c:crosses val="autoZero"/>
        <c:auto val="1"/>
        <c:lblAlgn val="ctr"/>
        <c:lblOffset val="100"/>
        <c:noMultiLvlLbl val="0"/>
      </c:catAx>
      <c:valAx>
        <c:axId val="241434752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24143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[Dashboard_Fluxo_de_Caixa.xlsx]Análises!Contas_Receber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244870"/>
            </a:solidFill>
            <a:round/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Análises!$C$99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244870"/>
              </a:solidFill>
              <a:round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Análises!$B$100:$B$110</c:f>
              <c:strCache>
                <c:ptCount val="10"/>
                <c:pt idx="0">
                  <c:v>fev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  <c:pt idx="4">
                  <c:v>jul</c:v>
                </c:pt>
                <c:pt idx="5">
                  <c:v>ago</c:v>
                </c:pt>
                <c:pt idx="6">
                  <c:v>set</c:v>
                </c:pt>
                <c:pt idx="7">
                  <c:v>out</c:v>
                </c:pt>
                <c:pt idx="8">
                  <c:v>nov</c:v>
                </c:pt>
                <c:pt idx="9">
                  <c:v>dez</c:v>
                </c:pt>
              </c:strCache>
            </c:strRef>
          </c:cat>
          <c:val>
            <c:numRef>
              <c:f>Análises!$C$100:$C$110</c:f>
              <c:numCache>
                <c:formatCode>"R$"\ #,##0.00</c:formatCode>
                <c:ptCount val="10"/>
                <c:pt idx="0">
                  <c:v>35000</c:v>
                </c:pt>
                <c:pt idx="1">
                  <c:v>48000</c:v>
                </c:pt>
                <c:pt idx="2">
                  <c:v>65000</c:v>
                </c:pt>
                <c:pt idx="3">
                  <c:v>15000</c:v>
                </c:pt>
                <c:pt idx="4">
                  <c:v>66000</c:v>
                </c:pt>
                <c:pt idx="5">
                  <c:v>18000</c:v>
                </c:pt>
                <c:pt idx="6">
                  <c:v>55000</c:v>
                </c:pt>
                <c:pt idx="7">
                  <c:v>20000</c:v>
                </c:pt>
                <c:pt idx="8">
                  <c:v>58000</c:v>
                </c:pt>
                <c:pt idx="9">
                  <c:v>22000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188-4AC2-84B1-7CC6A80BF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4335"/>
        <c:axId val="19696815"/>
      </c:lineChart>
      <c:catAx>
        <c:axId val="196843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96815"/>
        <c:crosses val="autoZero"/>
        <c:auto val="1"/>
        <c:lblAlgn val="ctr"/>
        <c:lblOffset val="100"/>
        <c:noMultiLvlLbl val="0"/>
      </c:catAx>
      <c:valAx>
        <c:axId val="19696815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1968433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244870"/>
              </a:solidFill>
              <a:round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val>
            <c:numRef>
              <c:f>Análises!$E$49:$E$60</c:f>
              <c:numCache>
                <c:formatCode>"R$"\ #,##0.00</c:formatCode>
                <c:ptCount val="12"/>
                <c:pt idx="0">
                  <c:v>42700</c:v>
                </c:pt>
                <c:pt idx="1">
                  <c:v>85300</c:v>
                </c:pt>
                <c:pt idx="2">
                  <c:v>109200</c:v>
                </c:pt>
                <c:pt idx="3">
                  <c:v>164800</c:v>
                </c:pt>
                <c:pt idx="4">
                  <c:v>230150</c:v>
                </c:pt>
                <c:pt idx="5">
                  <c:v>168050</c:v>
                </c:pt>
                <c:pt idx="6">
                  <c:v>212050</c:v>
                </c:pt>
                <c:pt idx="7">
                  <c:v>246500</c:v>
                </c:pt>
                <c:pt idx="8">
                  <c:v>281750</c:v>
                </c:pt>
                <c:pt idx="9">
                  <c:v>316850</c:v>
                </c:pt>
                <c:pt idx="10">
                  <c:v>361750</c:v>
                </c:pt>
                <c:pt idx="11">
                  <c:v>420250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9CF-4063-82B5-FADBD7D45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68255"/>
        <c:axId val="16381151"/>
      </c:lineChart>
      <c:catAx>
        <c:axId val="163682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6381151"/>
        <c:crosses val="autoZero"/>
        <c:auto val="1"/>
        <c:lblAlgn val="ctr"/>
        <c:lblOffset val="100"/>
        <c:noMultiLvlLbl val="0"/>
      </c:catAx>
      <c:valAx>
        <c:axId val="1638115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16368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[Dashboard_Fluxo_de_Caixa.xlsx]Análises!Contas_Pagar</c:name>
    <c:fmtId val="4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24487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244870"/>
            </a:solidFill>
            <a:round/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3907107673370001E-2"/>
          <c:y val="0.26398337112622827"/>
          <c:w val="0.89218578465326004"/>
          <c:h val="0.73601662887377173"/>
        </c:manualLayout>
      </c:layout>
      <c:lineChart>
        <c:grouping val="standard"/>
        <c:varyColors val="0"/>
        <c:ser>
          <c:idx val="0"/>
          <c:order val="0"/>
          <c:tx>
            <c:strRef>
              <c:f>Análises!$C$88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244870"/>
              </a:solidFill>
              <a:round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Análises!$B$89:$B$94</c:f>
              <c:strCache>
                <c:ptCount val="5"/>
                <c:pt idx="0">
                  <c:v>fev</c:v>
                </c:pt>
                <c:pt idx="1">
                  <c:v>mar</c:v>
                </c:pt>
                <c:pt idx="2">
                  <c:v>mai</c:v>
                </c:pt>
                <c:pt idx="3">
                  <c:v>set</c:v>
                </c:pt>
                <c:pt idx="4">
                  <c:v>dez</c:v>
                </c:pt>
              </c:strCache>
            </c:strRef>
          </c:cat>
          <c:val>
            <c:numRef>
              <c:f>Análises!$C$89:$C$94</c:f>
              <c:numCache>
                <c:formatCode>"R$"\ #,##0.00</c:formatCode>
                <c:ptCount val="5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1200</c:v>
                </c:pt>
                <c:pt idx="4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C-4945-9742-7872C95C4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9647"/>
        <c:axId val="19739247"/>
      </c:lineChart>
      <c:catAx>
        <c:axId val="19749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739247"/>
        <c:crosses val="autoZero"/>
        <c:auto val="1"/>
        <c:lblAlgn val="ctr"/>
        <c:lblOffset val="100"/>
        <c:noMultiLvlLbl val="0"/>
      </c:catAx>
      <c:valAx>
        <c:axId val="19739247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1974964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13" Type="http://schemas.openxmlformats.org/officeDocument/2006/relationships/image" Target="../media/image7.pn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12" Type="http://schemas.openxmlformats.org/officeDocument/2006/relationships/image" Target="../media/image6.svg"/><Relationship Id="rId17" Type="http://schemas.openxmlformats.org/officeDocument/2006/relationships/chart" Target="../charts/chart9.xml"/><Relationship Id="rId2" Type="http://schemas.openxmlformats.org/officeDocument/2006/relationships/chart" Target="../charts/chart2.xml"/><Relationship Id="rId16" Type="http://schemas.openxmlformats.org/officeDocument/2006/relationships/chart" Target="../charts/chart8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5.png"/><Relationship Id="rId5" Type="http://schemas.openxmlformats.org/officeDocument/2006/relationships/chart" Target="../charts/chart5.xml"/><Relationship Id="rId15" Type="http://schemas.openxmlformats.org/officeDocument/2006/relationships/chart" Target="../charts/chart7.xml"/><Relationship Id="rId10" Type="http://schemas.openxmlformats.org/officeDocument/2006/relationships/image" Target="../media/image4.svg"/><Relationship Id="rId4" Type="http://schemas.openxmlformats.org/officeDocument/2006/relationships/chart" Target="../charts/chart4.xml"/><Relationship Id="rId9" Type="http://schemas.openxmlformats.org/officeDocument/2006/relationships/image" Target="../media/image3.png"/><Relationship Id="rId14" Type="http://schemas.openxmlformats.org/officeDocument/2006/relationships/image" Target="../media/image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588064</xdr:colOff>
      <xdr:row>3</xdr:row>
      <xdr:rowOff>24848</xdr:rowOff>
    </xdr:from>
    <xdr:to>
      <xdr:col>15</xdr:col>
      <xdr:colOff>173934</xdr:colOff>
      <xdr:row>25</xdr:row>
      <xdr:rowOff>175082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F052C16F-7138-47FB-B974-A87C61B4C547}"/>
            </a:ext>
          </a:extLst>
        </xdr:cNvPr>
        <xdr:cNvSpPr>
          <a:spLocks/>
        </xdr:cNvSpPr>
      </xdr:nvSpPr>
      <xdr:spPr>
        <a:xfrm>
          <a:off x="4075042" y="886239"/>
          <a:ext cx="6940827" cy="4738800"/>
        </a:xfrm>
        <a:prstGeom prst="roundRect">
          <a:avLst>
            <a:gd name="adj" fmla="val 4031"/>
          </a:avLst>
        </a:prstGeom>
        <a:solidFill>
          <a:srgbClr val="28507C"/>
        </a:solidFill>
        <a:ln w="9525">
          <a:solidFill>
            <a:srgbClr val="74B3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10</xdr:col>
      <xdr:colOff>423693</xdr:colOff>
      <xdr:row>5</xdr:row>
      <xdr:rowOff>103535</xdr:rowOff>
    </xdr:from>
    <xdr:to>
      <xdr:col>14</xdr:col>
      <xdr:colOff>571500</xdr:colOff>
      <xdr:row>9</xdr:row>
      <xdr:rowOff>177107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Forma Pagamento">
              <a:extLst>
                <a:ext uri="{FF2B5EF4-FFF2-40B4-BE49-F238E27FC236}">
                  <a16:creationId xmlns:a16="http://schemas.microsoft.com/office/drawing/2014/main" id="{08A8BA5F-EF6B-4394-847E-F187C5EB05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 Pagam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1063" y="1412187"/>
              <a:ext cx="2599459" cy="9018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343731</xdr:colOff>
      <xdr:row>5</xdr:row>
      <xdr:rowOff>103535</xdr:rowOff>
    </xdr:from>
    <xdr:to>
      <xdr:col>10</xdr:col>
      <xdr:colOff>348126</xdr:colOff>
      <xdr:row>9</xdr:row>
      <xdr:rowOff>177107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ealizado">
              <a:extLst>
                <a:ext uri="{FF2B5EF4-FFF2-40B4-BE49-F238E27FC236}">
                  <a16:creationId xmlns:a16="http://schemas.microsoft.com/office/drawing/2014/main" id="{D22093D8-9151-4ADF-88E1-ED9B8583B7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aliz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2361" y="1412187"/>
              <a:ext cx="1843135" cy="9018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263769</xdr:colOff>
      <xdr:row>5</xdr:row>
      <xdr:rowOff>103426</xdr:rowOff>
    </xdr:from>
    <xdr:to>
      <xdr:col>7</xdr:col>
      <xdr:colOff>268166</xdr:colOff>
      <xdr:row>9</xdr:row>
      <xdr:rowOff>177217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traso">
              <a:extLst>
                <a:ext uri="{FF2B5EF4-FFF2-40B4-BE49-F238E27FC236}">
                  <a16:creationId xmlns:a16="http://schemas.microsoft.com/office/drawing/2014/main" id="{C09543ED-5BEA-4CFE-8A4C-7A84FBC204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tras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3660" y="1412078"/>
              <a:ext cx="1843136" cy="9020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263769</xdr:colOff>
      <xdr:row>12</xdr:row>
      <xdr:rowOff>12937</xdr:rowOff>
    </xdr:from>
    <xdr:to>
      <xdr:col>14</xdr:col>
      <xdr:colOff>571438</xdr:colOff>
      <xdr:row>16</xdr:row>
      <xdr:rowOff>143378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ia">
              <a:extLst>
                <a:ext uri="{FF2B5EF4-FFF2-40B4-BE49-F238E27FC236}">
                  <a16:creationId xmlns:a16="http://schemas.microsoft.com/office/drawing/2014/main" id="{C7252B5D-95E0-48FF-A38B-26747C29EF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3660" y="2771046"/>
              <a:ext cx="6436800" cy="9587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504065</xdr:colOff>
      <xdr:row>18</xdr:row>
      <xdr:rowOff>169673</xdr:rowOff>
    </xdr:from>
    <xdr:to>
      <xdr:col>14</xdr:col>
      <xdr:colOff>571500</xdr:colOff>
      <xdr:row>25</xdr:row>
      <xdr:rowOff>69325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9" name="Data Lançamento 1">
              <a:extLst>
                <a:ext uri="{FF2B5EF4-FFF2-40B4-BE49-F238E27FC236}">
                  <a16:creationId xmlns:a16="http://schemas.microsoft.com/office/drawing/2014/main" id="{5CEB6935-8120-4946-8DAB-9591590498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 Lançamen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8522" y="4170173"/>
              <a:ext cx="3132000" cy="13491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263769</xdr:colOff>
      <xdr:row>18</xdr:row>
      <xdr:rowOff>172004</xdr:rowOff>
    </xdr:from>
    <xdr:to>
      <xdr:col>9</xdr:col>
      <xdr:colOff>331203</xdr:colOff>
      <xdr:row>25</xdr:row>
      <xdr:rowOff>66993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0" name="Data &#10;Pagamento 1">
              <a:extLst>
                <a:ext uri="{FF2B5EF4-FFF2-40B4-BE49-F238E27FC236}">
                  <a16:creationId xmlns:a16="http://schemas.microsoft.com/office/drawing/2014/main" id="{D4542381-8F27-49FE-9F78-230F341ECA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 &#10;Pagamen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3660" y="4172504"/>
              <a:ext cx="3132000" cy="13444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263768</xdr:colOff>
      <xdr:row>3</xdr:row>
      <xdr:rowOff>114304</xdr:rowOff>
    </xdr:from>
    <xdr:to>
      <xdr:col>9</xdr:col>
      <xdr:colOff>115955</xdr:colOff>
      <xdr:row>4</xdr:row>
      <xdr:rowOff>240772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44EA4268-01F2-4742-BAA7-14BA67EACED0}"/>
            </a:ext>
          </a:extLst>
        </xdr:cNvPr>
        <xdr:cNvSpPr/>
      </xdr:nvSpPr>
      <xdr:spPr>
        <a:xfrm>
          <a:off x="4363659" y="975695"/>
          <a:ext cx="2916753" cy="3169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1">
              <a:latin typeface="Segoe UI" panose="020B0502040204020203" pitchFamily="34" charset="0"/>
              <a:cs typeface="Segoe UI" panose="020B0502040204020203" pitchFamily="34" charset="0"/>
            </a:rPr>
            <a:t>Filtro de Pagamentos</a:t>
          </a:r>
          <a:endParaRPr lang="pt-BR" sz="16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4</xdr:col>
      <xdr:colOff>263769</xdr:colOff>
      <xdr:row>4</xdr:row>
      <xdr:rowOff>237346</xdr:rowOff>
    </xdr:from>
    <xdr:to>
      <xdr:col>14</xdr:col>
      <xdr:colOff>571500</xdr:colOff>
      <xdr:row>4</xdr:row>
      <xdr:rowOff>237346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74FEC302-24BE-4A48-A27E-74008FE19F56}"/>
            </a:ext>
          </a:extLst>
        </xdr:cNvPr>
        <xdr:cNvCxnSpPr/>
      </xdr:nvCxnSpPr>
      <xdr:spPr>
        <a:xfrm>
          <a:off x="4362803" y="1291808"/>
          <a:ext cx="6416869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263768</xdr:colOff>
      <xdr:row>10</xdr:row>
      <xdr:rowOff>23652</xdr:rowOff>
    </xdr:from>
    <xdr:to>
      <xdr:col>9</xdr:col>
      <xdr:colOff>173933</xdr:colOff>
      <xdr:row>11</xdr:row>
      <xdr:rowOff>129841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F69275A7-104E-4BD4-A9F3-7D886F6423ED}"/>
            </a:ext>
          </a:extLst>
        </xdr:cNvPr>
        <xdr:cNvSpPr/>
      </xdr:nvSpPr>
      <xdr:spPr>
        <a:xfrm>
          <a:off x="4363659" y="2367630"/>
          <a:ext cx="2974731" cy="31325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1">
              <a:latin typeface="Segoe UI" panose="020B0502040204020203" pitchFamily="34" charset="0"/>
              <a:cs typeface="Segoe UI" panose="020B0502040204020203" pitchFamily="34" charset="0"/>
            </a:rPr>
            <a:t>Filtro de Categorias</a:t>
          </a:r>
          <a:endParaRPr lang="pt-BR" sz="16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4</xdr:col>
      <xdr:colOff>263769</xdr:colOff>
      <xdr:row>11</xdr:row>
      <xdr:rowOff>126987</xdr:rowOff>
    </xdr:from>
    <xdr:to>
      <xdr:col>14</xdr:col>
      <xdr:colOff>571500</xdr:colOff>
      <xdr:row>11</xdr:row>
      <xdr:rowOff>126987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B5AB0596-3FF2-4BEB-9DF1-237D9DB9DBD5}"/>
            </a:ext>
          </a:extLst>
        </xdr:cNvPr>
        <xdr:cNvCxnSpPr/>
      </xdr:nvCxnSpPr>
      <xdr:spPr>
        <a:xfrm>
          <a:off x="4363660" y="2678030"/>
          <a:ext cx="6436862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263769</xdr:colOff>
      <xdr:row>16</xdr:row>
      <xdr:rowOff>182620</xdr:rowOff>
    </xdr:from>
    <xdr:to>
      <xdr:col>7</xdr:col>
      <xdr:colOff>397566</xdr:colOff>
      <xdr:row>18</xdr:row>
      <xdr:rowOff>78603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632D1BA6-C380-4FB8-B6AD-F5B0EB9F0E90}"/>
            </a:ext>
          </a:extLst>
        </xdr:cNvPr>
        <xdr:cNvSpPr/>
      </xdr:nvSpPr>
      <xdr:spPr>
        <a:xfrm>
          <a:off x="4363660" y="3768990"/>
          <a:ext cx="1972536" cy="3101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1">
              <a:latin typeface="Segoe UI" panose="020B0502040204020203" pitchFamily="34" charset="0"/>
              <a:cs typeface="Segoe UI" panose="020B0502040204020203" pitchFamily="34" charset="0"/>
            </a:rPr>
            <a:t>Filtro de Datas</a:t>
          </a:r>
          <a:endParaRPr lang="pt-BR" sz="16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4</xdr:col>
      <xdr:colOff>263769</xdr:colOff>
      <xdr:row>18</xdr:row>
      <xdr:rowOff>75749</xdr:rowOff>
    </xdr:from>
    <xdr:to>
      <xdr:col>14</xdr:col>
      <xdr:colOff>571500</xdr:colOff>
      <xdr:row>18</xdr:row>
      <xdr:rowOff>75749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4A8648F7-C715-4246-BC54-530872F58869}"/>
            </a:ext>
          </a:extLst>
        </xdr:cNvPr>
        <xdr:cNvCxnSpPr/>
      </xdr:nvCxnSpPr>
      <xdr:spPr>
        <a:xfrm>
          <a:off x="4363660" y="4076249"/>
          <a:ext cx="6436862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438150</xdr:colOff>
      <xdr:row>49</xdr:row>
      <xdr:rowOff>142875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6DBFD21-A172-4728-A62E-B6864CC608D9}"/>
            </a:ext>
          </a:extLst>
        </xdr:cNvPr>
        <xdr:cNvSpPr/>
      </xdr:nvSpPr>
      <xdr:spPr>
        <a:xfrm>
          <a:off x="0" y="0"/>
          <a:ext cx="18195471" cy="9477375"/>
        </a:xfrm>
        <a:prstGeom prst="rect">
          <a:avLst/>
        </a:prstGeom>
        <a:solidFill>
          <a:srgbClr val="24487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217713</xdr:colOff>
      <xdr:row>13</xdr:row>
      <xdr:rowOff>40821</xdr:rowOff>
    </xdr:from>
    <xdr:to>
      <xdr:col>9</xdr:col>
      <xdr:colOff>381000</xdr:colOff>
      <xdr:row>48</xdr:row>
      <xdr:rowOff>122463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92EC8804-28E3-4AEA-B876-9532DC924176}"/>
            </a:ext>
          </a:extLst>
        </xdr:cNvPr>
        <xdr:cNvSpPr/>
      </xdr:nvSpPr>
      <xdr:spPr>
        <a:xfrm>
          <a:off x="217713" y="2517321"/>
          <a:ext cx="5679504" cy="6749142"/>
        </a:xfrm>
        <a:prstGeom prst="roundRect">
          <a:avLst/>
        </a:prstGeom>
        <a:solidFill>
          <a:srgbClr val="E2ECF6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577291</xdr:colOff>
      <xdr:row>13</xdr:row>
      <xdr:rowOff>69396</xdr:rowOff>
    </xdr:from>
    <xdr:to>
      <xdr:col>19</xdr:col>
      <xdr:colOff>239050</xdr:colOff>
      <xdr:row>48</xdr:row>
      <xdr:rowOff>151038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810EE8B8-392C-4E7E-B1DB-3B5062E3EB60}"/>
            </a:ext>
          </a:extLst>
        </xdr:cNvPr>
        <xdr:cNvSpPr/>
      </xdr:nvSpPr>
      <xdr:spPr>
        <a:xfrm>
          <a:off x="6093508" y="2545896"/>
          <a:ext cx="5790890" cy="6749142"/>
        </a:xfrm>
        <a:prstGeom prst="roundRect">
          <a:avLst/>
        </a:prstGeom>
        <a:solidFill>
          <a:srgbClr val="E2ECF6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507058</xdr:colOff>
      <xdr:row>13</xdr:row>
      <xdr:rowOff>40821</xdr:rowOff>
    </xdr:from>
    <xdr:to>
      <xdr:col>29</xdr:col>
      <xdr:colOff>173300</xdr:colOff>
      <xdr:row>48</xdr:row>
      <xdr:rowOff>122463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90CE3D22-9B71-4937-9296-3E51995A2020}"/>
            </a:ext>
          </a:extLst>
        </xdr:cNvPr>
        <xdr:cNvSpPr/>
      </xdr:nvSpPr>
      <xdr:spPr>
        <a:xfrm>
          <a:off x="12141165" y="2517321"/>
          <a:ext cx="5789456" cy="6749142"/>
        </a:xfrm>
        <a:prstGeom prst="roundRect">
          <a:avLst/>
        </a:prstGeom>
        <a:solidFill>
          <a:srgbClr val="E2ECF6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147510</xdr:colOff>
      <xdr:row>0</xdr:row>
      <xdr:rowOff>122463</xdr:rowOff>
    </xdr:from>
    <xdr:to>
      <xdr:col>7</xdr:col>
      <xdr:colOff>181260</xdr:colOff>
      <xdr:row>12</xdr:row>
      <xdr:rowOff>13607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6EF08604-DC43-4108-86DB-5E448D37651F}"/>
            </a:ext>
          </a:extLst>
        </xdr:cNvPr>
        <xdr:cNvSpPr/>
      </xdr:nvSpPr>
      <xdr:spPr>
        <a:xfrm>
          <a:off x="147510" y="122463"/>
          <a:ext cx="4300950" cy="2177144"/>
        </a:xfrm>
        <a:prstGeom prst="roundRect">
          <a:avLst/>
        </a:prstGeom>
        <a:solidFill>
          <a:srgbClr val="E2ECF6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372840</xdr:colOff>
      <xdr:row>0</xdr:row>
      <xdr:rowOff>122463</xdr:rowOff>
    </xdr:from>
    <xdr:to>
      <xdr:col>14</xdr:col>
      <xdr:colOff>406590</xdr:colOff>
      <xdr:row>12</xdr:row>
      <xdr:rowOff>13607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B697CFBB-F557-4A95-94C4-39BE775C4048}"/>
            </a:ext>
          </a:extLst>
        </xdr:cNvPr>
        <xdr:cNvSpPr/>
      </xdr:nvSpPr>
      <xdr:spPr>
        <a:xfrm>
          <a:off x="4640040" y="122463"/>
          <a:ext cx="4300950" cy="2177144"/>
        </a:xfrm>
        <a:prstGeom prst="roundRect">
          <a:avLst/>
        </a:prstGeom>
        <a:solidFill>
          <a:srgbClr val="E2ECF6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598170</xdr:colOff>
      <xdr:row>0</xdr:row>
      <xdr:rowOff>122463</xdr:rowOff>
    </xdr:from>
    <xdr:to>
      <xdr:col>22</xdr:col>
      <xdr:colOff>19599</xdr:colOff>
      <xdr:row>12</xdr:row>
      <xdr:rowOff>13607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706DC6FF-6B80-43C6-B400-E79867EEB381}"/>
            </a:ext>
          </a:extLst>
        </xdr:cNvPr>
        <xdr:cNvSpPr/>
      </xdr:nvSpPr>
      <xdr:spPr>
        <a:xfrm>
          <a:off x="9132570" y="122463"/>
          <a:ext cx="4298229" cy="2177144"/>
        </a:xfrm>
        <a:prstGeom prst="roundRect">
          <a:avLst/>
        </a:prstGeom>
        <a:solidFill>
          <a:srgbClr val="E2ECF6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211179</xdr:colOff>
      <xdr:row>0</xdr:row>
      <xdr:rowOff>122463</xdr:rowOff>
    </xdr:from>
    <xdr:to>
      <xdr:col>29</xdr:col>
      <xdr:colOff>244929</xdr:colOff>
      <xdr:row>12</xdr:row>
      <xdr:rowOff>13607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E7FD4AED-8141-4D3D-8F39-B21DE90F24C0}"/>
            </a:ext>
          </a:extLst>
        </xdr:cNvPr>
        <xdr:cNvSpPr/>
      </xdr:nvSpPr>
      <xdr:spPr>
        <a:xfrm>
          <a:off x="13569992" y="122463"/>
          <a:ext cx="4284281" cy="2177144"/>
        </a:xfrm>
        <a:prstGeom prst="roundRect">
          <a:avLst/>
        </a:prstGeom>
        <a:solidFill>
          <a:srgbClr val="E2ECF6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352425</xdr:colOff>
      <xdr:row>17</xdr:row>
      <xdr:rowOff>154441</xdr:rowOff>
    </xdr:from>
    <xdr:to>
      <xdr:col>9</xdr:col>
      <xdr:colOff>228600</xdr:colOff>
      <xdr:row>32</xdr:row>
      <xdr:rowOff>42863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159699E-3092-4C6E-B3C8-339E5E4B7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330600</xdr:colOff>
      <xdr:row>32</xdr:row>
      <xdr:rowOff>145596</xdr:rowOff>
    </xdr:from>
    <xdr:to>
      <xdr:col>9</xdr:col>
      <xdr:colOff>209549</xdr:colOff>
      <xdr:row>47</xdr:row>
      <xdr:rowOff>31296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D6AFA56-CFF8-4F3B-9463-AF43F6C9C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231320</xdr:colOff>
      <xdr:row>17</xdr:row>
      <xdr:rowOff>155802</xdr:rowOff>
    </xdr:from>
    <xdr:to>
      <xdr:col>19</xdr:col>
      <xdr:colOff>136071</xdr:colOff>
      <xdr:row>32</xdr:row>
      <xdr:rowOff>41502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4E27588B-2DFD-474B-8D4A-06DFD166E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47625</xdr:colOff>
      <xdr:row>16</xdr:row>
      <xdr:rowOff>156883</xdr:rowOff>
    </xdr:from>
    <xdr:to>
      <xdr:col>29</xdr:col>
      <xdr:colOff>20411</xdr:colOff>
      <xdr:row>45</xdr:row>
      <xdr:rowOff>176893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02341453-4B14-472A-89C7-E0C2BCA80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438866</xdr:colOff>
      <xdr:row>4</xdr:row>
      <xdr:rowOff>112591</xdr:rowOff>
    </xdr:from>
    <xdr:to>
      <xdr:col>4</xdr:col>
      <xdr:colOff>561976</xdr:colOff>
      <xdr:row>7</xdr:row>
      <xdr:rowOff>78973</xdr:rowOff>
    </xdr:to>
    <xdr:sp macro="" textlink="Análises!M34">
      <xdr:nvSpPr>
        <xdr:cNvPr id="32" name="Retângulo 31">
          <a:extLst>
            <a:ext uri="{FF2B5EF4-FFF2-40B4-BE49-F238E27FC236}">
              <a16:creationId xmlns:a16="http://schemas.microsoft.com/office/drawing/2014/main" id="{EB281D67-D2EC-4CC5-9068-E8B32DD0276A}"/>
            </a:ext>
          </a:extLst>
        </xdr:cNvPr>
        <xdr:cNvSpPr/>
      </xdr:nvSpPr>
      <xdr:spPr>
        <a:xfrm>
          <a:off x="438866" y="874591"/>
          <a:ext cx="2557793" cy="5378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1B105CB-506E-40D6-847D-D58A19723E1C}" type="TxLink">
            <a:rPr lang="en-US" sz="2800" b="1" i="0" u="none" strike="noStrike">
              <a:solidFill>
                <a:schemeClr val="tx1"/>
              </a:solidFill>
              <a:latin typeface="Segoe UI"/>
              <a:cs typeface="Segoe UI"/>
            </a:rPr>
            <a:pPr algn="l"/>
            <a:t> </a:t>
          </a:fld>
          <a:endParaRPr lang="pt-BR" sz="5400" b="1">
            <a:solidFill>
              <a:schemeClr val="tx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21</xdr:col>
      <xdr:colOff>202067</xdr:colOff>
      <xdr:row>14</xdr:row>
      <xdr:rowOff>11206</xdr:rowOff>
    </xdr:from>
    <xdr:to>
      <xdr:col>27</xdr:col>
      <xdr:colOff>478291</xdr:colOff>
      <xdr:row>17</xdr:row>
      <xdr:rowOff>43863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49BC5A89-014D-4401-914D-9CB6A7FE5079}"/>
            </a:ext>
          </a:extLst>
        </xdr:cNvPr>
        <xdr:cNvSpPr/>
      </xdr:nvSpPr>
      <xdr:spPr>
        <a:xfrm>
          <a:off x="13060817" y="2678206"/>
          <a:ext cx="3950153" cy="604157"/>
        </a:xfrm>
        <a:prstGeom prst="roundRect">
          <a:avLst/>
        </a:prstGeom>
        <a:solidFill>
          <a:srgbClr val="24487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200" b="1">
              <a:solidFill>
                <a:schemeClr val="lt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Fluxo</a:t>
          </a:r>
          <a:r>
            <a:rPr lang="pt-BR" sz="2200" b="1" baseline="0">
              <a:solidFill>
                <a:schemeClr val="lt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de Caixa + Provisões</a:t>
          </a:r>
          <a:endParaRPr lang="pt-BR" sz="2200"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391842</xdr:colOff>
      <xdr:row>14</xdr:row>
      <xdr:rowOff>11206</xdr:rowOff>
    </xdr:from>
    <xdr:to>
      <xdr:col>17</xdr:col>
      <xdr:colOff>500699</xdr:colOff>
      <xdr:row>17</xdr:row>
      <xdr:rowOff>43863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21100047-A6D9-456A-BAF2-E37C53C33C06}"/>
            </a:ext>
          </a:extLst>
        </xdr:cNvPr>
        <xdr:cNvSpPr/>
      </xdr:nvSpPr>
      <xdr:spPr>
        <a:xfrm>
          <a:off x="7048136" y="2678206"/>
          <a:ext cx="3739563" cy="604157"/>
        </a:xfrm>
        <a:prstGeom prst="roundRect">
          <a:avLst/>
        </a:prstGeom>
        <a:solidFill>
          <a:srgbClr val="24487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200" b="1">
              <a:solidFill>
                <a:schemeClr val="lt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Provisões</a:t>
          </a:r>
          <a:endParaRPr lang="pt-BR" sz="2200"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547487</xdr:colOff>
      <xdr:row>14</xdr:row>
      <xdr:rowOff>11206</xdr:rowOff>
    </xdr:from>
    <xdr:to>
      <xdr:col>8</xdr:col>
      <xdr:colOff>51227</xdr:colOff>
      <xdr:row>17</xdr:row>
      <xdr:rowOff>43863</xdr:rowOff>
    </xdr:to>
    <xdr:sp macro="" textlink="">
      <xdr:nvSpPr>
        <xdr:cNvPr id="38" name="Retângulo: Cantos Arredondados 37">
          <a:extLst>
            <a:ext uri="{FF2B5EF4-FFF2-40B4-BE49-F238E27FC236}">
              <a16:creationId xmlns:a16="http://schemas.microsoft.com/office/drawing/2014/main" id="{FB22A363-13F5-425D-988C-082C101F1EB5}"/>
            </a:ext>
          </a:extLst>
        </xdr:cNvPr>
        <xdr:cNvSpPr/>
      </xdr:nvSpPr>
      <xdr:spPr>
        <a:xfrm>
          <a:off x="1152605" y="2678206"/>
          <a:ext cx="3739563" cy="604157"/>
        </a:xfrm>
        <a:prstGeom prst="roundRect">
          <a:avLst/>
        </a:prstGeom>
        <a:solidFill>
          <a:srgbClr val="24487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200" b="1">
              <a:solidFill>
                <a:schemeClr val="lt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Fluxo de Caixa</a:t>
          </a:r>
          <a:endParaRPr lang="pt-BR" sz="2200"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480332</xdr:colOff>
      <xdr:row>32</xdr:row>
      <xdr:rowOff>104775</xdr:rowOff>
    </xdr:from>
    <xdr:to>
      <xdr:col>9</xdr:col>
      <xdr:colOff>118382</xdr:colOff>
      <xdr:row>32</xdr:row>
      <xdr:rowOff>104775</xdr:rowOff>
    </xdr:to>
    <xdr:cxnSp macro="">
      <xdr:nvCxnSpPr>
        <xdr:cNvPr id="44" name="Conector reto 43">
          <a:extLst>
            <a:ext uri="{FF2B5EF4-FFF2-40B4-BE49-F238E27FC236}">
              <a16:creationId xmlns:a16="http://schemas.microsoft.com/office/drawing/2014/main" id="{10E3758D-5B90-4A0E-8160-724836F1DC8B}"/>
            </a:ext>
          </a:extLst>
        </xdr:cNvPr>
        <xdr:cNvCxnSpPr/>
      </xdr:nvCxnSpPr>
      <xdr:spPr>
        <a:xfrm>
          <a:off x="480332" y="6200775"/>
          <a:ext cx="5124450" cy="0"/>
        </a:xfrm>
        <a:prstGeom prst="line">
          <a:avLst/>
        </a:prstGeom>
        <a:ln w="12700">
          <a:solidFill>
            <a:srgbClr val="24487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322445</xdr:colOff>
      <xdr:row>32</xdr:row>
      <xdr:rowOff>104775</xdr:rowOff>
    </xdr:from>
    <xdr:to>
      <xdr:col>18</xdr:col>
      <xdr:colOff>570095</xdr:colOff>
      <xdr:row>32</xdr:row>
      <xdr:rowOff>104775</xdr:rowOff>
    </xdr:to>
    <xdr:cxnSp macro="">
      <xdr:nvCxnSpPr>
        <xdr:cNvPr id="45" name="Conector reto 44">
          <a:extLst>
            <a:ext uri="{FF2B5EF4-FFF2-40B4-BE49-F238E27FC236}">
              <a16:creationId xmlns:a16="http://schemas.microsoft.com/office/drawing/2014/main" id="{90A45199-6694-4AA1-A182-1ED17C5AA8F6}"/>
            </a:ext>
          </a:extLst>
        </xdr:cNvPr>
        <xdr:cNvCxnSpPr/>
      </xdr:nvCxnSpPr>
      <xdr:spPr>
        <a:xfrm>
          <a:off x="6418445" y="6200775"/>
          <a:ext cx="5124450" cy="0"/>
        </a:xfrm>
        <a:prstGeom prst="line">
          <a:avLst/>
        </a:prstGeom>
        <a:ln w="12700">
          <a:solidFill>
            <a:srgbClr val="24487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567855</xdr:colOff>
      <xdr:row>32</xdr:row>
      <xdr:rowOff>145596</xdr:rowOff>
    </xdr:from>
    <xdr:to>
      <xdr:col>18</xdr:col>
      <xdr:colOff>248487</xdr:colOff>
      <xdr:row>47</xdr:row>
      <xdr:rowOff>31296</xdr:rowOff>
    </xdr:to>
    <xdr:graphicFrame macro="">
      <xdr:nvGraphicFramePr>
        <xdr:cNvPr id="46" name="Gráfico 45">
          <a:extLst>
            <a:ext uri="{FF2B5EF4-FFF2-40B4-BE49-F238E27FC236}">
              <a16:creationId xmlns:a16="http://schemas.microsoft.com/office/drawing/2014/main" id="{FF1005C7-1300-4C70-88E2-E5CC4052D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36996</xdr:colOff>
      <xdr:row>5</xdr:row>
      <xdr:rowOff>155986</xdr:rowOff>
    </xdr:from>
    <xdr:to>
      <xdr:col>7</xdr:col>
      <xdr:colOff>181260</xdr:colOff>
      <xdr:row>11</xdr:row>
      <xdr:rowOff>70479</xdr:rowOff>
    </xdr:to>
    <xdr:graphicFrame macro="">
      <xdr:nvGraphicFramePr>
        <xdr:cNvPr id="47" name="Gráfico 46">
          <a:extLst>
            <a:ext uri="{FF2B5EF4-FFF2-40B4-BE49-F238E27FC236}">
              <a16:creationId xmlns:a16="http://schemas.microsoft.com/office/drawing/2014/main" id="{20774BB8-5E76-48BA-BAC2-38E49003F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222057</xdr:colOff>
      <xdr:row>7</xdr:row>
      <xdr:rowOff>1654</xdr:rowOff>
    </xdr:from>
    <xdr:to>
      <xdr:col>2</xdr:col>
      <xdr:colOff>606573</xdr:colOff>
      <xdr:row>10</xdr:row>
      <xdr:rowOff>34311</xdr:rowOff>
    </xdr:to>
    <xdr:sp macro="" textlink="Análises!C81">
      <xdr:nvSpPr>
        <xdr:cNvPr id="48" name="Retângulo: Cantos Arredondados 47">
          <a:extLst>
            <a:ext uri="{FF2B5EF4-FFF2-40B4-BE49-F238E27FC236}">
              <a16:creationId xmlns:a16="http://schemas.microsoft.com/office/drawing/2014/main" id="{ABC84895-778B-47E1-A737-373612FB6ADC}"/>
            </a:ext>
          </a:extLst>
        </xdr:cNvPr>
        <xdr:cNvSpPr/>
      </xdr:nvSpPr>
      <xdr:spPr>
        <a:xfrm>
          <a:off x="222057" y="1335154"/>
          <a:ext cx="1610342" cy="60415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062B9D6-1CC1-4BC3-AE09-F0512CB4DD90}" type="TxLink">
            <a:rPr lang="en-US" sz="1600" b="1" i="0" u="none" strike="noStrike">
              <a:solidFill>
                <a:srgbClr val="24487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R$ 396.000,00</a:t>
          </a:fld>
          <a:endParaRPr lang="pt-BR" sz="3200" b="1">
            <a:solidFill>
              <a:srgbClr val="244870"/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314318</xdr:colOff>
      <xdr:row>0</xdr:row>
      <xdr:rowOff>178838</xdr:rowOff>
    </xdr:from>
    <xdr:to>
      <xdr:col>7</xdr:col>
      <xdr:colOff>82839</xdr:colOff>
      <xdr:row>5</xdr:row>
      <xdr:rowOff>83588</xdr:rowOff>
    </xdr:to>
    <xdr:grpSp>
      <xdr:nvGrpSpPr>
        <xdr:cNvPr id="59" name="Agrupar 58">
          <a:extLst>
            <a:ext uri="{FF2B5EF4-FFF2-40B4-BE49-F238E27FC236}">
              <a16:creationId xmlns:a16="http://schemas.microsoft.com/office/drawing/2014/main" id="{36FD0A3D-CE92-4A21-BCFB-12DAFB998558}"/>
            </a:ext>
          </a:extLst>
        </xdr:cNvPr>
        <xdr:cNvGrpSpPr/>
      </xdr:nvGrpSpPr>
      <xdr:grpSpPr>
        <a:xfrm>
          <a:off x="314318" y="178838"/>
          <a:ext cx="4035721" cy="857250"/>
          <a:chOff x="314318" y="175908"/>
          <a:chExt cx="4025463" cy="857250"/>
        </a:xfrm>
      </xdr:grpSpPr>
      <xdr:sp macro="" textlink="">
        <xdr:nvSpPr>
          <xdr:cNvPr id="40" name="Retângulo: Cantos Arredondados 39">
            <a:extLst>
              <a:ext uri="{FF2B5EF4-FFF2-40B4-BE49-F238E27FC236}">
                <a16:creationId xmlns:a16="http://schemas.microsoft.com/office/drawing/2014/main" id="{6F8AED54-5CBB-4561-A08B-AFD8F19181D7}"/>
              </a:ext>
            </a:extLst>
          </xdr:cNvPr>
          <xdr:cNvSpPr/>
        </xdr:nvSpPr>
        <xdr:spPr>
          <a:xfrm>
            <a:off x="314318" y="267992"/>
            <a:ext cx="3841613" cy="604157"/>
          </a:xfrm>
          <a:prstGeom prst="roundRect">
            <a:avLst/>
          </a:prstGeom>
          <a:solidFill>
            <a:srgbClr val="24487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000" b="1">
                <a:solidFill>
                  <a:schemeClr val="lt1"/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Contas Atrasadas</a:t>
            </a:r>
            <a:endParaRPr lang="pt-BR" sz="2000"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57" name="Elipse 56">
            <a:extLst>
              <a:ext uri="{FF2B5EF4-FFF2-40B4-BE49-F238E27FC236}">
                <a16:creationId xmlns:a16="http://schemas.microsoft.com/office/drawing/2014/main" id="{374FA7C4-FDD4-47C1-AF5B-AB3F5C4DFD09}"/>
              </a:ext>
            </a:extLst>
          </xdr:cNvPr>
          <xdr:cNvSpPr/>
        </xdr:nvSpPr>
        <xdr:spPr>
          <a:xfrm>
            <a:off x="3481615" y="175908"/>
            <a:ext cx="858166" cy="857250"/>
          </a:xfrm>
          <a:prstGeom prst="ellipse">
            <a:avLst/>
          </a:prstGeom>
          <a:solidFill>
            <a:srgbClr val="24487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2" name="Gráfico 51" descr="Lista com preenchimento sólido">
            <a:extLst>
              <a:ext uri="{FF2B5EF4-FFF2-40B4-BE49-F238E27FC236}">
                <a16:creationId xmlns:a16="http://schemas.microsoft.com/office/drawing/2014/main" id="{74B32AC9-1A33-4945-9D89-DC9C36EBA1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3594633" y="286292"/>
            <a:ext cx="634910" cy="636482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505455</xdr:colOff>
      <xdr:row>1</xdr:row>
      <xdr:rowOff>80422</xdr:rowOff>
    </xdr:from>
    <xdr:to>
      <xdr:col>14</xdr:col>
      <xdr:colOff>88597</xdr:colOff>
      <xdr:row>4</xdr:row>
      <xdr:rowOff>113079</xdr:rowOff>
    </xdr:to>
    <xdr:sp macro="" textlink="">
      <xdr:nvSpPr>
        <xdr:cNvPr id="61" name="Retângulo: Cantos Arredondados 60">
          <a:extLst>
            <a:ext uri="{FF2B5EF4-FFF2-40B4-BE49-F238E27FC236}">
              <a16:creationId xmlns:a16="http://schemas.microsoft.com/office/drawing/2014/main" id="{34ED5066-DB68-4EE0-A6AA-C434747448F6}"/>
            </a:ext>
          </a:extLst>
        </xdr:cNvPr>
        <xdr:cNvSpPr/>
      </xdr:nvSpPr>
      <xdr:spPr>
        <a:xfrm>
          <a:off x="4795846" y="270922"/>
          <a:ext cx="3873534" cy="604157"/>
        </a:xfrm>
        <a:prstGeom prst="roundRect">
          <a:avLst/>
        </a:prstGeom>
        <a:solidFill>
          <a:srgbClr val="24487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 b="1">
              <a:solidFill>
                <a:schemeClr val="lt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Contas a Receber</a:t>
          </a:r>
          <a:endParaRPr lang="pt-BR" sz="2000"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13</xdr:col>
      <xdr:colOff>21591</xdr:colOff>
      <xdr:row>0</xdr:row>
      <xdr:rowOff>178838</xdr:rowOff>
    </xdr:from>
    <xdr:to>
      <xdr:col>14</xdr:col>
      <xdr:colOff>273975</xdr:colOff>
      <xdr:row>5</xdr:row>
      <xdr:rowOff>83588</xdr:rowOff>
    </xdr:to>
    <xdr:sp macro="" textlink="">
      <xdr:nvSpPr>
        <xdr:cNvPr id="62" name="Elipse 61">
          <a:extLst>
            <a:ext uri="{FF2B5EF4-FFF2-40B4-BE49-F238E27FC236}">
              <a16:creationId xmlns:a16="http://schemas.microsoft.com/office/drawing/2014/main" id="{8F2D7B8A-997C-458F-B354-8EFD8835C10F}"/>
            </a:ext>
          </a:extLst>
        </xdr:cNvPr>
        <xdr:cNvSpPr/>
      </xdr:nvSpPr>
      <xdr:spPr>
        <a:xfrm>
          <a:off x="7989461" y="178838"/>
          <a:ext cx="865297" cy="857250"/>
        </a:xfrm>
        <a:prstGeom prst="ellipse">
          <a:avLst/>
        </a:prstGeom>
        <a:solidFill>
          <a:srgbClr val="24487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118167</xdr:colOff>
      <xdr:row>1</xdr:row>
      <xdr:rowOff>80422</xdr:rowOff>
    </xdr:from>
    <xdr:to>
      <xdr:col>21</xdr:col>
      <xdr:colOff>314223</xdr:colOff>
      <xdr:row>4</xdr:row>
      <xdr:rowOff>113079</xdr:rowOff>
    </xdr:to>
    <xdr:sp macro="" textlink="">
      <xdr:nvSpPr>
        <xdr:cNvPr id="66" name="Retângulo: Cantos Arredondados 65">
          <a:extLst>
            <a:ext uri="{FF2B5EF4-FFF2-40B4-BE49-F238E27FC236}">
              <a16:creationId xmlns:a16="http://schemas.microsoft.com/office/drawing/2014/main" id="{EBE9A1AE-E3A1-4EF5-822D-8564BDB70736}"/>
            </a:ext>
          </a:extLst>
        </xdr:cNvPr>
        <xdr:cNvSpPr/>
      </xdr:nvSpPr>
      <xdr:spPr>
        <a:xfrm>
          <a:off x="9311863" y="270922"/>
          <a:ext cx="3873534" cy="604157"/>
        </a:xfrm>
        <a:prstGeom prst="roundRect">
          <a:avLst/>
        </a:prstGeom>
        <a:solidFill>
          <a:srgbClr val="24487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 b="1">
              <a:solidFill>
                <a:schemeClr val="lt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Contas a Pagar</a:t>
          </a:r>
          <a:endParaRPr lang="pt-BR" sz="2000"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20</xdr:col>
      <xdr:colOff>247217</xdr:colOff>
      <xdr:row>0</xdr:row>
      <xdr:rowOff>178838</xdr:rowOff>
    </xdr:from>
    <xdr:to>
      <xdr:col>21</xdr:col>
      <xdr:colOff>499601</xdr:colOff>
      <xdr:row>5</xdr:row>
      <xdr:rowOff>83588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D2A72A19-3A54-4252-9E22-D9206DAE2AF5}"/>
            </a:ext>
          </a:extLst>
        </xdr:cNvPr>
        <xdr:cNvSpPr/>
      </xdr:nvSpPr>
      <xdr:spPr>
        <a:xfrm>
          <a:off x="12439217" y="178838"/>
          <a:ext cx="861984" cy="857250"/>
        </a:xfrm>
        <a:prstGeom prst="ellipse">
          <a:avLst/>
        </a:prstGeom>
        <a:solidFill>
          <a:srgbClr val="24487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342137</xdr:colOff>
      <xdr:row>1</xdr:row>
      <xdr:rowOff>80422</xdr:rowOff>
    </xdr:from>
    <xdr:to>
      <xdr:col>28</xdr:col>
      <xdr:colOff>541355</xdr:colOff>
      <xdr:row>4</xdr:row>
      <xdr:rowOff>113079</xdr:rowOff>
    </xdr:to>
    <xdr:sp macro="" textlink="">
      <xdr:nvSpPr>
        <xdr:cNvPr id="70" name="Retângulo: Cantos Arredondados 69">
          <a:extLst>
            <a:ext uri="{FF2B5EF4-FFF2-40B4-BE49-F238E27FC236}">
              <a16:creationId xmlns:a16="http://schemas.microsoft.com/office/drawing/2014/main" id="{6527F803-622D-4049-89E4-53F82C593AB6}"/>
            </a:ext>
          </a:extLst>
        </xdr:cNvPr>
        <xdr:cNvSpPr/>
      </xdr:nvSpPr>
      <xdr:spPr>
        <a:xfrm>
          <a:off x="13826224" y="270922"/>
          <a:ext cx="3876696" cy="604157"/>
        </a:xfrm>
        <a:prstGeom prst="roundRect">
          <a:avLst/>
        </a:prstGeom>
        <a:solidFill>
          <a:srgbClr val="24487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 b="1">
              <a:solidFill>
                <a:schemeClr val="lt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Saldo Projetado</a:t>
          </a:r>
          <a:endParaRPr lang="pt-BR" sz="2000"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27</xdr:col>
      <xdr:colOff>473794</xdr:colOff>
      <xdr:row>0</xdr:row>
      <xdr:rowOff>178838</xdr:rowOff>
    </xdr:from>
    <xdr:to>
      <xdr:col>29</xdr:col>
      <xdr:colOff>113971</xdr:colOff>
      <xdr:row>5</xdr:row>
      <xdr:rowOff>83588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1327C2B4-2F0C-4F3D-9DE8-4CCFF30B2F83}"/>
            </a:ext>
          </a:extLst>
        </xdr:cNvPr>
        <xdr:cNvSpPr/>
      </xdr:nvSpPr>
      <xdr:spPr>
        <a:xfrm>
          <a:off x="16932994" y="178838"/>
          <a:ext cx="859377" cy="857250"/>
        </a:xfrm>
        <a:prstGeom prst="ellipse">
          <a:avLst/>
        </a:prstGeom>
        <a:solidFill>
          <a:srgbClr val="24487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13</xdr:col>
      <xdr:colOff>134395</xdr:colOff>
      <xdr:row>1</xdr:row>
      <xdr:rowOff>98722</xdr:rowOff>
    </xdr:from>
    <xdr:to>
      <xdr:col>14</xdr:col>
      <xdr:colOff>161170</xdr:colOff>
      <xdr:row>4</xdr:row>
      <xdr:rowOff>163704</xdr:rowOff>
    </xdr:to>
    <xdr:pic>
      <xdr:nvPicPr>
        <xdr:cNvPr id="56" name="Gráfico 55" descr="Dólar com preenchimento sólido">
          <a:extLst>
            <a:ext uri="{FF2B5EF4-FFF2-40B4-BE49-F238E27FC236}">
              <a16:creationId xmlns:a16="http://schemas.microsoft.com/office/drawing/2014/main" id="{7B630A14-A885-4D03-9E42-FF2C7E7A8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102265" y="289222"/>
          <a:ext cx="639688" cy="636482"/>
        </a:xfrm>
        <a:prstGeom prst="rect">
          <a:avLst/>
        </a:prstGeom>
      </xdr:spPr>
    </xdr:pic>
    <xdr:clientData/>
  </xdr:twoCellAnchor>
  <xdr:twoCellAnchor editAs="oneCell">
    <xdr:from>
      <xdr:col>20</xdr:col>
      <xdr:colOff>360022</xdr:colOff>
      <xdr:row>1</xdr:row>
      <xdr:rowOff>98722</xdr:rowOff>
    </xdr:from>
    <xdr:to>
      <xdr:col>21</xdr:col>
      <xdr:colOff>386797</xdr:colOff>
      <xdr:row>4</xdr:row>
      <xdr:rowOff>163704</xdr:rowOff>
    </xdr:to>
    <xdr:pic>
      <xdr:nvPicPr>
        <xdr:cNvPr id="54" name="Gráfico 53" descr="Documento com preenchimento sólido">
          <a:extLst>
            <a:ext uri="{FF2B5EF4-FFF2-40B4-BE49-F238E27FC236}">
              <a16:creationId xmlns:a16="http://schemas.microsoft.com/office/drawing/2014/main" id="{F8C0EE61-5FF2-4910-B813-AC56C8F5B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552022" y="289222"/>
          <a:ext cx="636375" cy="636482"/>
        </a:xfrm>
        <a:prstGeom prst="rect">
          <a:avLst/>
        </a:prstGeom>
      </xdr:spPr>
    </xdr:pic>
    <xdr:clientData/>
  </xdr:twoCellAnchor>
  <xdr:twoCellAnchor editAs="oneCell">
    <xdr:from>
      <xdr:col>27</xdr:col>
      <xdr:colOff>584691</xdr:colOff>
      <xdr:row>1</xdr:row>
      <xdr:rowOff>98722</xdr:rowOff>
    </xdr:from>
    <xdr:to>
      <xdr:col>29</xdr:col>
      <xdr:colOff>3073</xdr:colOff>
      <xdr:row>4</xdr:row>
      <xdr:rowOff>163704</xdr:rowOff>
    </xdr:to>
    <xdr:pic>
      <xdr:nvPicPr>
        <xdr:cNvPr id="50" name="Gráfico 49" descr="Gráfico de barras com tendência ascendente com preenchimento sólido">
          <a:extLst>
            <a:ext uri="{FF2B5EF4-FFF2-40B4-BE49-F238E27FC236}">
              <a16:creationId xmlns:a16="http://schemas.microsoft.com/office/drawing/2014/main" id="{120535B6-16FC-4568-A9EE-4E8C55FD3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7043891" y="289222"/>
          <a:ext cx="637582" cy="636482"/>
        </a:xfrm>
        <a:prstGeom prst="rect">
          <a:avLst/>
        </a:prstGeom>
      </xdr:spPr>
    </xdr:pic>
    <xdr:clientData/>
  </xdr:twoCellAnchor>
  <xdr:twoCellAnchor>
    <xdr:from>
      <xdr:col>7</xdr:col>
      <xdr:colOff>447387</xdr:colOff>
      <xdr:row>7</xdr:row>
      <xdr:rowOff>1654</xdr:rowOff>
    </xdr:from>
    <xdr:to>
      <xdr:col>10</xdr:col>
      <xdr:colOff>218212</xdr:colOff>
      <xdr:row>10</xdr:row>
      <xdr:rowOff>34311</xdr:rowOff>
    </xdr:to>
    <xdr:sp macro="" textlink="Análises!C110">
      <xdr:nvSpPr>
        <xdr:cNvPr id="73" name="Retângulo: Cantos Arredondados 72">
          <a:extLst>
            <a:ext uri="{FF2B5EF4-FFF2-40B4-BE49-F238E27FC236}">
              <a16:creationId xmlns:a16="http://schemas.microsoft.com/office/drawing/2014/main" id="{729CCB5E-2D50-440D-A6A5-B36E07981F14}"/>
            </a:ext>
          </a:extLst>
        </xdr:cNvPr>
        <xdr:cNvSpPr/>
      </xdr:nvSpPr>
      <xdr:spPr>
        <a:xfrm>
          <a:off x="4737778" y="1335154"/>
          <a:ext cx="1609564" cy="60415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2853A35-4340-4DE0-8AD9-7B8475788D6C}" type="TxLink">
            <a:rPr lang="en-US" sz="1600" b="1" i="0" u="none" strike="noStrike">
              <a:solidFill>
                <a:srgbClr val="24487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R$ 402.000,00</a:t>
          </a:fld>
          <a:endParaRPr lang="pt-BR" sz="1600" b="1" i="0" u="none" strike="noStrike">
            <a:solidFill>
              <a:srgbClr val="24487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59804</xdr:colOff>
      <xdr:row>7</xdr:row>
      <xdr:rowOff>1654</xdr:rowOff>
    </xdr:from>
    <xdr:to>
      <xdr:col>17</xdr:col>
      <xdr:colOff>206871</xdr:colOff>
      <xdr:row>10</xdr:row>
      <xdr:rowOff>34311</xdr:rowOff>
    </xdr:to>
    <xdr:sp macro="" textlink="Análises!C94">
      <xdr:nvSpPr>
        <xdr:cNvPr id="74" name="Retângulo: Cantos Arredondados 73">
          <a:extLst>
            <a:ext uri="{FF2B5EF4-FFF2-40B4-BE49-F238E27FC236}">
              <a16:creationId xmlns:a16="http://schemas.microsoft.com/office/drawing/2014/main" id="{92B1A81D-AEDE-4866-AA7C-922CA75F70ED}"/>
            </a:ext>
          </a:extLst>
        </xdr:cNvPr>
        <xdr:cNvSpPr/>
      </xdr:nvSpPr>
      <xdr:spPr>
        <a:xfrm>
          <a:off x="9203804" y="1335154"/>
          <a:ext cx="1366267" cy="60415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DC40842-0C90-419E-BE70-455FF5BC6CE5}" type="TxLink">
            <a:rPr lang="en-US" sz="1600" b="1" i="0" u="none" strike="noStrike">
              <a:solidFill>
                <a:srgbClr val="24487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R$ 6.000,00</a:t>
          </a:fld>
          <a:endParaRPr lang="pt-BR" sz="1600" b="1" i="0" u="none" strike="noStrike">
            <a:solidFill>
              <a:srgbClr val="24487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263016</xdr:colOff>
      <xdr:row>5</xdr:row>
      <xdr:rowOff>155532</xdr:rowOff>
    </xdr:from>
    <xdr:to>
      <xdr:col>14</xdr:col>
      <xdr:colOff>406590</xdr:colOff>
      <xdr:row>11</xdr:row>
      <xdr:rowOff>70932</xdr:rowOff>
    </xdr:to>
    <xdr:graphicFrame macro="">
      <xdr:nvGraphicFramePr>
        <xdr:cNvPr id="75" name="Gráfico 74">
          <a:extLst>
            <a:ext uri="{FF2B5EF4-FFF2-40B4-BE49-F238E27FC236}">
              <a16:creationId xmlns:a16="http://schemas.microsoft.com/office/drawing/2014/main" id="{2FA439FD-45DF-44BC-92FB-EC84670A96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86683</xdr:colOff>
      <xdr:row>5</xdr:row>
      <xdr:rowOff>155532</xdr:rowOff>
    </xdr:from>
    <xdr:to>
      <xdr:col>29</xdr:col>
      <xdr:colOff>244929</xdr:colOff>
      <xdr:row>11</xdr:row>
      <xdr:rowOff>70932</xdr:rowOff>
    </xdr:to>
    <xdr:graphicFrame macro="">
      <xdr:nvGraphicFramePr>
        <xdr:cNvPr id="77" name="Gráfico 76">
          <a:extLst>
            <a:ext uri="{FF2B5EF4-FFF2-40B4-BE49-F238E27FC236}">
              <a16:creationId xmlns:a16="http://schemas.microsoft.com/office/drawing/2014/main" id="{359D32B6-1713-4D37-9596-3C2DE3C69F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22</xdr:col>
      <xdr:colOff>285726</xdr:colOff>
      <xdr:row>7</xdr:row>
      <xdr:rowOff>1654</xdr:rowOff>
    </xdr:from>
    <xdr:to>
      <xdr:col>25</xdr:col>
      <xdr:colOff>59329</xdr:colOff>
      <xdr:row>10</xdr:row>
      <xdr:rowOff>34311</xdr:rowOff>
    </xdr:to>
    <xdr:sp macro="" textlink="Análises!C127">
      <xdr:nvSpPr>
        <xdr:cNvPr id="78" name="Retângulo: Cantos Arredondados 77">
          <a:extLst>
            <a:ext uri="{FF2B5EF4-FFF2-40B4-BE49-F238E27FC236}">
              <a16:creationId xmlns:a16="http://schemas.microsoft.com/office/drawing/2014/main" id="{8BDB95DF-D325-4A02-A982-6F9A62C0F72F}"/>
            </a:ext>
          </a:extLst>
        </xdr:cNvPr>
        <xdr:cNvSpPr/>
      </xdr:nvSpPr>
      <xdr:spPr>
        <a:xfrm>
          <a:off x="13769813" y="1335154"/>
          <a:ext cx="1612342" cy="60415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E1B0924-BD90-485B-9AF6-B7CA6A9E3CD1}" type="TxLink">
            <a:rPr lang="en-US" sz="1600" b="1" i="0" u="none" strike="noStrike">
              <a:solidFill>
                <a:srgbClr val="24487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 </a:t>
          </a:fld>
          <a:endParaRPr lang="pt-BR" sz="1600" b="1" i="0" u="none" strike="noStrike">
            <a:solidFill>
              <a:srgbClr val="24487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3</xdr:col>
      <xdr:colOff>40560</xdr:colOff>
      <xdr:row>6</xdr:row>
      <xdr:rowOff>23356</xdr:rowOff>
    </xdr:from>
    <xdr:to>
      <xdr:col>3</xdr:col>
      <xdr:colOff>40560</xdr:colOff>
      <xdr:row>10</xdr:row>
      <xdr:rowOff>184059</xdr:rowOff>
    </xdr:to>
    <xdr:cxnSp macro="">
      <xdr:nvCxnSpPr>
        <xdr:cNvPr id="90" name="Conector reto 89">
          <a:extLst>
            <a:ext uri="{FF2B5EF4-FFF2-40B4-BE49-F238E27FC236}">
              <a16:creationId xmlns:a16="http://schemas.microsoft.com/office/drawing/2014/main" id="{10A70B16-DB46-46E0-8593-80F3E0C36A1B}"/>
            </a:ext>
          </a:extLst>
        </xdr:cNvPr>
        <xdr:cNvCxnSpPr/>
      </xdr:nvCxnSpPr>
      <xdr:spPr>
        <a:xfrm>
          <a:off x="1869360" y="1166356"/>
          <a:ext cx="0" cy="922703"/>
        </a:xfrm>
        <a:prstGeom prst="line">
          <a:avLst/>
        </a:prstGeom>
        <a:ln w="19050">
          <a:solidFill>
            <a:srgbClr val="24487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265890</xdr:colOff>
      <xdr:row>6</xdr:row>
      <xdr:rowOff>23356</xdr:rowOff>
    </xdr:from>
    <xdr:to>
      <xdr:col>10</xdr:col>
      <xdr:colOff>265890</xdr:colOff>
      <xdr:row>10</xdr:row>
      <xdr:rowOff>184059</xdr:rowOff>
    </xdr:to>
    <xdr:cxnSp macro="">
      <xdr:nvCxnSpPr>
        <xdr:cNvPr id="91" name="Conector reto 90">
          <a:extLst>
            <a:ext uri="{FF2B5EF4-FFF2-40B4-BE49-F238E27FC236}">
              <a16:creationId xmlns:a16="http://schemas.microsoft.com/office/drawing/2014/main" id="{A10A0B03-8B35-440A-9AE2-9DAA001EF4A4}"/>
            </a:ext>
          </a:extLst>
        </xdr:cNvPr>
        <xdr:cNvCxnSpPr/>
      </xdr:nvCxnSpPr>
      <xdr:spPr>
        <a:xfrm>
          <a:off x="6361890" y="1166356"/>
          <a:ext cx="0" cy="922703"/>
        </a:xfrm>
        <a:prstGeom prst="line">
          <a:avLst/>
        </a:prstGeom>
        <a:ln w="19050">
          <a:solidFill>
            <a:srgbClr val="24487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104229</xdr:colOff>
      <xdr:row>6</xdr:row>
      <xdr:rowOff>23356</xdr:rowOff>
    </xdr:from>
    <xdr:to>
      <xdr:col>25</xdr:col>
      <xdr:colOff>104229</xdr:colOff>
      <xdr:row>10</xdr:row>
      <xdr:rowOff>184059</xdr:rowOff>
    </xdr:to>
    <xdr:cxnSp macro="">
      <xdr:nvCxnSpPr>
        <xdr:cNvPr id="92" name="Conector reto 91">
          <a:extLst>
            <a:ext uri="{FF2B5EF4-FFF2-40B4-BE49-F238E27FC236}">
              <a16:creationId xmlns:a16="http://schemas.microsoft.com/office/drawing/2014/main" id="{A9080B08-3DB2-4EDD-A1C4-215FF7ADBF01}"/>
            </a:ext>
          </a:extLst>
        </xdr:cNvPr>
        <xdr:cNvCxnSpPr/>
      </xdr:nvCxnSpPr>
      <xdr:spPr>
        <a:xfrm>
          <a:off x="15344229" y="1166356"/>
          <a:ext cx="0" cy="922703"/>
        </a:xfrm>
        <a:prstGeom prst="line">
          <a:avLst/>
        </a:prstGeom>
        <a:ln w="19050">
          <a:solidFill>
            <a:srgbClr val="24487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489859</xdr:colOff>
      <xdr:row>6</xdr:row>
      <xdr:rowOff>23356</xdr:rowOff>
    </xdr:from>
    <xdr:to>
      <xdr:col>17</xdr:col>
      <xdr:colOff>489859</xdr:colOff>
      <xdr:row>10</xdr:row>
      <xdr:rowOff>184059</xdr:rowOff>
    </xdr:to>
    <xdr:cxnSp macro="">
      <xdr:nvCxnSpPr>
        <xdr:cNvPr id="93" name="Conector reto 92">
          <a:extLst>
            <a:ext uri="{FF2B5EF4-FFF2-40B4-BE49-F238E27FC236}">
              <a16:creationId xmlns:a16="http://schemas.microsoft.com/office/drawing/2014/main" id="{2E273F2E-EC47-445F-B591-59B026A73DCC}"/>
            </a:ext>
          </a:extLst>
        </xdr:cNvPr>
        <xdr:cNvCxnSpPr/>
      </xdr:nvCxnSpPr>
      <xdr:spPr>
        <a:xfrm>
          <a:off x="10853059" y="1166356"/>
          <a:ext cx="0" cy="922703"/>
        </a:xfrm>
        <a:prstGeom prst="line">
          <a:avLst/>
        </a:prstGeom>
        <a:ln w="19050">
          <a:solidFill>
            <a:srgbClr val="24487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482673</xdr:colOff>
      <xdr:row>6</xdr:row>
      <xdr:rowOff>86792</xdr:rowOff>
    </xdr:from>
    <xdr:to>
      <xdr:col>22</xdr:col>
      <xdr:colOff>30273</xdr:colOff>
      <xdr:row>10</xdr:row>
      <xdr:rowOff>104774</xdr:rowOff>
    </xdr:to>
    <xdr:graphicFrame macro="">
      <xdr:nvGraphicFramePr>
        <xdr:cNvPr id="94" name="Gráfico 93">
          <a:extLst>
            <a:ext uri="{FF2B5EF4-FFF2-40B4-BE49-F238E27FC236}">
              <a16:creationId xmlns:a16="http://schemas.microsoft.com/office/drawing/2014/main" id="{7485221E-B9E4-4042-899B-47D469558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22</xdr:col>
      <xdr:colOff>258803</xdr:colOff>
      <xdr:row>7</xdr:row>
      <xdr:rowOff>1654</xdr:rowOff>
    </xdr:from>
    <xdr:to>
      <xdr:col>25</xdr:col>
      <xdr:colOff>32312</xdr:colOff>
      <xdr:row>10</xdr:row>
      <xdr:rowOff>34311</xdr:rowOff>
    </xdr:to>
    <xdr:sp macro="" textlink="Análises!E60">
      <xdr:nvSpPr>
        <xdr:cNvPr id="49" name="Retângulo: Cantos Arredondados 48">
          <a:extLst>
            <a:ext uri="{FF2B5EF4-FFF2-40B4-BE49-F238E27FC236}">
              <a16:creationId xmlns:a16="http://schemas.microsoft.com/office/drawing/2014/main" id="{EC493F1C-95E0-454F-8112-42F835A8566E}"/>
            </a:ext>
          </a:extLst>
        </xdr:cNvPr>
        <xdr:cNvSpPr/>
      </xdr:nvSpPr>
      <xdr:spPr>
        <a:xfrm>
          <a:off x="13617616" y="1335154"/>
          <a:ext cx="1595165" cy="60415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E7BE60D-01D0-4456-ADDA-B82576EEAA90}" type="TxLink">
            <a:rPr lang="en-US" sz="1600" b="1" i="0" u="none" strike="noStrike">
              <a:solidFill>
                <a:srgbClr val="24487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R$ 420.250,00</a:t>
          </a:fld>
          <a:endParaRPr lang="pt-BR" sz="1600" b="1" i="0" u="none" strike="noStrike">
            <a:solidFill>
              <a:srgbClr val="24487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" refreshedDate="45957.811080671294" createdVersion="7" refreshedVersion="7" minRefreshableVersion="3" recordCount="89" xr:uid="{DC1BB9E5-6B41-4A7A-BF87-023D362B93AF}">
  <cacheSource type="worksheet">
    <worksheetSource name="Base_Lançamentos"/>
  </cacheSource>
  <cacheFields count="15">
    <cacheField name="Conta" numFmtId="0">
      <sharedItems count="17">
        <s v="Saldo Inicial"/>
        <s v="Orçamento 1"/>
        <s v="Consultoria"/>
        <s v="Salários e Benefícios"/>
        <s v="Aluguel de Escritório"/>
        <s v="Marketing"/>
        <s v="Imposto sobre Vendas"/>
        <s v="Despesas com Licenças"/>
        <s v="Orçamento 2"/>
        <s v="Luz"/>
        <s v="Telefonia"/>
        <s v="Orçamento 4"/>
        <s v="Despesas com Assinaturas"/>
        <s v="Água"/>
        <s v="Manutenção e Reparos"/>
        <s v="Orçamento 3"/>
        <s v="Materiais de Escritório"/>
      </sharedItems>
    </cacheField>
    <cacheField name="Forma Pagamento" numFmtId="0">
      <sharedItems count="3">
        <s v="Transferência"/>
        <s v="Pix"/>
        <s v="Boleto"/>
      </sharedItems>
    </cacheField>
    <cacheField name="Valor" numFmtId="164">
      <sharedItems containsSemiMixedTypes="0" containsString="0" containsNumber="1" containsInteger="1" minValue="450" maxValue="85000"/>
    </cacheField>
    <cacheField name="Data Lançamento" numFmtId="14">
      <sharedItems containsSemiMixedTypes="0" containsNonDate="0" containsDate="1" containsString="0" minDate="2024-01-01T00:00:00" maxDate="2024-12-26T00:00:00" count="71">
        <d v="2024-01-01T00:00:00"/>
        <d v="2024-01-02T00:00:00"/>
        <d v="2024-01-05T00:00:00"/>
        <d v="2024-01-08T00:00:00"/>
        <d v="2024-01-10T00:00:00"/>
        <d v="2024-01-15T00:00:00"/>
        <d v="2024-01-18T00:00:00"/>
        <d v="2024-01-25T00:00:00"/>
        <d v="2024-01-28T00:00:00"/>
        <d v="2024-02-01T00:00:00"/>
        <d v="2024-02-05T00:00:00"/>
        <d v="2024-02-15T00:00:00"/>
        <d v="2024-02-20T00:00:00"/>
        <d v="2024-02-25T00:00:00"/>
        <d v="2024-03-01T00:00:00"/>
        <d v="2024-03-05T00:00:00"/>
        <d v="2024-03-10T00:00:00"/>
        <d v="2024-03-15T00:00:00"/>
        <d v="2024-03-20T00:00:00"/>
        <d v="2024-03-25T00:00:00"/>
        <d v="2024-04-01T00:00:00"/>
        <d v="2024-04-05T00:00:00"/>
        <d v="2024-04-10T00:00:00"/>
        <d v="2024-04-15T00:00:00"/>
        <d v="2024-04-20T00:00:00"/>
        <d v="2024-04-25T00:00:00"/>
        <d v="2024-05-01T00:00:00"/>
        <d v="2024-05-05T00:00:00"/>
        <d v="2024-05-10T00:00:00"/>
        <d v="2024-05-15T00:00:00"/>
        <d v="2024-05-20T00:00:00"/>
        <d v="2024-05-25T00:00:00"/>
        <d v="2024-06-01T00:00:00"/>
        <d v="2024-06-05T00:00:00"/>
        <d v="2024-06-10T00:00:00"/>
        <d v="2024-06-15T00:00:00"/>
        <d v="2024-06-20T00:00:00"/>
        <d v="2024-06-25T00:00:00"/>
        <d v="2024-07-01T00:00:00"/>
        <d v="2024-07-05T00:00:00"/>
        <d v="2024-07-10T00:00:00"/>
        <d v="2024-07-15T00:00:00"/>
        <d v="2024-07-20T00:00:00"/>
        <d v="2024-07-25T00:00:00"/>
        <d v="2024-08-01T00:00:00"/>
        <d v="2024-08-05T00:00:00"/>
        <d v="2024-08-15T00:00:00"/>
        <d v="2024-08-20T00:00:00"/>
        <d v="2024-08-25T00:00:00"/>
        <d v="2024-09-01T00:00:00"/>
        <d v="2024-09-05T00:00:00"/>
        <d v="2024-09-10T00:00:00"/>
        <d v="2024-09-15T00:00:00"/>
        <d v="2024-09-20T00:00:00"/>
        <d v="2024-09-25T00:00:00"/>
        <d v="2024-10-01T00:00:00"/>
        <d v="2024-10-05T00:00:00"/>
        <d v="2024-10-15T00:00:00"/>
        <d v="2024-10-20T00:00:00"/>
        <d v="2024-10-25T00:00:00"/>
        <d v="2024-11-01T00:00:00"/>
        <d v="2024-11-05T00:00:00"/>
        <d v="2024-11-10T00:00:00"/>
        <d v="2024-11-15T00:00:00"/>
        <d v="2024-11-20T00:00:00"/>
        <d v="2024-11-25T00:00:00"/>
        <d v="2024-12-01T00:00:00"/>
        <d v="2024-12-05T00:00:00"/>
        <d v="2024-12-15T00:00:00"/>
        <d v="2024-12-20T00:00:00"/>
        <d v="2024-12-25T00:00:00"/>
      </sharedItems>
      <fieldGroup par="13" base="3">
        <rangePr groupBy="days" startDate="2024-01-01T00:00:00" endDate="2024-12-26T00:00:00"/>
        <groupItems count="368">
          <s v="&lt;01/01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6/12/2024"/>
        </groupItems>
      </fieldGroup>
    </cacheField>
    <cacheField name="Data _x000a_Pagamento" numFmtId="14">
      <sharedItems containsSemiMixedTypes="0" containsNonDate="0" containsDate="1" containsString="0" minDate="2024-01-01T00:00:00" maxDate="2024-12-26T00:00:00" count="65">
        <d v="2024-01-01T00:00:00"/>
        <d v="2024-01-02T00:00:00"/>
        <d v="2024-01-05T00:00:00"/>
        <d v="2024-01-08T00:00:00"/>
        <d v="2024-01-10T00:00:00"/>
        <d v="2024-02-15T00:00:00"/>
        <d v="2024-02-18T00:00:00"/>
        <d v="2024-01-25T00:00:00"/>
        <d v="2024-01-28T00:00:00"/>
        <d v="2024-02-01T00:00:00"/>
        <d v="2024-02-05T00:00:00"/>
        <d v="2024-03-15T00:00:00"/>
        <d v="2024-02-20T00:00:00"/>
        <d v="2024-02-25T00:00:00"/>
        <d v="2024-03-01T00:00:00"/>
        <d v="2024-03-05T00:00:00"/>
        <d v="2024-04-10T00:00:00"/>
        <d v="2024-03-20T00:00:00"/>
        <d v="2024-03-25T00:00:00"/>
        <d v="2024-04-01T00:00:00"/>
        <d v="2024-04-05T00:00:00"/>
        <d v="2024-05-10T00:00:00"/>
        <d v="2024-05-15T00:00:00"/>
        <d v="2024-04-20T00:00:00"/>
        <d v="2024-04-25T00:00:00"/>
        <d v="2024-05-01T00:00:00"/>
        <d v="2024-05-05T00:00:00"/>
        <d v="2024-05-20T00:00:00"/>
        <d v="2024-05-25T00:00:00"/>
        <d v="2024-07-01T00:00:00"/>
        <d v="2024-06-05T00:00:00"/>
        <d v="2024-06-10T00:00:00"/>
        <d v="2024-07-15T00:00:00"/>
        <d v="2024-06-20T00:00:00"/>
        <d v="2024-06-25T00:00:00"/>
        <d v="2024-07-05T00:00:00"/>
        <d v="2024-08-10T00:00:00"/>
        <d v="2024-07-20T00:00:00"/>
        <d v="2024-07-25T00:00:00"/>
        <d v="2024-08-01T00:00:00"/>
        <d v="2024-08-05T00:00:00"/>
        <d v="2024-09-15T00:00:00"/>
        <d v="2024-08-20T00:00:00"/>
        <d v="2024-08-25T00:00:00"/>
        <d v="2024-09-01T00:00:00"/>
        <d v="2024-09-05T00:00:00"/>
        <d v="2024-10-10T00:00:00"/>
        <d v="2024-09-20T00:00:00"/>
        <d v="2024-09-25T00:00:00"/>
        <d v="2024-10-01T00:00:00"/>
        <d v="2024-10-05T00:00:00"/>
        <d v="2024-11-15T00:00:00"/>
        <d v="2024-10-15T00:00:00"/>
        <d v="2024-10-20T00:00:00"/>
        <d v="2024-10-25T00:00:00"/>
        <d v="2024-11-01T00:00:00"/>
        <d v="2024-11-05T00:00:00"/>
        <d v="2024-12-10T00:00:00"/>
        <d v="2024-12-15T00:00:00"/>
        <d v="2024-11-20T00:00:00"/>
        <d v="2024-11-25T00:00:00"/>
        <d v="2024-12-01T00:00:00"/>
        <d v="2024-12-05T00:00:00"/>
        <d v="2024-12-20T00:00:00"/>
        <d v="2024-12-25T00:00:00"/>
      </sharedItems>
      <fieldGroup par="12" base="4">
        <rangePr groupBy="days" startDate="2024-01-01T00:00:00" endDate="2024-12-26T00:00:00"/>
        <groupItems count="368">
          <s v="&lt;01/01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6/12/2024"/>
        </groupItems>
      </fieldGroup>
    </cacheField>
    <cacheField name="Realizado" numFmtId="0">
      <sharedItems count="2">
        <s v="Sim"/>
        <s v="Não"/>
      </sharedItems>
    </cacheField>
    <cacheField name="Categoria" numFmtId="0">
      <sharedItems count="6">
        <s v="Saldo Inicial"/>
        <s v="Venda de Produto"/>
        <s v="Prestação de Serviço"/>
        <s v="Despesas Operacionais"/>
        <s v="Impostos"/>
        <s v="Despesas Administrativas"/>
      </sharedItems>
    </cacheField>
    <cacheField name="Transação" numFmtId="0">
      <sharedItems count="2">
        <s v="Receita"/>
        <s v="Despesa"/>
      </sharedItems>
    </cacheField>
    <cacheField name="Prazo p/ _x000a_Pagamento" numFmtId="0">
      <sharedItems containsMixedTypes="1" containsNumber="1" containsInteger="1" minValue="-620" maxValue="-316"/>
    </cacheField>
    <cacheField name="Atraso" numFmtId="0">
      <sharedItems count="2">
        <s v="No prazo"/>
        <s v="Atrasado"/>
      </sharedItems>
    </cacheField>
    <cacheField name="Registro de Valor" numFmtId="164">
      <sharedItems containsSemiMixedTypes="0" containsString="0" containsNumber="1" containsInteger="1" minValue="-48000" maxValue="85000"/>
    </cacheField>
    <cacheField name="Saldo" numFmtId="164">
      <sharedItems containsSemiMixedTypes="0" containsString="0" containsNumber="1" containsInteger="1" minValue="42800" maxValue="467550"/>
    </cacheField>
    <cacheField name="Meses" numFmtId="0" databaseField="0">
      <fieldGroup base="4">
        <rangePr groupBy="months" startDate="2024-01-01T00:00:00" endDate="2024-12-26T00:00:00"/>
        <groupItems count="14">
          <s v="&lt;01/01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6/12/2024"/>
        </groupItems>
      </fieldGroup>
    </cacheField>
    <cacheField name="Meses2" numFmtId="0" databaseField="0">
      <fieldGroup base="3">
        <rangePr groupBy="months" startDate="2024-01-01T00:00:00" endDate="2024-12-26T00:00:00"/>
        <groupItems count="14">
          <s v="&lt;01/01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6/12/2024"/>
        </groupItems>
      </fieldGroup>
    </cacheField>
    <cacheField name="Registro de Valor Positivo" numFmtId="0" formula="'Registro de Valor'* -1" databaseField="0"/>
  </cacheFields>
  <extLst>
    <ext xmlns:x14="http://schemas.microsoft.com/office/spreadsheetml/2009/9/main" uri="{725AE2AE-9491-48be-B2B4-4EB974FC3084}">
      <x14:pivotCacheDefinition pivotCacheId="38109805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">
  <r>
    <x v="0"/>
    <x v="0"/>
    <n v="50000"/>
    <x v="0"/>
    <x v="0"/>
    <x v="0"/>
    <x v="0"/>
    <x v="0"/>
    <s v="-"/>
    <x v="0"/>
    <n v="50000"/>
    <n v="50000"/>
  </r>
  <r>
    <x v="1"/>
    <x v="1"/>
    <n v="45000"/>
    <x v="1"/>
    <x v="1"/>
    <x v="0"/>
    <x v="1"/>
    <x v="0"/>
    <s v="-"/>
    <x v="0"/>
    <n v="45000"/>
    <n v="95000"/>
  </r>
  <r>
    <x v="2"/>
    <x v="2"/>
    <n v="12000"/>
    <x v="2"/>
    <x v="2"/>
    <x v="0"/>
    <x v="2"/>
    <x v="0"/>
    <s v="-"/>
    <x v="0"/>
    <n v="12000"/>
    <n v="107000"/>
  </r>
  <r>
    <x v="3"/>
    <x v="0"/>
    <n v="48000"/>
    <x v="2"/>
    <x v="2"/>
    <x v="0"/>
    <x v="3"/>
    <x v="1"/>
    <s v="-"/>
    <x v="0"/>
    <n v="-48000"/>
    <n v="59000"/>
  </r>
  <r>
    <x v="4"/>
    <x v="0"/>
    <n v="8500"/>
    <x v="2"/>
    <x v="2"/>
    <x v="0"/>
    <x v="3"/>
    <x v="1"/>
    <s v="-"/>
    <x v="0"/>
    <n v="-8500"/>
    <n v="50500"/>
  </r>
  <r>
    <x v="5"/>
    <x v="1"/>
    <n v="5000"/>
    <x v="3"/>
    <x v="3"/>
    <x v="0"/>
    <x v="3"/>
    <x v="1"/>
    <s v="-"/>
    <x v="0"/>
    <n v="-5000"/>
    <n v="45500"/>
  </r>
  <r>
    <x v="6"/>
    <x v="0"/>
    <n v="1500"/>
    <x v="4"/>
    <x v="4"/>
    <x v="0"/>
    <x v="4"/>
    <x v="1"/>
    <s v="-"/>
    <x v="0"/>
    <n v="-1500"/>
    <n v="44000"/>
  </r>
  <r>
    <x v="7"/>
    <x v="2"/>
    <n v="1200"/>
    <x v="5"/>
    <x v="5"/>
    <x v="1"/>
    <x v="5"/>
    <x v="1"/>
    <n v="-620"/>
    <x v="1"/>
    <n v="-1200"/>
    <n v="42800"/>
  </r>
  <r>
    <x v="8"/>
    <x v="0"/>
    <n v="35000"/>
    <x v="6"/>
    <x v="6"/>
    <x v="1"/>
    <x v="1"/>
    <x v="0"/>
    <n v="-617"/>
    <x v="1"/>
    <n v="35000"/>
    <n v="77800"/>
  </r>
  <r>
    <x v="9"/>
    <x v="1"/>
    <n v="850"/>
    <x v="7"/>
    <x v="7"/>
    <x v="0"/>
    <x v="3"/>
    <x v="1"/>
    <s v="-"/>
    <x v="0"/>
    <n v="-850"/>
    <n v="76950"/>
  </r>
  <r>
    <x v="10"/>
    <x v="2"/>
    <n v="450"/>
    <x v="8"/>
    <x v="8"/>
    <x v="0"/>
    <x v="3"/>
    <x v="1"/>
    <s v="-"/>
    <x v="0"/>
    <n v="-450"/>
    <n v="76500"/>
  </r>
  <r>
    <x v="11"/>
    <x v="1"/>
    <n v="60000"/>
    <x v="9"/>
    <x v="9"/>
    <x v="0"/>
    <x v="1"/>
    <x v="0"/>
    <s v="-"/>
    <x v="0"/>
    <n v="60000"/>
    <n v="136500"/>
  </r>
  <r>
    <x v="12"/>
    <x v="0"/>
    <n v="3500"/>
    <x v="10"/>
    <x v="10"/>
    <x v="0"/>
    <x v="5"/>
    <x v="1"/>
    <s v="-"/>
    <x v="0"/>
    <n v="-3500"/>
    <n v="133000"/>
  </r>
  <r>
    <x v="3"/>
    <x v="0"/>
    <n v="48000"/>
    <x v="10"/>
    <x v="10"/>
    <x v="0"/>
    <x v="3"/>
    <x v="1"/>
    <s v="-"/>
    <x v="0"/>
    <n v="-48000"/>
    <n v="85000"/>
  </r>
  <r>
    <x v="4"/>
    <x v="0"/>
    <n v="8500"/>
    <x v="10"/>
    <x v="10"/>
    <x v="0"/>
    <x v="3"/>
    <x v="1"/>
    <s v="-"/>
    <x v="0"/>
    <n v="-8500"/>
    <n v="76500"/>
  </r>
  <r>
    <x v="1"/>
    <x v="2"/>
    <n v="48000"/>
    <x v="11"/>
    <x v="11"/>
    <x v="1"/>
    <x v="1"/>
    <x v="0"/>
    <n v="-591"/>
    <x v="1"/>
    <n v="48000"/>
    <n v="124500"/>
  </r>
  <r>
    <x v="7"/>
    <x v="2"/>
    <n v="1200"/>
    <x v="11"/>
    <x v="11"/>
    <x v="1"/>
    <x v="5"/>
    <x v="1"/>
    <n v="-591"/>
    <x v="1"/>
    <n v="-1200"/>
    <n v="123300"/>
  </r>
  <r>
    <x v="2"/>
    <x v="1"/>
    <n v="10000"/>
    <x v="12"/>
    <x v="12"/>
    <x v="0"/>
    <x v="2"/>
    <x v="0"/>
    <s v="-"/>
    <x v="0"/>
    <n v="10000"/>
    <n v="133300"/>
  </r>
  <r>
    <x v="13"/>
    <x v="1"/>
    <n v="1200"/>
    <x v="13"/>
    <x v="13"/>
    <x v="0"/>
    <x v="3"/>
    <x v="1"/>
    <s v="-"/>
    <x v="0"/>
    <n v="-1200"/>
    <n v="132100"/>
  </r>
  <r>
    <x v="8"/>
    <x v="0"/>
    <n v="38000"/>
    <x v="14"/>
    <x v="14"/>
    <x v="0"/>
    <x v="1"/>
    <x v="0"/>
    <s v="-"/>
    <x v="0"/>
    <n v="38000"/>
    <n v="170100"/>
  </r>
  <r>
    <x v="5"/>
    <x v="0"/>
    <n v="5500"/>
    <x v="15"/>
    <x v="15"/>
    <x v="0"/>
    <x v="3"/>
    <x v="1"/>
    <s v="-"/>
    <x v="0"/>
    <n v="-5500"/>
    <n v="164600"/>
  </r>
  <r>
    <x v="3"/>
    <x v="0"/>
    <n v="48000"/>
    <x v="15"/>
    <x v="15"/>
    <x v="0"/>
    <x v="3"/>
    <x v="1"/>
    <s v="-"/>
    <x v="0"/>
    <n v="-48000"/>
    <n v="116600"/>
  </r>
  <r>
    <x v="11"/>
    <x v="1"/>
    <n v="65000"/>
    <x v="16"/>
    <x v="16"/>
    <x v="1"/>
    <x v="1"/>
    <x v="0"/>
    <n v="-565"/>
    <x v="1"/>
    <n v="65000"/>
    <n v="181600"/>
  </r>
  <r>
    <x v="14"/>
    <x v="2"/>
    <n v="4000"/>
    <x v="17"/>
    <x v="11"/>
    <x v="0"/>
    <x v="3"/>
    <x v="1"/>
    <s v="-"/>
    <x v="0"/>
    <n v="-4000"/>
    <n v="177600"/>
  </r>
  <r>
    <x v="6"/>
    <x v="0"/>
    <n v="2500"/>
    <x v="18"/>
    <x v="17"/>
    <x v="0"/>
    <x v="4"/>
    <x v="1"/>
    <s v="-"/>
    <x v="0"/>
    <n v="-2500"/>
    <n v="175100"/>
  </r>
  <r>
    <x v="9"/>
    <x v="1"/>
    <n v="900"/>
    <x v="19"/>
    <x v="18"/>
    <x v="0"/>
    <x v="3"/>
    <x v="1"/>
    <s v="-"/>
    <x v="0"/>
    <n v="-900"/>
    <n v="174200"/>
  </r>
  <r>
    <x v="1"/>
    <x v="1"/>
    <n v="49000"/>
    <x v="20"/>
    <x v="19"/>
    <x v="0"/>
    <x v="1"/>
    <x v="0"/>
    <s v="-"/>
    <x v="0"/>
    <n v="49000"/>
    <n v="223200"/>
  </r>
  <r>
    <x v="3"/>
    <x v="0"/>
    <n v="48000"/>
    <x v="21"/>
    <x v="20"/>
    <x v="0"/>
    <x v="3"/>
    <x v="1"/>
    <s v="-"/>
    <x v="0"/>
    <n v="-48000"/>
    <n v="175200"/>
  </r>
  <r>
    <x v="4"/>
    <x v="0"/>
    <n v="8500"/>
    <x v="21"/>
    <x v="20"/>
    <x v="0"/>
    <x v="3"/>
    <x v="1"/>
    <s v="-"/>
    <x v="0"/>
    <n v="-8500"/>
    <n v="166700"/>
  </r>
  <r>
    <x v="15"/>
    <x v="2"/>
    <n v="15000"/>
    <x v="22"/>
    <x v="21"/>
    <x v="1"/>
    <x v="1"/>
    <x v="0"/>
    <n v="-535"/>
    <x v="1"/>
    <n v="15000"/>
    <n v="181700"/>
  </r>
  <r>
    <x v="7"/>
    <x v="2"/>
    <n v="1200"/>
    <x v="23"/>
    <x v="22"/>
    <x v="1"/>
    <x v="5"/>
    <x v="1"/>
    <n v="-530"/>
    <x v="1"/>
    <n v="-1200"/>
    <n v="180500"/>
  </r>
  <r>
    <x v="16"/>
    <x v="0"/>
    <n v="600"/>
    <x v="24"/>
    <x v="23"/>
    <x v="0"/>
    <x v="3"/>
    <x v="1"/>
    <s v="-"/>
    <x v="0"/>
    <n v="-600"/>
    <n v="179900"/>
  </r>
  <r>
    <x v="13"/>
    <x v="1"/>
    <n v="1300"/>
    <x v="25"/>
    <x v="24"/>
    <x v="0"/>
    <x v="3"/>
    <x v="1"/>
    <s v="-"/>
    <x v="0"/>
    <n v="-1300"/>
    <n v="178600"/>
  </r>
  <r>
    <x v="8"/>
    <x v="0"/>
    <n v="40000"/>
    <x v="26"/>
    <x v="25"/>
    <x v="0"/>
    <x v="1"/>
    <x v="0"/>
    <s v="-"/>
    <x v="0"/>
    <n v="40000"/>
    <n v="218600"/>
  </r>
  <r>
    <x v="5"/>
    <x v="1"/>
    <n v="6000"/>
    <x v="27"/>
    <x v="26"/>
    <x v="0"/>
    <x v="3"/>
    <x v="1"/>
    <s v="-"/>
    <x v="0"/>
    <n v="-6000"/>
    <n v="212600"/>
  </r>
  <r>
    <x v="3"/>
    <x v="0"/>
    <n v="48000"/>
    <x v="27"/>
    <x v="26"/>
    <x v="0"/>
    <x v="3"/>
    <x v="1"/>
    <s v="-"/>
    <x v="0"/>
    <n v="-48000"/>
    <n v="164600"/>
  </r>
  <r>
    <x v="10"/>
    <x v="2"/>
    <n v="500"/>
    <x v="28"/>
    <x v="21"/>
    <x v="0"/>
    <x v="3"/>
    <x v="1"/>
    <s v="-"/>
    <x v="0"/>
    <n v="-500"/>
    <n v="164100"/>
  </r>
  <r>
    <x v="11"/>
    <x v="1"/>
    <n v="70000"/>
    <x v="29"/>
    <x v="22"/>
    <x v="0"/>
    <x v="1"/>
    <x v="0"/>
    <s v="-"/>
    <x v="0"/>
    <n v="70000"/>
    <n v="234100"/>
  </r>
  <r>
    <x v="6"/>
    <x v="0"/>
    <n v="3000"/>
    <x v="30"/>
    <x v="27"/>
    <x v="0"/>
    <x v="4"/>
    <x v="1"/>
    <s v="-"/>
    <x v="0"/>
    <n v="-3000"/>
    <n v="231100"/>
  </r>
  <r>
    <x v="9"/>
    <x v="1"/>
    <n v="950"/>
    <x v="31"/>
    <x v="28"/>
    <x v="0"/>
    <x v="3"/>
    <x v="1"/>
    <s v="-"/>
    <x v="0"/>
    <n v="-950"/>
    <n v="230150"/>
  </r>
  <r>
    <x v="1"/>
    <x v="2"/>
    <n v="52000"/>
    <x v="32"/>
    <x v="29"/>
    <x v="1"/>
    <x v="1"/>
    <x v="0"/>
    <n v="-483"/>
    <x v="1"/>
    <n v="52000"/>
    <n v="282150"/>
  </r>
  <r>
    <x v="3"/>
    <x v="0"/>
    <n v="48000"/>
    <x v="33"/>
    <x v="30"/>
    <x v="0"/>
    <x v="3"/>
    <x v="1"/>
    <s v="-"/>
    <x v="0"/>
    <n v="-48000"/>
    <n v="234150"/>
  </r>
  <r>
    <x v="4"/>
    <x v="0"/>
    <n v="8500"/>
    <x v="33"/>
    <x v="30"/>
    <x v="0"/>
    <x v="3"/>
    <x v="1"/>
    <s v="-"/>
    <x v="0"/>
    <n v="-8500"/>
    <n v="225650"/>
  </r>
  <r>
    <x v="12"/>
    <x v="0"/>
    <n v="3500"/>
    <x v="34"/>
    <x v="31"/>
    <x v="0"/>
    <x v="5"/>
    <x v="1"/>
    <s v="-"/>
    <x v="0"/>
    <n v="-3500"/>
    <n v="222150"/>
  </r>
  <r>
    <x v="2"/>
    <x v="1"/>
    <n v="14000"/>
    <x v="35"/>
    <x v="32"/>
    <x v="1"/>
    <x v="2"/>
    <x v="0"/>
    <n v="-469"/>
    <x v="1"/>
    <n v="14000"/>
    <n v="236150"/>
  </r>
  <r>
    <x v="16"/>
    <x v="0"/>
    <n v="700"/>
    <x v="36"/>
    <x v="33"/>
    <x v="0"/>
    <x v="3"/>
    <x v="1"/>
    <s v="-"/>
    <x v="0"/>
    <n v="-700"/>
    <n v="235450"/>
  </r>
  <r>
    <x v="13"/>
    <x v="1"/>
    <n v="1400"/>
    <x v="37"/>
    <x v="34"/>
    <x v="0"/>
    <x v="3"/>
    <x v="1"/>
    <s v="-"/>
    <x v="0"/>
    <n v="-1400"/>
    <n v="234050"/>
  </r>
  <r>
    <x v="8"/>
    <x v="0"/>
    <n v="42000"/>
    <x v="38"/>
    <x v="29"/>
    <x v="0"/>
    <x v="1"/>
    <x v="0"/>
    <s v="-"/>
    <x v="0"/>
    <n v="42000"/>
    <n v="276050"/>
  </r>
  <r>
    <x v="5"/>
    <x v="1"/>
    <n v="6500"/>
    <x v="39"/>
    <x v="35"/>
    <x v="0"/>
    <x v="3"/>
    <x v="1"/>
    <s v="-"/>
    <x v="0"/>
    <n v="-6500"/>
    <n v="269550"/>
  </r>
  <r>
    <x v="3"/>
    <x v="0"/>
    <n v="48000"/>
    <x v="39"/>
    <x v="35"/>
    <x v="0"/>
    <x v="3"/>
    <x v="1"/>
    <s v="-"/>
    <x v="0"/>
    <n v="-48000"/>
    <n v="221550"/>
  </r>
  <r>
    <x v="15"/>
    <x v="2"/>
    <n v="18000"/>
    <x v="40"/>
    <x v="36"/>
    <x v="1"/>
    <x v="1"/>
    <x v="0"/>
    <n v="-443"/>
    <x v="1"/>
    <n v="18000"/>
    <n v="239550"/>
  </r>
  <r>
    <x v="14"/>
    <x v="0"/>
    <n v="5000"/>
    <x v="41"/>
    <x v="32"/>
    <x v="0"/>
    <x v="3"/>
    <x v="1"/>
    <s v="-"/>
    <x v="0"/>
    <n v="-5000"/>
    <n v="234550"/>
  </r>
  <r>
    <x v="6"/>
    <x v="0"/>
    <n v="3500"/>
    <x v="42"/>
    <x v="37"/>
    <x v="0"/>
    <x v="4"/>
    <x v="1"/>
    <s v="-"/>
    <x v="0"/>
    <n v="-3500"/>
    <n v="231050"/>
  </r>
  <r>
    <x v="9"/>
    <x v="1"/>
    <n v="1000"/>
    <x v="43"/>
    <x v="38"/>
    <x v="0"/>
    <x v="3"/>
    <x v="1"/>
    <s v="-"/>
    <x v="0"/>
    <n v="-1000"/>
    <n v="230050"/>
  </r>
  <r>
    <x v="11"/>
    <x v="1"/>
    <n v="75000"/>
    <x v="44"/>
    <x v="39"/>
    <x v="0"/>
    <x v="1"/>
    <x v="0"/>
    <s v="-"/>
    <x v="0"/>
    <n v="75000"/>
    <n v="305050"/>
  </r>
  <r>
    <x v="3"/>
    <x v="0"/>
    <n v="48000"/>
    <x v="45"/>
    <x v="40"/>
    <x v="0"/>
    <x v="3"/>
    <x v="1"/>
    <s v="-"/>
    <x v="0"/>
    <n v="-48000"/>
    <n v="257050"/>
  </r>
  <r>
    <x v="4"/>
    <x v="0"/>
    <n v="8500"/>
    <x v="45"/>
    <x v="40"/>
    <x v="0"/>
    <x v="3"/>
    <x v="1"/>
    <s v="-"/>
    <x v="0"/>
    <n v="-8500"/>
    <n v="248550"/>
  </r>
  <r>
    <x v="1"/>
    <x v="2"/>
    <n v="55000"/>
    <x v="46"/>
    <x v="41"/>
    <x v="1"/>
    <x v="1"/>
    <x v="0"/>
    <n v="-407"/>
    <x v="1"/>
    <n v="55000"/>
    <n v="303550"/>
  </r>
  <r>
    <x v="7"/>
    <x v="2"/>
    <n v="1200"/>
    <x v="46"/>
    <x v="41"/>
    <x v="1"/>
    <x v="5"/>
    <x v="1"/>
    <n v="-407"/>
    <x v="1"/>
    <n v="-1200"/>
    <n v="302350"/>
  </r>
  <r>
    <x v="10"/>
    <x v="2"/>
    <n v="550"/>
    <x v="47"/>
    <x v="42"/>
    <x v="0"/>
    <x v="3"/>
    <x v="1"/>
    <s v="-"/>
    <x v="0"/>
    <n v="-550"/>
    <n v="301800"/>
  </r>
  <r>
    <x v="13"/>
    <x v="1"/>
    <n v="1500"/>
    <x v="48"/>
    <x v="43"/>
    <x v="0"/>
    <x v="3"/>
    <x v="1"/>
    <s v="-"/>
    <x v="0"/>
    <n v="-1500"/>
    <n v="300300"/>
  </r>
  <r>
    <x v="8"/>
    <x v="0"/>
    <n v="45000"/>
    <x v="49"/>
    <x v="44"/>
    <x v="0"/>
    <x v="1"/>
    <x v="0"/>
    <s v="-"/>
    <x v="0"/>
    <n v="45000"/>
    <n v="345300"/>
  </r>
  <r>
    <x v="5"/>
    <x v="1"/>
    <n v="7000"/>
    <x v="50"/>
    <x v="45"/>
    <x v="0"/>
    <x v="3"/>
    <x v="1"/>
    <s v="-"/>
    <x v="0"/>
    <n v="-7000"/>
    <n v="338300"/>
  </r>
  <r>
    <x v="3"/>
    <x v="0"/>
    <n v="48000"/>
    <x v="50"/>
    <x v="45"/>
    <x v="0"/>
    <x v="3"/>
    <x v="1"/>
    <s v="-"/>
    <x v="0"/>
    <n v="-48000"/>
    <n v="290300"/>
  </r>
  <r>
    <x v="15"/>
    <x v="2"/>
    <n v="20000"/>
    <x v="51"/>
    <x v="46"/>
    <x v="1"/>
    <x v="1"/>
    <x v="0"/>
    <n v="-382"/>
    <x v="1"/>
    <n v="20000"/>
    <n v="310300"/>
  </r>
  <r>
    <x v="12"/>
    <x v="0"/>
    <n v="3500"/>
    <x v="52"/>
    <x v="41"/>
    <x v="0"/>
    <x v="5"/>
    <x v="1"/>
    <s v="-"/>
    <x v="0"/>
    <n v="-3500"/>
    <n v="306800"/>
  </r>
  <r>
    <x v="6"/>
    <x v="0"/>
    <n v="4000"/>
    <x v="53"/>
    <x v="47"/>
    <x v="0"/>
    <x v="4"/>
    <x v="1"/>
    <s v="-"/>
    <x v="0"/>
    <n v="-4000"/>
    <n v="302800"/>
  </r>
  <r>
    <x v="9"/>
    <x v="1"/>
    <n v="1050"/>
    <x v="54"/>
    <x v="48"/>
    <x v="0"/>
    <x v="3"/>
    <x v="1"/>
    <s v="-"/>
    <x v="0"/>
    <n v="-1050"/>
    <n v="301750"/>
  </r>
  <r>
    <x v="11"/>
    <x v="1"/>
    <n v="80000"/>
    <x v="55"/>
    <x v="49"/>
    <x v="0"/>
    <x v="1"/>
    <x v="0"/>
    <s v="-"/>
    <x v="0"/>
    <n v="80000"/>
    <n v="381750"/>
  </r>
  <r>
    <x v="3"/>
    <x v="0"/>
    <n v="48000"/>
    <x v="56"/>
    <x v="50"/>
    <x v="0"/>
    <x v="3"/>
    <x v="1"/>
    <s v="-"/>
    <x v="0"/>
    <n v="-48000"/>
    <n v="333750"/>
  </r>
  <r>
    <x v="4"/>
    <x v="0"/>
    <n v="8500"/>
    <x v="56"/>
    <x v="50"/>
    <x v="0"/>
    <x v="3"/>
    <x v="1"/>
    <s v="-"/>
    <x v="0"/>
    <n v="-8500"/>
    <n v="325250"/>
  </r>
  <r>
    <x v="1"/>
    <x v="2"/>
    <n v="58000"/>
    <x v="57"/>
    <x v="51"/>
    <x v="1"/>
    <x v="1"/>
    <x v="0"/>
    <n v="-346"/>
    <x v="1"/>
    <n v="58000"/>
    <n v="383250"/>
  </r>
  <r>
    <x v="14"/>
    <x v="2"/>
    <n v="6000"/>
    <x v="57"/>
    <x v="52"/>
    <x v="0"/>
    <x v="3"/>
    <x v="1"/>
    <s v="-"/>
    <x v="0"/>
    <n v="-6000"/>
    <n v="377250"/>
  </r>
  <r>
    <x v="16"/>
    <x v="0"/>
    <n v="800"/>
    <x v="58"/>
    <x v="53"/>
    <x v="0"/>
    <x v="3"/>
    <x v="1"/>
    <s v="-"/>
    <x v="0"/>
    <n v="-800"/>
    <n v="376450"/>
  </r>
  <r>
    <x v="13"/>
    <x v="1"/>
    <n v="1600"/>
    <x v="59"/>
    <x v="54"/>
    <x v="0"/>
    <x v="3"/>
    <x v="1"/>
    <s v="-"/>
    <x v="0"/>
    <n v="-1600"/>
    <n v="374850"/>
  </r>
  <r>
    <x v="8"/>
    <x v="0"/>
    <n v="48000"/>
    <x v="60"/>
    <x v="55"/>
    <x v="0"/>
    <x v="1"/>
    <x v="0"/>
    <s v="-"/>
    <x v="0"/>
    <n v="48000"/>
    <n v="422850"/>
  </r>
  <r>
    <x v="5"/>
    <x v="1"/>
    <n v="7500"/>
    <x v="61"/>
    <x v="56"/>
    <x v="0"/>
    <x v="3"/>
    <x v="1"/>
    <s v="-"/>
    <x v="0"/>
    <n v="-7500"/>
    <n v="415350"/>
  </r>
  <r>
    <x v="3"/>
    <x v="0"/>
    <n v="48000"/>
    <x v="61"/>
    <x v="56"/>
    <x v="0"/>
    <x v="3"/>
    <x v="1"/>
    <s v="-"/>
    <x v="0"/>
    <n v="-48000"/>
    <n v="367350"/>
  </r>
  <r>
    <x v="15"/>
    <x v="2"/>
    <n v="22000"/>
    <x v="62"/>
    <x v="57"/>
    <x v="1"/>
    <x v="1"/>
    <x v="0"/>
    <n v="-321"/>
    <x v="1"/>
    <n v="22000"/>
    <n v="389350"/>
  </r>
  <r>
    <x v="7"/>
    <x v="2"/>
    <n v="1200"/>
    <x v="63"/>
    <x v="58"/>
    <x v="1"/>
    <x v="5"/>
    <x v="1"/>
    <n v="-316"/>
    <x v="1"/>
    <n v="-1200"/>
    <n v="388150"/>
  </r>
  <r>
    <x v="6"/>
    <x v="0"/>
    <n v="4500"/>
    <x v="64"/>
    <x v="59"/>
    <x v="0"/>
    <x v="4"/>
    <x v="1"/>
    <s v="-"/>
    <x v="0"/>
    <n v="-4500"/>
    <n v="383650"/>
  </r>
  <r>
    <x v="9"/>
    <x v="1"/>
    <n v="1100"/>
    <x v="65"/>
    <x v="60"/>
    <x v="0"/>
    <x v="3"/>
    <x v="1"/>
    <s v="-"/>
    <x v="0"/>
    <n v="-1100"/>
    <n v="382550"/>
  </r>
  <r>
    <x v="11"/>
    <x v="1"/>
    <n v="85000"/>
    <x v="66"/>
    <x v="61"/>
    <x v="0"/>
    <x v="1"/>
    <x v="0"/>
    <s v="-"/>
    <x v="0"/>
    <n v="85000"/>
    <n v="467550"/>
  </r>
  <r>
    <x v="3"/>
    <x v="0"/>
    <n v="48000"/>
    <x v="67"/>
    <x v="62"/>
    <x v="0"/>
    <x v="3"/>
    <x v="1"/>
    <s v="-"/>
    <x v="0"/>
    <n v="-48000"/>
    <n v="419550"/>
  </r>
  <r>
    <x v="4"/>
    <x v="0"/>
    <n v="8500"/>
    <x v="67"/>
    <x v="62"/>
    <x v="0"/>
    <x v="3"/>
    <x v="1"/>
    <s v="-"/>
    <x v="0"/>
    <n v="-8500"/>
    <n v="411050"/>
  </r>
  <r>
    <x v="2"/>
    <x v="1"/>
    <n v="15000"/>
    <x v="68"/>
    <x v="58"/>
    <x v="0"/>
    <x v="2"/>
    <x v="0"/>
    <s v="-"/>
    <x v="0"/>
    <n v="15000"/>
    <n v="426050"/>
  </r>
  <r>
    <x v="12"/>
    <x v="0"/>
    <n v="3500"/>
    <x v="68"/>
    <x v="58"/>
    <x v="0"/>
    <x v="5"/>
    <x v="1"/>
    <s v="-"/>
    <x v="0"/>
    <n v="-3500"/>
    <n v="422550"/>
  </r>
  <r>
    <x v="10"/>
    <x v="2"/>
    <n v="600"/>
    <x v="69"/>
    <x v="63"/>
    <x v="0"/>
    <x v="3"/>
    <x v="1"/>
    <s v="-"/>
    <x v="0"/>
    <n v="-600"/>
    <n v="421950"/>
  </r>
  <r>
    <x v="13"/>
    <x v="1"/>
    <n v="1700"/>
    <x v="70"/>
    <x v="64"/>
    <x v="0"/>
    <x v="3"/>
    <x v="1"/>
    <s v="-"/>
    <x v="0"/>
    <n v="-1700"/>
    <n v="4202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2E324B-51C5-425B-8FBF-7DB8B97EB677}" name="Transações" cacheId="0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rowHeaderCaption="Transações">
  <location ref="B5:C25" firstHeaderRow="1" firstDataRow="1" firstDataCol="1"/>
  <pivotFields count="15">
    <pivotField axis="axisRow" showAll="0">
      <items count="18">
        <item x="13"/>
        <item x="4"/>
        <item x="2"/>
        <item x="12"/>
        <item x="7"/>
        <item x="6"/>
        <item x="9"/>
        <item x="14"/>
        <item x="5"/>
        <item x="16"/>
        <item x="1"/>
        <item x="8"/>
        <item x="15"/>
        <item x="11"/>
        <item x="3"/>
        <item x="0"/>
        <item x="10"/>
        <item t="default"/>
      </items>
    </pivotField>
    <pivotField showAll="0">
      <items count="4">
        <item x="2"/>
        <item x="1"/>
        <item x="0"/>
        <item t="default"/>
      </items>
    </pivotField>
    <pivotField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3">
        <item x="1"/>
        <item x="0"/>
        <item t="default"/>
      </items>
    </pivotField>
    <pivotField showAll="0">
      <items count="7">
        <item x="5"/>
        <item x="3"/>
        <item x="4"/>
        <item x="2"/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dataField="1" numFmtId="164" showAll="0"/>
    <pivotField numFmtId="16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</pivotFields>
  <rowFields count="2">
    <field x="7"/>
    <field x="0"/>
  </rowFields>
  <rowItems count="20">
    <i>
      <x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4"/>
    </i>
    <i r="1">
      <x v="16"/>
    </i>
    <i>
      <x v="1"/>
    </i>
    <i r="1">
      <x v="2"/>
    </i>
    <i r="1">
      <x v="10"/>
    </i>
    <i r="1">
      <x v="11"/>
    </i>
    <i r="1">
      <x v="12"/>
    </i>
    <i r="1">
      <x v="13"/>
    </i>
    <i r="1">
      <x v="15"/>
    </i>
    <i t="grand">
      <x/>
    </i>
  </rowItems>
  <colItems count="1">
    <i/>
  </colItems>
  <dataFields count="1">
    <dataField name="Gastos" fld="10" baseField="7" baseItem="0" numFmtId="164"/>
  </dataFields>
  <formats count="22">
    <format dxfId="59">
      <pivotArea outline="0" collapsedLevelsAreSubtotals="1" fieldPosition="0"/>
    </format>
    <format dxfId="58">
      <pivotArea field="7" type="button" dataOnly="0" labelOnly="1" outline="0" axis="axisRow" fieldPosition="0"/>
    </format>
    <format dxfId="57">
      <pivotArea dataOnly="0" labelOnly="1" outline="0" axis="axisValues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7" type="button" dataOnly="0" labelOnly="1" outline="0" axis="axisRow" fieldPosition="0"/>
    </format>
    <format dxfId="53">
      <pivotArea dataOnly="0" labelOnly="1" fieldPosition="0">
        <references count="1">
          <reference field="7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2">
          <reference field="0" count="11">
            <x v="0"/>
            <x v="1"/>
            <x v="3"/>
            <x v="4"/>
            <x v="5"/>
            <x v="6"/>
            <x v="7"/>
            <x v="8"/>
            <x v="9"/>
            <x v="14"/>
            <x v="16"/>
          </reference>
          <reference field="7" count="1" selected="0">
            <x v="0"/>
          </reference>
        </references>
      </pivotArea>
    </format>
    <format dxfId="50">
      <pivotArea dataOnly="0" labelOnly="1" fieldPosition="0">
        <references count="2">
          <reference field="0" count="6">
            <x v="2"/>
            <x v="10"/>
            <x v="11"/>
            <x v="12"/>
            <x v="13"/>
            <x v="15"/>
          </reference>
          <reference field="7" count="1" selected="0">
            <x v="1"/>
          </reference>
        </references>
      </pivotArea>
    </format>
    <format dxfId="49">
      <pivotArea dataOnly="0" labelOnly="1" outline="0" axis="axisValues" fieldPosition="0"/>
    </format>
    <format dxfId="48">
      <pivotArea field="7" type="button" dataOnly="0" labelOnly="1" outline="0" axis="axisRow" fieldPosition="0"/>
    </format>
    <format dxfId="47">
      <pivotArea dataOnly="0" labelOnly="1" outline="0" axis="axisValues" fieldPosition="0"/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7" type="button" dataOnly="0" labelOnly="1" outline="0" axis="axisRow" fieldPosition="0"/>
    </format>
    <format dxfId="43">
      <pivotArea dataOnly="0" labelOnly="1" fieldPosition="0">
        <references count="1">
          <reference field="7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2">
          <reference field="0" count="11">
            <x v="0"/>
            <x v="1"/>
            <x v="3"/>
            <x v="4"/>
            <x v="5"/>
            <x v="6"/>
            <x v="7"/>
            <x v="8"/>
            <x v="9"/>
            <x v="14"/>
            <x v="16"/>
          </reference>
          <reference field="7" count="1" selected="0">
            <x v="0"/>
          </reference>
        </references>
      </pivotArea>
    </format>
    <format dxfId="40">
      <pivotArea dataOnly="0" labelOnly="1" fieldPosition="0">
        <references count="2">
          <reference field="0" count="6">
            <x v="2"/>
            <x v="10"/>
            <x v="11"/>
            <x v="12"/>
            <x v="13"/>
            <x v="15"/>
          </reference>
          <reference field="7" count="1" selected="0">
            <x v="1"/>
          </reference>
        </references>
      </pivotArea>
    </format>
    <format dxfId="39">
      <pivotArea dataOnly="0" labelOnly="1" outline="0" axis="axisValues" fieldPosition="0"/>
    </format>
    <format dxfId="38">
      <pivotArea outline="0" collapsedLevelsAreSubtotals="1" fieldPosition="0"/>
    </format>
  </formats>
  <pivotTableStyleInfo name="PivotStyleLight16 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A8F4E9-D2E0-4411-9BA5-63BFF15D237F}" name="Pagar_Receber" cacheId="0" applyNumberFormats="0" applyBorderFormats="0" applyFontFormats="0" applyPatternFormats="0" applyAlignmentFormats="0" applyWidthHeightFormats="1" dataCaption="Valores" updatedVersion="7" minRefreshableVersion="3" useAutoFormatting="1" colGrandTotals="0" itemPrintTitles="1" createdVersion="7" indent="0" outline="1" outlineData="1" multipleFieldFilters="0" chartFormat="12">
  <location ref="B29:L34" firstHeaderRow="1" firstDataRow="3" firstDataCol="1" rowPageCount="1" colPageCount="1"/>
  <pivotFields count="15">
    <pivotField showAll="0"/>
    <pivotField showAll="0"/>
    <pivotField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dataField="1" numFmtId="164" showAll="0"/>
    <pivotField numFmtId="164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</pivotFields>
  <rowFields count="1">
    <field x="7"/>
  </rowFields>
  <rowItems count="3">
    <i>
      <x/>
    </i>
    <i>
      <x v="1"/>
    </i>
    <i t="grand">
      <x/>
    </i>
  </rowItems>
  <colFields count="2">
    <field x="12"/>
    <field x="4"/>
  </colFields>
  <colItems count="10"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</colItems>
  <pageFields count="1">
    <pageField fld="5" item="0" hier="-1"/>
  </pageFields>
  <dataFields count="1">
    <dataField name="Soma de Registro de Valor" fld="10" baseField="0" baseItem="0" numFmtId="164"/>
  </dataFields>
  <formats count="12">
    <format dxfId="22">
      <pivotArea outline="0" collapsedLevelsAreSubtotals="1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12" type="button" dataOnly="0" labelOnly="1" outline="0" axis="axisCol" fieldPosition="0"/>
    </format>
    <format dxfId="17">
      <pivotArea field="4" type="button" dataOnly="0" labelOnly="1" outline="0" axis="axisCol" fieldPosition="1"/>
    </format>
    <format dxfId="16">
      <pivotArea type="topRight" dataOnly="0" labelOnly="1" outline="0" fieldPosition="0"/>
    </format>
    <format dxfId="15">
      <pivotArea field="7" type="button" dataOnly="0" labelOnly="1" outline="0" axis="axisRow" fieldPosition="0"/>
    </format>
    <format dxfId="14">
      <pivotArea dataOnly="0" labelOnly="1" fieldPosition="0">
        <references count="1">
          <reference field="7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12" count="10">
            <x v="2"/>
            <x v="3"/>
            <x v="4"/>
            <x v="5"/>
            <x v="7"/>
            <x v="8"/>
            <x v="9"/>
            <x v="10"/>
            <x v="11"/>
            <x v="12"/>
          </reference>
        </references>
      </pivotArea>
    </format>
    <format dxfId="1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D7225-3289-4747-848E-4A02EFBCEA11}" name="Fluxo_Caixa" cacheId="0" applyNumberFormats="0" applyBorderFormats="0" applyFontFormats="0" applyPatternFormats="0" applyAlignmentFormats="0" applyWidthHeightFormats="1" dataCaption="Valores" updatedVersion="7" minRefreshableVersion="3" useAutoFormatting="1" colGrandTotals="0" itemPrintTitles="1" createdVersion="7" indent="0" outline="1" outlineData="1" multipleFieldFilters="0" chartFormat="12">
  <location ref="B8:N13" firstHeaderRow="1" firstDataRow="3" firstDataCol="1" rowPageCount="1" colPageCount="1"/>
  <pivotFields count="15">
    <pivotField showAll="0"/>
    <pivotField showAll="0"/>
    <pivotField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dataField="1" numFmtId="164" showAll="0"/>
    <pivotField numFmtId="164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</pivotFields>
  <rowFields count="1">
    <field x="7"/>
  </rowFields>
  <rowItems count="3">
    <i>
      <x/>
    </i>
    <i>
      <x v="1"/>
    </i>
    <i t="grand">
      <x/>
    </i>
  </rowItems>
  <colFields count="2">
    <field x="12"/>
    <field x="4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pageFields count="1">
    <pageField fld="5" item="1" hier="-1"/>
  </pageFields>
  <dataFields count="1">
    <dataField name="Soma de Registro de Valor" fld="10" baseField="0" baseItem="0" numFmtId="164"/>
  </dataFields>
  <formats count="12">
    <format dxfId="34">
      <pivotArea outline="0" collapsedLevelsAreSubtotals="1" fieldPosition="0"/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type="origin" dataOnly="0" labelOnly="1" outline="0" fieldPosition="0"/>
    </format>
    <format dxfId="30">
      <pivotArea field="12" type="button" dataOnly="0" labelOnly="1" outline="0" axis="axisCol" fieldPosition="0"/>
    </format>
    <format dxfId="29">
      <pivotArea field="4" type="button" dataOnly="0" labelOnly="1" outline="0" axis="axisCol" fieldPosition="1"/>
    </format>
    <format dxfId="28">
      <pivotArea type="topRight" dataOnly="0" labelOnly="1" outline="0" fieldPosition="0"/>
    </format>
    <format dxfId="27">
      <pivotArea field="7" type="button" dataOnly="0" labelOnly="1" outline="0" axis="axisRow" fieldPosition="0"/>
    </format>
    <format dxfId="26">
      <pivotArea dataOnly="0" labelOnly="1" fieldPosition="0">
        <references count="1">
          <reference field="7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1">
          <reference field="1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B73389-FA27-46E7-984C-495BAC1A81D8}" name="Contas_Receber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0">
  <location ref="B99:C110" firstHeaderRow="1" firstDataRow="1" firstDataCol="1" rowPageCount="2" colPageCount="1"/>
  <pivotFields count="15">
    <pivotField showAll="0"/>
    <pivotField showAll="0"/>
    <pivotField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dataField="1" numFmtId="164" showAll="0"/>
    <pivotField numFmtId="164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2">
    <field x="12"/>
    <field x="4"/>
  </rowFields>
  <rowItems count="11"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2">
    <pageField fld="5" item="0" hier="-1"/>
    <pageField fld="7" hier="-1"/>
  </pageFields>
  <dataFields count="1">
    <dataField name="Soma de Registro de Valor" fld="10" baseField="0" baseItem="0" numFmtId="164"/>
  </dataFields>
  <formats count="1">
    <format dxfId="35">
      <pivotArea outline="0" collapsedLevelsAreSubtotals="1" fieldPosition="0"/>
    </format>
  </format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437FF1-259B-47FC-BB0E-F6F3EC7E6DBF}" name="Contas_Pagar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3">
  <location ref="B88:C94" firstHeaderRow="1" firstDataRow="1" firstDataCol="1" rowPageCount="2" colPageCount="1"/>
  <pivotFields count="15">
    <pivotField showAll="0"/>
    <pivotField showAll="0"/>
    <pivotField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axis="axisPage" multipleItemSelectionAllowed="1" showAll="0">
      <items count="3">
        <item x="1"/>
        <item h="1" x="0"/>
        <item t="default"/>
      </items>
    </pivotField>
    <pivotField showAll="0"/>
    <pivotField showAll="0"/>
    <pivotField numFmtId="164" showAll="0"/>
    <pivotField numFmtId="164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ataField="1" dragToRow="0" dragToCol="0" dragToPage="0" showAll="0" defaultSubtotal="0"/>
  </pivotFields>
  <rowFields count="2">
    <field x="12"/>
    <field x="4"/>
  </rowFields>
  <rowItems count="6">
    <i>
      <x v="2"/>
    </i>
    <i>
      <x v="3"/>
    </i>
    <i>
      <x v="5"/>
    </i>
    <i>
      <x v="9"/>
    </i>
    <i>
      <x v="12"/>
    </i>
    <i t="grand">
      <x/>
    </i>
  </rowItems>
  <colItems count="1">
    <i/>
  </colItems>
  <pageFields count="2">
    <pageField fld="5" item="0" hier="-1"/>
    <pageField fld="7" hier="-1"/>
  </pageFields>
  <dataFields count="1">
    <dataField name="Soma de Registro de Valor Positivo" fld="14" baseField="0" baseItem="0" numFmtId="164"/>
  </dataFields>
  <formats count="1">
    <format dxfId="36">
      <pivotArea outline="0" collapsedLevelsAreSubtotals="1" fieldPosition="0"/>
    </format>
  </formats>
  <chartFormats count="1">
    <chartFormat chart="4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C136A7-290B-4091-87F6-50581B80A2A1}" name="Contas_Atrasadas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>
  <location ref="B70:C81" firstHeaderRow="1" firstDataRow="1" firstDataCol="1" rowPageCount="1" colPageCount="1"/>
  <pivotFields count="15">
    <pivotField showAll="0"/>
    <pivotField showAll="0"/>
    <pivotField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dataField="1" numFmtId="164" showAll="0"/>
    <pivotField numFmtId="164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2">
    <field x="12"/>
    <field x="4"/>
  </rowFields>
  <rowItems count="11"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9" item="0" hier="-1"/>
  </pageFields>
  <dataFields count="1">
    <dataField name="Soma de Registro de Valor" fld="10" baseField="0" baseItem="0" numFmtId="164"/>
  </dataFields>
  <formats count="1">
    <format dxfId="37">
      <pivotArea outline="0" collapsedLevelsAreSubtotals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E149A9F-6790-4A42-A7AE-D188AF29BE61}" autoFormatId="16" applyNumberFormats="0" applyBorderFormats="0" applyFontFormats="0" applyPatternFormats="0" applyAlignmentFormats="0" applyWidthHeightFormats="0">
  <queryTableRefresh nextId="14" unboundColumnsRight="6">
    <queryTableFields count="12">
      <queryTableField id="1" name="Conta" tableColumnId="1"/>
      <queryTableField id="2" name="Forma Pagamento" tableColumnId="2"/>
      <queryTableField id="3" name="Valor" tableColumnId="3"/>
      <queryTableField id="4" name="Data Lançamento" tableColumnId="4"/>
      <queryTableField id="5" name="Data Pagamento" tableColumnId="5"/>
      <queryTableField id="6" name="Realizado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2F8C624-59FC-41B6-99D8-C935F843D625}" autoFormatId="16" applyNumberFormats="0" applyBorderFormats="0" applyFontFormats="0" applyPatternFormats="0" applyAlignmentFormats="0" applyWidthHeightFormats="0">
  <queryTableRefresh nextId="4">
    <queryTableFields count="3">
      <queryTableField id="1" name="Conta" tableColumnId="1"/>
      <queryTableField id="2" name="Categoria da Conta" tableColumnId="2"/>
      <queryTableField id="3" name="Transação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orma_Pagamento" xr10:uid="{6C83DF21-CC16-4A37-938A-C5A8DAA80169}" sourceName="Forma Pagamento">
  <pivotTables>
    <pivotTable tabId="5" name="Transações"/>
  </pivotTables>
  <data>
    <tabular pivotCacheId="381098054">
      <items count="3">
        <i x="2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alizado" xr10:uid="{9CB9B827-7169-4219-B8CC-48D6BEF12C11}" sourceName="Realizado">
  <pivotTables>
    <pivotTable tabId="5" name="Transações"/>
  </pivotTables>
  <data>
    <tabular pivotCacheId="381098054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traso" xr10:uid="{EE9A85E6-40D0-4C45-B5BD-70AF10E96FEC}" sourceName="Atraso">
  <pivotTables>
    <pivotTable tabId="5" name="Transações"/>
  </pivotTables>
  <data>
    <tabular pivotCacheId="381098054">
      <items count="2"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410E5AD1-29A9-42F5-9112-7A3ADBB72900}" sourceName="Categoria">
  <pivotTables>
    <pivotTable tabId="5" name="Transações"/>
  </pivotTables>
  <data>
    <tabular pivotCacheId="381098054">
      <items count="6">
        <i x="5" s="1"/>
        <i x="3" s="1"/>
        <i x="4" s="1"/>
        <i x="2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orma Pagamento" xr10:uid="{81A2EA71-6120-489F-82FB-719CE9EF4154}" cache="SegmentaçãodeDados_Forma_Pagamento" caption="Forma Pagamento" columnCount="2" style="Segmentação Azul" rowHeight="241300"/>
  <slicer name="Realizado" xr10:uid="{406CB162-7CC4-447A-8469-2D0A160BADE0}" cache="SegmentaçãodeDados_Realizado" caption="Realizado" style="Segmentação Azul" rowHeight="241300"/>
  <slicer name="Atraso" xr10:uid="{B5F9BCF9-A782-44F1-B940-6B15E8AC96A4}" cache="SegmentaçãodeDados_Atraso" caption="Atraso" style="Segmentação Azul" rowHeight="241300"/>
  <slicer name="Categoria" xr10:uid="{DC023795-F87D-4437-BE5D-21115549252D}" cache="SegmentaçãodeDados_Categoria" caption="Categoria" columnCount="3" style="Segmentação Azul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E09F1F-8045-4B1E-B00C-FBB41778D8C0}" name="Base_Lançamentos" displayName="Base_Lançamentos" ref="B4:M93" tableType="queryTable" totalsRowShown="0" headerRowDxfId="73" dataDxfId="72">
  <autoFilter ref="B4:M93" xr:uid="{E7E09F1F-8045-4B1E-B00C-FBB41778D8C0}"/>
  <tableColumns count="12">
    <tableColumn id="1" xr3:uid="{21A9ADA1-7E72-49FA-825B-C91373D2F51A}" uniqueName="1" name="Conta" queryTableFieldId="1" dataDxfId="71"/>
    <tableColumn id="2" xr3:uid="{85831CAB-785F-48E9-930A-40145A73AC3A}" uniqueName="2" name="Forma Pagamento" queryTableFieldId="2" dataDxfId="70"/>
    <tableColumn id="3" xr3:uid="{304A35B3-CE4D-4639-9B78-08DD00210203}" uniqueName="3" name="Valor" queryTableFieldId="3" dataDxfId="69"/>
    <tableColumn id="4" xr3:uid="{2DB0BDFE-C0AA-496B-9130-C3DE9AA3DEFB}" uniqueName="4" name="Data Lançamento" queryTableFieldId="4" dataDxfId="68"/>
    <tableColumn id="5" xr3:uid="{1F97B6C3-DCFA-45C0-8C31-8210BBEB7A43}" uniqueName="5" name="Data _x000a_Pagamento" queryTableFieldId="5" dataDxfId="67"/>
    <tableColumn id="6" xr3:uid="{CEE0CF89-5C2E-4266-93C9-F6FEA64FB78E}" uniqueName="6" name="Realizado" queryTableFieldId="6" dataDxfId="66"/>
    <tableColumn id="7" xr3:uid="{936EDFB9-2181-4E4C-A2B3-FB02CC5A392D}" uniqueName="7" name="Categoria" queryTableFieldId="7" dataDxfId="65">
      <calculatedColumnFormula>_xlfn.XLOOKUP(Base_Lançamentos[[#This Row],[Conta]],Referências[Conta],Referências[Categoria da Conta])</calculatedColumnFormula>
    </tableColumn>
    <tableColumn id="8" xr3:uid="{7BC0CB4E-12A9-4CB7-B356-E3DC5D9C0567}" uniqueName="8" name="Transação" queryTableFieldId="8" dataDxfId="64">
      <calculatedColumnFormula>_xlfn.XLOOKUP(Base_Lançamentos[[#This Row],[Conta]],Referências[Conta],Referências[Transação])</calculatedColumnFormula>
    </tableColumn>
    <tableColumn id="9" xr3:uid="{AE265B72-51D2-4EF6-B497-275B2D300581}" uniqueName="9" name="Prazo p/ _x000a_Pagamento" queryTableFieldId="9" dataDxfId="63">
      <calculatedColumnFormula>IF(Base_Lançamentos[[#This Row],[Realizado]]="Sim","-",Base_Lançamentos[[#This Row],[Data 
Pagamento]]-TODAY())</calculatedColumnFormula>
    </tableColumn>
    <tableColumn id="10" xr3:uid="{C185D21C-F39D-4D37-AB23-D0177299ADA0}" uniqueName="10" name="Atraso" queryTableFieldId="10" dataDxfId="62">
      <calculatedColumnFormula>IF(Base_Lançamentos[[#This Row],[Prazo p/ 
Pagamento]]="-","No prazo","Atrasado")</calculatedColumnFormula>
    </tableColumn>
    <tableColumn id="11" xr3:uid="{0233C14A-CA4F-485D-97C1-96B88D713264}" uniqueName="11" name="Registro de Valor" queryTableFieldId="11" dataDxfId="61" dataCellStyle="Moeda">
      <calculatedColumnFormula>IF(Base_Lançamentos[[#This Row],[Transação]]="Receita",Base_Lançamentos[[#This Row],[Valor]],-Base_Lançamentos[[#This Row],[Valor]])</calculatedColumnFormula>
    </tableColumn>
    <tableColumn id="12" xr3:uid="{AEE3B702-5030-4CFD-ABA2-653383F1FF04}" uniqueName="12" name="Saldo" queryTableFieldId="12" dataDxfId="60"/>
  </tableColumns>
  <tableStyleInfo name="TableStyleLight13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61D466-7A94-42F1-9E05-0C5CF1EC3FD5}" name="Calculo_Acumulado" displayName="Calculo_Acumulado" ref="B48:E60" totalsRowShown="0" headerRowDxfId="10" dataDxfId="9">
  <autoFilter ref="B48:E60" xr:uid="{1461D466-7A94-42F1-9E05-0C5CF1EC3FD5}"/>
  <tableColumns count="4">
    <tableColumn id="1" xr3:uid="{084AA857-E347-482B-A422-3FF38AA835BD}" name="Meses" dataDxfId="8"/>
    <tableColumn id="2" xr3:uid="{29DA7272-FFD5-489B-A746-A30D7BB0B719}" name="Fluxo de Caixa (Acumulado)" dataDxfId="7" dataCellStyle="Moeda">
      <calculatedColumnFormula>IFERROR(INDEX($C$23:$N$23,MATCH(Calculo_Acumulado[[#This Row],[Meses]],$C$21:$N$21,0)),0)</calculatedColumnFormula>
    </tableColumn>
    <tableColumn id="3" xr3:uid="{D9FCCE1E-E895-4255-9731-DFE0D034C251}" name="Pagar/Receber (Acumulado)" dataDxfId="6" dataCellStyle="Moeda">
      <calculatedColumnFormula>IFERROR(INDEX($C$44:$N$44,MATCH(Calculo_Acumulado[[#This Row],[Meses]],$C$42:$N$42,0)),0)</calculatedColumnFormula>
    </tableColumn>
    <tableColumn id="4" xr3:uid="{4E35DF1D-2889-49E7-AF63-A43FBEFC41AF}" name="Total Acumulado" dataDxfId="5">
      <calculatedColumnFormula>Calculo_Acumulado[[#This Row],[Fluxo de Caixa (Acumulado)]]+Calculo_Acumulado[[#This Row],[Pagar/Receber (Acumulado)]]</calculatedColumnFormula>
    </tableColumn>
  </tableColumns>
  <tableStyleInfo name="TableStyleLight13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94CBA-7877-4400-BBC4-338CB5FD6E3D}" name="Referências" displayName="Referências" ref="B4:D24" tableType="queryTable" totalsRowShown="0" headerRowDxfId="4" dataDxfId="3">
  <autoFilter ref="B4:D24" xr:uid="{3A194CBA-7877-4400-BBC4-338CB5FD6E3D}"/>
  <tableColumns count="3">
    <tableColumn id="1" xr3:uid="{A1CBA519-91FF-48D4-9594-D94FD08A61BC}" uniqueName="1" name="Conta" queryTableFieldId="1" dataDxfId="2"/>
    <tableColumn id="2" xr3:uid="{5C1FDAC1-759D-48B3-B884-C44751C69103}" uniqueName="2" name="Categoria da Conta" queryTableFieldId="2" dataDxfId="1"/>
    <tableColumn id="3" xr3:uid="{698EBFD4-3AE7-4291-A54B-D3DEEBA6E4D2}" uniqueName="3" name="Transação" queryTableFieldId="3" dataDxfId="0"/>
  </tableColumns>
  <tableStyleInfo name="TableStyleLight13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_Lançamento" xr10:uid="{56616631-870E-4C70-A419-0DDD43631349}" sourceName="Data Lançamento">
  <pivotTables>
    <pivotTable tabId="5" name="Transações"/>
  </pivotTables>
  <state minimalRefreshVersion="6" lastRefreshVersion="6" pivotCacheId="381098054" filterType="unknown">
    <bounds startDate="2024-01-01T00:00:00" endDate="2025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__Pagamento" xr10:uid="{07A67D56-6C57-4B04-BA5C-B722991BFD99}" sourceName="Data _x000a_Pagamento">
  <pivotTables>
    <pivotTable tabId="5" name="Transações"/>
  </pivotTables>
  <state minimalRefreshVersion="6" lastRefreshVersion="6" pivotCacheId="381098054" filterType="unknown">
    <bounds startDate="2024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Lançamento 1" xr10:uid="{BE220241-A937-45D1-B59D-ABAC97A1EB70}" cache="NativeTimeline_Data_Lançamento" caption="Data Lançamento" level="2" selectionLevel="2" scrollPosition="2024-01-01T00:00:00" style="TimeSlicerStyleLight1 2"/>
  <timeline name="Data _x000a_Pagamento 1" xr10:uid="{F493F04F-32EF-4CC6-9FE8-3AE2FAD44F26}" cache="NativeTimeline_Data__Pagamento" caption="Data Pagamento" level="2" selectionLevel="2" scrollPosition="2024-05-18T00:00:00" style="TimeSlicerStyleLight1 2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table" Target="../tables/table2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E0BB-E5FB-46DF-BE23-A73AAC9F3D0B}">
  <dimension ref="A1:M93"/>
  <sheetViews>
    <sheetView zoomScaleNormal="100" workbookViewId="0">
      <selection activeCell="N14" sqref="N14"/>
    </sheetView>
  </sheetViews>
  <sheetFormatPr defaultRowHeight="15" x14ac:dyDescent="0.25"/>
  <cols>
    <col min="1" max="1" width="3.7109375" customWidth="1"/>
    <col min="2" max="2" width="26.28515625" bestFit="1" customWidth="1"/>
    <col min="3" max="3" width="24" bestFit="1" customWidth="1"/>
    <col min="4" max="4" width="12.85546875" bestFit="1" customWidth="1"/>
    <col min="5" max="5" width="23" bestFit="1" customWidth="1"/>
    <col min="6" max="6" width="22.140625" bestFit="1" customWidth="1"/>
    <col min="7" max="7" width="16.5703125" bestFit="1" customWidth="1"/>
    <col min="8" max="8" width="25.5703125" bestFit="1" customWidth="1"/>
    <col min="9" max="9" width="16.85546875" bestFit="1" customWidth="1"/>
    <col min="10" max="10" width="18.5703125" customWidth="1"/>
    <col min="11" max="11" width="12.85546875" bestFit="1" customWidth="1"/>
    <col min="12" max="12" width="24.85546875" bestFit="1" customWidth="1"/>
    <col min="13" max="13" width="15.28515625" bestFit="1" customWidth="1"/>
    <col min="14" max="14" width="13.28515625" bestFit="1" customWidth="1"/>
  </cols>
  <sheetData>
    <row r="1" spans="1:13" s="38" customFormat="1" ht="46.5" customHeight="1" x14ac:dyDescent="0.25">
      <c r="A1" s="38" t="s">
        <v>42</v>
      </c>
    </row>
    <row r="2" spans="1:13" s="39" customFormat="1" ht="4.5" customHeight="1" thickBot="1" x14ac:dyDescent="0.3"/>
    <row r="3" spans="1:13" ht="15.75" thickTop="1" x14ac:dyDescent="0.25"/>
    <row r="4" spans="1:13" ht="34.5" x14ac:dyDescent="0.25">
      <c r="B4" s="10" t="s">
        <v>0</v>
      </c>
      <c r="C4" s="10" t="s">
        <v>33</v>
      </c>
      <c r="D4" s="10" t="s">
        <v>34</v>
      </c>
      <c r="E4" s="10" t="s">
        <v>35</v>
      </c>
      <c r="F4" s="10" t="s">
        <v>46</v>
      </c>
      <c r="G4" s="10" t="s">
        <v>36</v>
      </c>
      <c r="H4" s="10" t="s">
        <v>43</v>
      </c>
      <c r="I4" s="10" t="s">
        <v>2</v>
      </c>
      <c r="J4" s="10" t="s">
        <v>47</v>
      </c>
      <c r="K4" s="10" t="s">
        <v>44</v>
      </c>
      <c r="L4" s="10" t="s">
        <v>45</v>
      </c>
      <c r="M4" s="10" t="s">
        <v>48</v>
      </c>
    </row>
    <row r="5" spans="1:13" ht="16.5" x14ac:dyDescent="0.3">
      <c r="B5" s="4" t="s">
        <v>3</v>
      </c>
      <c r="C5" s="4" t="s">
        <v>37</v>
      </c>
      <c r="D5" s="5">
        <v>50000</v>
      </c>
      <c r="E5" s="6">
        <v>45292</v>
      </c>
      <c r="F5" s="6">
        <v>45292</v>
      </c>
      <c r="G5" s="7" t="s">
        <v>38</v>
      </c>
      <c r="H5" s="8" t="str">
        <f>_xlfn.XLOOKUP(Base_Lançamentos[[#This Row],[Conta]],Referências[Conta],Referências[Categoria da Conta])</f>
        <v>Saldo Inicial</v>
      </c>
      <c r="I5" s="8" t="str">
        <f>_xlfn.XLOOKUP(Base_Lançamentos[[#This Row],[Conta]],Referências[Conta],Referências[Transação])</f>
        <v>Receita</v>
      </c>
      <c r="J5" s="8" t="str">
        <f ca="1">IF(Base_Lançamentos[[#This Row],[Realizado]]="Sim","-",Base_Lançamentos[[#This Row],[Data 
Pagamento]]-TODAY())</f>
        <v>-</v>
      </c>
      <c r="K5" s="8" t="str">
        <f ca="1">IF(Base_Lançamentos[[#This Row],[Prazo p/ 
Pagamento]]="-","No prazo","Atrasado")</f>
        <v>No prazo</v>
      </c>
      <c r="L5" s="11">
        <f>IF(Base_Lançamentos[[#This Row],[Transação]]="Receita",Base_Lançamentos[[#This Row],[Valor]],-Base_Lançamentos[[#This Row],[Valor]])</f>
        <v>50000</v>
      </c>
      <c r="M5" s="5">
        <f>Base_Lançamentos[[#This Row],[Registro de Valor]]</f>
        <v>50000</v>
      </c>
    </row>
    <row r="6" spans="1:13" ht="16.5" x14ac:dyDescent="0.3">
      <c r="B6" s="4" t="s">
        <v>5</v>
      </c>
      <c r="C6" s="4" t="s">
        <v>39</v>
      </c>
      <c r="D6" s="5">
        <v>45000</v>
      </c>
      <c r="E6" s="6">
        <v>45293</v>
      </c>
      <c r="F6" s="6">
        <v>45293</v>
      </c>
      <c r="G6" s="7" t="s">
        <v>38</v>
      </c>
      <c r="H6" s="8" t="str">
        <f>_xlfn.XLOOKUP(Base_Lançamentos[[#This Row],[Conta]],Referências[Conta],Referências[Categoria da Conta])</f>
        <v>Venda de Produto</v>
      </c>
      <c r="I6" s="8" t="str">
        <f>_xlfn.XLOOKUP(Base_Lançamentos[[#This Row],[Conta]],Referências[Conta],Referências[Transação])</f>
        <v>Receita</v>
      </c>
      <c r="J6" s="8" t="str">
        <f ca="1">IF(Base_Lançamentos[[#This Row],[Realizado]]="Sim","-",Base_Lançamentos[[#This Row],[Data 
Pagamento]]-TODAY())</f>
        <v>-</v>
      </c>
      <c r="K6" s="8" t="str">
        <f ca="1">IF(Base_Lançamentos[[#This Row],[Prazo p/ 
Pagamento]]="-","No prazo","Atrasado")</f>
        <v>No prazo</v>
      </c>
      <c r="L6" s="11">
        <f>IF(Base_Lançamentos[[#This Row],[Transação]]="Receita",Base_Lançamentos[[#This Row],[Valor]],-Base_Lançamentos[[#This Row],[Valor]])</f>
        <v>45000</v>
      </c>
      <c r="M6" s="5">
        <f>Base_Lançamentos[[#This Row],[Registro de Valor]]+M5</f>
        <v>95000</v>
      </c>
    </row>
    <row r="7" spans="1:13" ht="16.5" x14ac:dyDescent="0.3">
      <c r="B7" s="4" t="s">
        <v>10</v>
      </c>
      <c r="C7" s="4" t="s">
        <v>40</v>
      </c>
      <c r="D7" s="5">
        <v>12000</v>
      </c>
      <c r="E7" s="6">
        <v>45296</v>
      </c>
      <c r="F7" s="6">
        <v>45296</v>
      </c>
      <c r="G7" s="7" t="s">
        <v>38</v>
      </c>
      <c r="H7" s="8" t="str">
        <f>_xlfn.XLOOKUP(Base_Lançamentos[[#This Row],[Conta]],Referências[Conta],Referências[Categoria da Conta])</f>
        <v>Prestação de Serviço</v>
      </c>
      <c r="I7" s="8" t="str">
        <f>_xlfn.XLOOKUP(Base_Lançamentos[[#This Row],[Conta]],Referências[Conta],Referências[Transação])</f>
        <v>Receita</v>
      </c>
      <c r="J7" s="8" t="str">
        <f ca="1">IF(Base_Lançamentos[[#This Row],[Realizado]]="Sim","-",Base_Lançamentos[[#This Row],[Data 
Pagamento]]-TODAY())</f>
        <v>-</v>
      </c>
      <c r="K7" s="8" t="str">
        <f ca="1">IF(Base_Lançamentos[[#This Row],[Prazo p/ 
Pagamento]]="-","No prazo","Atrasado")</f>
        <v>No prazo</v>
      </c>
      <c r="L7" s="11">
        <f>IF(Base_Lançamentos[[#This Row],[Transação]]="Receita",Base_Lançamentos[[#This Row],[Valor]],-Base_Lançamentos[[#This Row],[Valor]])</f>
        <v>12000</v>
      </c>
      <c r="M7" s="5">
        <f>Base_Lançamentos[[#This Row],[Registro de Valor]]+M6</f>
        <v>107000</v>
      </c>
    </row>
    <row r="8" spans="1:13" ht="16.5" x14ac:dyDescent="0.3">
      <c r="B8" s="4" t="s">
        <v>12</v>
      </c>
      <c r="C8" s="4" t="s">
        <v>37</v>
      </c>
      <c r="D8" s="5">
        <v>48000</v>
      </c>
      <c r="E8" s="6">
        <v>45296</v>
      </c>
      <c r="F8" s="6">
        <v>45296</v>
      </c>
      <c r="G8" s="7" t="s">
        <v>38</v>
      </c>
      <c r="H8" s="8" t="str">
        <f>_xlfn.XLOOKUP(Base_Lançamentos[[#This Row],[Conta]],Referências[Conta],Referências[Categoria da Conta])</f>
        <v>Despesas Operacionais</v>
      </c>
      <c r="I8" s="8" t="str">
        <f>_xlfn.XLOOKUP(Base_Lançamentos[[#This Row],[Conta]],Referências[Conta],Referências[Transação])</f>
        <v>Despesa</v>
      </c>
      <c r="J8" s="8" t="str">
        <f ca="1">IF(Base_Lançamentos[[#This Row],[Realizado]]="Sim","-",Base_Lançamentos[[#This Row],[Data 
Pagamento]]-TODAY())</f>
        <v>-</v>
      </c>
      <c r="K8" s="8" t="str">
        <f ca="1">IF(Base_Lançamentos[[#This Row],[Prazo p/ 
Pagamento]]="-","No prazo","Atrasado")</f>
        <v>No prazo</v>
      </c>
      <c r="L8" s="11">
        <f>IF(Base_Lançamentos[[#This Row],[Transação]]="Receita",Base_Lançamentos[[#This Row],[Valor]],-Base_Lançamentos[[#This Row],[Valor]])</f>
        <v>-48000</v>
      </c>
      <c r="M8" s="5">
        <f>Base_Lançamentos[[#This Row],[Registro de Valor]]+M7</f>
        <v>59000</v>
      </c>
    </row>
    <row r="9" spans="1:13" ht="16.5" x14ac:dyDescent="0.3">
      <c r="B9" s="4" t="s">
        <v>15</v>
      </c>
      <c r="C9" s="4" t="s">
        <v>37</v>
      </c>
      <c r="D9" s="5">
        <v>8500</v>
      </c>
      <c r="E9" s="6">
        <v>45296</v>
      </c>
      <c r="F9" s="6">
        <v>45296</v>
      </c>
      <c r="G9" s="7" t="s">
        <v>38</v>
      </c>
      <c r="H9" s="8" t="str">
        <f>_xlfn.XLOOKUP(Base_Lançamentos[[#This Row],[Conta]],Referências[Conta],Referências[Categoria da Conta])</f>
        <v>Despesas Operacionais</v>
      </c>
      <c r="I9" s="8" t="str">
        <f>_xlfn.XLOOKUP(Base_Lançamentos[[#This Row],[Conta]],Referências[Conta],Referências[Transação])</f>
        <v>Despesa</v>
      </c>
      <c r="J9" s="8" t="str">
        <f ca="1">IF(Base_Lançamentos[[#This Row],[Realizado]]="Sim","-",Base_Lançamentos[[#This Row],[Data 
Pagamento]]-TODAY())</f>
        <v>-</v>
      </c>
      <c r="K9" s="8" t="str">
        <f ca="1">IF(Base_Lançamentos[[#This Row],[Prazo p/ 
Pagamento]]="-","No prazo","Atrasado")</f>
        <v>No prazo</v>
      </c>
      <c r="L9" s="11">
        <f>IF(Base_Lançamentos[[#This Row],[Transação]]="Receita",Base_Lançamentos[[#This Row],[Valor]],-Base_Lançamentos[[#This Row],[Valor]])</f>
        <v>-8500</v>
      </c>
      <c r="M9" s="5">
        <f>Base_Lançamentos[[#This Row],[Registro de Valor]]+M8</f>
        <v>50500</v>
      </c>
    </row>
    <row r="10" spans="1:13" ht="16.5" x14ac:dyDescent="0.3">
      <c r="B10" s="4" t="s">
        <v>19</v>
      </c>
      <c r="C10" s="4" t="s">
        <v>39</v>
      </c>
      <c r="D10" s="5">
        <v>5000</v>
      </c>
      <c r="E10" s="6">
        <v>45299</v>
      </c>
      <c r="F10" s="6">
        <v>45299</v>
      </c>
      <c r="G10" s="7" t="s">
        <v>38</v>
      </c>
      <c r="H10" s="8" t="str">
        <f>_xlfn.XLOOKUP(Base_Lançamentos[[#This Row],[Conta]],Referências[Conta],Referências[Categoria da Conta])</f>
        <v>Despesas Operacionais</v>
      </c>
      <c r="I10" s="8" t="str">
        <f>_xlfn.XLOOKUP(Base_Lançamentos[[#This Row],[Conta]],Referências[Conta],Referências[Transação])</f>
        <v>Despesa</v>
      </c>
      <c r="J10" s="8" t="str">
        <f ca="1">IF(Base_Lançamentos[[#This Row],[Realizado]]="Sim","-",Base_Lançamentos[[#This Row],[Data 
Pagamento]]-TODAY())</f>
        <v>-</v>
      </c>
      <c r="K10" s="8" t="str">
        <f ca="1">IF(Base_Lançamentos[[#This Row],[Prazo p/ 
Pagamento]]="-","No prazo","Atrasado")</f>
        <v>No prazo</v>
      </c>
      <c r="L10" s="11">
        <f>IF(Base_Lançamentos[[#This Row],[Transação]]="Receita",Base_Lançamentos[[#This Row],[Valor]],-Base_Lançamentos[[#This Row],[Valor]])</f>
        <v>-5000</v>
      </c>
      <c r="M10" s="5">
        <f>Base_Lançamentos[[#This Row],[Registro de Valor]]+M9</f>
        <v>45500</v>
      </c>
    </row>
    <row r="11" spans="1:13" ht="16.5" x14ac:dyDescent="0.3">
      <c r="B11" s="4" t="s">
        <v>28</v>
      </c>
      <c r="C11" s="4" t="s">
        <v>37</v>
      </c>
      <c r="D11" s="5">
        <v>1500</v>
      </c>
      <c r="E11" s="6">
        <v>45301</v>
      </c>
      <c r="F11" s="6">
        <v>45301</v>
      </c>
      <c r="G11" s="7" t="s">
        <v>38</v>
      </c>
      <c r="H11" s="8" t="str">
        <f>_xlfn.XLOOKUP(Base_Lançamentos[[#This Row],[Conta]],Referências[Conta],Referências[Categoria da Conta])</f>
        <v>Impostos</v>
      </c>
      <c r="I11" s="8" t="str">
        <f>_xlfn.XLOOKUP(Base_Lançamentos[[#This Row],[Conta]],Referências[Conta],Referências[Transação])</f>
        <v>Despesa</v>
      </c>
      <c r="J11" s="8" t="str">
        <f ca="1">IF(Base_Lançamentos[[#This Row],[Realizado]]="Sim","-",Base_Lançamentos[[#This Row],[Data 
Pagamento]]-TODAY())</f>
        <v>-</v>
      </c>
      <c r="K11" s="8" t="str">
        <f ca="1">IF(Base_Lançamentos[[#This Row],[Prazo p/ 
Pagamento]]="-","No prazo","Atrasado")</f>
        <v>No prazo</v>
      </c>
      <c r="L11" s="11">
        <f>IF(Base_Lançamentos[[#This Row],[Transação]]="Receita",Base_Lançamentos[[#This Row],[Valor]],-Base_Lançamentos[[#This Row],[Valor]])</f>
        <v>-1500</v>
      </c>
      <c r="M11" s="5">
        <f>Base_Lançamentos[[#This Row],[Registro de Valor]]+M10</f>
        <v>44000</v>
      </c>
    </row>
    <row r="12" spans="1:13" ht="16.5" x14ac:dyDescent="0.3">
      <c r="B12" s="4" t="s">
        <v>24</v>
      </c>
      <c r="C12" s="4" t="s">
        <v>40</v>
      </c>
      <c r="D12" s="5">
        <v>1200</v>
      </c>
      <c r="E12" s="6">
        <v>45306</v>
      </c>
      <c r="F12" s="6">
        <v>45337</v>
      </c>
      <c r="G12" s="7" t="s">
        <v>41</v>
      </c>
      <c r="H12" s="8" t="str">
        <f>_xlfn.XLOOKUP(Base_Lançamentos[[#This Row],[Conta]],Referências[Conta],Referências[Categoria da Conta])</f>
        <v>Despesas Administrativas</v>
      </c>
      <c r="I12" s="8" t="str">
        <f>_xlfn.XLOOKUP(Base_Lançamentos[[#This Row],[Conta]],Referências[Conta],Referências[Transação])</f>
        <v>Despesa</v>
      </c>
      <c r="J12" s="8">
        <f ca="1">IF(Base_Lançamentos[[#This Row],[Realizado]]="Sim","-",Base_Lançamentos[[#This Row],[Data 
Pagamento]]-TODAY())</f>
        <v>-620</v>
      </c>
      <c r="K12" s="8" t="str">
        <f ca="1">IF(Base_Lançamentos[[#This Row],[Prazo p/ 
Pagamento]]="-","No prazo","Atrasado")</f>
        <v>Atrasado</v>
      </c>
      <c r="L12" s="11">
        <f>IF(Base_Lançamentos[[#This Row],[Transação]]="Receita",Base_Lançamentos[[#This Row],[Valor]],-Base_Lançamentos[[#This Row],[Valor]])</f>
        <v>-1200</v>
      </c>
      <c r="M12" s="5">
        <f>Base_Lançamentos[[#This Row],[Registro de Valor]]+M11</f>
        <v>42800</v>
      </c>
    </row>
    <row r="13" spans="1:13" ht="16.5" x14ac:dyDescent="0.3">
      <c r="B13" s="4" t="s">
        <v>7</v>
      </c>
      <c r="C13" s="4" t="s">
        <v>37</v>
      </c>
      <c r="D13" s="5">
        <v>35000</v>
      </c>
      <c r="E13" s="6">
        <v>45309</v>
      </c>
      <c r="F13" s="6">
        <v>45340</v>
      </c>
      <c r="G13" s="7" t="s">
        <v>41</v>
      </c>
      <c r="H13" s="8" t="str">
        <f>_xlfn.XLOOKUP(Base_Lançamentos[[#This Row],[Conta]],Referências[Conta],Referências[Categoria da Conta])</f>
        <v>Venda de Produto</v>
      </c>
      <c r="I13" s="8" t="str">
        <f>_xlfn.XLOOKUP(Base_Lançamentos[[#This Row],[Conta]],Referências[Conta],Referências[Transação])</f>
        <v>Receita</v>
      </c>
      <c r="J13" s="8">
        <f ca="1">IF(Base_Lançamentos[[#This Row],[Realizado]]="Sim","-",Base_Lançamentos[[#This Row],[Data 
Pagamento]]-TODAY())</f>
        <v>-617</v>
      </c>
      <c r="K13" s="8" t="str">
        <f ca="1">IF(Base_Lançamentos[[#This Row],[Prazo p/ 
Pagamento]]="-","No prazo","Atrasado")</f>
        <v>Atrasado</v>
      </c>
      <c r="L13" s="11">
        <f>IF(Base_Lançamentos[[#This Row],[Transação]]="Receita",Base_Lançamentos[[#This Row],[Valor]],-Base_Lançamentos[[#This Row],[Valor]])</f>
        <v>35000</v>
      </c>
      <c r="M13" s="5">
        <f>Base_Lançamentos[[#This Row],[Registro de Valor]]+M12</f>
        <v>77800</v>
      </c>
    </row>
    <row r="14" spans="1:13" ht="16.5" x14ac:dyDescent="0.3">
      <c r="B14" s="4" t="s">
        <v>17</v>
      </c>
      <c r="C14" s="4" t="s">
        <v>39</v>
      </c>
      <c r="D14" s="5">
        <v>850</v>
      </c>
      <c r="E14" s="6">
        <v>45316</v>
      </c>
      <c r="F14" s="6">
        <v>45316</v>
      </c>
      <c r="G14" s="7" t="s">
        <v>38</v>
      </c>
      <c r="H14" s="8" t="str">
        <f>_xlfn.XLOOKUP(Base_Lançamentos[[#This Row],[Conta]],Referências[Conta],Referências[Categoria da Conta])</f>
        <v>Despesas Operacionais</v>
      </c>
      <c r="I14" s="8" t="str">
        <f>_xlfn.XLOOKUP(Base_Lançamentos[[#This Row],[Conta]],Referências[Conta],Referências[Transação])</f>
        <v>Despesa</v>
      </c>
      <c r="J14" s="8" t="str">
        <f ca="1">IF(Base_Lançamentos[[#This Row],[Realizado]]="Sim","-",Base_Lançamentos[[#This Row],[Data 
Pagamento]]-TODAY())</f>
        <v>-</v>
      </c>
      <c r="K14" s="8" t="str">
        <f ca="1">IF(Base_Lançamentos[[#This Row],[Prazo p/ 
Pagamento]]="-","No prazo","Atrasado")</f>
        <v>No prazo</v>
      </c>
      <c r="L14" s="11">
        <f>IF(Base_Lançamentos[[#This Row],[Transação]]="Receita",Base_Lançamentos[[#This Row],[Valor]],-Base_Lançamentos[[#This Row],[Valor]])</f>
        <v>-850</v>
      </c>
      <c r="M14" s="5">
        <f>Base_Lançamentos[[#This Row],[Registro de Valor]]+M13</f>
        <v>76950</v>
      </c>
    </row>
    <row r="15" spans="1:13" ht="16.5" x14ac:dyDescent="0.3">
      <c r="B15" s="4" t="s">
        <v>23</v>
      </c>
      <c r="C15" s="4" t="s">
        <v>40</v>
      </c>
      <c r="D15" s="5">
        <v>450</v>
      </c>
      <c r="E15" s="6">
        <v>45319</v>
      </c>
      <c r="F15" s="6">
        <v>45319</v>
      </c>
      <c r="G15" s="7" t="s">
        <v>38</v>
      </c>
      <c r="H15" s="8" t="str">
        <f>_xlfn.XLOOKUP(Base_Lançamentos[[#This Row],[Conta]],Referências[Conta],Referências[Categoria da Conta])</f>
        <v>Despesas Operacionais</v>
      </c>
      <c r="I15" s="8" t="str">
        <f>_xlfn.XLOOKUP(Base_Lançamentos[[#This Row],[Conta]],Referências[Conta],Referências[Transação])</f>
        <v>Despesa</v>
      </c>
      <c r="J15" s="8" t="str">
        <f ca="1">IF(Base_Lançamentos[[#This Row],[Realizado]]="Sim","-",Base_Lançamentos[[#This Row],[Data 
Pagamento]]-TODAY())</f>
        <v>-</v>
      </c>
      <c r="K15" s="8" t="str">
        <f ca="1">IF(Base_Lançamentos[[#This Row],[Prazo p/ 
Pagamento]]="-","No prazo","Atrasado")</f>
        <v>No prazo</v>
      </c>
      <c r="L15" s="11">
        <f>IF(Base_Lançamentos[[#This Row],[Transação]]="Receita",Base_Lançamentos[[#This Row],[Valor]],-Base_Lançamentos[[#This Row],[Valor]])</f>
        <v>-450</v>
      </c>
      <c r="M15" s="5">
        <f>Base_Lançamentos[[#This Row],[Registro de Valor]]+M14</f>
        <v>76500</v>
      </c>
    </row>
    <row r="16" spans="1:13" ht="16.5" x14ac:dyDescent="0.3">
      <c r="B16" s="4" t="s">
        <v>9</v>
      </c>
      <c r="C16" s="4" t="s">
        <v>39</v>
      </c>
      <c r="D16" s="5">
        <v>60000</v>
      </c>
      <c r="E16" s="6">
        <v>45323</v>
      </c>
      <c r="F16" s="6">
        <v>45323</v>
      </c>
      <c r="G16" s="7" t="s">
        <v>38</v>
      </c>
      <c r="H16" s="8" t="str">
        <f>_xlfn.XLOOKUP(Base_Lançamentos[[#This Row],[Conta]],Referências[Conta],Referências[Categoria da Conta])</f>
        <v>Venda de Produto</v>
      </c>
      <c r="I16" s="8" t="str">
        <f>_xlfn.XLOOKUP(Base_Lançamentos[[#This Row],[Conta]],Referências[Conta],Referências[Transação])</f>
        <v>Receita</v>
      </c>
      <c r="J16" s="8" t="str">
        <f ca="1">IF(Base_Lançamentos[[#This Row],[Realizado]]="Sim","-",Base_Lançamentos[[#This Row],[Data 
Pagamento]]-TODAY())</f>
        <v>-</v>
      </c>
      <c r="K16" s="8" t="str">
        <f ca="1">IF(Base_Lançamentos[[#This Row],[Prazo p/ 
Pagamento]]="-","No prazo","Atrasado")</f>
        <v>No prazo</v>
      </c>
      <c r="L16" s="11">
        <f>IF(Base_Lançamentos[[#This Row],[Transação]]="Receita",Base_Lançamentos[[#This Row],[Valor]],-Base_Lançamentos[[#This Row],[Valor]])</f>
        <v>60000</v>
      </c>
      <c r="M16" s="5">
        <f>Base_Lançamentos[[#This Row],[Registro de Valor]]+M15</f>
        <v>136500</v>
      </c>
    </row>
    <row r="17" spans="2:13" ht="16.5" x14ac:dyDescent="0.3">
      <c r="B17" s="4" t="s">
        <v>27</v>
      </c>
      <c r="C17" s="4" t="s">
        <v>37</v>
      </c>
      <c r="D17" s="5">
        <v>3500</v>
      </c>
      <c r="E17" s="6">
        <v>45327</v>
      </c>
      <c r="F17" s="6">
        <v>45327</v>
      </c>
      <c r="G17" s="7" t="s">
        <v>38</v>
      </c>
      <c r="H17" s="8" t="str">
        <f>_xlfn.XLOOKUP(Base_Lançamentos[[#This Row],[Conta]],Referências[Conta],Referências[Categoria da Conta])</f>
        <v>Despesas Administrativas</v>
      </c>
      <c r="I17" s="8" t="str">
        <f>_xlfn.XLOOKUP(Base_Lançamentos[[#This Row],[Conta]],Referências[Conta],Referências[Transação])</f>
        <v>Despesa</v>
      </c>
      <c r="J17" s="8" t="str">
        <f ca="1">IF(Base_Lançamentos[[#This Row],[Realizado]]="Sim","-",Base_Lançamentos[[#This Row],[Data 
Pagamento]]-TODAY())</f>
        <v>-</v>
      </c>
      <c r="K17" s="8" t="str">
        <f ca="1">IF(Base_Lançamentos[[#This Row],[Prazo p/ 
Pagamento]]="-","No prazo","Atrasado")</f>
        <v>No prazo</v>
      </c>
      <c r="L17" s="11">
        <f>IF(Base_Lançamentos[[#This Row],[Transação]]="Receita",Base_Lançamentos[[#This Row],[Valor]],-Base_Lançamentos[[#This Row],[Valor]])</f>
        <v>-3500</v>
      </c>
      <c r="M17" s="5">
        <f>Base_Lançamentos[[#This Row],[Registro de Valor]]+M16</f>
        <v>133000</v>
      </c>
    </row>
    <row r="18" spans="2:13" ht="16.5" x14ac:dyDescent="0.3">
      <c r="B18" s="4" t="s">
        <v>12</v>
      </c>
      <c r="C18" s="4" t="s">
        <v>37</v>
      </c>
      <c r="D18" s="5">
        <v>48000</v>
      </c>
      <c r="E18" s="6">
        <v>45327</v>
      </c>
      <c r="F18" s="6">
        <v>45327</v>
      </c>
      <c r="G18" s="7" t="s">
        <v>38</v>
      </c>
      <c r="H18" s="8" t="str">
        <f>_xlfn.XLOOKUP(Base_Lançamentos[[#This Row],[Conta]],Referências[Conta],Referências[Categoria da Conta])</f>
        <v>Despesas Operacionais</v>
      </c>
      <c r="I18" s="8" t="str">
        <f>_xlfn.XLOOKUP(Base_Lançamentos[[#This Row],[Conta]],Referências[Conta],Referências[Transação])</f>
        <v>Despesa</v>
      </c>
      <c r="J18" s="8" t="str">
        <f ca="1">IF(Base_Lançamentos[[#This Row],[Realizado]]="Sim","-",Base_Lançamentos[[#This Row],[Data 
Pagamento]]-TODAY())</f>
        <v>-</v>
      </c>
      <c r="K18" s="8" t="str">
        <f ca="1">IF(Base_Lançamentos[[#This Row],[Prazo p/ 
Pagamento]]="-","No prazo","Atrasado")</f>
        <v>No prazo</v>
      </c>
      <c r="L18" s="11">
        <f>IF(Base_Lançamentos[[#This Row],[Transação]]="Receita",Base_Lançamentos[[#This Row],[Valor]],-Base_Lançamentos[[#This Row],[Valor]])</f>
        <v>-48000</v>
      </c>
      <c r="M18" s="5">
        <f>Base_Lançamentos[[#This Row],[Registro de Valor]]+M17</f>
        <v>85000</v>
      </c>
    </row>
    <row r="19" spans="2:13" ht="16.5" x14ac:dyDescent="0.3">
      <c r="B19" s="4" t="s">
        <v>15</v>
      </c>
      <c r="C19" s="4" t="s">
        <v>37</v>
      </c>
      <c r="D19" s="5">
        <v>8500</v>
      </c>
      <c r="E19" s="6">
        <v>45327</v>
      </c>
      <c r="F19" s="6">
        <v>45327</v>
      </c>
      <c r="G19" s="7" t="s">
        <v>38</v>
      </c>
      <c r="H19" s="8" t="str">
        <f>_xlfn.XLOOKUP(Base_Lançamentos[[#This Row],[Conta]],Referências[Conta],Referências[Categoria da Conta])</f>
        <v>Despesas Operacionais</v>
      </c>
      <c r="I19" s="8" t="str">
        <f>_xlfn.XLOOKUP(Base_Lançamentos[[#This Row],[Conta]],Referências[Conta],Referências[Transação])</f>
        <v>Despesa</v>
      </c>
      <c r="J19" s="8" t="str">
        <f ca="1">IF(Base_Lançamentos[[#This Row],[Realizado]]="Sim","-",Base_Lançamentos[[#This Row],[Data 
Pagamento]]-TODAY())</f>
        <v>-</v>
      </c>
      <c r="K19" s="8" t="str">
        <f ca="1">IF(Base_Lançamentos[[#This Row],[Prazo p/ 
Pagamento]]="-","No prazo","Atrasado")</f>
        <v>No prazo</v>
      </c>
      <c r="L19" s="11">
        <f>IF(Base_Lançamentos[[#This Row],[Transação]]="Receita",Base_Lançamentos[[#This Row],[Valor]],-Base_Lançamentos[[#This Row],[Valor]])</f>
        <v>-8500</v>
      </c>
      <c r="M19" s="5">
        <f>Base_Lançamentos[[#This Row],[Registro de Valor]]+M18</f>
        <v>76500</v>
      </c>
    </row>
    <row r="20" spans="2:13" ht="16.5" x14ac:dyDescent="0.3">
      <c r="B20" s="4" t="s">
        <v>5</v>
      </c>
      <c r="C20" s="4" t="s">
        <v>40</v>
      </c>
      <c r="D20" s="5">
        <v>48000</v>
      </c>
      <c r="E20" s="6">
        <v>45337</v>
      </c>
      <c r="F20" s="6">
        <v>45366</v>
      </c>
      <c r="G20" s="7" t="s">
        <v>41</v>
      </c>
      <c r="H20" s="8" t="str">
        <f>_xlfn.XLOOKUP(Base_Lançamentos[[#This Row],[Conta]],Referências[Conta],Referências[Categoria da Conta])</f>
        <v>Venda de Produto</v>
      </c>
      <c r="I20" s="8" t="str">
        <f>_xlfn.XLOOKUP(Base_Lançamentos[[#This Row],[Conta]],Referências[Conta],Referências[Transação])</f>
        <v>Receita</v>
      </c>
      <c r="J20" s="8">
        <f ca="1">IF(Base_Lançamentos[[#This Row],[Realizado]]="Sim","-",Base_Lançamentos[[#This Row],[Data 
Pagamento]]-TODAY())</f>
        <v>-591</v>
      </c>
      <c r="K20" s="8" t="str">
        <f ca="1">IF(Base_Lançamentos[[#This Row],[Prazo p/ 
Pagamento]]="-","No prazo","Atrasado")</f>
        <v>Atrasado</v>
      </c>
      <c r="L20" s="11">
        <f>IF(Base_Lançamentos[[#This Row],[Transação]]="Receita",Base_Lançamentos[[#This Row],[Valor]],-Base_Lançamentos[[#This Row],[Valor]])</f>
        <v>48000</v>
      </c>
      <c r="M20" s="5">
        <f>Base_Lançamentos[[#This Row],[Registro de Valor]]+M19</f>
        <v>124500</v>
      </c>
    </row>
    <row r="21" spans="2:13" ht="16.5" x14ac:dyDescent="0.3">
      <c r="B21" s="4" t="s">
        <v>24</v>
      </c>
      <c r="C21" s="4" t="s">
        <v>40</v>
      </c>
      <c r="D21" s="5">
        <v>1200</v>
      </c>
      <c r="E21" s="6">
        <v>45337</v>
      </c>
      <c r="F21" s="6">
        <v>45366</v>
      </c>
      <c r="G21" s="7" t="s">
        <v>41</v>
      </c>
      <c r="H21" s="8" t="str">
        <f>_xlfn.XLOOKUP(Base_Lançamentos[[#This Row],[Conta]],Referências[Conta],Referências[Categoria da Conta])</f>
        <v>Despesas Administrativas</v>
      </c>
      <c r="I21" s="8" t="str">
        <f>_xlfn.XLOOKUP(Base_Lançamentos[[#This Row],[Conta]],Referências[Conta],Referências[Transação])</f>
        <v>Despesa</v>
      </c>
      <c r="J21" s="8">
        <f ca="1">IF(Base_Lançamentos[[#This Row],[Realizado]]="Sim","-",Base_Lançamentos[[#This Row],[Data 
Pagamento]]-TODAY())</f>
        <v>-591</v>
      </c>
      <c r="K21" s="8" t="str">
        <f ca="1">IF(Base_Lançamentos[[#This Row],[Prazo p/ 
Pagamento]]="-","No prazo","Atrasado")</f>
        <v>Atrasado</v>
      </c>
      <c r="L21" s="11">
        <f>IF(Base_Lançamentos[[#This Row],[Transação]]="Receita",Base_Lançamentos[[#This Row],[Valor]],-Base_Lançamentos[[#This Row],[Valor]])</f>
        <v>-1200</v>
      </c>
      <c r="M21" s="5">
        <f>Base_Lançamentos[[#This Row],[Registro de Valor]]+M20</f>
        <v>123300</v>
      </c>
    </row>
    <row r="22" spans="2:13" ht="16.5" x14ac:dyDescent="0.3">
      <c r="B22" s="4" t="s">
        <v>10</v>
      </c>
      <c r="C22" s="4" t="s">
        <v>39</v>
      </c>
      <c r="D22" s="5">
        <v>10000</v>
      </c>
      <c r="E22" s="6">
        <v>45342</v>
      </c>
      <c r="F22" s="6">
        <v>45342</v>
      </c>
      <c r="G22" s="7" t="s">
        <v>38</v>
      </c>
      <c r="H22" s="8" t="str">
        <f>_xlfn.XLOOKUP(Base_Lançamentos[[#This Row],[Conta]],Referências[Conta],Referências[Categoria da Conta])</f>
        <v>Prestação de Serviço</v>
      </c>
      <c r="I22" s="8" t="str">
        <f>_xlfn.XLOOKUP(Base_Lançamentos[[#This Row],[Conta]],Referências[Conta],Referências[Transação])</f>
        <v>Receita</v>
      </c>
      <c r="J22" s="8" t="str">
        <f ca="1">IF(Base_Lançamentos[[#This Row],[Realizado]]="Sim","-",Base_Lançamentos[[#This Row],[Data 
Pagamento]]-TODAY())</f>
        <v>-</v>
      </c>
      <c r="K22" s="8" t="str">
        <f ca="1">IF(Base_Lançamentos[[#This Row],[Prazo p/ 
Pagamento]]="-","No prazo","Atrasado")</f>
        <v>No prazo</v>
      </c>
      <c r="L22" s="11">
        <f>IF(Base_Lançamentos[[#This Row],[Transação]]="Receita",Base_Lançamentos[[#This Row],[Valor]],-Base_Lançamentos[[#This Row],[Valor]])</f>
        <v>10000</v>
      </c>
      <c r="M22" s="5">
        <f>Base_Lançamentos[[#This Row],[Registro de Valor]]+M21</f>
        <v>133300</v>
      </c>
    </row>
    <row r="23" spans="2:13" ht="16.5" x14ac:dyDescent="0.3">
      <c r="B23" s="4" t="s">
        <v>16</v>
      </c>
      <c r="C23" s="4" t="s">
        <v>39</v>
      </c>
      <c r="D23" s="5">
        <v>1200</v>
      </c>
      <c r="E23" s="6">
        <v>45347</v>
      </c>
      <c r="F23" s="6">
        <v>45347</v>
      </c>
      <c r="G23" s="7" t="s">
        <v>38</v>
      </c>
      <c r="H23" s="8" t="str">
        <f>_xlfn.XLOOKUP(Base_Lançamentos[[#This Row],[Conta]],Referências[Conta],Referências[Categoria da Conta])</f>
        <v>Despesas Operacionais</v>
      </c>
      <c r="I23" s="8" t="str">
        <f>_xlfn.XLOOKUP(Base_Lançamentos[[#This Row],[Conta]],Referências[Conta],Referências[Transação])</f>
        <v>Despesa</v>
      </c>
      <c r="J23" s="8" t="str">
        <f ca="1">IF(Base_Lançamentos[[#This Row],[Realizado]]="Sim","-",Base_Lançamentos[[#This Row],[Data 
Pagamento]]-TODAY())</f>
        <v>-</v>
      </c>
      <c r="K23" s="8" t="str">
        <f ca="1">IF(Base_Lançamentos[[#This Row],[Prazo p/ 
Pagamento]]="-","No prazo","Atrasado")</f>
        <v>No prazo</v>
      </c>
      <c r="L23" s="11">
        <f>IF(Base_Lançamentos[[#This Row],[Transação]]="Receita",Base_Lançamentos[[#This Row],[Valor]],-Base_Lançamentos[[#This Row],[Valor]])</f>
        <v>-1200</v>
      </c>
      <c r="M23" s="5">
        <f>Base_Lançamentos[[#This Row],[Registro de Valor]]+M22</f>
        <v>132100</v>
      </c>
    </row>
    <row r="24" spans="2:13" ht="16.5" x14ac:dyDescent="0.3">
      <c r="B24" s="4" t="s">
        <v>7</v>
      </c>
      <c r="C24" s="4" t="s">
        <v>37</v>
      </c>
      <c r="D24" s="5">
        <v>38000</v>
      </c>
      <c r="E24" s="6">
        <v>45352</v>
      </c>
      <c r="F24" s="6">
        <v>45352</v>
      </c>
      <c r="G24" s="7" t="s">
        <v>38</v>
      </c>
      <c r="H24" s="8" t="str">
        <f>_xlfn.XLOOKUP(Base_Lançamentos[[#This Row],[Conta]],Referências[Conta],Referências[Categoria da Conta])</f>
        <v>Venda de Produto</v>
      </c>
      <c r="I24" s="8" t="str">
        <f>_xlfn.XLOOKUP(Base_Lançamentos[[#This Row],[Conta]],Referências[Conta],Referências[Transação])</f>
        <v>Receita</v>
      </c>
      <c r="J24" s="8" t="str">
        <f ca="1">IF(Base_Lançamentos[[#This Row],[Realizado]]="Sim","-",Base_Lançamentos[[#This Row],[Data 
Pagamento]]-TODAY())</f>
        <v>-</v>
      </c>
      <c r="K24" s="8" t="str">
        <f ca="1">IF(Base_Lançamentos[[#This Row],[Prazo p/ 
Pagamento]]="-","No prazo","Atrasado")</f>
        <v>No prazo</v>
      </c>
      <c r="L24" s="11">
        <f>IF(Base_Lançamentos[[#This Row],[Transação]]="Receita",Base_Lançamentos[[#This Row],[Valor]],-Base_Lançamentos[[#This Row],[Valor]])</f>
        <v>38000</v>
      </c>
      <c r="M24" s="5">
        <f>Base_Lançamentos[[#This Row],[Registro de Valor]]+M23</f>
        <v>170100</v>
      </c>
    </row>
    <row r="25" spans="2:13" ht="16.5" x14ac:dyDescent="0.3">
      <c r="B25" s="4" t="s">
        <v>19</v>
      </c>
      <c r="C25" s="4" t="s">
        <v>37</v>
      </c>
      <c r="D25" s="5">
        <v>5500</v>
      </c>
      <c r="E25" s="6">
        <v>45356</v>
      </c>
      <c r="F25" s="6">
        <v>45356</v>
      </c>
      <c r="G25" s="7" t="s">
        <v>38</v>
      </c>
      <c r="H25" s="8" t="str">
        <f>_xlfn.XLOOKUP(Base_Lançamentos[[#This Row],[Conta]],Referências[Conta],Referências[Categoria da Conta])</f>
        <v>Despesas Operacionais</v>
      </c>
      <c r="I25" s="8" t="str">
        <f>_xlfn.XLOOKUP(Base_Lançamentos[[#This Row],[Conta]],Referências[Conta],Referências[Transação])</f>
        <v>Despesa</v>
      </c>
      <c r="J25" s="8" t="str">
        <f ca="1">IF(Base_Lançamentos[[#This Row],[Realizado]]="Sim","-",Base_Lançamentos[[#This Row],[Data 
Pagamento]]-TODAY())</f>
        <v>-</v>
      </c>
      <c r="K25" s="8" t="str">
        <f ca="1">IF(Base_Lançamentos[[#This Row],[Prazo p/ 
Pagamento]]="-","No prazo","Atrasado")</f>
        <v>No prazo</v>
      </c>
      <c r="L25" s="11">
        <f>IF(Base_Lançamentos[[#This Row],[Transação]]="Receita",Base_Lançamentos[[#This Row],[Valor]],-Base_Lançamentos[[#This Row],[Valor]])</f>
        <v>-5500</v>
      </c>
      <c r="M25" s="5">
        <f>Base_Lançamentos[[#This Row],[Registro de Valor]]+M24</f>
        <v>164600</v>
      </c>
    </row>
    <row r="26" spans="2:13" ht="16.5" x14ac:dyDescent="0.3">
      <c r="B26" s="4" t="s">
        <v>12</v>
      </c>
      <c r="C26" s="4" t="s">
        <v>37</v>
      </c>
      <c r="D26" s="5">
        <v>48000</v>
      </c>
      <c r="E26" s="6">
        <v>45356</v>
      </c>
      <c r="F26" s="6">
        <v>45356</v>
      </c>
      <c r="G26" s="7" t="s">
        <v>38</v>
      </c>
      <c r="H26" s="8" t="str">
        <f>_xlfn.XLOOKUP(Base_Lançamentos[[#This Row],[Conta]],Referências[Conta],Referências[Categoria da Conta])</f>
        <v>Despesas Operacionais</v>
      </c>
      <c r="I26" s="8" t="str">
        <f>_xlfn.XLOOKUP(Base_Lançamentos[[#This Row],[Conta]],Referências[Conta],Referências[Transação])</f>
        <v>Despesa</v>
      </c>
      <c r="J26" s="8" t="str">
        <f ca="1">IF(Base_Lançamentos[[#This Row],[Realizado]]="Sim","-",Base_Lançamentos[[#This Row],[Data 
Pagamento]]-TODAY())</f>
        <v>-</v>
      </c>
      <c r="K26" s="8" t="str">
        <f ca="1">IF(Base_Lançamentos[[#This Row],[Prazo p/ 
Pagamento]]="-","No prazo","Atrasado")</f>
        <v>No prazo</v>
      </c>
      <c r="L26" s="11">
        <f>IF(Base_Lançamentos[[#This Row],[Transação]]="Receita",Base_Lançamentos[[#This Row],[Valor]],-Base_Lançamentos[[#This Row],[Valor]])</f>
        <v>-48000</v>
      </c>
      <c r="M26" s="5">
        <f>Base_Lançamentos[[#This Row],[Registro de Valor]]+M25</f>
        <v>116600</v>
      </c>
    </row>
    <row r="27" spans="2:13" ht="16.5" x14ac:dyDescent="0.3">
      <c r="B27" s="4" t="s">
        <v>9</v>
      </c>
      <c r="C27" s="4" t="s">
        <v>39</v>
      </c>
      <c r="D27" s="5">
        <v>65000</v>
      </c>
      <c r="E27" s="6">
        <v>45361</v>
      </c>
      <c r="F27" s="6">
        <v>45392</v>
      </c>
      <c r="G27" s="7" t="s">
        <v>41</v>
      </c>
      <c r="H27" s="8" t="str">
        <f>_xlfn.XLOOKUP(Base_Lançamentos[[#This Row],[Conta]],Referências[Conta],Referências[Categoria da Conta])</f>
        <v>Venda de Produto</v>
      </c>
      <c r="I27" s="8" t="str">
        <f>_xlfn.XLOOKUP(Base_Lançamentos[[#This Row],[Conta]],Referências[Conta],Referências[Transação])</f>
        <v>Receita</v>
      </c>
      <c r="J27" s="8">
        <f ca="1">IF(Base_Lançamentos[[#This Row],[Realizado]]="Sim","-",Base_Lançamentos[[#This Row],[Data 
Pagamento]]-TODAY())</f>
        <v>-565</v>
      </c>
      <c r="K27" s="8" t="str">
        <f ca="1">IF(Base_Lançamentos[[#This Row],[Prazo p/ 
Pagamento]]="-","No prazo","Atrasado")</f>
        <v>Atrasado</v>
      </c>
      <c r="L27" s="11">
        <f>IF(Base_Lançamentos[[#This Row],[Transação]]="Receita",Base_Lançamentos[[#This Row],[Valor]],-Base_Lançamentos[[#This Row],[Valor]])</f>
        <v>65000</v>
      </c>
      <c r="M27" s="5">
        <f>Base_Lançamentos[[#This Row],[Registro de Valor]]+M26</f>
        <v>181600</v>
      </c>
    </row>
    <row r="28" spans="2:13" ht="16.5" x14ac:dyDescent="0.3">
      <c r="B28" s="4" t="s">
        <v>18</v>
      </c>
      <c r="C28" s="4" t="s">
        <v>40</v>
      </c>
      <c r="D28" s="5">
        <v>4000</v>
      </c>
      <c r="E28" s="6">
        <v>45366</v>
      </c>
      <c r="F28" s="6">
        <v>45366</v>
      </c>
      <c r="G28" s="7" t="s">
        <v>38</v>
      </c>
      <c r="H28" s="8" t="str">
        <f>_xlfn.XLOOKUP(Base_Lançamentos[[#This Row],[Conta]],Referências[Conta],Referências[Categoria da Conta])</f>
        <v>Despesas Operacionais</v>
      </c>
      <c r="I28" s="8" t="str">
        <f>_xlfn.XLOOKUP(Base_Lançamentos[[#This Row],[Conta]],Referências[Conta],Referências[Transação])</f>
        <v>Despesa</v>
      </c>
      <c r="J28" s="8" t="str">
        <f ca="1">IF(Base_Lançamentos[[#This Row],[Realizado]]="Sim","-",Base_Lançamentos[[#This Row],[Data 
Pagamento]]-TODAY())</f>
        <v>-</v>
      </c>
      <c r="K28" s="8" t="str">
        <f ca="1">IF(Base_Lançamentos[[#This Row],[Prazo p/ 
Pagamento]]="-","No prazo","Atrasado")</f>
        <v>No prazo</v>
      </c>
      <c r="L28" s="11">
        <f>IF(Base_Lançamentos[[#This Row],[Transação]]="Receita",Base_Lançamentos[[#This Row],[Valor]],-Base_Lançamentos[[#This Row],[Valor]])</f>
        <v>-4000</v>
      </c>
      <c r="M28" s="5">
        <f>Base_Lançamentos[[#This Row],[Registro de Valor]]+M27</f>
        <v>177600</v>
      </c>
    </row>
    <row r="29" spans="2:13" ht="16.5" x14ac:dyDescent="0.3">
      <c r="B29" s="4" t="s">
        <v>28</v>
      </c>
      <c r="C29" s="4" t="s">
        <v>37</v>
      </c>
      <c r="D29" s="5">
        <v>2500</v>
      </c>
      <c r="E29" s="6">
        <v>45371</v>
      </c>
      <c r="F29" s="6">
        <v>45371</v>
      </c>
      <c r="G29" s="7" t="s">
        <v>38</v>
      </c>
      <c r="H29" s="8" t="str">
        <f>_xlfn.XLOOKUP(Base_Lançamentos[[#This Row],[Conta]],Referências[Conta],Referências[Categoria da Conta])</f>
        <v>Impostos</v>
      </c>
      <c r="I29" s="8" t="str">
        <f>_xlfn.XLOOKUP(Base_Lançamentos[[#This Row],[Conta]],Referências[Conta],Referências[Transação])</f>
        <v>Despesa</v>
      </c>
      <c r="J29" s="8" t="str">
        <f ca="1">IF(Base_Lançamentos[[#This Row],[Realizado]]="Sim","-",Base_Lançamentos[[#This Row],[Data 
Pagamento]]-TODAY())</f>
        <v>-</v>
      </c>
      <c r="K29" s="8" t="str">
        <f ca="1">IF(Base_Lançamentos[[#This Row],[Prazo p/ 
Pagamento]]="-","No prazo","Atrasado")</f>
        <v>No prazo</v>
      </c>
      <c r="L29" s="11">
        <f>IF(Base_Lançamentos[[#This Row],[Transação]]="Receita",Base_Lançamentos[[#This Row],[Valor]],-Base_Lançamentos[[#This Row],[Valor]])</f>
        <v>-2500</v>
      </c>
      <c r="M29" s="5">
        <f>Base_Lançamentos[[#This Row],[Registro de Valor]]+M28</f>
        <v>175100</v>
      </c>
    </row>
    <row r="30" spans="2:13" ht="16.5" x14ac:dyDescent="0.3">
      <c r="B30" s="4" t="s">
        <v>17</v>
      </c>
      <c r="C30" s="4" t="s">
        <v>39</v>
      </c>
      <c r="D30" s="5">
        <v>900</v>
      </c>
      <c r="E30" s="6">
        <v>45376</v>
      </c>
      <c r="F30" s="6">
        <v>45376</v>
      </c>
      <c r="G30" s="7" t="s">
        <v>38</v>
      </c>
      <c r="H30" s="8" t="str">
        <f>_xlfn.XLOOKUP(Base_Lançamentos[[#This Row],[Conta]],Referências[Conta],Referências[Categoria da Conta])</f>
        <v>Despesas Operacionais</v>
      </c>
      <c r="I30" s="8" t="str">
        <f>_xlfn.XLOOKUP(Base_Lançamentos[[#This Row],[Conta]],Referências[Conta],Referências[Transação])</f>
        <v>Despesa</v>
      </c>
      <c r="J30" s="8" t="str">
        <f ca="1">IF(Base_Lançamentos[[#This Row],[Realizado]]="Sim","-",Base_Lançamentos[[#This Row],[Data 
Pagamento]]-TODAY())</f>
        <v>-</v>
      </c>
      <c r="K30" s="8" t="str">
        <f ca="1">IF(Base_Lançamentos[[#This Row],[Prazo p/ 
Pagamento]]="-","No prazo","Atrasado")</f>
        <v>No prazo</v>
      </c>
      <c r="L30" s="11">
        <f>IF(Base_Lançamentos[[#This Row],[Transação]]="Receita",Base_Lançamentos[[#This Row],[Valor]],-Base_Lançamentos[[#This Row],[Valor]])</f>
        <v>-900</v>
      </c>
      <c r="M30" s="5">
        <f>Base_Lançamentos[[#This Row],[Registro de Valor]]+M29</f>
        <v>174200</v>
      </c>
    </row>
    <row r="31" spans="2:13" ht="16.5" x14ac:dyDescent="0.3">
      <c r="B31" s="4" t="s">
        <v>5</v>
      </c>
      <c r="C31" s="4" t="s">
        <v>39</v>
      </c>
      <c r="D31" s="5">
        <v>49000</v>
      </c>
      <c r="E31" s="6">
        <v>45383</v>
      </c>
      <c r="F31" s="6">
        <v>45383</v>
      </c>
      <c r="G31" s="7" t="s">
        <v>38</v>
      </c>
      <c r="H31" s="8" t="str">
        <f>_xlfn.XLOOKUP(Base_Lançamentos[[#This Row],[Conta]],Referências[Conta],Referências[Categoria da Conta])</f>
        <v>Venda de Produto</v>
      </c>
      <c r="I31" s="8" t="str">
        <f>_xlfn.XLOOKUP(Base_Lançamentos[[#This Row],[Conta]],Referências[Conta],Referências[Transação])</f>
        <v>Receita</v>
      </c>
      <c r="J31" s="8" t="str">
        <f ca="1">IF(Base_Lançamentos[[#This Row],[Realizado]]="Sim","-",Base_Lançamentos[[#This Row],[Data 
Pagamento]]-TODAY())</f>
        <v>-</v>
      </c>
      <c r="K31" s="8" t="str">
        <f ca="1">IF(Base_Lançamentos[[#This Row],[Prazo p/ 
Pagamento]]="-","No prazo","Atrasado")</f>
        <v>No prazo</v>
      </c>
      <c r="L31" s="11">
        <f>IF(Base_Lançamentos[[#This Row],[Transação]]="Receita",Base_Lançamentos[[#This Row],[Valor]],-Base_Lançamentos[[#This Row],[Valor]])</f>
        <v>49000</v>
      </c>
      <c r="M31" s="5">
        <f>Base_Lançamentos[[#This Row],[Registro de Valor]]+M30</f>
        <v>223200</v>
      </c>
    </row>
    <row r="32" spans="2:13" ht="16.5" x14ac:dyDescent="0.3">
      <c r="B32" s="4" t="s">
        <v>12</v>
      </c>
      <c r="C32" s="4" t="s">
        <v>37</v>
      </c>
      <c r="D32" s="5">
        <v>48000</v>
      </c>
      <c r="E32" s="6">
        <v>45387</v>
      </c>
      <c r="F32" s="6">
        <v>45387</v>
      </c>
      <c r="G32" s="7" t="s">
        <v>38</v>
      </c>
      <c r="H32" s="8" t="str">
        <f>_xlfn.XLOOKUP(Base_Lançamentos[[#This Row],[Conta]],Referências[Conta],Referências[Categoria da Conta])</f>
        <v>Despesas Operacionais</v>
      </c>
      <c r="I32" s="8" t="str">
        <f>_xlfn.XLOOKUP(Base_Lançamentos[[#This Row],[Conta]],Referências[Conta],Referências[Transação])</f>
        <v>Despesa</v>
      </c>
      <c r="J32" s="8" t="str">
        <f ca="1">IF(Base_Lançamentos[[#This Row],[Realizado]]="Sim","-",Base_Lançamentos[[#This Row],[Data 
Pagamento]]-TODAY())</f>
        <v>-</v>
      </c>
      <c r="K32" s="8" t="str">
        <f ca="1">IF(Base_Lançamentos[[#This Row],[Prazo p/ 
Pagamento]]="-","No prazo","Atrasado")</f>
        <v>No prazo</v>
      </c>
      <c r="L32" s="11">
        <f>IF(Base_Lançamentos[[#This Row],[Transação]]="Receita",Base_Lançamentos[[#This Row],[Valor]],-Base_Lançamentos[[#This Row],[Valor]])</f>
        <v>-48000</v>
      </c>
      <c r="M32" s="5">
        <f>Base_Lançamentos[[#This Row],[Registro de Valor]]+M31</f>
        <v>175200</v>
      </c>
    </row>
    <row r="33" spans="2:13" ht="16.5" x14ac:dyDescent="0.3">
      <c r="B33" s="4" t="s">
        <v>15</v>
      </c>
      <c r="C33" s="4" t="s">
        <v>37</v>
      </c>
      <c r="D33" s="5">
        <v>8500</v>
      </c>
      <c r="E33" s="6">
        <v>45387</v>
      </c>
      <c r="F33" s="6">
        <v>45387</v>
      </c>
      <c r="G33" s="7" t="s">
        <v>38</v>
      </c>
      <c r="H33" s="8" t="str">
        <f>_xlfn.XLOOKUP(Base_Lançamentos[[#This Row],[Conta]],Referências[Conta],Referências[Categoria da Conta])</f>
        <v>Despesas Operacionais</v>
      </c>
      <c r="I33" s="8" t="str">
        <f>_xlfn.XLOOKUP(Base_Lançamentos[[#This Row],[Conta]],Referências[Conta],Referências[Transação])</f>
        <v>Despesa</v>
      </c>
      <c r="J33" s="8" t="str">
        <f ca="1">IF(Base_Lançamentos[[#This Row],[Realizado]]="Sim","-",Base_Lançamentos[[#This Row],[Data 
Pagamento]]-TODAY())</f>
        <v>-</v>
      </c>
      <c r="K33" s="8" t="str">
        <f ca="1">IF(Base_Lançamentos[[#This Row],[Prazo p/ 
Pagamento]]="-","No prazo","Atrasado")</f>
        <v>No prazo</v>
      </c>
      <c r="L33" s="11">
        <f>IF(Base_Lançamentos[[#This Row],[Transação]]="Receita",Base_Lançamentos[[#This Row],[Valor]],-Base_Lançamentos[[#This Row],[Valor]])</f>
        <v>-8500</v>
      </c>
      <c r="M33" s="5">
        <f>Base_Lançamentos[[#This Row],[Registro de Valor]]+M32</f>
        <v>166700</v>
      </c>
    </row>
    <row r="34" spans="2:13" ht="16.5" x14ac:dyDescent="0.3">
      <c r="B34" s="4" t="s">
        <v>8</v>
      </c>
      <c r="C34" s="4" t="s">
        <v>40</v>
      </c>
      <c r="D34" s="5">
        <v>15000</v>
      </c>
      <c r="E34" s="6">
        <v>45392</v>
      </c>
      <c r="F34" s="6">
        <v>45422</v>
      </c>
      <c r="G34" s="7" t="s">
        <v>41</v>
      </c>
      <c r="H34" s="8" t="str">
        <f>_xlfn.XLOOKUP(Base_Lançamentos[[#This Row],[Conta]],Referências[Conta],Referências[Categoria da Conta])</f>
        <v>Venda de Produto</v>
      </c>
      <c r="I34" s="8" t="str">
        <f>_xlfn.XLOOKUP(Base_Lançamentos[[#This Row],[Conta]],Referências[Conta],Referências[Transação])</f>
        <v>Receita</v>
      </c>
      <c r="J34" s="8">
        <f ca="1">IF(Base_Lançamentos[[#This Row],[Realizado]]="Sim","-",Base_Lançamentos[[#This Row],[Data 
Pagamento]]-TODAY())</f>
        <v>-535</v>
      </c>
      <c r="K34" s="8" t="str">
        <f ca="1">IF(Base_Lançamentos[[#This Row],[Prazo p/ 
Pagamento]]="-","No prazo","Atrasado")</f>
        <v>Atrasado</v>
      </c>
      <c r="L34" s="11">
        <f>IF(Base_Lançamentos[[#This Row],[Transação]]="Receita",Base_Lançamentos[[#This Row],[Valor]],-Base_Lançamentos[[#This Row],[Valor]])</f>
        <v>15000</v>
      </c>
      <c r="M34" s="5">
        <f>Base_Lançamentos[[#This Row],[Registro de Valor]]+M33</f>
        <v>181700</v>
      </c>
    </row>
    <row r="35" spans="2:13" ht="16.5" x14ac:dyDescent="0.3">
      <c r="B35" s="4" t="s">
        <v>24</v>
      </c>
      <c r="C35" s="4" t="s">
        <v>40</v>
      </c>
      <c r="D35" s="5">
        <v>1200</v>
      </c>
      <c r="E35" s="6">
        <v>45397</v>
      </c>
      <c r="F35" s="6">
        <v>45427</v>
      </c>
      <c r="G35" s="7" t="s">
        <v>41</v>
      </c>
      <c r="H35" s="8" t="str">
        <f>_xlfn.XLOOKUP(Base_Lançamentos[[#This Row],[Conta]],Referências[Conta],Referências[Categoria da Conta])</f>
        <v>Despesas Administrativas</v>
      </c>
      <c r="I35" s="8" t="str">
        <f>_xlfn.XLOOKUP(Base_Lançamentos[[#This Row],[Conta]],Referências[Conta],Referências[Transação])</f>
        <v>Despesa</v>
      </c>
      <c r="J35" s="8">
        <f ca="1">IF(Base_Lançamentos[[#This Row],[Realizado]]="Sim","-",Base_Lançamentos[[#This Row],[Data 
Pagamento]]-TODAY())</f>
        <v>-530</v>
      </c>
      <c r="K35" s="8" t="str">
        <f ca="1">IF(Base_Lançamentos[[#This Row],[Prazo p/ 
Pagamento]]="-","No prazo","Atrasado")</f>
        <v>Atrasado</v>
      </c>
      <c r="L35" s="11">
        <f>IF(Base_Lançamentos[[#This Row],[Transação]]="Receita",Base_Lançamentos[[#This Row],[Valor]],-Base_Lançamentos[[#This Row],[Valor]])</f>
        <v>-1200</v>
      </c>
      <c r="M35" s="5">
        <f>Base_Lançamentos[[#This Row],[Registro de Valor]]+M34</f>
        <v>180500</v>
      </c>
    </row>
    <row r="36" spans="2:13" ht="16.5" x14ac:dyDescent="0.3">
      <c r="B36" s="4" t="s">
        <v>20</v>
      </c>
      <c r="C36" s="4" t="s">
        <v>37</v>
      </c>
      <c r="D36" s="5">
        <v>600</v>
      </c>
      <c r="E36" s="6">
        <v>45402</v>
      </c>
      <c r="F36" s="6">
        <v>45402</v>
      </c>
      <c r="G36" s="7" t="s">
        <v>38</v>
      </c>
      <c r="H36" s="8" t="str">
        <f>_xlfn.XLOOKUP(Base_Lançamentos[[#This Row],[Conta]],Referências[Conta],Referências[Categoria da Conta])</f>
        <v>Despesas Operacionais</v>
      </c>
      <c r="I36" s="8" t="str">
        <f>_xlfn.XLOOKUP(Base_Lançamentos[[#This Row],[Conta]],Referências[Conta],Referências[Transação])</f>
        <v>Despesa</v>
      </c>
      <c r="J36" s="8" t="str">
        <f ca="1">IF(Base_Lançamentos[[#This Row],[Realizado]]="Sim","-",Base_Lançamentos[[#This Row],[Data 
Pagamento]]-TODAY())</f>
        <v>-</v>
      </c>
      <c r="K36" s="8" t="str">
        <f ca="1">IF(Base_Lançamentos[[#This Row],[Prazo p/ 
Pagamento]]="-","No prazo","Atrasado")</f>
        <v>No prazo</v>
      </c>
      <c r="L36" s="11">
        <f>IF(Base_Lançamentos[[#This Row],[Transação]]="Receita",Base_Lançamentos[[#This Row],[Valor]],-Base_Lançamentos[[#This Row],[Valor]])</f>
        <v>-600</v>
      </c>
      <c r="M36" s="5">
        <f>Base_Lançamentos[[#This Row],[Registro de Valor]]+M35</f>
        <v>179900</v>
      </c>
    </row>
    <row r="37" spans="2:13" ht="16.5" x14ac:dyDescent="0.3">
      <c r="B37" s="4" t="s">
        <v>16</v>
      </c>
      <c r="C37" s="4" t="s">
        <v>39</v>
      </c>
      <c r="D37" s="5">
        <v>1300</v>
      </c>
      <c r="E37" s="6">
        <v>45407</v>
      </c>
      <c r="F37" s="6">
        <v>45407</v>
      </c>
      <c r="G37" s="7" t="s">
        <v>38</v>
      </c>
      <c r="H37" s="8" t="str">
        <f>_xlfn.XLOOKUP(Base_Lançamentos[[#This Row],[Conta]],Referências[Conta],Referências[Categoria da Conta])</f>
        <v>Despesas Operacionais</v>
      </c>
      <c r="I37" s="8" t="str">
        <f>_xlfn.XLOOKUP(Base_Lançamentos[[#This Row],[Conta]],Referências[Conta],Referências[Transação])</f>
        <v>Despesa</v>
      </c>
      <c r="J37" s="8" t="str">
        <f ca="1">IF(Base_Lançamentos[[#This Row],[Realizado]]="Sim","-",Base_Lançamentos[[#This Row],[Data 
Pagamento]]-TODAY())</f>
        <v>-</v>
      </c>
      <c r="K37" s="8" t="str">
        <f ca="1">IF(Base_Lançamentos[[#This Row],[Prazo p/ 
Pagamento]]="-","No prazo","Atrasado")</f>
        <v>No prazo</v>
      </c>
      <c r="L37" s="11">
        <f>IF(Base_Lançamentos[[#This Row],[Transação]]="Receita",Base_Lançamentos[[#This Row],[Valor]],-Base_Lançamentos[[#This Row],[Valor]])</f>
        <v>-1300</v>
      </c>
      <c r="M37" s="5">
        <f>Base_Lançamentos[[#This Row],[Registro de Valor]]+M36</f>
        <v>178600</v>
      </c>
    </row>
    <row r="38" spans="2:13" ht="16.5" x14ac:dyDescent="0.3">
      <c r="B38" s="4" t="s">
        <v>7</v>
      </c>
      <c r="C38" s="4" t="s">
        <v>37</v>
      </c>
      <c r="D38" s="5">
        <v>40000</v>
      </c>
      <c r="E38" s="6">
        <v>45413</v>
      </c>
      <c r="F38" s="6">
        <v>45413</v>
      </c>
      <c r="G38" s="7" t="s">
        <v>38</v>
      </c>
      <c r="H38" s="8" t="str">
        <f>_xlfn.XLOOKUP(Base_Lançamentos[[#This Row],[Conta]],Referências[Conta],Referências[Categoria da Conta])</f>
        <v>Venda de Produto</v>
      </c>
      <c r="I38" s="8" t="str">
        <f>_xlfn.XLOOKUP(Base_Lançamentos[[#This Row],[Conta]],Referências[Conta],Referências[Transação])</f>
        <v>Receita</v>
      </c>
      <c r="J38" s="8" t="str">
        <f ca="1">IF(Base_Lançamentos[[#This Row],[Realizado]]="Sim","-",Base_Lançamentos[[#This Row],[Data 
Pagamento]]-TODAY())</f>
        <v>-</v>
      </c>
      <c r="K38" s="8" t="str">
        <f ca="1">IF(Base_Lançamentos[[#This Row],[Prazo p/ 
Pagamento]]="-","No prazo","Atrasado")</f>
        <v>No prazo</v>
      </c>
      <c r="L38" s="11">
        <f>IF(Base_Lançamentos[[#This Row],[Transação]]="Receita",Base_Lançamentos[[#This Row],[Valor]],-Base_Lançamentos[[#This Row],[Valor]])</f>
        <v>40000</v>
      </c>
      <c r="M38" s="5">
        <f>Base_Lançamentos[[#This Row],[Registro de Valor]]+M37</f>
        <v>218600</v>
      </c>
    </row>
    <row r="39" spans="2:13" ht="16.5" x14ac:dyDescent="0.3">
      <c r="B39" s="4" t="s">
        <v>19</v>
      </c>
      <c r="C39" s="4" t="s">
        <v>39</v>
      </c>
      <c r="D39" s="5">
        <v>6000</v>
      </c>
      <c r="E39" s="6">
        <v>45417</v>
      </c>
      <c r="F39" s="6">
        <v>45417</v>
      </c>
      <c r="G39" s="7" t="s">
        <v>38</v>
      </c>
      <c r="H39" s="8" t="str">
        <f>_xlfn.XLOOKUP(Base_Lançamentos[[#This Row],[Conta]],Referências[Conta],Referências[Categoria da Conta])</f>
        <v>Despesas Operacionais</v>
      </c>
      <c r="I39" s="8" t="str">
        <f>_xlfn.XLOOKUP(Base_Lançamentos[[#This Row],[Conta]],Referências[Conta],Referências[Transação])</f>
        <v>Despesa</v>
      </c>
      <c r="J39" s="8" t="str">
        <f ca="1">IF(Base_Lançamentos[[#This Row],[Realizado]]="Sim","-",Base_Lançamentos[[#This Row],[Data 
Pagamento]]-TODAY())</f>
        <v>-</v>
      </c>
      <c r="K39" s="8" t="str">
        <f ca="1">IF(Base_Lançamentos[[#This Row],[Prazo p/ 
Pagamento]]="-","No prazo","Atrasado")</f>
        <v>No prazo</v>
      </c>
      <c r="L39" s="11">
        <f>IF(Base_Lançamentos[[#This Row],[Transação]]="Receita",Base_Lançamentos[[#This Row],[Valor]],-Base_Lançamentos[[#This Row],[Valor]])</f>
        <v>-6000</v>
      </c>
      <c r="M39" s="5">
        <f>Base_Lançamentos[[#This Row],[Registro de Valor]]+M38</f>
        <v>212600</v>
      </c>
    </row>
    <row r="40" spans="2:13" ht="16.5" x14ac:dyDescent="0.3">
      <c r="B40" s="4" t="s">
        <v>12</v>
      </c>
      <c r="C40" s="4" t="s">
        <v>37</v>
      </c>
      <c r="D40" s="5">
        <v>48000</v>
      </c>
      <c r="E40" s="6">
        <v>45417</v>
      </c>
      <c r="F40" s="6">
        <v>45417</v>
      </c>
      <c r="G40" s="7" t="s">
        <v>38</v>
      </c>
      <c r="H40" s="8" t="str">
        <f>_xlfn.XLOOKUP(Base_Lançamentos[[#This Row],[Conta]],Referências[Conta],Referências[Categoria da Conta])</f>
        <v>Despesas Operacionais</v>
      </c>
      <c r="I40" s="8" t="str">
        <f>_xlfn.XLOOKUP(Base_Lançamentos[[#This Row],[Conta]],Referências[Conta],Referências[Transação])</f>
        <v>Despesa</v>
      </c>
      <c r="J40" s="8" t="str">
        <f ca="1">IF(Base_Lançamentos[[#This Row],[Realizado]]="Sim","-",Base_Lançamentos[[#This Row],[Data 
Pagamento]]-TODAY())</f>
        <v>-</v>
      </c>
      <c r="K40" s="8" t="str">
        <f ca="1">IF(Base_Lançamentos[[#This Row],[Prazo p/ 
Pagamento]]="-","No prazo","Atrasado")</f>
        <v>No prazo</v>
      </c>
      <c r="L40" s="11">
        <f>IF(Base_Lançamentos[[#This Row],[Transação]]="Receita",Base_Lançamentos[[#This Row],[Valor]],-Base_Lançamentos[[#This Row],[Valor]])</f>
        <v>-48000</v>
      </c>
      <c r="M40" s="5">
        <f>Base_Lançamentos[[#This Row],[Registro de Valor]]+M39</f>
        <v>164600</v>
      </c>
    </row>
    <row r="41" spans="2:13" ht="16.5" x14ac:dyDescent="0.3">
      <c r="B41" s="4" t="s">
        <v>23</v>
      </c>
      <c r="C41" s="4" t="s">
        <v>40</v>
      </c>
      <c r="D41" s="5">
        <v>500</v>
      </c>
      <c r="E41" s="6">
        <v>45422</v>
      </c>
      <c r="F41" s="6">
        <v>45422</v>
      </c>
      <c r="G41" s="7" t="s">
        <v>38</v>
      </c>
      <c r="H41" s="8" t="str">
        <f>_xlfn.XLOOKUP(Base_Lançamentos[[#This Row],[Conta]],Referências[Conta],Referências[Categoria da Conta])</f>
        <v>Despesas Operacionais</v>
      </c>
      <c r="I41" s="8" t="str">
        <f>_xlfn.XLOOKUP(Base_Lançamentos[[#This Row],[Conta]],Referências[Conta],Referências[Transação])</f>
        <v>Despesa</v>
      </c>
      <c r="J41" s="8" t="str">
        <f ca="1">IF(Base_Lançamentos[[#This Row],[Realizado]]="Sim","-",Base_Lançamentos[[#This Row],[Data 
Pagamento]]-TODAY())</f>
        <v>-</v>
      </c>
      <c r="K41" s="8" t="str">
        <f ca="1">IF(Base_Lançamentos[[#This Row],[Prazo p/ 
Pagamento]]="-","No prazo","Atrasado")</f>
        <v>No prazo</v>
      </c>
      <c r="L41" s="11">
        <f>IF(Base_Lançamentos[[#This Row],[Transação]]="Receita",Base_Lançamentos[[#This Row],[Valor]],-Base_Lançamentos[[#This Row],[Valor]])</f>
        <v>-500</v>
      </c>
      <c r="M41" s="5">
        <f>Base_Lançamentos[[#This Row],[Registro de Valor]]+M40</f>
        <v>164100</v>
      </c>
    </row>
    <row r="42" spans="2:13" ht="16.5" x14ac:dyDescent="0.3">
      <c r="B42" s="4" t="s">
        <v>9</v>
      </c>
      <c r="C42" s="4" t="s">
        <v>39</v>
      </c>
      <c r="D42" s="5">
        <v>70000</v>
      </c>
      <c r="E42" s="6">
        <v>45427</v>
      </c>
      <c r="F42" s="6">
        <v>45427</v>
      </c>
      <c r="G42" s="7" t="s">
        <v>38</v>
      </c>
      <c r="H42" s="8" t="str">
        <f>_xlfn.XLOOKUP(Base_Lançamentos[[#This Row],[Conta]],Referências[Conta],Referências[Categoria da Conta])</f>
        <v>Venda de Produto</v>
      </c>
      <c r="I42" s="8" t="str">
        <f>_xlfn.XLOOKUP(Base_Lançamentos[[#This Row],[Conta]],Referências[Conta],Referências[Transação])</f>
        <v>Receita</v>
      </c>
      <c r="J42" s="8" t="str">
        <f ca="1">IF(Base_Lançamentos[[#This Row],[Realizado]]="Sim","-",Base_Lançamentos[[#This Row],[Data 
Pagamento]]-TODAY())</f>
        <v>-</v>
      </c>
      <c r="K42" s="8" t="str">
        <f ca="1">IF(Base_Lançamentos[[#This Row],[Prazo p/ 
Pagamento]]="-","No prazo","Atrasado")</f>
        <v>No prazo</v>
      </c>
      <c r="L42" s="11">
        <f>IF(Base_Lançamentos[[#This Row],[Transação]]="Receita",Base_Lançamentos[[#This Row],[Valor]],-Base_Lançamentos[[#This Row],[Valor]])</f>
        <v>70000</v>
      </c>
      <c r="M42" s="5">
        <f>Base_Lançamentos[[#This Row],[Registro de Valor]]+M41</f>
        <v>234100</v>
      </c>
    </row>
    <row r="43" spans="2:13" ht="16.5" x14ac:dyDescent="0.3">
      <c r="B43" s="4" t="s">
        <v>28</v>
      </c>
      <c r="C43" s="4" t="s">
        <v>37</v>
      </c>
      <c r="D43" s="5">
        <v>3000</v>
      </c>
      <c r="E43" s="6">
        <v>45432</v>
      </c>
      <c r="F43" s="6">
        <v>45432</v>
      </c>
      <c r="G43" s="7" t="s">
        <v>38</v>
      </c>
      <c r="H43" s="8" t="str">
        <f>_xlfn.XLOOKUP(Base_Lançamentos[[#This Row],[Conta]],Referências[Conta],Referências[Categoria da Conta])</f>
        <v>Impostos</v>
      </c>
      <c r="I43" s="8" t="str">
        <f>_xlfn.XLOOKUP(Base_Lançamentos[[#This Row],[Conta]],Referências[Conta],Referências[Transação])</f>
        <v>Despesa</v>
      </c>
      <c r="J43" s="8" t="str">
        <f ca="1">IF(Base_Lançamentos[[#This Row],[Realizado]]="Sim","-",Base_Lançamentos[[#This Row],[Data 
Pagamento]]-TODAY())</f>
        <v>-</v>
      </c>
      <c r="K43" s="8" t="str">
        <f ca="1">IF(Base_Lançamentos[[#This Row],[Prazo p/ 
Pagamento]]="-","No prazo","Atrasado")</f>
        <v>No prazo</v>
      </c>
      <c r="L43" s="11">
        <f>IF(Base_Lançamentos[[#This Row],[Transação]]="Receita",Base_Lançamentos[[#This Row],[Valor]],-Base_Lançamentos[[#This Row],[Valor]])</f>
        <v>-3000</v>
      </c>
      <c r="M43" s="5">
        <f>Base_Lançamentos[[#This Row],[Registro de Valor]]+M42</f>
        <v>231100</v>
      </c>
    </row>
    <row r="44" spans="2:13" ht="16.5" x14ac:dyDescent="0.3">
      <c r="B44" s="4" t="s">
        <v>17</v>
      </c>
      <c r="C44" s="4" t="s">
        <v>39</v>
      </c>
      <c r="D44" s="5">
        <v>950</v>
      </c>
      <c r="E44" s="6">
        <v>45437</v>
      </c>
      <c r="F44" s="6">
        <v>45437</v>
      </c>
      <c r="G44" s="7" t="s">
        <v>38</v>
      </c>
      <c r="H44" s="8" t="str">
        <f>_xlfn.XLOOKUP(Base_Lançamentos[[#This Row],[Conta]],Referências[Conta],Referências[Categoria da Conta])</f>
        <v>Despesas Operacionais</v>
      </c>
      <c r="I44" s="8" t="str">
        <f>_xlfn.XLOOKUP(Base_Lançamentos[[#This Row],[Conta]],Referências[Conta],Referências[Transação])</f>
        <v>Despesa</v>
      </c>
      <c r="J44" s="8" t="str">
        <f ca="1">IF(Base_Lançamentos[[#This Row],[Realizado]]="Sim","-",Base_Lançamentos[[#This Row],[Data 
Pagamento]]-TODAY())</f>
        <v>-</v>
      </c>
      <c r="K44" s="8" t="str">
        <f ca="1">IF(Base_Lançamentos[[#This Row],[Prazo p/ 
Pagamento]]="-","No prazo","Atrasado")</f>
        <v>No prazo</v>
      </c>
      <c r="L44" s="11">
        <f>IF(Base_Lançamentos[[#This Row],[Transação]]="Receita",Base_Lançamentos[[#This Row],[Valor]],-Base_Lançamentos[[#This Row],[Valor]])</f>
        <v>-950</v>
      </c>
      <c r="M44" s="5">
        <f>Base_Lançamentos[[#This Row],[Registro de Valor]]+M43</f>
        <v>230150</v>
      </c>
    </row>
    <row r="45" spans="2:13" ht="16.5" x14ac:dyDescent="0.3">
      <c r="B45" s="4" t="s">
        <v>5</v>
      </c>
      <c r="C45" s="4" t="s">
        <v>40</v>
      </c>
      <c r="D45" s="5">
        <v>52000</v>
      </c>
      <c r="E45" s="6">
        <v>45444</v>
      </c>
      <c r="F45" s="6">
        <v>45474</v>
      </c>
      <c r="G45" s="7" t="s">
        <v>41</v>
      </c>
      <c r="H45" s="8" t="str">
        <f>_xlfn.XLOOKUP(Base_Lançamentos[[#This Row],[Conta]],Referências[Conta],Referências[Categoria da Conta])</f>
        <v>Venda de Produto</v>
      </c>
      <c r="I45" s="8" t="str">
        <f>_xlfn.XLOOKUP(Base_Lançamentos[[#This Row],[Conta]],Referências[Conta],Referências[Transação])</f>
        <v>Receita</v>
      </c>
      <c r="J45" s="8">
        <f ca="1">IF(Base_Lançamentos[[#This Row],[Realizado]]="Sim","-",Base_Lançamentos[[#This Row],[Data 
Pagamento]]-TODAY())</f>
        <v>-483</v>
      </c>
      <c r="K45" s="8" t="str">
        <f ca="1">IF(Base_Lançamentos[[#This Row],[Prazo p/ 
Pagamento]]="-","No prazo","Atrasado")</f>
        <v>Atrasado</v>
      </c>
      <c r="L45" s="11">
        <f>IF(Base_Lançamentos[[#This Row],[Transação]]="Receita",Base_Lançamentos[[#This Row],[Valor]],-Base_Lançamentos[[#This Row],[Valor]])</f>
        <v>52000</v>
      </c>
      <c r="M45" s="5">
        <f>Base_Lançamentos[[#This Row],[Registro de Valor]]+M44</f>
        <v>282150</v>
      </c>
    </row>
    <row r="46" spans="2:13" ht="16.5" x14ac:dyDescent="0.3">
      <c r="B46" s="4" t="s">
        <v>12</v>
      </c>
      <c r="C46" s="4" t="s">
        <v>37</v>
      </c>
      <c r="D46" s="5">
        <v>48000</v>
      </c>
      <c r="E46" s="6">
        <v>45448</v>
      </c>
      <c r="F46" s="6">
        <v>45448</v>
      </c>
      <c r="G46" s="7" t="s">
        <v>38</v>
      </c>
      <c r="H46" s="8" t="str">
        <f>_xlfn.XLOOKUP(Base_Lançamentos[[#This Row],[Conta]],Referências[Conta],Referências[Categoria da Conta])</f>
        <v>Despesas Operacionais</v>
      </c>
      <c r="I46" s="8" t="str">
        <f>_xlfn.XLOOKUP(Base_Lançamentos[[#This Row],[Conta]],Referências[Conta],Referências[Transação])</f>
        <v>Despesa</v>
      </c>
      <c r="J46" s="8" t="str">
        <f ca="1">IF(Base_Lançamentos[[#This Row],[Realizado]]="Sim","-",Base_Lançamentos[[#This Row],[Data 
Pagamento]]-TODAY())</f>
        <v>-</v>
      </c>
      <c r="K46" s="8" t="str">
        <f ca="1">IF(Base_Lançamentos[[#This Row],[Prazo p/ 
Pagamento]]="-","No prazo","Atrasado")</f>
        <v>No prazo</v>
      </c>
      <c r="L46" s="11">
        <f>IF(Base_Lançamentos[[#This Row],[Transação]]="Receita",Base_Lançamentos[[#This Row],[Valor]],-Base_Lançamentos[[#This Row],[Valor]])</f>
        <v>-48000</v>
      </c>
      <c r="M46" s="5">
        <f>Base_Lançamentos[[#This Row],[Registro de Valor]]+M45</f>
        <v>234150</v>
      </c>
    </row>
    <row r="47" spans="2:13" ht="16.5" x14ac:dyDescent="0.3">
      <c r="B47" s="4" t="s">
        <v>15</v>
      </c>
      <c r="C47" s="4" t="s">
        <v>37</v>
      </c>
      <c r="D47" s="5">
        <v>8500</v>
      </c>
      <c r="E47" s="6">
        <v>45448</v>
      </c>
      <c r="F47" s="6">
        <v>45448</v>
      </c>
      <c r="G47" s="7" t="s">
        <v>38</v>
      </c>
      <c r="H47" s="8" t="str">
        <f>_xlfn.XLOOKUP(Base_Lançamentos[[#This Row],[Conta]],Referências[Conta],Referências[Categoria da Conta])</f>
        <v>Despesas Operacionais</v>
      </c>
      <c r="I47" s="8" t="str">
        <f>_xlfn.XLOOKUP(Base_Lançamentos[[#This Row],[Conta]],Referências[Conta],Referências[Transação])</f>
        <v>Despesa</v>
      </c>
      <c r="J47" s="8" t="str">
        <f ca="1">IF(Base_Lançamentos[[#This Row],[Realizado]]="Sim","-",Base_Lançamentos[[#This Row],[Data 
Pagamento]]-TODAY())</f>
        <v>-</v>
      </c>
      <c r="K47" s="8" t="str">
        <f ca="1">IF(Base_Lançamentos[[#This Row],[Prazo p/ 
Pagamento]]="-","No prazo","Atrasado")</f>
        <v>No prazo</v>
      </c>
      <c r="L47" s="11">
        <f>IF(Base_Lançamentos[[#This Row],[Transação]]="Receita",Base_Lançamentos[[#This Row],[Valor]],-Base_Lançamentos[[#This Row],[Valor]])</f>
        <v>-8500</v>
      </c>
      <c r="M47" s="5">
        <f>Base_Lançamentos[[#This Row],[Registro de Valor]]+M46</f>
        <v>225650</v>
      </c>
    </row>
    <row r="48" spans="2:13" ht="16.5" x14ac:dyDescent="0.3">
      <c r="B48" s="4" t="s">
        <v>27</v>
      </c>
      <c r="C48" s="4" t="s">
        <v>37</v>
      </c>
      <c r="D48" s="5">
        <v>3500</v>
      </c>
      <c r="E48" s="6">
        <v>45453</v>
      </c>
      <c r="F48" s="6">
        <v>45453</v>
      </c>
      <c r="G48" s="7" t="s">
        <v>38</v>
      </c>
      <c r="H48" s="8" t="str">
        <f>_xlfn.XLOOKUP(Base_Lançamentos[[#This Row],[Conta]],Referências[Conta],Referências[Categoria da Conta])</f>
        <v>Despesas Administrativas</v>
      </c>
      <c r="I48" s="8" t="str">
        <f>_xlfn.XLOOKUP(Base_Lançamentos[[#This Row],[Conta]],Referências[Conta],Referências[Transação])</f>
        <v>Despesa</v>
      </c>
      <c r="J48" s="8" t="str">
        <f ca="1">IF(Base_Lançamentos[[#This Row],[Realizado]]="Sim","-",Base_Lançamentos[[#This Row],[Data 
Pagamento]]-TODAY())</f>
        <v>-</v>
      </c>
      <c r="K48" s="8" t="str">
        <f ca="1">IF(Base_Lançamentos[[#This Row],[Prazo p/ 
Pagamento]]="-","No prazo","Atrasado")</f>
        <v>No prazo</v>
      </c>
      <c r="L48" s="11">
        <f>IF(Base_Lançamentos[[#This Row],[Transação]]="Receita",Base_Lançamentos[[#This Row],[Valor]],-Base_Lançamentos[[#This Row],[Valor]])</f>
        <v>-3500</v>
      </c>
      <c r="M48" s="5">
        <f>Base_Lançamentos[[#This Row],[Registro de Valor]]+M47</f>
        <v>222150</v>
      </c>
    </row>
    <row r="49" spans="2:13" ht="16.5" x14ac:dyDescent="0.3">
      <c r="B49" s="4" t="s">
        <v>10</v>
      </c>
      <c r="C49" s="4" t="s">
        <v>39</v>
      </c>
      <c r="D49" s="5">
        <v>14000</v>
      </c>
      <c r="E49" s="6">
        <v>45458</v>
      </c>
      <c r="F49" s="6">
        <v>45488</v>
      </c>
      <c r="G49" s="7" t="s">
        <v>41</v>
      </c>
      <c r="H49" s="8" t="str">
        <f>_xlfn.XLOOKUP(Base_Lançamentos[[#This Row],[Conta]],Referências[Conta],Referências[Categoria da Conta])</f>
        <v>Prestação de Serviço</v>
      </c>
      <c r="I49" s="8" t="str">
        <f>_xlfn.XLOOKUP(Base_Lançamentos[[#This Row],[Conta]],Referências[Conta],Referências[Transação])</f>
        <v>Receita</v>
      </c>
      <c r="J49" s="8">
        <f ca="1">IF(Base_Lançamentos[[#This Row],[Realizado]]="Sim","-",Base_Lançamentos[[#This Row],[Data 
Pagamento]]-TODAY())</f>
        <v>-469</v>
      </c>
      <c r="K49" s="8" t="str">
        <f ca="1">IF(Base_Lançamentos[[#This Row],[Prazo p/ 
Pagamento]]="-","No prazo","Atrasado")</f>
        <v>Atrasado</v>
      </c>
      <c r="L49" s="11">
        <f>IF(Base_Lançamentos[[#This Row],[Transação]]="Receita",Base_Lançamentos[[#This Row],[Valor]],-Base_Lançamentos[[#This Row],[Valor]])</f>
        <v>14000</v>
      </c>
      <c r="M49" s="5">
        <f>Base_Lançamentos[[#This Row],[Registro de Valor]]+M48</f>
        <v>236150</v>
      </c>
    </row>
    <row r="50" spans="2:13" ht="16.5" x14ac:dyDescent="0.3">
      <c r="B50" s="4" t="s">
        <v>20</v>
      </c>
      <c r="C50" s="4" t="s">
        <v>37</v>
      </c>
      <c r="D50" s="5">
        <v>700</v>
      </c>
      <c r="E50" s="6">
        <v>45463</v>
      </c>
      <c r="F50" s="6">
        <v>45463</v>
      </c>
      <c r="G50" s="7" t="s">
        <v>38</v>
      </c>
      <c r="H50" s="8" t="str">
        <f>_xlfn.XLOOKUP(Base_Lançamentos[[#This Row],[Conta]],Referências[Conta],Referências[Categoria da Conta])</f>
        <v>Despesas Operacionais</v>
      </c>
      <c r="I50" s="8" t="str">
        <f>_xlfn.XLOOKUP(Base_Lançamentos[[#This Row],[Conta]],Referências[Conta],Referências[Transação])</f>
        <v>Despesa</v>
      </c>
      <c r="J50" s="8" t="str">
        <f ca="1">IF(Base_Lançamentos[[#This Row],[Realizado]]="Sim","-",Base_Lançamentos[[#This Row],[Data 
Pagamento]]-TODAY())</f>
        <v>-</v>
      </c>
      <c r="K50" s="8" t="str">
        <f ca="1">IF(Base_Lançamentos[[#This Row],[Prazo p/ 
Pagamento]]="-","No prazo","Atrasado")</f>
        <v>No prazo</v>
      </c>
      <c r="L50" s="11">
        <f>IF(Base_Lançamentos[[#This Row],[Transação]]="Receita",Base_Lançamentos[[#This Row],[Valor]],-Base_Lançamentos[[#This Row],[Valor]])</f>
        <v>-700</v>
      </c>
      <c r="M50" s="5">
        <f>Base_Lançamentos[[#This Row],[Registro de Valor]]+M49</f>
        <v>235450</v>
      </c>
    </row>
    <row r="51" spans="2:13" ht="16.5" x14ac:dyDescent="0.3">
      <c r="B51" s="4" t="s">
        <v>16</v>
      </c>
      <c r="C51" s="4" t="s">
        <v>39</v>
      </c>
      <c r="D51" s="5">
        <v>1400</v>
      </c>
      <c r="E51" s="6">
        <v>45468</v>
      </c>
      <c r="F51" s="6">
        <v>45468</v>
      </c>
      <c r="G51" s="7" t="s">
        <v>38</v>
      </c>
      <c r="H51" s="8" t="str">
        <f>_xlfn.XLOOKUP(Base_Lançamentos[[#This Row],[Conta]],Referências[Conta],Referências[Categoria da Conta])</f>
        <v>Despesas Operacionais</v>
      </c>
      <c r="I51" s="8" t="str">
        <f>_xlfn.XLOOKUP(Base_Lançamentos[[#This Row],[Conta]],Referências[Conta],Referências[Transação])</f>
        <v>Despesa</v>
      </c>
      <c r="J51" s="8" t="str">
        <f ca="1">IF(Base_Lançamentos[[#This Row],[Realizado]]="Sim","-",Base_Lançamentos[[#This Row],[Data 
Pagamento]]-TODAY())</f>
        <v>-</v>
      </c>
      <c r="K51" s="8" t="str">
        <f ca="1">IF(Base_Lançamentos[[#This Row],[Prazo p/ 
Pagamento]]="-","No prazo","Atrasado")</f>
        <v>No prazo</v>
      </c>
      <c r="L51" s="11">
        <f>IF(Base_Lançamentos[[#This Row],[Transação]]="Receita",Base_Lançamentos[[#This Row],[Valor]],-Base_Lançamentos[[#This Row],[Valor]])</f>
        <v>-1400</v>
      </c>
      <c r="M51" s="5">
        <f>Base_Lançamentos[[#This Row],[Registro de Valor]]+M50</f>
        <v>234050</v>
      </c>
    </row>
    <row r="52" spans="2:13" ht="16.5" x14ac:dyDescent="0.3">
      <c r="B52" s="4" t="s">
        <v>7</v>
      </c>
      <c r="C52" s="4" t="s">
        <v>37</v>
      </c>
      <c r="D52" s="5">
        <v>42000</v>
      </c>
      <c r="E52" s="6">
        <v>45474</v>
      </c>
      <c r="F52" s="6">
        <v>45474</v>
      </c>
      <c r="G52" s="7" t="s">
        <v>38</v>
      </c>
      <c r="H52" s="8" t="str">
        <f>_xlfn.XLOOKUP(Base_Lançamentos[[#This Row],[Conta]],Referências[Conta],Referências[Categoria da Conta])</f>
        <v>Venda de Produto</v>
      </c>
      <c r="I52" s="8" t="str">
        <f>_xlfn.XLOOKUP(Base_Lançamentos[[#This Row],[Conta]],Referências[Conta],Referências[Transação])</f>
        <v>Receita</v>
      </c>
      <c r="J52" s="8" t="str">
        <f ca="1">IF(Base_Lançamentos[[#This Row],[Realizado]]="Sim","-",Base_Lançamentos[[#This Row],[Data 
Pagamento]]-TODAY())</f>
        <v>-</v>
      </c>
      <c r="K52" s="8" t="str">
        <f ca="1">IF(Base_Lançamentos[[#This Row],[Prazo p/ 
Pagamento]]="-","No prazo","Atrasado")</f>
        <v>No prazo</v>
      </c>
      <c r="L52" s="11">
        <f>IF(Base_Lançamentos[[#This Row],[Transação]]="Receita",Base_Lançamentos[[#This Row],[Valor]],-Base_Lançamentos[[#This Row],[Valor]])</f>
        <v>42000</v>
      </c>
      <c r="M52" s="5">
        <f>Base_Lançamentos[[#This Row],[Registro de Valor]]+M51</f>
        <v>276050</v>
      </c>
    </row>
    <row r="53" spans="2:13" ht="16.5" x14ac:dyDescent="0.3">
      <c r="B53" s="4" t="s">
        <v>19</v>
      </c>
      <c r="C53" s="4" t="s">
        <v>39</v>
      </c>
      <c r="D53" s="5">
        <v>6500</v>
      </c>
      <c r="E53" s="6">
        <v>45478</v>
      </c>
      <c r="F53" s="6">
        <v>45478</v>
      </c>
      <c r="G53" s="7" t="s">
        <v>38</v>
      </c>
      <c r="H53" s="8" t="str">
        <f>_xlfn.XLOOKUP(Base_Lançamentos[[#This Row],[Conta]],Referências[Conta],Referências[Categoria da Conta])</f>
        <v>Despesas Operacionais</v>
      </c>
      <c r="I53" s="8" t="str">
        <f>_xlfn.XLOOKUP(Base_Lançamentos[[#This Row],[Conta]],Referências[Conta],Referências[Transação])</f>
        <v>Despesa</v>
      </c>
      <c r="J53" s="8" t="str">
        <f ca="1">IF(Base_Lançamentos[[#This Row],[Realizado]]="Sim","-",Base_Lançamentos[[#This Row],[Data 
Pagamento]]-TODAY())</f>
        <v>-</v>
      </c>
      <c r="K53" s="8" t="str">
        <f ca="1">IF(Base_Lançamentos[[#This Row],[Prazo p/ 
Pagamento]]="-","No prazo","Atrasado")</f>
        <v>No prazo</v>
      </c>
      <c r="L53" s="11">
        <f>IF(Base_Lançamentos[[#This Row],[Transação]]="Receita",Base_Lançamentos[[#This Row],[Valor]],-Base_Lançamentos[[#This Row],[Valor]])</f>
        <v>-6500</v>
      </c>
      <c r="M53" s="5">
        <f>Base_Lançamentos[[#This Row],[Registro de Valor]]+M52</f>
        <v>269550</v>
      </c>
    </row>
    <row r="54" spans="2:13" ht="16.5" x14ac:dyDescent="0.3">
      <c r="B54" s="4" t="s">
        <v>12</v>
      </c>
      <c r="C54" s="4" t="s">
        <v>37</v>
      </c>
      <c r="D54" s="5">
        <v>48000</v>
      </c>
      <c r="E54" s="6">
        <v>45478</v>
      </c>
      <c r="F54" s="6">
        <v>45478</v>
      </c>
      <c r="G54" s="7" t="s">
        <v>38</v>
      </c>
      <c r="H54" s="8" t="str">
        <f>_xlfn.XLOOKUP(Base_Lançamentos[[#This Row],[Conta]],Referências[Conta],Referências[Categoria da Conta])</f>
        <v>Despesas Operacionais</v>
      </c>
      <c r="I54" s="8" t="str">
        <f>_xlfn.XLOOKUP(Base_Lançamentos[[#This Row],[Conta]],Referências[Conta],Referências[Transação])</f>
        <v>Despesa</v>
      </c>
      <c r="J54" s="8" t="str">
        <f ca="1">IF(Base_Lançamentos[[#This Row],[Realizado]]="Sim","-",Base_Lançamentos[[#This Row],[Data 
Pagamento]]-TODAY())</f>
        <v>-</v>
      </c>
      <c r="K54" s="8" t="str">
        <f ca="1">IF(Base_Lançamentos[[#This Row],[Prazo p/ 
Pagamento]]="-","No prazo","Atrasado")</f>
        <v>No prazo</v>
      </c>
      <c r="L54" s="11">
        <f>IF(Base_Lançamentos[[#This Row],[Transação]]="Receita",Base_Lançamentos[[#This Row],[Valor]],-Base_Lançamentos[[#This Row],[Valor]])</f>
        <v>-48000</v>
      </c>
      <c r="M54" s="5">
        <f>Base_Lançamentos[[#This Row],[Registro de Valor]]+M53</f>
        <v>221550</v>
      </c>
    </row>
    <row r="55" spans="2:13" ht="16.5" x14ac:dyDescent="0.3">
      <c r="B55" s="4" t="s">
        <v>8</v>
      </c>
      <c r="C55" s="4" t="s">
        <v>40</v>
      </c>
      <c r="D55" s="5">
        <v>18000</v>
      </c>
      <c r="E55" s="6">
        <v>45483</v>
      </c>
      <c r="F55" s="6">
        <v>45514</v>
      </c>
      <c r="G55" s="7" t="s">
        <v>41</v>
      </c>
      <c r="H55" s="8" t="str">
        <f>_xlfn.XLOOKUP(Base_Lançamentos[[#This Row],[Conta]],Referências[Conta],Referências[Categoria da Conta])</f>
        <v>Venda de Produto</v>
      </c>
      <c r="I55" s="8" t="str">
        <f>_xlfn.XLOOKUP(Base_Lançamentos[[#This Row],[Conta]],Referências[Conta],Referências[Transação])</f>
        <v>Receita</v>
      </c>
      <c r="J55" s="8">
        <f ca="1">IF(Base_Lançamentos[[#This Row],[Realizado]]="Sim","-",Base_Lançamentos[[#This Row],[Data 
Pagamento]]-TODAY())</f>
        <v>-443</v>
      </c>
      <c r="K55" s="8" t="str">
        <f ca="1">IF(Base_Lançamentos[[#This Row],[Prazo p/ 
Pagamento]]="-","No prazo","Atrasado")</f>
        <v>Atrasado</v>
      </c>
      <c r="L55" s="11">
        <f>IF(Base_Lançamentos[[#This Row],[Transação]]="Receita",Base_Lançamentos[[#This Row],[Valor]],-Base_Lançamentos[[#This Row],[Valor]])</f>
        <v>18000</v>
      </c>
      <c r="M55" s="5">
        <f>Base_Lançamentos[[#This Row],[Registro de Valor]]+M54</f>
        <v>239550</v>
      </c>
    </row>
    <row r="56" spans="2:13" ht="16.5" x14ac:dyDescent="0.3">
      <c r="B56" s="4" t="s">
        <v>18</v>
      </c>
      <c r="C56" s="4" t="s">
        <v>37</v>
      </c>
      <c r="D56" s="5">
        <v>5000</v>
      </c>
      <c r="E56" s="6">
        <v>45488</v>
      </c>
      <c r="F56" s="6">
        <v>45488</v>
      </c>
      <c r="G56" s="7" t="s">
        <v>38</v>
      </c>
      <c r="H56" s="8" t="str">
        <f>_xlfn.XLOOKUP(Base_Lançamentos[[#This Row],[Conta]],Referências[Conta],Referências[Categoria da Conta])</f>
        <v>Despesas Operacionais</v>
      </c>
      <c r="I56" s="8" t="str">
        <f>_xlfn.XLOOKUP(Base_Lançamentos[[#This Row],[Conta]],Referências[Conta],Referências[Transação])</f>
        <v>Despesa</v>
      </c>
      <c r="J56" s="8" t="str">
        <f ca="1">IF(Base_Lançamentos[[#This Row],[Realizado]]="Sim","-",Base_Lançamentos[[#This Row],[Data 
Pagamento]]-TODAY())</f>
        <v>-</v>
      </c>
      <c r="K56" s="8" t="str">
        <f ca="1">IF(Base_Lançamentos[[#This Row],[Prazo p/ 
Pagamento]]="-","No prazo","Atrasado")</f>
        <v>No prazo</v>
      </c>
      <c r="L56" s="11">
        <f>IF(Base_Lançamentos[[#This Row],[Transação]]="Receita",Base_Lançamentos[[#This Row],[Valor]],-Base_Lançamentos[[#This Row],[Valor]])</f>
        <v>-5000</v>
      </c>
      <c r="M56" s="5">
        <f>Base_Lançamentos[[#This Row],[Registro de Valor]]+M55</f>
        <v>234550</v>
      </c>
    </row>
    <row r="57" spans="2:13" ht="16.5" x14ac:dyDescent="0.3">
      <c r="B57" s="4" t="s">
        <v>28</v>
      </c>
      <c r="C57" s="4" t="s">
        <v>37</v>
      </c>
      <c r="D57" s="5">
        <v>3500</v>
      </c>
      <c r="E57" s="6">
        <v>45493</v>
      </c>
      <c r="F57" s="6">
        <v>45493</v>
      </c>
      <c r="G57" s="7" t="s">
        <v>38</v>
      </c>
      <c r="H57" s="8" t="str">
        <f>_xlfn.XLOOKUP(Base_Lançamentos[[#This Row],[Conta]],Referências[Conta],Referências[Categoria da Conta])</f>
        <v>Impostos</v>
      </c>
      <c r="I57" s="8" t="str">
        <f>_xlfn.XLOOKUP(Base_Lançamentos[[#This Row],[Conta]],Referências[Conta],Referências[Transação])</f>
        <v>Despesa</v>
      </c>
      <c r="J57" s="8" t="str">
        <f ca="1">IF(Base_Lançamentos[[#This Row],[Realizado]]="Sim","-",Base_Lançamentos[[#This Row],[Data 
Pagamento]]-TODAY())</f>
        <v>-</v>
      </c>
      <c r="K57" s="8" t="str">
        <f ca="1">IF(Base_Lançamentos[[#This Row],[Prazo p/ 
Pagamento]]="-","No prazo","Atrasado")</f>
        <v>No prazo</v>
      </c>
      <c r="L57" s="11">
        <f>IF(Base_Lançamentos[[#This Row],[Transação]]="Receita",Base_Lançamentos[[#This Row],[Valor]],-Base_Lançamentos[[#This Row],[Valor]])</f>
        <v>-3500</v>
      </c>
      <c r="M57" s="5">
        <f>Base_Lançamentos[[#This Row],[Registro de Valor]]+M56</f>
        <v>231050</v>
      </c>
    </row>
    <row r="58" spans="2:13" ht="16.5" x14ac:dyDescent="0.3">
      <c r="B58" s="4" t="s">
        <v>17</v>
      </c>
      <c r="C58" s="4" t="s">
        <v>39</v>
      </c>
      <c r="D58" s="5">
        <v>1000</v>
      </c>
      <c r="E58" s="6">
        <v>45498</v>
      </c>
      <c r="F58" s="6">
        <v>45498</v>
      </c>
      <c r="G58" s="7" t="s">
        <v>38</v>
      </c>
      <c r="H58" s="8" t="str">
        <f>_xlfn.XLOOKUP(Base_Lançamentos[[#This Row],[Conta]],Referências[Conta],Referências[Categoria da Conta])</f>
        <v>Despesas Operacionais</v>
      </c>
      <c r="I58" s="8" t="str">
        <f>_xlfn.XLOOKUP(Base_Lançamentos[[#This Row],[Conta]],Referências[Conta],Referências[Transação])</f>
        <v>Despesa</v>
      </c>
      <c r="J58" s="8" t="str">
        <f ca="1">IF(Base_Lançamentos[[#This Row],[Realizado]]="Sim","-",Base_Lançamentos[[#This Row],[Data 
Pagamento]]-TODAY())</f>
        <v>-</v>
      </c>
      <c r="K58" s="8" t="str">
        <f ca="1">IF(Base_Lançamentos[[#This Row],[Prazo p/ 
Pagamento]]="-","No prazo","Atrasado")</f>
        <v>No prazo</v>
      </c>
      <c r="L58" s="11">
        <f>IF(Base_Lançamentos[[#This Row],[Transação]]="Receita",Base_Lançamentos[[#This Row],[Valor]],-Base_Lançamentos[[#This Row],[Valor]])</f>
        <v>-1000</v>
      </c>
      <c r="M58" s="5">
        <f>Base_Lançamentos[[#This Row],[Registro de Valor]]+M57</f>
        <v>230050</v>
      </c>
    </row>
    <row r="59" spans="2:13" ht="16.5" x14ac:dyDescent="0.3">
      <c r="B59" s="4" t="s">
        <v>9</v>
      </c>
      <c r="C59" s="4" t="s">
        <v>39</v>
      </c>
      <c r="D59" s="5">
        <v>75000</v>
      </c>
      <c r="E59" s="6">
        <v>45505</v>
      </c>
      <c r="F59" s="6">
        <v>45505</v>
      </c>
      <c r="G59" s="7" t="s">
        <v>38</v>
      </c>
      <c r="H59" s="8" t="str">
        <f>_xlfn.XLOOKUP(Base_Lançamentos[[#This Row],[Conta]],Referências[Conta],Referências[Categoria da Conta])</f>
        <v>Venda de Produto</v>
      </c>
      <c r="I59" s="8" t="str">
        <f>_xlfn.XLOOKUP(Base_Lançamentos[[#This Row],[Conta]],Referências[Conta],Referências[Transação])</f>
        <v>Receita</v>
      </c>
      <c r="J59" s="8" t="str">
        <f ca="1">IF(Base_Lançamentos[[#This Row],[Realizado]]="Sim","-",Base_Lançamentos[[#This Row],[Data 
Pagamento]]-TODAY())</f>
        <v>-</v>
      </c>
      <c r="K59" s="8" t="str">
        <f ca="1">IF(Base_Lançamentos[[#This Row],[Prazo p/ 
Pagamento]]="-","No prazo","Atrasado")</f>
        <v>No prazo</v>
      </c>
      <c r="L59" s="11">
        <f>IF(Base_Lançamentos[[#This Row],[Transação]]="Receita",Base_Lançamentos[[#This Row],[Valor]],-Base_Lançamentos[[#This Row],[Valor]])</f>
        <v>75000</v>
      </c>
      <c r="M59" s="5">
        <f>Base_Lançamentos[[#This Row],[Registro de Valor]]+M58</f>
        <v>305050</v>
      </c>
    </row>
    <row r="60" spans="2:13" ht="16.5" x14ac:dyDescent="0.3">
      <c r="B60" s="4" t="s">
        <v>12</v>
      </c>
      <c r="C60" s="4" t="s">
        <v>37</v>
      </c>
      <c r="D60" s="5">
        <v>48000</v>
      </c>
      <c r="E60" s="6">
        <v>45509</v>
      </c>
      <c r="F60" s="6">
        <v>45509</v>
      </c>
      <c r="G60" s="7" t="s">
        <v>38</v>
      </c>
      <c r="H60" s="8" t="str">
        <f>_xlfn.XLOOKUP(Base_Lançamentos[[#This Row],[Conta]],Referências[Conta],Referências[Categoria da Conta])</f>
        <v>Despesas Operacionais</v>
      </c>
      <c r="I60" s="8" t="str">
        <f>_xlfn.XLOOKUP(Base_Lançamentos[[#This Row],[Conta]],Referências[Conta],Referências[Transação])</f>
        <v>Despesa</v>
      </c>
      <c r="J60" s="8" t="str">
        <f ca="1">IF(Base_Lançamentos[[#This Row],[Realizado]]="Sim","-",Base_Lançamentos[[#This Row],[Data 
Pagamento]]-TODAY())</f>
        <v>-</v>
      </c>
      <c r="K60" s="8" t="str">
        <f ca="1">IF(Base_Lançamentos[[#This Row],[Prazo p/ 
Pagamento]]="-","No prazo","Atrasado")</f>
        <v>No prazo</v>
      </c>
      <c r="L60" s="11">
        <f>IF(Base_Lançamentos[[#This Row],[Transação]]="Receita",Base_Lançamentos[[#This Row],[Valor]],-Base_Lançamentos[[#This Row],[Valor]])</f>
        <v>-48000</v>
      </c>
      <c r="M60" s="5">
        <f>Base_Lançamentos[[#This Row],[Registro de Valor]]+M59</f>
        <v>257050</v>
      </c>
    </row>
    <row r="61" spans="2:13" ht="16.5" x14ac:dyDescent="0.3">
      <c r="B61" s="4" t="s">
        <v>15</v>
      </c>
      <c r="C61" s="4" t="s">
        <v>37</v>
      </c>
      <c r="D61" s="5">
        <v>8500</v>
      </c>
      <c r="E61" s="6">
        <v>45509</v>
      </c>
      <c r="F61" s="6">
        <v>45509</v>
      </c>
      <c r="G61" s="7" t="s">
        <v>38</v>
      </c>
      <c r="H61" s="8" t="str">
        <f>_xlfn.XLOOKUP(Base_Lançamentos[[#This Row],[Conta]],Referências[Conta],Referências[Categoria da Conta])</f>
        <v>Despesas Operacionais</v>
      </c>
      <c r="I61" s="8" t="str">
        <f>_xlfn.XLOOKUP(Base_Lançamentos[[#This Row],[Conta]],Referências[Conta],Referências[Transação])</f>
        <v>Despesa</v>
      </c>
      <c r="J61" s="8" t="str">
        <f ca="1">IF(Base_Lançamentos[[#This Row],[Realizado]]="Sim","-",Base_Lançamentos[[#This Row],[Data 
Pagamento]]-TODAY())</f>
        <v>-</v>
      </c>
      <c r="K61" s="8" t="str">
        <f ca="1">IF(Base_Lançamentos[[#This Row],[Prazo p/ 
Pagamento]]="-","No prazo","Atrasado")</f>
        <v>No prazo</v>
      </c>
      <c r="L61" s="11">
        <f>IF(Base_Lançamentos[[#This Row],[Transação]]="Receita",Base_Lançamentos[[#This Row],[Valor]],-Base_Lançamentos[[#This Row],[Valor]])</f>
        <v>-8500</v>
      </c>
      <c r="M61" s="5">
        <f>Base_Lançamentos[[#This Row],[Registro de Valor]]+M60</f>
        <v>248550</v>
      </c>
    </row>
    <row r="62" spans="2:13" ht="16.5" x14ac:dyDescent="0.3">
      <c r="B62" s="4" t="s">
        <v>5</v>
      </c>
      <c r="C62" s="4" t="s">
        <v>40</v>
      </c>
      <c r="D62" s="5">
        <v>55000</v>
      </c>
      <c r="E62" s="6">
        <v>45519</v>
      </c>
      <c r="F62" s="6">
        <v>45550</v>
      </c>
      <c r="G62" s="7" t="s">
        <v>41</v>
      </c>
      <c r="H62" s="8" t="str">
        <f>_xlfn.XLOOKUP(Base_Lançamentos[[#This Row],[Conta]],Referências[Conta],Referências[Categoria da Conta])</f>
        <v>Venda de Produto</v>
      </c>
      <c r="I62" s="8" t="str">
        <f>_xlfn.XLOOKUP(Base_Lançamentos[[#This Row],[Conta]],Referências[Conta],Referências[Transação])</f>
        <v>Receita</v>
      </c>
      <c r="J62" s="8">
        <f ca="1">IF(Base_Lançamentos[[#This Row],[Realizado]]="Sim","-",Base_Lançamentos[[#This Row],[Data 
Pagamento]]-TODAY())</f>
        <v>-407</v>
      </c>
      <c r="K62" s="8" t="str">
        <f ca="1">IF(Base_Lançamentos[[#This Row],[Prazo p/ 
Pagamento]]="-","No prazo","Atrasado")</f>
        <v>Atrasado</v>
      </c>
      <c r="L62" s="11">
        <f>IF(Base_Lançamentos[[#This Row],[Transação]]="Receita",Base_Lançamentos[[#This Row],[Valor]],-Base_Lançamentos[[#This Row],[Valor]])</f>
        <v>55000</v>
      </c>
      <c r="M62" s="5">
        <f>Base_Lançamentos[[#This Row],[Registro de Valor]]+M61</f>
        <v>303550</v>
      </c>
    </row>
    <row r="63" spans="2:13" ht="16.5" x14ac:dyDescent="0.3">
      <c r="B63" s="4" t="s">
        <v>24</v>
      </c>
      <c r="C63" s="4" t="s">
        <v>40</v>
      </c>
      <c r="D63" s="5">
        <v>1200</v>
      </c>
      <c r="E63" s="6">
        <v>45519</v>
      </c>
      <c r="F63" s="6">
        <v>45550</v>
      </c>
      <c r="G63" s="7" t="s">
        <v>41</v>
      </c>
      <c r="H63" s="8" t="str">
        <f>_xlfn.XLOOKUP(Base_Lançamentos[[#This Row],[Conta]],Referências[Conta],Referências[Categoria da Conta])</f>
        <v>Despesas Administrativas</v>
      </c>
      <c r="I63" s="8" t="str">
        <f>_xlfn.XLOOKUP(Base_Lançamentos[[#This Row],[Conta]],Referências[Conta],Referências[Transação])</f>
        <v>Despesa</v>
      </c>
      <c r="J63" s="8">
        <f ca="1">IF(Base_Lançamentos[[#This Row],[Realizado]]="Sim","-",Base_Lançamentos[[#This Row],[Data 
Pagamento]]-TODAY())</f>
        <v>-407</v>
      </c>
      <c r="K63" s="8" t="str">
        <f ca="1">IF(Base_Lançamentos[[#This Row],[Prazo p/ 
Pagamento]]="-","No prazo","Atrasado")</f>
        <v>Atrasado</v>
      </c>
      <c r="L63" s="11">
        <f>IF(Base_Lançamentos[[#This Row],[Transação]]="Receita",Base_Lançamentos[[#This Row],[Valor]],-Base_Lançamentos[[#This Row],[Valor]])</f>
        <v>-1200</v>
      </c>
      <c r="M63" s="5">
        <f>Base_Lançamentos[[#This Row],[Registro de Valor]]+M62</f>
        <v>302350</v>
      </c>
    </row>
    <row r="64" spans="2:13" ht="16.5" x14ac:dyDescent="0.3">
      <c r="B64" s="4" t="s">
        <v>23</v>
      </c>
      <c r="C64" s="4" t="s">
        <v>40</v>
      </c>
      <c r="D64" s="5">
        <v>550</v>
      </c>
      <c r="E64" s="6">
        <v>45524</v>
      </c>
      <c r="F64" s="6">
        <v>45524</v>
      </c>
      <c r="G64" s="7" t="s">
        <v>38</v>
      </c>
      <c r="H64" s="8" t="str">
        <f>_xlfn.XLOOKUP(Base_Lançamentos[[#This Row],[Conta]],Referências[Conta],Referências[Categoria da Conta])</f>
        <v>Despesas Operacionais</v>
      </c>
      <c r="I64" s="8" t="str">
        <f>_xlfn.XLOOKUP(Base_Lançamentos[[#This Row],[Conta]],Referências[Conta],Referências[Transação])</f>
        <v>Despesa</v>
      </c>
      <c r="J64" s="8" t="str">
        <f ca="1">IF(Base_Lançamentos[[#This Row],[Realizado]]="Sim","-",Base_Lançamentos[[#This Row],[Data 
Pagamento]]-TODAY())</f>
        <v>-</v>
      </c>
      <c r="K64" s="8" t="str">
        <f ca="1">IF(Base_Lançamentos[[#This Row],[Prazo p/ 
Pagamento]]="-","No prazo","Atrasado")</f>
        <v>No prazo</v>
      </c>
      <c r="L64" s="11">
        <f>IF(Base_Lançamentos[[#This Row],[Transação]]="Receita",Base_Lançamentos[[#This Row],[Valor]],-Base_Lançamentos[[#This Row],[Valor]])</f>
        <v>-550</v>
      </c>
      <c r="M64" s="5">
        <f>Base_Lançamentos[[#This Row],[Registro de Valor]]+M63</f>
        <v>301800</v>
      </c>
    </row>
    <row r="65" spans="2:13" ht="16.5" x14ac:dyDescent="0.3">
      <c r="B65" s="4" t="s">
        <v>16</v>
      </c>
      <c r="C65" s="4" t="s">
        <v>39</v>
      </c>
      <c r="D65" s="5">
        <v>1500</v>
      </c>
      <c r="E65" s="6">
        <v>45529</v>
      </c>
      <c r="F65" s="6">
        <v>45529</v>
      </c>
      <c r="G65" s="7" t="s">
        <v>38</v>
      </c>
      <c r="H65" s="8" t="str">
        <f>_xlfn.XLOOKUP(Base_Lançamentos[[#This Row],[Conta]],Referências[Conta],Referências[Categoria da Conta])</f>
        <v>Despesas Operacionais</v>
      </c>
      <c r="I65" s="8" t="str">
        <f>_xlfn.XLOOKUP(Base_Lançamentos[[#This Row],[Conta]],Referências[Conta],Referências[Transação])</f>
        <v>Despesa</v>
      </c>
      <c r="J65" s="8" t="str">
        <f ca="1">IF(Base_Lançamentos[[#This Row],[Realizado]]="Sim","-",Base_Lançamentos[[#This Row],[Data 
Pagamento]]-TODAY())</f>
        <v>-</v>
      </c>
      <c r="K65" s="8" t="str">
        <f ca="1">IF(Base_Lançamentos[[#This Row],[Prazo p/ 
Pagamento]]="-","No prazo","Atrasado")</f>
        <v>No prazo</v>
      </c>
      <c r="L65" s="11">
        <f>IF(Base_Lançamentos[[#This Row],[Transação]]="Receita",Base_Lançamentos[[#This Row],[Valor]],-Base_Lançamentos[[#This Row],[Valor]])</f>
        <v>-1500</v>
      </c>
      <c r="M65" s="5">
        <f>Base_Lançamentos[[#This Row],[Registro de Valor]]+M64</f>
        <v>300300</v>
      </c>
    </row>
    <row r="66" spans="2:13" ht="16.5" x14ac:dyDescent="0.3">
      <c r="B66" s="4" t="s">
        <v>7</v>
      </c>
      <c r="C66" s="4" t="s">
        <v>37</v>
      </c>
      <c r="D66" s="5">
        <v>45000</v>
      </c>
      <c r="E66" s="6">
        <v>45536</v>
      </c>
      <c r="F66" s="6">
        <v>45536</v>
      </c>
      <c r="G66" s="7" t="s">
        <v>38</v>
      </c>
      <c r="H66" s="8" t="str">
        <f>_xlfn.XLOOKUP(Base_Lançamentos[[#This Row],[Conta]],Referências[Conta],Referências[Categoria da Conta])</f>
        <v>Venda de Produto</v>
      </c>
      <c r="I66" s="8" t="str">
        <f>_xlfn.XLOOKUP(Base_Lançamentos[[#This Row],[Conta]],Referências[Conta],Referências[Transação])</f>
        <v>Receita</v>
      </c>
      <c r="J66" s="8" t="str">
        <f ca="1">IF(Base_Lançamentos[[#This Row],[Realizado]]="Sim","-",Base_Lançamentos[[#This Row],[Data 
Pagamento]]-TODAY())</f>
        <v>-</v>
      </c>
      <c r="K66" s="8" t="str">
        <f ca="1">IF(Base_Lançamentos[[#This Row],[Prazo p/ 
Pagamento]]="-","No prazo","Atrasado")</f>
        <v>No prazo</v>
      </c>
      <c r="L66" s="11">
        <f>IF(Base_Lançamentos[[#This Row],[Transação]]="Receita",Base_Lançamentos[[#This Row],[Valor]],-Base_Lançamentos[[#This Row],[Valor]])</f>
        <v>45000</v>
      </c>
      <c r="M66" s="5">
        <f>Base_Lançamentos[[#This Row],[Registro de Valor]]+M65</f>
        <v>345300</v>
      </c>
    </row>
    <row r="67" spans="2:13" ht="16.5" x14ac:dyDescent="0.3">
      <c r="B67" s="4" t="s">
        <v>19</v>
      </c>
      <c r="C67" s="4" t="s">
        <v>39</v>
      </c>
      <c r="D67" s="5">
        <v>7000</v>
      </c>
      <c r="E67" s="6">
        <v>45540</v>
      </c>
      <c r="F67" s="6">
        <v>45540</v>
      </c>
      <c r="G67" s="7" t="s">
        <v>38</v>
      </c>
      <c r="H67" s="8" t="str">
        <f>_xlfn.XLOOKUP(Base_Lançamentos[[#This Row],[Conta]],Referências[Conta],Referências[Categoria da Conta])</f>
        <v>Despesas Operacionais</v>
      </c>
      <c r="I67" s="8" t="str">
        <f>_xlfn.XLOOKUP(Base_Lançamentos[[#This Row],[Conta]],Referências[Conta],Referências[Transação])</f>
        <v>Despesa</v>
      </c>
      <c r="J67" s="8" t="str">
        <f ca="1">IF(Base_Lançamentos[[#This Row],[Realizado]]="Sim","-",Base_Lançamentos[[#This Row],[Data 
Pagamento]]-TODAY())</f>
        <v>-</v>
      </c>
      <c r="K67" s="8" t="str">
        <f ca="1">IF(Base_Lançamentos[[#This Row],[Prazo p/ 
Pagamento]]="-","No prazo","Atrasado")</f>
        <v>No prazo</v>
      </c>
      <c r="L67" s="11">
        <f>IF(Base_Lançamentos[[#This Row],[Transação]]="Receita",Base_Lançamentos[[#This Row],[Valor]],-Base_Lançamentos[[#This Row],[Valor]])</f>
        <v>-7000</v>
      </c>
      <c r="M67" s="5">
        <f>Base_Lançamentos[[#This Row],[Registro de Valor]]+M66</f>
        <v>338300</v>
      </c>
    </row>
    <row r="68" spans="2:13" ht="16.5" x14ac:dyDescent="0.3">
      <c r="B68" s="4" t="s">
        <v>12</v>
      </c>
      <c r="C68" s="4" t="s">
        <v>37</v>
      </c>
      <c r="D68" s="5">
        <v>48000</v>
      </c>
      <c r="E68" s="6">
        <v>45540</v>
      </c>
      <c r="F68" s="6">
        <v>45540</v>
      </c>
      <c r="G68" s="7" t="s">
        <v>38</v>
      </c>
      <c r="H68" s="8" t="str">
        <f>_xlfn.XLOOKUP(Base_Lançamentos[[#This Row],[Conta]],Referências[Conta],Referências[Categoria da Conta])</f>
        <v>Despesas Operacionais</v>
      </c>
      <c r="I68" s="8" t="str">
        <f>_xlfn.XLOOKUP(Base_Lançamentos[[#This Row],[Conta]],Referências[Conta],Referências[Transação])</f>
        <v>Despesa</v>
      </c>
      <c r="J68" s="8" t="str">
        <f ca="1">IF(Base_Lançamentos[[#This Row],[Realizado]]="Sim","-",Base_Lançamentos[[#This Row],[Data 
Pagamento]]-TODAY())</f>
        <v>-</v>
      </c>
      <c r="K68" s="8" t="str">
        <f ca="1">IF(Base_Lançamentos[[#This Row],[Prazo p/ 
Pagamento]]="-","No prazo","Atrasado")</f>
        <v>No prazo</v>
      </c>
      <c r="L68" s="11">
        <f>IF(Base_Lançamentos[[#This Row],[Transação]]="Receita",Base_Lançamentos[[#This Row],[Valor]],-Base_Lançamentos[[#This Row],[Valor]])</f>
        <v>-48000</v>
      </c>
      <c r="M68" s="5">
        <f>Base_Lançamentos[[#This Row],[Registro de Valor]]+M67</f>
        <v>290300</v>
      </c>
    </row>
    <row r="69" spans="2:13" ht="16.5" x14ac:dyDescent="0.3">
      <c r="B69" s="4" t="s">
        <v>8</v>
      </c>
      <c r="C69" s="4" t="s">
        <v>40</v>
      </c>
      <c r="D69" s="5">
        <v>20000</v>
      </c>
      <c r="E69" s="6">
        <v>45545</v>
      </c>
      <c r="F69" s="6">
        <v>45575</v>
      </c>
      <c r="G69" s="7" t="s">
        <v>41</v>
      </c>
      <c r="H69" s="8" t="str">
        <f>_xlfn.XLOOKUP(Base_Lançamentos[[#This Row],[Conta]],Referências[Conta],Referências[Categoria da Conta])</f>
        <v>Venda de Produto</v>
      </c>
      <c r="I69" s="8" t="str">
        <f>_xlfn.XLOOKUP(Base_Lançamentos[[#This Row],[Conta]],Referências[Conta],Referências[Transação])</f>
        <v>Receita</v>
      </c>
      <c r="J69" s="8">
        <f ca="1">IF(Base_Lançamentos[[#This Row],[Realizado]]="Sim","-",Base_Lançamentos[[#This Row],[Data 
Pagamento]]-TODAY())</f>
        <v>-382</v>
      </c>
      <c r="K69" s="8" t="str">
        <f ca="1">IF(Base_Lançamentos[[#This Row],[Prazo p/ 
Pagamento]]="-","No prazo","Atrasado")</f>
        <v>Atrasado</v>
      </c>
      <c r="L69" s="11">
        <f>IF(Base_Lançamentos[[#This Row],[Transação]]="Receita",Base_Lançamentos[[#This Row],[Valor]],-Base_Lançamentos[[#This Row],[Valor]])</f>
        <v>20000</v>
      </c>
      <c r="M69" s="5">
        <f>Base_Lançamentos[[#This Row],[Registro de Valor]]+M68</f>
        <v>310300</v>
      </c>
    </row>
    <row r="70" spans="2:13" ht="16.5" x14ac:dyDescent="0.3">
      <c r="B70" s="4" t="s">
        <v>27</v>
      </c>
      <c r="C70" s="4" t="s">
        <v>37</v>
      </c>
      <c r="D70" s="5">
        <v>3500</v>
      </c>
      <c r="E70" s="6">
        <v>45550</v>
      </c>
      <c r="F70" s="6">
        <v>45550</v>
      </c>
      <c r="G70" s="7" t="s">
        <v>38</v>
      </c>
      <c r="H70" s="8" t="str">
        <f>_xlfn.XLOOKUP(Base_Lançamentos[[#This Row],[Conta]],Referências[Conta],Referências[Categoria da Conta])</f>
        <v>Despesas Administrativas</v>
      </c>
      <c r="I70" s="8" t="str">
        <f>_xlfn.XLOOKUP(Base_Lançamentos[[#This Row],[Conta]],Referências[Conta],Referências[Transação])</f>
        <v>Despesa</v>
      </c>
      <c r="J70" s="8" t="str">
        <f ca="1">IF(Base_Lançamentos[[#This Row],[Realizado]]="Sim","-",Base_Lançamentos[[#This Row],[Data 
Pagamento]]-TODAY())</f>
        <v>-</v>
      </c>
      <c r="K70" s="8" t="str">
        <f ca="1">IF(Base_Lançamentos[[#This Row],[Prazo p/ 
Pagamento]]="-","No prazo","Atrasado")</f>
        <v>No prazo</v>
      </c>
      <c r="L70" s="11">
        <f>IF(Base_Lançamentos[[#This Row],[Transação]]="Receita",Base_Lançamentos[[#This Row],[Valor]],-Base_Lançamentos[[#This Row],[Valor]])</f>
        <v>-3500</v>
      </c>
      <c r="M70" s="5">
        <f>Base_Lançamentos[[#This Row],[Registro de Valor]]+M69</f>
        <v>306800</v>
      </c>
    </row>
    <row r="71" spans="2:13" ht="16.5" x14ac:dyDescent="0.3">
      <c r="B71" s="4" t="s">
        <v>28</v>
      </c>
      <c r="C71" s="4" t="s">
        <v>37</v>
      </c>
      <c r="D71" s="5">
        <v>4000</v>
      </c>
      <c r="E71" s="6">
        <v>45555</v>
      </c>
      <c r="F71" s="6">
        <v>45555</v>
      </c>
      <c r="G71" s="7" t="s">
        <v>38</v>
      </c>
      <c r="H71" s="8" t="str">
        <f>_xlfn.XLOOKUP(Base_Lançamentos[[#This Row],[Conta]],Referências[Conta],Referências[Categoria da Conta])</f>
        <v>Impostos</v>
      </c>
      <c r="I71" s="8" t="str">
        <f>_xlfn.XLOOKUP(Base_Lançamentos[[#This Row],[Conta]],Referências[Conta],Referências[Transação])</f>
        <v>Despesa</v>
      </c>
      <c r="J71" s="8" t="str">
        <f ca="1">IF(Base_Lançamentos[[#This Row],[Realizado]]="Sim","-",Base_Lançamentos[[#This Row],[Data 
Pagamento]]-TODAY())</f>
        <v>-</v>
      </c>
      <c r="K71" s="8" t="str">
        <f ca="1">IF(Base_Lançamentos[[#This Row],[Prazo p/ 
Pagamento]]="-","No prazo","Atrasado")</f>
        <v>No prazo</v>
      </c>
      <c r="L71" s="11">
        <f>IF(Base_Lançamentos[[#This Row],[Transação]]="Receita",Base_Lançamentos[[#This Row],[Valor]],-Base_Lançamentos[[#This Row],[Valor]])</f>
        <v>-4000</v>
      </c>
      <c r="M71" s="5">
        <f>Base_Lançamentos[[#This Row],[Registro de Valor]]+M70</f>
        <v>302800</v>
      </c>
    </row>
    <row r="72" spans="2:13" ht="16.5" x14ac:dyDescent="0.3">
      <c r="B72" s="4" t="s">
        <v>17</v>
      </c>
      <c r="C72" s="4" t="s">
        <v>39</v>
      </c>
      <c r="D72" s="5">
        <v>1050</v>
      </c>
      <c r="E72" s="6">
        <v>45560</v>
      </c>
      <c r="F72" s="6">
        <v>45560</v>
      </c>
      <c r="G72" s="7" t="s">
        <v>38</v>
      </c>
      <c r="H72" s="8" t="str">
        <f>_xlfn.XLOOKUP(Base_Lançamentos[[#This Row],[Conta]],Referências[Conta],Referências[Categoria da Conta])</f>
        <v>Despesas Operacionais</v>
      </c>
      <c r="I72" s="8" t="str">
        <f>_xlfn.XLOOKUP(Base_Lançamentos[[#This Row],[Conta]],Referências[Conta],Referências[Transação])</f>
        <v>Despesa</v>
      </c>
      <c r="J72" s="8" t="str">
        <f ca="1">IF(Base_Lançamentos[[#This Row],[Realizado]]="Sim","-",Base_Lançamentos[[#This Row],[Data 
Pagamento]]-TODAY())</f>
        <v>-</v>
      </c>
      <c r="K72" s="8" t="str">
        <f ca="1">IF(Base_Lançamentos[[#This Row],[Prazo p/ 
Pagamento]]="-","No prazo","Atrasado")</f>
        <v>No prazo</v>
      </c>
      <c r="L72" s="11">
        <f>IF(Base_Lançamentos[[#This Row],[Transação]]="Receita",Base_Lançamentos[[#This Row],[Valor]],-Base_Lançamentos[[#This Row],[Valor]])</f>
        <v>-1050</v>
      </c>
      <c r="M72" s="5">
        <f>Base_Lançamentos[[#This Row],[Registro de Valor]]+M71</f>
        <v>301750</v>
      </c>
    </row>
    <row r="73" spans="2:13" ht="16.5" x14ac:dyDescent="0.3">
      <c r="B73" s="4" t="s">
        <v>9</v>
      </c>
      <c r="C73" s="4" t="s">
        <v>39</v>
      </c>
      <c r="D73" s="5">
        <v>80000</v>
      </c>
      <c r="E73" s="6">
        <v>45566</v>
      </c>
      <c r="F73" s="6">
        <v>45566</v>
      </c>
      <c r="G73" s="7" t="s">
        <v>38</v>
      </c>
      <c r="H73" s="8" t="str">
        <f>_xlfn.XLOOKUP(Base_Lançamentos[[#This Row],[Conta]],Referências[Conta],Referências[Categoria da Conta])</f>
        <v>Venda de Produto</v>
      </c>
      <c r="I73" s="8" t="str">
        <f>_xlfn.XLOOKUP(Base_Lançamentos[[#This Row],[Conta]],Referências[Conta],Referências[Transação])</f>
        <v>Receita</v>
      </c>
      <c r="J73" s="8" t="str">
        <f ca="1">IF(Base_Lançamentos[[#This Row],[Realizado]]="Sim","-",Base_Lançamentos[[#This Row],[Data 
Pagamento]]-TODAY())</f>
        <v>-</v>
      </c>
      <c r="K73" s="8" t="str">
        <f ca="1">IF(Base_Lançamentos[[#This Row],[Prazo p/ 
Pagamento]]="-","No prazo","Atrasado")</f>
        <v>No prazo</v>
      </c>
      <c r="L73" s="11">
        <f>IF(Base_Lançamentos[[#This Row],[Transação]]="Receita",Base_Lançamentos[[#This Row],[Valor]],-Base_Lançamentos[[#This Row],[Valor]])</f>
        <v>80000</v>
      </c>
      <c r="M73" s="5">
        <f>Base_Lançamentos[[#This Row],[Registro de Valor]]+M72</f>
        <v>381750</v>
      </c>
    </row>
    <row r="74" spans="2:13" ht="16.5" x14ac:dyDescent="0.3">
      <c r="B74" s="4" t="s">
        <v>12</v>
      </c>
      <c r="C74" s="4" t="s">
        <v>37</v>
      </c>
      <c r="D74" s="5">
        <v>48000</v>
      </c>
      <c r="E74" s="6">
        <v>45570</v>
      </c>
      <c r="F74" s="6">
        <v>45570</v>
      </c>
      <c r="G74" s="7" t="s">
        <v>38</v>
      </c>
      <c r="H74" s="8" t="str">
        <f>_xlfn.XLOOKUP(Base_Lançamentos[[#This Row],[Conta]],Referências[Conta],Referências[Categoria da Conta])</f>
        <v>Despesas Operacionais</v>
      </c>
      <c r="I74" s="8" t="str">
        <f>_xlfn.XLOOKUP(Base_Lançamentos[[#This Row],[Conta]],Referências[Conta],Referências[Transação])</f>
        <v>Despesa</v>
      </c>
      <c r="J74" s="8" t="str">
        <f ca="1">IF(Base_Lançamentos[[#This Row],[Realizado]]="Sim","-",Base_Lançamentos[[#This Row],[Data 
Pagamento]]-TODAY())</f>
        <v>-</v>
      </c>
      <c r="K74" s="8" t="str">
        <f ca="1">IF(Base_Lançamentos[[#This Row],[Prazo p/ 
Pagamento]]="-","No prazo","Atrasado")</f>
        <v>No prazo</v>
      </c>
      <c r="L74" s="11">
        <f>IF(Base_Lançamentos[[#This Row],[Transação]]="Receita",Base_Lançamentos[[#This Row],[Valor]],-Base_Lançamentos[[#This Row],[Valor]])</f>
        <v>-48000</v>
      </c>
      <c r="M74" s="5">
        <f>Base_Lançamentos[[#This Row],[Registro de Valor]]+M73</f>
        <v>333750</v>
      </c>
    </row>
    <row r="75" spans="2:13" ht="16.5" x14ac:dyDescent="0.3">
      <c r="B75" s="4" t="s">
        <v>15</v>
      </c>
      <c r="C75" s="4" t="s">
        <v>37</v>
      </c>
      <c r="D75" s="5">
        <v>8500</v>
      </c>
      <c r="E75" s="6">
        <v>45570</v>
      </c>
      <c r="F75" s="6">
        <v>45570</v>
      </c>
      <c r="G75" s="7" t="s">
        <v>38</v>
      </c>
      <c r="H75" s="8" t="str">
        <f>_xlfn.XLOOKUP(Base_Lançamentos[[#This Row],[Conta]],Referências[Conta],Referências[Categoria da Conta])</f>
        <v>Despesas Operacionais</v>
      </c>
      <c r="I75" s="8" t="str">
        <f>_xlfn.XLOOKUP(Base_Lançamentos[[#This Row],[Conta]],Referências[Conta],Referências[Transação])</f>
        <v>Despesa</v>
      </c>
      <c r="J75" s="8" t="str">
        <f ca="1">IF(Base_Lançamentos[[#This Row],[Realizado]]="Sim","-",Base_Lançamentos[[#This Row],[Data 
Pagamento]]-TODAY())</f>
        <v>-</v>
      </c>
      <c r="K75" s="8" t="str">
        <f ca="1">IF(Base_Lançamentos[[#This Row],[Prazo p/ 
Pagamento]]="-","No prazo","Atrasado")</f>
        <v>No prazo</v>
      </c>
      <c r="L75" s="11">
        <f>IF(Base_Lançamentos[[#This Row],[Transação]]="Receita",Base_Lançamentos[[#This Row],[Valor]],-Base_Lançamentos[[#This Row],[Valor]])</f>
        <v>-8500</v>
      </c>
      <c r="M75" s="5">
        <f>Base_Lançamentos[[#This Row],[Registro de Valor]]+M74</f>
        <v>325250</v>
      </c>
    </row>
    <row r="76" spans="2:13" ht="16.5" x14ac:dyDescent="0.3">
      <c r="B76" s="4" t="s">
        <v>5</v>
      </c>
      <c r="C76" s="4" t="s">
        <v>40</v>
      </c>
      <c r="D76" s="5">
        <v>58000</v>
      </c>
      <c r="E76" s="6">
        <v>45580</v>
      </c>
      <c r="F76" s="6">
        <v>45611</v>
      </c>
      <c r="G76" s="7" t="s">
        <v>41</v>
      </c>
      <c r="H76" s="8" t="str">
        <f>_xlfn.XLOOKUP(Base_Lançamentos[[#This Row],[Conta]],Referências[Conta],Referências[Categoria da Conta])</f>
        <v>Venda de Produto</v>
      </c>
      <c r="I76" s="8" t="str">
        <f>_xlfn.XLOOKUP(Base_Lançamentos[[#This Row],[Conta]],Referências[Conta],Referências[Transação])</f>
        <v>Receita</v>
      </c>
      <c r="J76" s="8">
        <f ca="1">IF(Base_Lançamentos[[#This Row],[Realizado]]="Sim","-",Base_Lançamentos[[#This Row],[Data 
Pagamento]]-TODAY())</f>
        <v>-346</v>
      </c>
      <c r="K76" s="8" t="str">
        <f ca="1">IF(Base_Lançamentos[[#This Row],[Prazo p/ 
Pagamento]]="-","No prazo","Atrasado")</f>
        <v>Atrasado</v>
      </c>
      <c r="L76" s="11">
        <f>IF(Base_Lançamentos[[#This Row],[Transação]]="Receita",Base_Lançamentos[[#This Row],[Valor]],-Base_Lançamentos[[#This Row],[Valor]])</f>
        <v>58000</v>
      </c>
      <c r="M76" s="5">
        <f>Base_Lançamentos[[#This Row],[Registro de Valor]]+M75</f>
        <v>383250</v>
      </c>
    </row>
    <row r="77" spans="2:13" ht="16.5" x14ac:dyDescent="0.3">
      <c r="B77" s="4" t="s">
        <v>18</v>
      </c>
      <c r="C77" s="4" t="s">
        <v>40</v>
      </c>
      <c r="D77" s="5">
        <v>6000</v>
      </c>
      <c r="E77" s="6">
        <v>45580</v>
      </c>
      <c r="F77" s="6">
        <v>45580</v>
      </c>
      <c r="G77" s="7" t="s">
        <v>38</v>
      </c>
      <c r="H77" s="8" t="str">
        <f>_xlfn.XLOOKUP(Base_Lançamentos[[#This Row],[Conta]],Referências[Conta],Referências[Categoria da Conta])</f>
        <v>Despesas Operacionais</v>
      </c>
      <c r="I77" s="8" t="str">
        <f>_xlfn.XLOOKUP(Base_Lançamentos[[#This Row],[Conta]],Referências[Conta],Referências[Transação])</f>
        <v>Despesa</v>
      </c>
      <c r="J77" s="8" t="str">
        <f ca="1">IF(Base_Lançamentos[[#This Row],[Realizado]]="Sim","-",Base_Lançamentos[[#This Row],[Data 
Pagamento]]-TODAY())</f>
        <v>-</v>
      </c>
      <c r="K77" s="8" t="str">
        <f ca="1">IF(Base_Lançamentos[[#This Row],[Prazo p/ 
Pagamento]]="-","No prazo","Atrasado")</f>
        <v>No prazo</v>
      </c>
      <c r="L77" s="11">
        <f>IF(Base_Lançamentos[[#This Row],[Transação]]="Receita",Base_Lançamentos[[#This Row],[Valor]],-Base_Lançamentos[[#This Row],[Valor]])</f>
        <v>-6000</v>
      </c>
      <c r="M77" s="5">
        <f>Base_Lançamentos[[#This Row],[Registro de Valor]]+M76</f>
        <v>377250</v>
      </c>
    </row>
    <row r="78" spans="2:13" ht="16.5" x14ac:dyDescent="0.3">
      <c r="B78" s="4" t="s">
        <v>20</v>
      </c>
      <c r="C78" s="4" t="s">
        <v>37</v>
      </c>
      <c r="D78" s="5">
        <v>800</v>
      </c>
      <c r="E78" s="6">
        <v>45585</v>
      </c>
      <c r="F78" s="6">
        <v>45585</v>
      </c>
      <c r="G78" s="7" t="s">
        <v>38</v>
      </c>
      <c r="H78" s="8" t="str">
        <f>_xlfn.XLOOKUP(Base_Lançamentos[[#This Row],[Conta]],Referências[Conta],Referências[Categoria da Conta])</f>
        <v>Despesas Operacionais</v>
      </c>
      <c r="I78" s="8" t="str">
        <f>_xlfn.XLOOKUP(Base_Lançamentos[[#This Row],[Conta]],Referências[Conta],Referências[Transação])</f>
        <v>Despesa</v>
      </c>
      <c r="J78" s="8" t="str">
        <f ca="1">IF(Base_Lançamentos[[#This Row],[Realizado]]="Sim","-",Base_Lançamentos[[#This Row],[Data 
Pagamento]]-TODAY())</f>
        <v>-</v>
      </c>
      <c r="K78" s="8" t="str">
        <f ca="1">IF(Base_Lançamentos[[#This Row],[Prazo p/ 
Pagamento]]="-","No prazo","Atrasado")</f>
        <v>No prazo</v>
      </c>
      <c r="L78" s="11">
        <f>IF(Base_Lançamentos[[#This Row],[Transação]]="Receita",Base_Lançamentos[[#This Row],[Valor]],-Base_Lançamentos[[#This Row],[Valor]])</f>
        <v>-800</v>
      </c>
      <c r="M78" s="5">
        <f>Base_Lançamentos[[#This Row],[Registro de Valor]]+M77</f>
        <v>376450</v>
      </c>
    </row>
    <row r="79" spans="2:13" ht="16.5" x14ac:dyDescent="0.3">
      <c r="B79" s="4" t="s">
        <v>16</v>
      </c>
      <c r="C79" s="4" t="s">
        <v>39</v>
      </c>
      <c r="D79" s="5">
        <v>1600</v>
      </c>
      <c r="E79" s="6">
        <v>45590</v>
      </c>
      <c r="F79" s="6">
        <v>45590</v>
      </c>
      <c r="G79" s="7" t="s">
        <v>38</v>
      </c>
      <c r="H79" s="8" t="str">
        <f>_xlfn.XLOOKUP(Base_Lançamentos[[#This Row],[Conta]],Referências[Conta],Referências[Categoria da Conta])</f>
        <v>Despesas Operacionais</v>
      </c>
      <c r="I79" s="8" t="str">
        <f>_xlfn.XLOOKUP(Base_Lançamentos[[#This Row],[Conta]],Referências[Conta],Referências[Transação])</f>
        <v>Despesa</v>
      </c>
      <c r="J79" s="8" t="str">
        <f ca="1">IF(Base_Lançamentos[[#This Row],[Realizado]]="Sim","-",Base_Lançamentos[[#This Row],[Data 
Pagamento]]-TODAY())</f>
        <v>-</v>
      </c>
      <c r="K79" s="8" t="str">
        <f ca="1">IF(Base_Lançamentos[[#This Row],[Prazo p/ 
Pagamento]]="-","No prazo","Atrasado")</f>
        <v>No prazo</v>
      </c>
      <c r="L79" s="11">
        <f>IF(Base_Lançamentos[[#This Row],[Transação]]="Receita",Base_Lançamentos[[#This Row],[Valor]],-Base_Lançamentos[[#This Row],[Valor]])</f>
        <v>-1600</v>
      </c>
      <c r="M79" s="5">
        <f>Base_Lançamentos[[#This Row],[Registro de Valor]]+M78</f>
        <v>374850</v>
      </c>
    </row>
    <row r="80" spans="2:13" ht="16.5" x14ac:dyDescent="0.3">
      <c r="B80" s="4" t="s">
        <v>7</v>
      </c>
      <c r="C80" s="4" t="s">
        <v>37</v>
      </c>
      <c r="D80" s="5">
        <v>48000</v>
      </c>
      <c r="E80" s="6">
        <v>45597</v>
      </c>
      <c r="F80" s="6">
        <v>45597</v>
      </c>
      <c r="G80" s="7" t="s">
        <v>38</v>
      </c>
      <c r="H80" s="8" t="str">
        <f>_xlfn.XLOOKUP(Base_Lançamentos[[#This Row],[Conta]],Referências[Conta],Referências[Categoria da Conta])</f>
        <v>Venda de Produto</v>
      </c>
      <c r="I80" s="8" t="str">
        <f>_xlfn.XLOOKUP(Base_Lançamentos[[#This Row],[Conta]],Referências[Conta],Referências[Transação])</f>
        <v>Receita</v>
      </c>
      <c r="J80" s="8" t="str">
        <f ca="1">IF(Base_Lançamentos[[#This Row],[Realizado]]="Sim","-",Base_Lançamentos[[#This Row],[Data 
Pagamento]]-TODAY())</f>
        <v>-</v>
      </c>
      <c r="K80" s="8" t="str">
        <f ca="1">IF(Base_Lançamentos[[#This Row],[Prazo p/ 
Pagamento]]="-","No prazo","Atrasado")</f>
        <v>No prazo</v>
      </c>
      <c r="L80" s="11">
        <f>IF(Base_Lançamentos[[#This Row],[Transação]]="Receita",Base_Lançamentos[[#This Row],[Valor]],-Base_Lançamentos[[#This Row],[Valor]])</f>
        <v>48000</v>
      </c>
      <c r="M80" s="5">
        <f>Base_Lançamentos[[#This Row],[Registro de Valor]]+M79</f>
        <v>422850</v>
      </c>
    </row>
    <row r="81" spans="2:13" ht="16.5" x14ac:dyDescent="0.3">
      <c r="B81" s="4" t="s">
        <v>19</v>
      </c>
      <c r="C81" s="4" t="s">
        <v>39</v>
      </c>
      <c r="D81" s="5">
        <v>7500</v>
      </c>
      <c r="E81" s="6">
        <v>45601</v>
      </c>
      <c r="F81" s="6">
        <v>45601</v>
      </c>
      <c r="G81" s="7" t="s">
        <v>38</v>
      </c>
      <c r="H81" s="8" t="str">
        <f>_xlfn.XLOOKUP(Base_Lançamentos[[#This Row],[Conta]],Referências[Conta],Referências[Categoria da Conta])</f>
        <v>Despesas Operacionais</v>
      </c>
      <c r="I81" s="8" t="str">
        <f>_xlfn.XLOOKUP(Base_Lançamentos[[#This Row],[Conta]],Referências[Conta],Referências[Transação])</f>
        <v>Despesa</v>
      </c>
      <c r="J81" s="8" t="str">
        <f ca="1">IF(Base_Lançamentos[[#This Row],[Realizado]]="Sim","-",Base_Lançamentos[[#This Row],[Data 
Pagamento]]-TODAY())</f>
        <v>-</v>
      </c>
      <c r="K81" s="8" t="str">
        <f ca="1">IF(Base_Lançamentos[[#This Row],[Prazo p/ 
Pagamento]]="-","No prazo","Atrasado")</f>
        <v>No prazo</v>
      </c>
      <c r="L81" s="11">
        <f>IF(Base_Lançamentos[[#This Row],[Transação]]="Receita",Base_Lançamentos[[#This Row],[Valor]],-Base_Lançamentos[[#This Row],[Valor]])</f>
        <v>-7500</v>
      </c>
      <c r="M81" s="5">
        <f>Base_Lançamentos[[#This Row],[Registro de Valor]]+M80</f>
        <v>415350</v>
      </c>
    </row>
    <row r="82" spans="2:13" ht="16.5" x14ac:dyDescent="0.3">
      <c r="B82" s="4" t="s">
        <v>12</v>
      </c>
      <c r="C82" s="4" t="s">
        <v>37</v>
      </c>
      <c r="D82" s="5">
        <v>48000</v>
      </c>
      <c r="E82" s="6">
        <v>45601</v>
      </c>
      <c r="F82" s="6">
        <v>45601</v>
      </c>
      <c r="G82" s="7" t="s">
        <v>38</v>
      </c>
      <c r="H82" s="8" t="str">
        <f>_xlfn.XLOOKUP(Base_Lançamentos[[#This Row],[Conta]],Referências[Conta],Referências[Categoria da Conta])</f>
        <v>Despesas Operacionais</v>
      </c>
      <c r="I82" s="8" t="str">
        <f>_xlfn.XLOOKUP(Base_Lançamentos[[#This Row],[Conta]],Referências[Conta],Referências[Transação])</f>
        <v>Despesa</v>
      </c>
      <c r="J82" s="8" t="str">
        <f ca="1">IF(Base_Lançamentos[[#This Row],[Realizado]]="Sim","-",Base_Lançamentos[[#This Row],[Data 
Pagamento]]-TODAY())</f>
        <v>-</v>
      </c>
      <c r="K82" s="8" t="str">
        <f ca="1">IF(Base_Lançamentos[[#This Row],[Prazo p/ 
Pagamento]]="-","No prazo","Atrasado")</f>
        <v>No prazo</v>
      </c>
      <c r="L82" s="11">
        <f>IF(Base_Lançamentos[[#This Row],[Transação]]="Receita",Base_Lançamentos[[#This Row],[Valor]],-Base_Lançamentos[[#This Row],[Valor]])</f>
        <v>-48000</v>
      </c>
      <c r="M82" s="5">
        <f>Base_Lançamentos[[#This Row],[Registro de Valor]]+M81</f>
        <v>367350</v>
      </c>
    </row>
    <row r="83" spans="2:13" ht="16.5" x14ac:dyDescent="0.3">
      <c r="B83" s="4" t="s">
        <v>8</v>
      </c>
      <c r="C83" s="4" t="s">
        <v>40</v>
      </c>
      <c r="D83" s="5">
        <v>22000</v>
      </c>
      <c r="E83" s="6">
        <v>45606</v>
      </c>
      <c r="F83" s="6">
        <v>45636</v>
      </c>
      <c r="G83" s="7" t="s">
        <v>41</v>
      </c>
      <c r="H83" s="8" t="str">
        <f>_xlfn.XLOOKUP(Base_Lançamentos[[#This Row],[Conta]],Referências[Conta],Referências[Categoria da Conta])</f>
        <v>Venda de Produto</v>
      </c>
      <c r="I83" s="8" t="str">
        <f>_xlfn.XLOOKUP(Base_Lançamentos[[#This Row],[Conta]],Referências[Conta],Referências[Transação])</f>
        <v>Receita</v>
      </c>
      <c r="J83" s="8">
        <f ca="1">IF(Base_Lançamentos[[#This Row],[Realizado]]="Sim","-",Base_Lançamentos[[#This Row],[Data 
Pagamento]]-TODAY())</f>
        <v>-321</v>
      </c>
      <c r="K83" s="8" t="str">
        <f ca="1">IF(Base_Lançamentos[[#This Row],[Prazo p/ 
Pagamento]]="-","No prazo","Atrasado")</f>
        <v>Atrasado</v>
      </c>
      <c r="L83" s="11">
        <f>IF(Base_Lançamentos[[#This Row],[Transação]]="Receita",Base_Lançamentos[[#This Row],[Valor]],-Base_Lançamentos[[#This Row],[Valor]])</f>
        <v>22000</v>
      </c>
      <c r="M83" s="5">
        <f>Base_Lançamentos[[#This Row],[Registro de Valor]]+M82</f>
        <v>389350</v>
      </c>
    </row>
    <row r="84" spans="2:13" ht="16.5" x14ac:dyDescent="0.3">
      <c r="B84" s="4" t="s">
        <v>24</v>
      </c>
      <c r="C84" s="4" t="s">
        <v>40</v>
      </c>
      <c r="D84" s="5">
        <v>1200</v>
      </c>
      <c r="E84" s="6">
        <v>45611</v>
      </c>
      <c r="F84" s="6">
        <v>45641</v>
      </c>
      <c r="G84" s="7" t="s">
        <v>41</v>
      </c>
      <c r="H84" s="8" t="str">
        <f>_xlfn.XLOOKUP(Base_Lançamentos[[#This Row],[Conta]],Referências[Conta],Referências[Categoria da Conta])</f>
        <v>Despesas Administrativas</v>
      </c>
      <c r="I84" s="8" t="str">
        <f>_xlfn.XLOOKUP(Base_Lançamentos[[#This Row],[Conta]],Referências[Conta],Referências[Transação])</f>
        <v>Despesa</v>
      </c>
      <c r="J84" s="8">
        <f ca="1">IF(Base_Lançamentos[[#This Row],[Realizado]]="Sim","-",Base_Lançamentos[[#This Row],[Data 
Pagamento]]-TODAY())</f>
        <v>-316</v>
      </c>
      <c r="K84" s="8" t="str">
        <f ca="1">IF(Base_Lançamentos[[#This Row],[Prazo p/ 
Pagamento]]="-","No prazo","Atrasado")</f>
        <v>Atrasado</v>
      </c>
      <c r="L84" s="11">
        <f>IF(Base_Lançamentos[[#This Row],[Transação]]="Receita",Base_Lançamentos[[#This Row],[Valor]],-Base_Lançamentos[[#This Row],[Valor]])</f>
        <v>-1200</v>
      </c>
      <c r="M84" s="5">
        <f>Base_Lançamentos[[#This Row],[Registro de Valor]]+M83</f>
        <v>388150</v>
      </c>
    </row>
    <row r="85" spans="2:13" ht="16.5" x14ac:dyDescent="0.3">
      <c r="B85" s="4" t="s">
        <v>28</v>
      </c>
      <c r="C85" s="4" t="s">
        <v>37</v>
      </c>
      <c r="D85" s="5">
        <v>4500</v>
      </c>
      <c r="E85" s="6">
        <v>45616</v>
      </c>
      <c r="F85" s="6">
        <v>45616</v>
      </c>
      <c r="G85" s="7" t="s">
        <v>38</v>
      </c>
      <c r="H85" s="8" t="str">
        <f>_xlfn.XLOOKUP(Base_Lançamentos[[#This Row],[Conta]],Referências[Conta],Referências[Categoria da Conta])</f>
        <v>Impostos</v>
      </c>
      <c r="I85" s="8" t="str">
        <f>_xlfn.XLOOKUP(Base_Lançamentos[[#This Row],[Conta]],Referências[Conta],Referências[Transação])</f>
        <v>Despesa</v>
      </c>
      <c r="J85" s="8" t="str">
        <f ca="1">IF(Base_Lançamentos[[#This Row],[Realizado]]="Sim","-",Base_Lançamentos[[#This Row],[Data 
Pagamento]]-TODAY())</f>
        <v>-</v>
      </c>
      <c r="K85" s="8" t="str">
        <f ca="1">IF(Base_Lançamentos[[#This Row],[Prazo p/ 
Pagamento]]="-","No prazo","Atrasado")</f>
        <v>No prazo</v>
      </c>
      <c r="L85" s="11">
        <f>IF(Base_Lançamentos[[#This Row],[Transação]]="Receita",Base_Lançamentos[[#This Row],[Valor]],-Base_Lançamentos[[#This Row],[Valor]])</f>
        <v>-4500</v>
      </c>
      <c r="M85" s="5">
        <f>Base_Lançamentos[[#This Row],[Registro de Valor]]+M84</f>
        <v>383650</v>
      </c>
    </row>
    <row r="86" spans="2:13" ht="16.5" x14ac:dyDescent="0.3">
      <c r="B86" s="4" t="s">
        <v>17</v>
      </c>
      <c r="C86" s="4" t="s">
        <v>39</v>
      </c>
      <c r="D86" s="5">
        <v>1100</v>
      </c>
      <c r="E86" s="6">
        <v>45621</v>
      </c>
      <c r="F86" s="6">
        <v>45621</v>
      </c>
      <c r="G86" s="7" t="s">
        <v>38</v>
      </c>
      <c r="H86" s="8" t="str">
        <f>_xlfn.XLOOKUP(Base_Lançamentos[[#This Row],[Conta]],Referências[Conta],Referências[Categoria da Conta])</f>
        <v>Despesas Operacionais</v>
      </c>
      <c r="I86" s="8" t="str">
        <f>_xlfn.XLOOKUP(Base_Lançamentos[[#This Row],[Conta]],Referências[Conta],Referências[Transação])</f>
        <v>Despesa</v>
      </c>
      <c r="J86" s="8" t="str">
        <f ca="1">IF(Base_Lançamentos[[#This Row],[Realizado]]="Sim","-",Base_Lançamentos[[#This Row],[Data 
Pagamento]]-TODAY())</f>
        <v>-</v>
      </c>
      <c r="K86" s="8" t="str">
        <f ca="1">IF(Base_Lançamentos[[#This Row],[Prazo p/ 
Pagamento]]="-","No prazo","Atrasado")</f>
        <v>No prazo</v>
      </c>
      <c r="L86" s="11">
        <f>IF(Base_Lançamentos[[#This Row],[Transação]]="Receita",Base_Lançamentos[[#This Row],[Valor]],-Base_Lançamentos[[#This Row],[Valor]])</f>
        <v>-1100</v>
      </c>
      <c r="M86" s="5">
        <f>Base_Lançamentos[[#This Row],[Registro de Valor]]+M85</f>
        <v>382550</v>
      </c>
    </row>
    <row r="87" spans="2:13" ht="16.5" x14ac:dyDescent="0.3">
      <c r="B87" s="4" t="s">
        <v>9</v>
      </c>
      <c r="C87" s="4" t="s">
        <v>39</v>
      </c>
      <c r="D87" s="5">
        <v>85000</v>
      </c>
      <c r="E87" s="6">
        <v>45627</v>
      </c>
      <c r="F87" s="6">
        <v>45627</v>
      </c>
      <c r="G87" s="7" t="s">
        <v>38</v>
      </c>
      <c r="H87" s="8" t="str">
        <f>_xlfn.XLOOKUP(Base_Lançamentos[[#This Row],[Conta]],Referências[Conta],Referências[Categoria da Conta])</f>
        <v>Venda de Produto</v>
      </c>
      <c r="I87" s="8" t="str">
        <f>_xlfn.XLOOKUP(Base_Lançamentos[[#This Row],[Conta]],Referências[Conta],Referências[Transação])</f>
        <v>Receita</v>
      </c>
      <c r="J87" s="8" t="str">
        <f ca="1">IF(Base_Lançamentos[[#This Row],[Realizado]]="Sim","-",Base_Lançamentos[[#This Row],[Data 
Pagamento]]-TODAY())</f>
        <v>-</v>
      </c>
      <c r="K87" s="8" t="str">
        <f ca="1">IF(Base_Lançamentos[[#This Row],[Prazo p/ 
Pagamento]]="-","No prazo","Atrasado")</f>
        <v>No prazo</v>
      </c>
      <c r="L87" s="11">
        <f>IF(Base_Lançamentos[[#This Row],[Transação]]="Receita",Base_Lançamentos[[#This Row],[Valor]],-Base_Lançamentos[[#This Row],[Valor]])</f>
        <v>85000</v>
      </c>
      <c r="M87" s="5">
        <f>Base_Lançamentos[[#This Row],[Registro de Valor]]+M86</f>
        <v>467550</v>
      </c>
    </row>
    <row r="88" spans="2:13" ht="16.5" x14ac:dyDescent="0.3">
      <c r="B88" s="4" t="s">
        <v>12</v>
      </c>
      <c r="C88" s="4" t="s">
        <v>37</v>
      </c>
      <c r="D88" s="5">
        <v>48000</v>
      </c>
      <c r="E88" s="6">
        <v>45631</v>
      </c>
      <c r="F88" s="6">
        <v>45631</v>
      </c>
      <c r="G88" s="7" t="s">
        <v>38</v>
      </c>
      <c r="H88" s="8" t="str">
        <f>_xlfn.XLOOKUP(Base_Lançamentos[[#This Row],[Conta]],Referências[Conta],Referências[Categoria da Conta])</f>
        <v>Despesas Operacionais</v>
      </c>
      <c r="I88" s="8" t="str">
        <f>_xlfn.XLOOKUP(Base_Lançamentos[[#This Row],[Conta]],Referências[Conta],Referências[Transação])</f>
        <v>Despesa</v>
      </c>
      <c r="J88" s="8" t="str">
        <f ca="1">IF(Base_Lançamentos[[#This Row],[Realizado]]="Sim","-",Base_Lançamentos[[#This Row],[Data 
Pagamento]]-TODAY())</f>
        <v>-</v>
      </c>
      <c r="K88" s="8" t="str">
        <f ca="1">IF(Base_Lançamentos[[#This Row],[Prazo p/ 
Pagamento]]="-","No prazo","Atrasado")</f>
        <v>No prazo</v>
      </c>
      <c r="L88" s="11">
        <f>IF(Base_Lançamentos[[#This Row],[Transação]]="Receita",Base_Lançamentos[[#This Row],[Valor]],-Base_Lançamentos[[#This Row],[Valor]])</f>
        <v>-48000</v>
      </c>
      <c r="M88" s="5">
        <f>Base_Lançamentos[[#This Row],[Registro de Valor]]+M87</f>
        <v>419550</v>
      </c>
    </row>
    <row r="89" spans="2:13" ht="16.5" x14ac:dyDescent="0.3">
      <c r="B89" s="4" t="s">
        <v>15</v>
      </c>
      <c r="C89" s="4" t="s">
        <v>37</v>
      </c>
      <c r="D89" s="5">
        <v>8500</v>
      </c>
      <c r="E89" s="6">
        <v>45631</v>
      </c>
      <c r="F89" s="6">
        <v>45631</v>
      </c>
      <c r="G89" s="7" t="s">
        <v>38</v>
      </c>
      <c r="H89" s="8" t="str">
        <f>_xlfn.XLOOKUP(Base_Lançamentos[[#This Row],[Conta]],Referências[Conta],Referências[Categoria da Conta])</f>
        <v>Despesas Operacionais</v>
      </c>
      <c r="I89" s="8" t="str">
        <f>_xlfn.XLOOKUP(Base_Lançamentos[[#This Row],[Conta]],Referências[Conta],Referências[Transação])</f>
        <v>Despesa</v>
      </c>
      <c r="J89" s="8" t="str">
        <f ca="1">IF(Base_Lançamentos[[#This Row],[Realizado]]="Sim","-",Base_Lançamentos[[#This Row],[Data 
Pagamento]]-TODAY())</f>
        <v>-</v>
      </c>
      <c r="K89" s="8" t="str">
        <f ca="1">IF(Base_Lançamentos[[#This Row],[Prazo p/ 
Pagamento]]="-","No prazo","Atrasado")</f>
        <v>No prazo</v>
      </c>
      <c r="L89" s="11">
        <f>IF(Base_Lançamentos[[#This Row],[Transação]]="Receita",Base_Lançamentos[[#This Row],[Valor]],-Base_Lançamentos[[#This Row],[Valor]])</f>
        <v>-8500</v>
      </c>
      <c r="M89" s="5">
        <f>Base_Lançamentos[[#This Row],[Registro de Valor]]+M88</f>
        <v>411050</v>
      </c>
    </row>
    <row r="90" spans="2:13" ht="16.5" x14ac:dyDescent="0.3">
      <c r="B90" s="4" t="s">
        <v>10</v>
      </c>
      <c r="C90" s="4" t="s">
        <v>39</v>
      </c>
      <c r="D90" s="5">
        <v>15000</v>
      </c>
      <c r="E90" s="6">
        <v>45641</v>
      </c>
      <c r="F90" s="6">
        <v>45641</v>
      </c>
      <c r="G90" s="7" t="s">
        <v>38</v>
      </c>
      <c r="H90" s="8" t="str">
        <f>_xlfn.XLOOKUP(Base_Lançamentos[[#This Row],[Conta]],Referências[Conta],Referências[Categoria da Conta])</f>
        <v>Prestação de Serviço</v>
      </c>
      <c r="I90" s="8" t="str">
        <f>_xlfn.XLOOKUP(Base_Lançamentos[[#This Row],[Conta]],Referências[Conta],Referências[Transação])</f>
        <v>Receita</v>
      </c>
      <c r="J90" s="8" t="str">
        <f ca="1">IF(Base_Lançamentos[[#This Row],[Realizado]]="Sim","-",Base_Lançamentos[[#This Row],[Data 
Pagamento]]-TODAY())</f>
        <v>-</v>
      </c>
      <c r="K90" s="8" t="str">
        <f ca="1">IF(Base_Lançamentos[[#This Row],[Prazo p/ 
Pagamento]]="-","No prazo","Atrasado")</f>
        <v>No prazo</v>
      </c>
      <c r="L90" s="11">
        <f>IF(Base_Lançamentos[[#This Row],[Transação]]="Receita",Base_Lançamentos[[#This Row],[Valor]],-Base_Lançamentos[[#This Row],[Valor]])</f>
        <v>15000</v>
      </c>
      <c r="M90" s="5">
        <f>Base_Lançamentos[[#This Row],[Registro de Valor]]+M89</f>
        <v>426050</v>
      </c>
    </row>
    <row r="91" spans="2:13" ht="16.5" x14ac:dyDescent="0.3">
      <c r="B91" s="4" t="s">
        <v>27</v>
      </c>
      <c r="C91" s="4" t="s">
        <v>37</v>
      </c>
      <c r="D91" s="5">
        <v>3500</v>
      </c>
      <c r="E91" s="6">
        <v>45641</v>
      </c>
      <c r="F91" s="6">
        <v>45641</v>
      </c>
      <c r="G91" s="7" t="s">
        <v>38</v>
      </c>
      <c r="H91" s="8" t="str">
        <f>_xlfn.XLOOKUP(Base_Lançamentos[[#This Row],[Conta]],Referências[Conta],Referências[Categoria da Conta])</f>
        <v>Despesas Administrativas</v>
      </c>
      <c r="I91" s="8" t="str">
        <f>_xlfn.XLOOKUP(Base_Lançamentos[[#This Row],[Conta]],Referências[Conta],Referências[Transação])</f>
        <v>Despesa</v>
      </c>
      <c r="J91" s="8" t="str">
        <f ca="1">IF(Base_Lançamentos[[#This Row],[Realizado]]="Sim","-",Base_Lançamentos[[#This Row],[Data 
Pagamento]]-TODAY())</f>
        <v>-</v>
      </c>
      <c r="K91" s="8" t="str">
        <f ca="1">IF(Base_Lançamentos[[#This Row],[Prazo p/ 
Pagamento]]="-","No prazo","Atrasado")</f>
        <v>No prazo</v>
      </c>
      <c r="L91" s="11">
        <f>IF(Base_Lançamentos[[#This Row],[Transação]]="Receita",Base_Lançamentos[[#This Row],[Valor]],-Base_Lançamentos[[#This Row],[Valor]])</f>
        <v>-3500</v>
      </c>
      <c r="M91" s="5">
        <f>Base_Lançamentos[[#This Row],[Registro de Valor]]+M90</f>
        <v>422550</v>
      </c>
    </row>
    <row r="92" spans="2:13" ht="16.5" x14ac:dyDescent="0.3">
      <c r="B92" s="4" t="s">
        <v>23</v>
      </c>
      <c r="C92" s="4" t="s">
        <v>40</v>
      </c>
      <c r="D92" s="5">
        <v>600</v>
      </c>
      <c r="E92" s="6">
        <v>45646</v>
      </c>
      <c r="F92" s="6">
        <v>45646</v>
      </c>
      <c r="G92" s="7" t="s">
        <v>38</v>
      </c>
      <c r="H92" s="8" t="str">
        <f>_xlfn.XLOOKUP(Base_Lançamentos[[#This Row],[Conta]],Referências[Conta],Referências[Categoria da Conta])</f>
        <v>Despesas Operacionais</v>
      </c>
      <c r="I92" s="8" t="str">
        <f>_xlfn.XLOOKUP(Base_Lançamentos[[#This Row],[Conta]],Referências[Conta],Referências[Transação])</f>
        <v>Despesa</v>
      </c>
      <c r="J92" s="8" t="str">
        <f ca="1">IF(Base_Lançamentos[[#This Row],[Realizado]]="Sim","-",Base_Lançamentos[[#This Row],[Data 
Pagamento]]-TODAY())</f>
        <v>-</v>
      </c>
      <c r="K92" s="8" t="str">
        <f ca="1">IF(Base_Lançamentos[[#This Row],[Prazo p/ 
Pagamento]]="-","No prazo","Atrasado")</f>
        <v>No prazo</v>
      </c>
      <c r="L92" s="11">
        <f>IF(Base_Lançamentos[[#This Row],[Transação]]="Receita",Base_Lançamentos[[#This Row],[Valor]],-Base_Lançamentos[[#This Row],[Valor]])</f>
        <v>-600</v>
      </c>
      <c r="M92" s="5">
        <f>Base_Lançamentos[[#This Row],[Registro de Valor]]+M91</f>
        <v>421950</v>
      </c>
    </row>
    <row r="93" spans="2:13" ht="16.5" x14ac:dyDescent="0.3">
      <c r="B93" s="4" t="s">
        <v>16</v>
      </c>
      <c r="C93" s="4" t="s">
        <v>39</v>
      </c>
      <c r="D93" s="5">
        <v>1700</v>
      </c>
      <c r="E93" s="6">
        <v>45651</v>
      </c>
      <c r="F93" s="6">
        <v>45651</v>
      </c>
      <c r="G93" s="7" t="s">
        <v>38</v>
      </c>
      <c r="H93" s="8" t="str">
        <f>_xlfn.XLOOKUP(Base_Lançamentos[[#This Row],[Conta]],Referências[Conta],Referências[Categoria da Conta])</f>
        <v>Despesas Operacionais</v>
      </c>
      <c r="I93" s="8" t="str">
        <f>_xlfn.XLOOKUP(Base_Lançamentos[[#This Row],[Conta]],Referências[Conta],Referências[Transação])</f>
        <v>Despesa</v>
      </c>
      <c r="J93" s="8" t="str">
        <f ca="1">IF(Base_Lançamentos[[#This Row],[Realizado]]="Sim","-",Base_Lançamentos[[#This Row],[Data 
Pagamento]]-TODAY())</f>
        <v>-</v>
      </c>
      <c r="K93" s="8" t="str">
        <f ca="1">IF(Base_Lançamentos[[#This Row],[Prazo p/ 
Pagamento]]="-","No prazo","Atrasado")</f>
        <v>No prazo</v>
      </c>
      <c r="L93" s="11">
        <f>IF(Base_Lançamentos[[#This Row],[Transação]]="Receita",Base_Lançamentos[[#This Row],[Valor]],-Base_Lançamentos[[#This Row],[Valor]])</f>
        <v>-1700</v>
      </c>
      <c r="M93" s="5">
        <f>Base_Lançamentos[[#This Row],[Registro de Valor]]+M92</f>
        <v>420250</v>
      </c>
    </row>
  </sheetData>
  <mergeCells count="2">
    <mergeCell ref="A1:XFD1"/>
    <mergeCell ref="A2:XFD2"/>
  </mergeCells>
  <conditionalFormatting sqref="K5:K93">
    <cfRule type="containsText" dxfId="77" priority="3" operator="containsText" text="Atrasado">
      <formula>NOT(ISERROR(SEARCH("Atrasado",K5)))</formula>
    </cfRule>
    <cfRule type="containsText" dxfId="76" priority="4" operator="containsText" text="No prazo">
      <formula>NOT(ISERROR(SEARCH("No prazo",K5)))</formula>
    </cfRule>
  </conditionalFormatting>
  <conditionalFormatting sqref="I5:I93">
    <cfRule type="containsText" dxfId="75" priority="1" operator="containsText" text="Despesa">
      <formula>NOT(ISERROR(SEARCH("Despesa",I5)))</formula>
    </cfRule>
    <cfRule type="containsText" dxfId="74" priority="2" operator="containsText" text="Receita">
      <formula>NOT(ISERROR(SEARCH("Receita",I5)))</formula>
    </cfRule>
  </conditionalFormatting>
  <dataValidations disablePrompts="1" count="1">
    <dataValidation type="list" allowBlank="1" showInputMessage="1" showErrorMessage="1" sqref="B5:B93" xr:uid="{2D7165D1-7A49-4016-ABB2-AB05D08BC581}">
      <formula1>Conta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7390-BBBC-440D-9274-DFE5F489372C}">
  <dimension ref="A1:C25"/>
  <sheetViews>
    <sheetView showGridLines="0" zoomScale="115" zoomScaleNormal="115" workbookViewId="0">
      <selection activeCell="R10" sqref="R10"/>
    </sheetView>
  </sheetViews>
  <sheetFormatPr defaultRowHeight="15" x14ac:dyDescent="0.25"/>
  <cols>
    <col min="1" max="1" width="3.7109375" customWidth="1"/>
    <col min="2" max="2" width="30.42578125" bestFit="1" customWidth="1"/>
    <col min="3" max="3" width="18.140625" bestFit="1" customWidth="1"/>
  </cols>
  <sheetData>
    <row r="1" spans="1:3" s="38" customFormat="1" ht="46.5" customHeight="1" x14ac:dyDescent="0.25">
      <c r="A1" s="38" t="s">
        <v>49</v>
      </c>
    </row>
    <row r="2" spans="1:3" s="39" customFormat="1" ht="4.5" customHeight="1" thickBot="1" x14ac:dyDescent="0.3"/>
    <row r="3" spans="1:3" ht="17.25" thickTop="1" x14ac:dyDescent="0.3"/>
    <row r="5" spans="1:3" ht="20.25" x14ac:dyDescent="0.35">
      <c r="B5" s="15" t="s">
        <v>51</v>
      </c>
      <c r="C5" s="16" t="s">
        <v>52</v>
      </c>
    </row>
    <row r="6" spans="1:3" ht="16.5" x14ac:dyDescent="0.3">
      <c r="B6" s="17" t="s">
        <v>14</v>
      </c>
      <c r="C6" s="37">
        <v>-745750</v>
      </c>
    </row>
    <row r="7" spans="1:3" ht="16.5" x14ac:dyDescent="0.3">
      <c r="B7" s="18" t="s">
        <v>16</v>
      </c>
      <c r="C7" s="37">
        <v>-8700</v>
      </c>
    </row>
    <row r="8" spans="1:3" ht="16.5" x14ac:dyDescent="0.3">
      <c r="B8" s="18" t="s">
        <v>15</v>
      </c>
      <c r="C8" s="37">
        <v>-59500</v>
      </c>
    </row>
    <row r="9" spans="1:3" ht="16.5" x14ac:dyDescent="0.3">
      <c r="B9" s="18" t="s">
        <v>27</v>
      </c>
      <c r="C9" s="37">
        <v>-14000</v>
      </c>
    </row>
    <row r="10" spans="1:3" ht="16.5" x14ac:dyDescent="0.3">
      <c r="B10" s="18" t="s">
        <v>24</v>
      </c>
      <c r="C10" s="37">
        <v>-6000</v>
      </c>
    </row>
    <row r="11" spans="1:3" ht="16.5" x14ac:dyDescent="0.3">
      <c r="B11" s="18" t="s">
        <v>28</v>
      </c>
      <c r="C11" s="37">
        <v>-19000</v>
      </c>
    </row>
    <row r="12" spans="1:3" ht="16.5" x14ac:dyDescent="0.3">
      <c r="B12" s="18" t="s">
        <v>17</v>
      </c>
      <c r="C12" s="37">
        <v>-5850</v>
      </c>
    </row>
    <row r="13" spans="1:3" ht="16.5" x14ac:dyDescent="0.3">
      <c r="B13" s="18" t="s">
        <v>18</v>
      </c>
      <c r="C13" s="37">
        <v>-15000</v>
      </c>
    </row>
    <row r="14" spans="1:3" ht="16.5" x14ac:dyDescent="0.3">
      <c r="B14" s="18" t="s">
        <v>19</v>
      </c>
      <c r="C14" s="37">
        <v>-37500</v>
      </c>
    </row>
    <row r="15" spans="1:3" ht="16.5" x14ac:dyDescent="0.3">
      <c r="B15" s="18" t="s">
        <v>20</v>
      </c>
      <c r="C15" s="37">
        <v>-2100</v>
      </c>
    </row>
    <row r="16" spans="1:3" ht="16.5" x14ac:dyDescent="0.3">
      <c r="B16" s="18" t="s">
        <v>12</v>
      </c>
      <c r="C16" s="37">
        <v>-576000</v>
      </c>
    </row>
    <row r="17" spans="2:3" ht="16.5" x14ac:dyDescent="0.3">
      <c r="B17" s="18" t="s">
        <v>23</v>
      </c>
      <c r="C17" s="37">
        <v>-2100</v>
      </c>
    </row>
    <row r="18" spans="2:3" ht="16.5" x14ac:dyDescent="0.3">
      <c r="B18" s="17" t="s">
        <v>4</v>
      </c>
      <c r="C18" s="37">
        <v>1166000</v>
      </c>
    </row>
    <row r="19" spans="2:3" ht="16.5" x14ac:dyDescent="0.3">
      <c r="B19" s="18" t="s">
        <v>10</v>
      </c>
      <c r="C19" s="37">
        <v>51000</v>
      </c>
    </row>
    <row r="20" spans="2:3" ht="16.5" x14ac:dyDescent="0.3">
      <c r="B20" s="18" t="s">
        <v>5</v>
      </c>
      <c r="C20" s="37">
        <v>307000</v>
      </c>
    </row>
    <row r="21" spans="2:3" ht="16.5" x14ac:dyDescent="0.3">
      <c r="B21" s="18" t="s">
        <v>7</v>
      </c>
      <c r="C21" s="37">
        <v>248000</v>
      </c>
    </row>
    <row r="22" spans="2:3" ht="16.5" x14ac:dyDescent="0.3">
      <c r="B22" s="18" t="s">
        <v>8</v>
      </c>
      <c r="C22" s="37">
        <v>75000</v>
      </c>
    </row>
    <row r="23" spans="2:3" ht="16.5" x14ac:dyDescent="0.3">
      <c r="B23" s="18" t="s">
        <v>9</v>
      </c>
      <c r="C23" s="37">
        <v>435000</v>
      </c>
    </row>
    <row r="24" spans="2:3" ht="16.5" x14ac:dyDescent="0.3">
      <c r="B24" s="18" t="s">
        <v>3</v>
      </c>
      <c r="C24" s="37">
        <v>50000</v>
      </c>
    </row>
    <row r="25" spans="2:3" ht="16.5" x14ac:dyDescent="0.3">
      <c r="B25" s="17" t="s">
        <v>50</v>
      </c>
      <c r="C25" s="37">
        <v>420250</v>
      </c>
    </row>
  </sheetData>
  <mergeCells count="2">
    <mergeCell ref="A1:XFD1"/>
    <mergeCell ref="A2:XFD2"/>
  </mergeCells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2A1B-866B-40E7-82F1-CD3B4471E3CD}">
  <dimension ref="A1:O127"/>
  <sheetViews>
    <sheetView showGridLines="0" zoomScale="85" zoomScaleNormal="85" workbookViewId="0">
      <selection activeCell="D84" sqref="D84"/>
    </sheetView>
  </sheetViews>
  <sheetFormatPr defaultRowHeight="16.5" outlineLevelRow="1" x14ac:dyDescent="0.3"/>
  <cols>
    <col min="1" max="1" width="3.7109375" style="23" customWidth="1"/>
    <col min="2" max="2" width="28.28515625" style="23" bestFit="1" customWidth="1"/>
    <col min="3" max="3" width="44" style="23" bestFit="1" customWidth="1"/>
    <col min="4" max="4" width="44.28515625" style="23" bestFit="1" customWidth="1"/>
    <col min="5" max="5" width="29.42578125" style="23" bestFit="1" customWidth="1"/>
    <col min="6" max="6" width="14.42578125" style="23" bestFit="1" customWidth="1"/>
    <col min="7" max="7" width="14.85546875" style="23" bestFit="1" customWidth="1"/>
    <col min="8" max="9" width="15.7109375" style="23" bestFit="1" customWidth="1"/>
    <col min="10" max="10" width="14.85546875" style="23" bestFit="1" customWidth="1"/>
    <col min="11" max="11" width="15.7109375" style="23" bestFit="1" customWidth="1"/>
    <col min="12" max="12" width="14.85546875" style="23" bestFit="1" customWidth="1"/>
    <col min="13" max="13" width="15.7109375" style="23" bestFit="1" customWidth="1"/>
    <col min="14" max="14" width="14.85546875" style="23" bestFit="1" customWidth="1"/>
    <col min="15" max="15" width="15" style="23" bestFit="1" customWidth="1"/>
    <col min="16" max="20" width="7.28515625" style="23" bestFit="1" customWidth="1"/>
    <col min="21" max="25" width="6.7109375" style="23" bestFit="1" customWidth="1"/>
    <col min="26" max="31" width="7.140625" style="23" bestFit="1" customWidth="1"/>
    <col min="32" max="35" width="6.7109375" style="23" bestFit="1" customWidth="1"/>
    <col min="36" max="40" width="6.140625" style="23" bestFit="1" customWidth="1"/>
    <col min="41" max="45" width="7" style="23" bestFit="1" customWidth="1"/>
    <col min="46" max="50" width="6.5703125" style="23" bestFit="1" customWidth="1"/>
    <col min="51" max="56" width="6.85546875" style="23" bestFit="1" customWidth="1"/>
    <col min="57" max="61" width="7.140625" style="23" bestFit="1" customWidth="1"/>
    <col min="62" max="67" width="7" style="23" bestFit="1" customWidth="1"/>
    <col min="68" max="68" width="10.7109375" style="23" bestFit="1" customWidth="1"/>
    <col min="69" max="70" width="7.7109375" style="23" bestFit="1" customWidth="1"/>
    <col min="71" max="71" width="9.140625" style="23"/>
    <col min="72" max="77" width="7.42578125" style="23" bestFit="1" customWidth="1"/>
    <col min="78" max="78" width="9" style="23" bestFit="1" customWidth="1"/>
    <col min="79" max="79" width="10.7109375" style="23" bestFit="1" customWidth="1"/>
    <col min="80" max="16384" width="9.140625" style="23"/>
  </cols>
  <sheetData>
    <row r="1" spans="1:15" s="38" customFormat="1" ht="46.5" customHeight="1" x14ac:dyDescent="0.25">
      <c r="A1" s="38" t="s">
        <v>53</v>
      </c>
    </row>
    <row r="2" spans="1:15" s="41" customFormat="1" ht="4.5" customHeight="1" thickBot="1" x14ac:dyDescent="0.35"/>
    <row r="3" spans="1:15" ht="17.25" thickTop="1" x14ac:dyDescent="0.3"/>
    <row r="4" spans="1:15" ht="26.25" outlineLevel="1" x14ac:dyDescent="0.45">
      <c r="B4" s="24" t="s">
        <v>69</v>
      </c>
      <c r="C4" s="25"/>
      <c r="D4" s="29"/>
    </row>
    <row r="5" spans="1:15" outlineLevel="1" x14ac:dyDescent="0.3"/>
    <row r="6" spans="1:15" outlineLevel="1" x14ac:dyDescent="0.3">
      <c r="B6" s="22" t="s">
        <v>36</v>
      </c>
      <c r="C6" s="23" t="s">
        <v>38</v>
      </c>
    </row>
    <row r="7" spans="1:15" outlineLevel="1" x14ac:dyDescent="0.3"/>
    <row r="8" spans="1:15" outlineLevel="1" x14ac:dyDescent="0.3">
      <c r="B8" s="22" t="s">
        <v>68</v>
      </c>
      <c r="C8" s="22" t="s">
        <v>54</v>
      </c>
      <c r="O8"/>
    </row>
    <row r="9" spans="1:15" outlineLevel="1" x14ac:dyDescent="0.3">
      <c r="C9" s="23" t="s">
        <v>55</v>
      </c>
      <c r="D9" s="23" t="s">
        <v>56</v>
      </c>
      <c r="E9" s="23" t="s">
        <v>57</v>
      </c>
      <c r="F9" s="23" t="s">
        <v>58</v>
      </c>
      <c r="G9" s="23" t="s">
        <v>59</v>
      </c>
      <c r="H9" s="23" t="s">
        <v>60</v>
      </c>
      <c r="I9" s="23" t="s">
        <v>61</v>
      </c>
      <c r="J9" s="23" t="s">
        <v>62</v>
      </c>
      <c r="K9" s="23" t="s">
        <v>63</v>
      </c>
      <c r="L9" s="23" t="s">
        <v>64</v>
      </c>
      <c r="M9" s="23" t="s">
        <v>65</v>
      </c>
      <c r="N9" s="23" t="s">
        <v>66</v>
      </c>
      <c r="O9"/>
    </row>
    <row r="10" spans="1:15" outlineLevel="1" x14ac:dyDescent="0.3">
      <c r="B10" s="22" t="s">
        <v>67</v>
      </c>
      <c r="O10"/>
    </row>
    <row r="11" spans="1:15" outlineLevel="1" x14ac:dyDescent="0.3">
      <c r="B11" s="12" t="s">
        <v>14</v>
      </c>
      <c r="C11" s="13">
        <v>-64300</v>
      </c>
      <c r="D11" s="13">
        <v>-61200</v>
      </c>
      <c r="E11" s="13">
        <v>-60900</v>
      </c>
      <c r="F11" s="13">
        <v>-58400</v>
      </c>
      <c r="G11" s="13">
        <v>-58450</v>
      </c>
      <c r="H11" s="13">
        <v>-62100</v>
      </c>
      <c r="I11" s="13">
        <v>-64000</v>
      </c>
      <c r="J11" s="13">
        <v>-58550</v>
      </c>
      <c r="K11" s="13">
        <v>-63550</v>
      </c>
      <c r="L11" s="13">
        <v>-64900</v>
      </c>
      <c r="M11" s="13">
        <v>-61100</v>
      </c>
      <c r="N11" s="13">
        <v>-62300</v>
      </c>
      <c r="O11"/>
    </row>
    <row r="12" spans="1:15" outlineLevel="1" x14ac:dyDescent="0.3">
      <c r="B12" s="12" t="s">
        <v>4</v>
      </c>
      <c r="C12" s="13">
        <v>107000</v>
      </c>
      <c r="D12" s="13">
        <v>70000</v>
      </c>
      <c r="E12" s="13">
        <v>38000</v>
      </c>
      <c r="F12" s="13">
        <v>49000</v>
      </c>
      <c r="G12" s="13">
        <v>110000</v>
      </c>
      <c r="H12" s="13"/>
      <c r="I12" s="13">
        <v>42000</v>
      </c>
      <c r="J12" s="13">
        <v>75000</v>
      </c>
      <c r="K12" s="13">
        <v>45000</v>
      </c>
      <c r="L12" s="13">
        <v>80000</v>
      </c>
      <c r="M12" s="13">
        <v>48000</v>
      </c>
      <c r="N12" s="13">
        <v>100000</v>
      </c>
      <c r="O12"/>
    </row>
    <row r="13" spans="1:15" outlineLevel="1" x14ac:dyDescent="0.3">
      <c r="B13" s="12" t="s">
        <v>50</v>
      </c>
      <c r="C13" s="13">
        <v>42700</v>
      </c>
      <c r="D13" s="13">
        <v>8800</v>
      </c>
      <c r="E13" s="13">
        <v>-22900</v>
      </c>
      <c r="F13" s="13">
        <v>-9400</v>
      </c>
      <c r="G13" s="13">
        <v>51550</v>
      </c>
      <c r="H13" s="13">
        <v>-62100</v>
      </c>
      <c r="I13" s="13">
        <v>-22000</v>
      </c>
      <c r="J13" s="13">
        <v>16450</v>
      </c>
      <c r="K13" s="13">
        <v>-18550</v>
      </c>
      <c r="L13" s="13">
        <v>15100</v>
      </c>
      <c r="M13" s="13">
        <v>-13100</v>
      </c>
      <c r="N13" s="13">
        <v>37700</v>
      </c>
      <c r="O13"/>
    </row>
    <row r="14" spans="1:15" outlineLevel="1" x14ac:dyDescent="0.3"/>
    <row r="15" spans="1:15" ht="20.25" outlineLevel="1" x14ac:dyDescent="0.35">
      <c r="B15" s="40" t="s">
        <v>70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</row>
    <row r="16" spans="1:15" outlineLevel="1" x14ac:dyDescent="0.3">
      <c r="B16" s="30" t="s">
        <v>71</v>
      </c>
      <c r="C16" s="31" t="s">
        <v>55</v>
      </c>
      <c r="D16" s="31" t="s">
        <v>56</v>
      </c>
      <c r="E16" s="31" t="s">
        <v>57</v>
      </c>
      <c r="F16" s="31" t="s">
        <v>58</v>
      </c>
      <c r="G16" s="31" t="s">
        <v>59</v>
      </c>
      <c r="H16" s="31" t="s">
        <v>60</v>
      </c>
      <c r="I16" s="31" t="s">
        <v>61</v>
      </c>
      <c r="J16" s="31" t="s">
        <v>62</v>
      </c>
      <c r="K16" s="31" t="s">
        <v>63</v>
      </c>
      <c r="L16" s="31" t="s">
        <v>64</v>
      </c>
      <c r="M16" s="31" t="s">
        <v>65</v>
      </c>
      <c r="N16" s="31" t="s">
        <v>66</v>
      </c>
    </row>
    <row r="17" spans="2:14" outlineLevel="1" x14ac:dyDescent="0.3">
      <c r="B17" s="17" t="s">
        <v>14</v>
      </c>
      <c r="C17" s="32">
        <f>IFERROR(INDEX($C$11:$O$12,MATCH($B17,$B$11:$B$12,0),MATCH(C$16,$C$9:$U$9,0)),0)</f>
        <v>-64300</v>
      </c>
      <c r="D17" s="32">
        <f t="shared" ref="D17:M17" si="0">IFERROR(INDEX($C$11:$O$12,MATCH($B17,$B$11:$B$12,0),MATCH(D$16,$C$9:$U$9,0)),0)</f>
        <v>-61200</v>
      </c>
      <c r="E17" s="32">
        <f t="shared" si="0"/>
        <v>-60900</v>
      </c>
      <c r="F17" s="32">
        <f t="shared" si="0"/>
        <v>-58400</v>
      </c>
      <c r="G17" s="32">
        <f t="shared" si="0"/>
        <v>-58450</v>
      </c>
      <c r="H17" s="32">
        <f t="shared" si="0"/>
        <v>-62100</v>
      </c>
      <c r="I17" s="32">
        <f t="shared" si="0"/>
        <v>-64000</v>
      </c>
      <c r="J17" s="32">
        <f t="shared" si="0"/>
        <v>-58550</v>
      </c>
      <c r="K17" s="32">
        <f t="shared" si="0"/>
        <v>-63550</v>
      </c>
      <c r="L17" s="32">
        <f t="shared" si="0"/>
        <v>-64900</v>
      </c>
      <c r="M17" s="32">
        <f t="shared" si="0"/>
        <v>-61100</v>
      </c>
      <c r="N17" s="32">
        <f>IFERROR(INDEX($C$11:$O$12,MATCH($B17,$B$11:$B$12,0),MATCH(N$16,$C$9:$U$9,0)),0)</f>
        <v>-62300</v>
      </c>
    </row>
    <row r="18" spans="2:14" outlineLevel="1" x14ac:dyDescent="0.3">
      <c r="B18" s="17" t="s">
        <v>4</v>
      </c>
      <c r="C18" s="32">
        <f>IFERROR(INDEX($C$11:$O$12,MATCH($B18,$B$11:$B$12,0),MATCH(C$16,$C$9:$U$9,0)),0)</f>
        <v>107000</v>
      </c>
      <c r="D18" s="32">
        <f t="shared" ref="D18:N18" si="1">IFERROR(INDEX($C$11:$O$12,MATCH($B18,$B$11:$B$12,0),MATCH(D$16,$C$9:$U$9,0)),0)</f>
        <v>70000</v>
      </c>
      <c r="E18" s="32">
        <f t="shared" si="1"/>
        <v>38000</v>
      </c>
      <c r="F18" s="32">
        <f t="shared" si="1"/>
        <v>49000</v>
      </c>
      <c r="G18" s="32">
        <f t="shared" si="1"/>
        <v>110000</v>
      </c>
      <c r="H18" s="32">
        <f t="shared" si="1"/>
        <v>0</v>
      </c>
      <c r="I18" s="32">
        <f t="shared" si="1"/>
        <v>42000</v>
      </c>
      <c r="J18" s="32">
        <f t="shared" si="1"/>
        <v>75000</v>
      </c>
      <c r="K18" s="32">
        <f t="shared" si="1"/>
        <v>45000</v>
      </c>
      <c r="L18" s="32">
        <f t="shared" si="1"/>
        <v>80000</v>
      </c>
      <c r="M18" s="32">
        <f t="shared" si="1"/>
        <v>48000</v>
      </c>
      <c r="N18" s="32">
        <f t="shared" si="1"/>
        <v>100000</v>
      </c>
    </row>
    <row r="19" spans="2:14" outlineLevel="1" x14ac:dyDescent="0.3"/>
    <row r="20" spans="2:14" ht="20.25" outlineLevel="1" x14ac:dyDescent="0.35">
      <c r="B20" s="40" t="s">
        <v>72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</row>
    <row r="21" spans="2:14" outlineLevel="1" x14ac:dyDescent="0.3">
      <c r="B21" s="30" t="s">
        <v>71</v>
      </c>
      <c r="C21" s="31" t="s">
        <v>55</v>
      </c>
      <c r="D21" s="31" t="s">
        <v>56</v>
      </c>
      <c r="E21" s="31" t="s">
        <v>57</v>
      </c>
      <c r="F21" s="31" t="s">
        <v>58</v>
      </c>
      <c r="G21" s="31" t="s">
        <v>59</v>
      </c>
      <c r="H21" s="31" t="s">
        <v>60</v>
      </c>
      <c r="I21" s="31" t="s">
        <v>61</v>
      </c>
      <c r="J21" s="31" t="s">
        <v>62</v>
      </c>
      <c r="K21" s="31" t="s">
        <v>63</v>
      </c>
      <c r="L21" s="31" t="s">
        <v>64</v>
      </c>
      <c r="M21" s="31" t="s">
        <v>65</v>
      </c>
      <c r="N21" s="31" t="s">
        <v>66</v>
      </c>
    </row>
    <row r="22" spans="2:14" outlineLevel="1" x14ac:dyDescent="0.3">
      <c r="B22" s="17" t="s">
        <v>50</v>
      </c>
      <c r="C22" s="32">
        <f>IFERROR(INDEX($C$11:$O$13,MATCH($B$22,$B$11:$B$13,0),MATCH(C$21,$C$9:$O$9,0)),0)</f>
        <v>42700</v>
      </c>
      <c r="D22" s="32">
        <f t="shared" ref="D22:N22" si="2">IFERROR(INDEX($C$11:$O$13,MATCH($B$22,$B$11:$B$13,0),MATCH(D$21,$C$9:$O$9,0)),0)</f>
        <v>8800</v>
      </c>
      <c r="E22" s="32">
        <f t="shared" si="2"/>
        <v>-22900</v>
      </c>
      <c r="F22" s="32">
        <f t="shared" si="2"/>
        <v>-9400</v>
      </c>
      <c r="G22" s="32">
        <f t="shared" si="2"/>
        <v>51550</v>
      </c>
      <c r="H22" s="32">
        <f t="shared" si="2"/>
        <v>-62100</v>
      </c>
      <c r="I22" s="32">
        <f t="shared" si="2"/>
        <v>-22000</v>
      </c>
      <c r="J22" s="32">
        <f t="shared" si="2"/>
        <v>16450</v>
      </c>
      <c r="K22" s="32">
        <f t="shared" si="2"/>
        <v>-18550</v>
      </c>
      <c r="L22" s="32">
        <f t="shared" si="2"/>
        <v>15100</v>
      </c>
      <c r="M22" s="32">
        <f t="shared" si="2"/>
        <v>-13100</v>
      </c>
      <c r="N22" s="32">
        <f t="shared" si="2"/>
        <v>37700</v>
      </c>
    </row>
    <row r="23" spans="2:14" outlineLevel="1" x14ac:dyDescent="0.3">
      <c r="B23" s="17" t="s">
        <v>73</v>
      </c>
      <c r="C23" s="32">
        <f>C22</f>
        <v>42700</v>
      </c>
      <c r="D23" s="32">
        <f>C23+D22</f>
        <v>51500</v>
      </c>
      <c r="E23" s="32">
        <f t="shared" ref="E23:N23" si="3">D23+E22</f>
        <v>28600</v>
      </c>
      <c r="F23" s="32">
        <f t="shared" si="3"/>
        <v>19200</v>
      </c>
      <c r="G23" s="32">
        <f t="shared" si="3"/>
        <v>70750</v>
      </c>
      <c r="H23" s="32">
        <f t="shared" si="3"/>
        <v>8650</v>
      </c>
      <c r="I23" s="32">
        <f t="shared" si="3"/>
        <v>-13350</v>
      </c>
      <c r="J23" s="32">
        <f t="shared" si="3"/>
        <v>3100</v>
      </c>
      <c r="K23" s="32">
        <f t="shared" si="3"/>
        <v>-15450</v>
      </c>
      <c r="L23" s="32">
        <f t="shared" si="3"/>
        <v>-350</v>
      </c>
      <c r="M23" s="32">
        <f t="shared" si="3"/>
        <v>-13450</v>
      </c>
      <c r="N23" s="32">
        <f t="shared" si="3"/>
        <v>24250</v>
      </c>
    </row>
    <row r="25" spans="2:14" ht="26.25" outlineLevel="1" x14ac:dyDescent="0.45">
      <c r="B25" s="24" t="s">
        <v>76</v>
      </c>
      <c r="C25" s="25"/>
      <c r="D25" s="29"/>
    </row>
    <row r="26" spans="2:14" outlineLevel="1" x14ac:dyDescent="0.3"/>
    <row r="27" spans="2:14" outlineLevel="1" x14ac:dyDescent="0.3">
      <c r="B27" s="22" t="s">
        <v>36</v>
      </c>
      <c r="C27" s="23" t="s">
        <v>41</v>
      </c>
    </row>
    <row r="28" spans="2:14" outlineLevel="1" x14ac:dyDescent="0.3"/>
    <row r="29" spans="2:14" outlineLevel="1" x14ac:dyDescent="0.3">
      <c r="B29" s="22" t="s">
        <v>68</v>
      </c>
      <c r="C29" s="22" t="s">
        <v>54</v>
      </c>
      <c r="M29"/>
    </row>
    <row r="30" spans="2:14" outlineLevel="1" x14ac:dyDescent="0.3">
      <c r="C30" s="23" t="s">
        <v>56</v>
      </c>
      <c r="D30" s="23" t="s">
        <v>57</v>
      </c>
      <c r="E30" s="23" t="s">
        <v>58</v>
      </c>
      <c r="F30" s="23" t="s">
        <v>59</v>
      </c>
      <c r="G30" s="23" t="s">
        <v>61</v>
      </c>
      <c r="H30" s="23" t="s">
        <v>62</v>
      </c>
      <c r="I30" s="23" t="s">
        <v>63</v>
      </c>
      <c r="J30" s="23" t="s">
        <v>64</v>
      </c>
      <c r="K30" s="23" t="s">
        <v>65</v>
      </c>
      <c r="L30" s="23" t="s">
        <v>66</v>
      </c>
      <c r="M30"/>
    </row>
    <row r="31" spans="2:14" outlineLevel="1" x14ac:dyDescent="0.3">
      <c r="B31" s="22" t="s">
        <v>67</v>
      </c>
      <c r="M31"/>
    </row>
    <row r="32" spans="2:14" outlineLevel="1" x14ac:dyDescent="0.3">
      <c r="B32" s="12" t="s">
        <v>14</v>
      </c>
      <c r="C32" s="13">
        <v>-1200</v>
      </c>
      <c r="D32" s="13">
        <v>-1200</v>
      </c>
      <c r="E32" s="13"/>
      <c r="F32" s="13">
        <v>-1200</v>
      </c>
      <c r="G32" s="13"/>
      <c r="H32" s="13"/>
      <c r="I32" s="13">
        <v>-1200</v>
      </c>
      <c r="J32" s="13"/>
      <c r="K32" s="13"/>
      <c r="L32" s="13">
        <v>-1200</v>
      </c>
      <c r="M32"/>
    </row>
    <row r="33" spans="2:14" outlineLevel="1" x14ac:dyDescent="0.3">
      <c r="B33" s="12" t="s">
        <v>4</v>
      </c>
      <c r="C33" s="13">
        <v>35000</v>
      </c>
      <c r="D33" s="13">
        <v>48000</v>
      </c>
      <c r="E33" s="13">
        <v>65000</v>
      </c>
      <c r="F33" s="13">
        <v>15000</v>
      </c>
      <c r="G33" s="13">
        <v>66000</v>
      </c>
      <c r="H33" s="13">
        <v>18000</v>
      </c>
      <c r="I33" s="13">
        <v>55000</v>
      </c>
      <c r="J33" s="13">
        <v>20000</v>
      </c>
      <c r="K33" s="13">
        <v>58000</v>
      </c>
      <c r="L33" s="13">
        <v>22000</v>
      </c>
      <c r="M33"/>
    </row>
    <row r="34" spans="2:14" outlineLevel="1" x14ac:dyDescent="0.3">
      <c r="B34" s="12" t="s">
        <v>50</v>
      </c>
      <c r="C34" s="13">
        <v>33800</v>
      </c>
      <c r="D34" s="13">
        <v>46800</v>
      </c>
      <c r="E34" s="13">
        <v>65000</v>
      </c>
      <c r="F34" s="13">
        <v>13800</v>
      </c>
      <c r="G34" s="13">
        <v>66000</v>
      </c>
      <c r="H34" s="13">
        <v>18000</v>
      </c>
      <c r="I34" s="13">
        <v>53800</v>
      </c>
      <c r="J34" s="13">
        <v>20000</v>
      </c>
      <c r="K34" s="13">
        <v>58000</v>
      </c>
      <c r="L34" s="13">
        <v>20800</v>
      </c>
      <c r="M34"/>
    </row>
    <row r="35" spans="2:14" outlineLevel="1" x14ac:dyDescent="0.3"/>
    <row r="36" spans="2:14" ht="20.25" outlineLevel="1" x14ac:dyDescent="0.35">
      <c r="B36" s="40" t="s">
        <v>74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</row>
    <row r="37" spans="2:14" outlineLevel="1" x14ac:dyDescent="0.3">
      <c r="B37" s="30" t="s">
        <v>71</v>
      </c>
      <c r="C37" s="31" t="s">
        <v>55</v>
      </c>
      <c r="D37" s="31" t="s">
        <v>56</v>
      </c>
      <c r="E37" s="31" t="s">
        <v>57</v>
      </c>
      <c r="F37" s="31" t="s">
        <v>58</v>
      </c>
      <c r="G37" s="31" t="s">
        <v>59</v>
      </c>
      <c r="H37" s="31" t="s">
        <v>60</v>
      </c>
      <c r="I37" s="31" t="s">
        <v>61</v>
      </c>
      <c r="J37" s="31" t="s">
        <v>62</v>
      </c>
      <c r="K37" s="31" t="s">
        <v>63</v>
      </c>
      <c r="L37" s="31" t="s">
        <v>64</v>
      </c>
      <c r="M37" s="31" t="s">
        <v>65</v>
      </c>
      <c r="N37" s="31" t="s">
        <v>66</v>
      </c>
    </row>
    <row r="38" spans="2:14" outlineLevel="1" x14ac:dyDescent="0.3">
      <c r="B38" s="17" t="s">
        <v>14</v>
      </c>
      <c r="C38" s="32">
        <f>IFERROR(INDEX($C$32:$M$34,MATCH($B38,$B$32:$B$34,0),MATCH(C$37,$C$30:$M$30,0)),0)</f>
        <v>0</v>
      </c>
      <c r="D38" s="32">
        <f>IFERROR(INDEX($C$32:$M$34,MATCH($B38,$B$32:$B$34,0),MATCH(D$37,$C$30:$M$30,0)),0)</f>
        <v>-1200</v>
      </c>
      <c r="E38" s="32">
        <f t="shared" ref="E38:N39" si="4">IFERROR(INDEX($C$32:$M$34,MATCH($B38,$B$32:$B$34,0),MATCH(E$37,$C$30:$M$30,0)),0)</f>
        <v>-1200</v>
      </c>
      <c r="F38" s="32">
        <f t="shared" si="4"/>
        <v>0</v>
      </c>
      <c r="G38" s="32">
        <f t="shared" si="4"/>
        <v>-1200</v>
      </c>
      <c r="H38" s="32">
        <f t="shared" si="4"/>
        <v>0</v>
      </c>
      <c r="I38" s="32">
        <f t="shared" si="4"/>
        <v>0</v>
      </c>
      <c r="J38" s="32">
        <f t="shared" si="4"/>
        <v>0</v>
      </c>
      <c r="K38" s="32">
        <f t="shared" si="4"/>
        <v>-1200</v>
      </c>
      <c r="L38" s="32">
        <f t="shared" si="4"/>
        <v>0</v>
      </c>
      <c r="M38" s="32">
        <f t="shared" si="4"/>
        <v>0</v>
      </c>
      <c r="N38" s="32">
        <f t="shared" si="4"/>
        <v>-1200</v>
      </c>
    </row>
    <row r="39" spans="2:14" outlineLevel="1" x14ac:dyDescent="0.3">
      <c r="B39" s="17" t="s">
        <v>4</v>
      </c>
      <c r="C39" s="32">
        <f>IFERROR(INDEX($C$32:$M$34,MATCH($B39,$B$32:$B$34,0),MATCH(C$37,$C$30:$M$30,0)),0)</f>
        <v>0</v>
      </c>
      <c r="D39" s="32">
        <f t="shared" ref="D39" si="5">IFERROR(INDEX($C$32:$M$34,MATCH($B39,$B$32:$B$34,0),MATCH(D$37,$C$30:$M$30,0)),0)</f>
        <v>35000</v>
      </c>
      <c r="E39" s="32">
        <f t="shared" si="4"/>
        <v>48000</v>
      </c>
      <c r="F39" s="32">
        <f t="shared" si="4"/>
        <v>65000</v>
      </c>
      <c r="G39" s="32">
        <f t="shared" si="4"/>
        <v>15000</v>
      </c>
      <c r="H39" s="32">
        <f t="shared" si="4"/>
        <v>0</v>
      </c>
      <c r="I39" s="32">
        <f t="shared" si="4"/>
        <v>66000</v>
      </c>
      <c r="J39" s="32">
        <f t="shared" si="4"/>
        <v>18000</v>
      </c>
      <c r="K39" s="32">
        <f t="shared" si="4"/>
        <v>55000</v>
      </c>
      <c r="L39" s="32">
        <f t="shared" si="4"/>
        <v>20000</v>
      </c>
      <c r="M39" s="32">
        <f t="shared" si="4"/>
        <v>58000</v>
      </c>
      <c r="N39" s="32">
        <f t="shared" si="4"/>
        <v>22000</v>
      </c>
    </row>
    <row r="40" spans="2:14" outlineLevel="1" x14ac:dyDescent="0.3"/>
    <row r="41" spans="2:14" ht="20.25" outlineLevel="1" x14ac:dyDescent="0.35">
      <c r="B41" s="40" t="s">
        <v>75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</row>
    <row r="42" spans="2:14" outlineLevel="1" x14ac:dyDescent="0.3">
      <c r="B42" s="30" t="s">
        <v>71</v>
      </c>
      <c r="C42" s="31" t="s">
        <v>55</v>
      </c>
      <c r="D42" s="31" t="s">
        <v>56</v>
      </c>
      <c r="E42" s="31" t="s">
        <v>57</v>
      </c>
      <c r="F42" s="31" t="s">
        <v>58</v>
      </c>
      <c r="G42" s="31" t="s">
        <v>59</v>
      </c>
      <c r="H42" s="31" t="s">
        <v>60</v>
      </c>
      <c r="I42" s="31" t="s">
        <v>61</v>
      </c>
      <c r="J42" s="31" t="s">
        <v>62</v>
      </c>
      <c r="K42" s="31" t="s">
        <v>63</v>
      </c>
      <c r="L42" s="31" t="s">
        <v>64</v>
      </c>
      <c r="M42" s="31" t="s">
        <v>65</v>
      </c>
      <c r="N42" s="31" t="s">
        <v>66</v>
      </c>
    </row>
    <row r="43" spans="2:14" outlineLevel="1" x14ac:dyDescent="0.3">
      <c r="B43" s="17" t="s">
        <v>50</v>
      </c>
      <c r="C43" s="32">
        <f>IFERROR(INDEX($C$34:$M$34,MATCH($B$43,$B$34,0),MATCH(C$42,$C$30:$M$30,0)),0)</f>
        <v>0</v>
      </c>
      <c r="D43" s="32">
        <f t="shared" ref="D43:M43" si="6">IFERROR(INDEX($C$34:$M$34,MATCH($B$43,$B$34,0),MATCH(D$42,$C$30:$M$30,0)),0)</f>
        <v>33800</v>
      </c>
      <c r="E43" s="32">
        <f t="shared" si="6"/>
        <v>46800</v>
      </c>
      <c r="F43" s="32">
        <f t="shared" si="6"/>
        <v>65000</v>
      </c>
      <c r="G43" s="32">
        <f t="shared" si="6"/>
        <v>13800</v>
      </c>
      <c r="H43" s="32">
        <f t="shared" si="6"/>
        <v>0</v>
      </c>
      <c r="I43" s="32">
        <f t="shared" si="6"/>
        <v>66000</v>
      </c>
      <c r="J43" s="32">
        <f t="shared" si="6"/>
        <v>18000</v>
      </c>
      <c r="K43" s="32">
        <f t="shared" si="6"/>
        <v>53800</v>
      </c>
      <c r="L43" s="32">
        <f t="shared" si="6"/>
        <v>20000</v>
      </c>
      <c r="M43" s="32">
        <f t="shared" si="6"/>
        <v>58000</v>
      </c>
      <c r="N43" s="32">
        <f>IFERROR(INDEX($C$34:$M$34,MATCH($B$43,$B$34,0),MATCH(N$42,$C$30:$M$30,0)),0)</f>
        <v>20800</v>
      </c>
    </row>
    <row r="44" spans="2:14" outlineLevel="1" x14ac:dyDescent="0.3">
      <c r="B44" s="17" t="s">
        <v>73</v>
      </c>
      <c r="C44" s="32">
        <f>C43</f>
        <v>0</v>
      </c>
      <c r="D44" s="32">
        <f>C44+D43</f>
        <v>33800</v>
      </c>
      <c r="E44" s="32">
        <f t="shared" ref="E44:N44" si="7">D44+E43</f>
        <v>80600</v>
      </c>
      <c r="F44" s="32">
        <f t="shared" si="7"/>
        <v>145600</v>
      </c>
      <c r="G44" s="32">
        <f t="shared" si="7"/>
        <v>159400</v>
      </c>
      <c r="H44" s="32">
        <f t="shared" si="7"/>
        <v>159400</v>
      </c>
      <c r="I44" s="32">
        <f t="shared" si="7"/>
        <v>225400</v>
      </c>
      <c r="J44" s="32">
        <f t="shared" si="7"/>
        <v>243400</v>
      </c>
      <c r="K44" s="32">
        <f t="shared" si="7"/>
        <v>297200</v>
      </c>
      <c r="L44" s="32">
        <f t="shared" si="7"/>
        <v>317200</v>
      </c>
      <c r="M44" s="32">
        <f t="shared" si="7"/>
        <v>375200</v>
      </c>
      <c r="N44" s="32">
        <f t="shared" si="7"/>
        <v>396000</v>
      </c>
    </row>
    <row r="46" spans="2:14" ht="26.25" outlineLevel="1" x14ac:dyDescent="0.45">
      <c r="B46" s="24" t="s">
        <v>77</v>
      </c>
      <c r="C46" s="25"/>
    </row>
    <row r="47" spans="2:14" outlineLevel="1" x14ac:dyDescent="0.3"/>
    <row r="48" spans="2:14" ht="20.25" outlineLevel="1" x14ac:dyDescent="0.35">
      <c r="B48" s="14" t="s">
        <v>71</v>
      </c>
      <c r="C48" s="14" t="s">
        <v>78</v>
      </c>
      <c r="D48" s="14" t="s">
        <v>92</v>
      </c>
      <c r="E48" s="14" t="s">
        <v>79</v>
      </c>
    </row>
    <row r="49" spans="2:14" ht="17.25" outlineLevel="1" x14ac:dyDescent="0.3">
      <c r="B49" s="26" t="s">
        <v>80</v>
      </c>
      <c r="C49" s="27">
        <f>IFERROR(INDEX($C$23:$N$23,MATCH(Calculo_Acumulado[[#This Row],[Meses]],$C$21:$N$21,0)),0)</f>
        <v>42700</v>
      </c>
      <c r="D49" s="27">
        <f>IFERROR(INDEX($C$44:$N$44,MATCH(Calculo_Acumulado[[#This Row],[Meses]],$C$42:$N$42,0)),0)</f>
        <v>0</v>
      </c>
      <c r="E49" s="28">
        <f>Calculo_Acumulado[[#This Row],[Fluxo de Caixa (Acumulado)]]+Calculo_Acumulado[[#This Row],[Pagar/Receber (Acumulado)]]</f>
        <v>42700</v>
      </c>
    </row>
    <row r="50" spans="2:14" ht="17.25" outlineLevel="1" x14ac:dyDescent="0.3">
      <c r="B50" s="26" t="s">
        <v>81</v>
      </c>
      <c r="C50" s="27">
        <f>IFERROR(INDEX($C$23:$N$23,MATCH(Calculo_Acumulado[[#This Row],[Meses]],$C$21:$N$21,0)),0)</f>
        <v>51500</v>
      </c>
      <c r="D50" s="27">
        <f>IFERROR(INDEX($C$44:$N$44,MATCH(Calculo_Acumulado[[#This Row],[Meses]],$C$42:$N$42,0)),0)</f>
        <v>33800</v>
      </c>
      <c r="E50" s="28">
        <f>Calculo_Acumulado[[#This Row],[Fluxo de Caixa (Acumulado)]]+Calculo_Acumulado[[#This Row],[Pagar/Receber (Acumulado)]]</f>
        <v>85300</v>
      </c>
    </row>
    <row r="51" spans="2:14" ht="17.25" outlineLevel="1" x14ac:dyDescent="0.3">
      <c r="B51" s="26" t="s">
        <v>82</v>
      </c>
      <c r="C51" s="27">
        <f>IFERROR(INDEX($C$23:$N$23,MATCH(Calculo_Acumulado[[#This Row],[Meses]],$C$21:$N$21,0)),0)</f>
        <v>28600</v>
      </c>
      <c r="D51" s="27">
        <f>IFERROR(INDEX($C$44:$N$44,MATCH(Calculo_Acumulado[[#This Row],[Meses]],$C$42:$N$42,0)),0)</f>
        <v>80600</v>
      </c>
      <c r="E51" s="28">
        <f>Calculo_Acumulado[[#This Row],[Fluxo de Caixa (Acumulado)]]+Calculo_Acumulado[[#This Row],[Pagar/Receber (Acumulado)]]</f>
        <v>109200</v>
      </c>
    </row>
    <row r="52" spans="2:14" ht="17.25" outlineLevel="1" x14ac:dyDescent="0.3">
      <c r="B52" s="26" t="s">
        <v>83</v>
      </c>
      <c r="C52" s="27">
        <f>IFERROR(INDEX($C$23:$N$23,MATCH(Calculo_Acumulado[[#This Row],[Meses]],$C$21:$N$21,0)),0)</f>
        <v>19200</v>
      </c>
      <c r="D52" s="27">
        <f>IFERROR(INDEX($C$44:$N$44,MATCH(Calculo_Acumulado[[#This Row],[Meses]],$C$42:$N$42,0)),0)</f>
        <v>145600</v>
      </c>
      <c r="E52" s="28">
        <f>Calculo_Acumulado[[#This Row],[Fluxo de Caixa (Acumulado)]]+Calculo_Acumulado[[#This Row],[Pagar/Receber (Acumulado)]]</f>
        <v>164800</v>
      </c>
    </row>
    <row r="53" spans="2:14" ht="17.25" outlineLevel="1" x14ac:dyDescent="0.3">
      <c r="B53" s="26" t="s">
        <v>84</v>
      </c>
      <c r="C53" s="27">
        <f>IFERROR(INDEX($C$23:$N$23,MATCH(Calculo_Acumulado[[#This Row],[Meses]],$C$21:$N$21,0)),0)</f>
        <v>70750</v>
      </c>
      <c r="D53" s="27">
        <f>IFERROR(INDEX($C$44:$N$44,MATCH(Calculo_Acumulado[[#This Row],[Meses]],$C$42:$N$42,0)),0)</f>
        <v>159400</v>
      </c>
      <c r="E53" s="28">
        <f>Calculo_Acumulado[[#This Row],[Fluxo de Caixa (Acumulado)]]+Calculo_Acumulado[[#This Row],[Pagar/Receber (Acumulado)]]</f>
        <v>230150</v>
      </c>
    </row>
    <row r="54" spans="2:14" ht="17.25" outlineLevel="1" x14ac:dyDescent="0.3">
      <c r="B54" s="26" t="s">
        <v>85</v>
      </c>
      <c r="C54" s="27">
        <f>IFERROR(INDEX($C$23:$N$23,MATCH(Calculo_Acumulado[[#This Row],[Meses]],$C$21:$N$21,0)),0)</f>
        <v>8650</v>
      </c>
      <c r="D54" s="27">
        <f>IFERROR(INDEX($C$44:$N$44,MATCH(Calculo_Acumulado[[#This Row],[Meses]],$C$42:$N$42,0)),0)</f>
        <v>159400</v>
      </c>
      <c r="E54" s="28">
        <f>Calculo_Acumulado[[#This Row],[Fluxo de Caixa (Acumulado)]]+Calculo_Acumulado[[#This Row],[Pagar/Receber (Acumulado)]]</f>
        <v>168050</v>
      </c>
    </row>
    <row r="55" spans="2:14" ht="17.25" outlineLevel="1" x14ac:dyDescent="0.3">
      <c r="B55" s="26" t="s">
        <v>86</v>
      </c>
      <c r="C55" s="27">
        <f>IFERROR(INDEX($C$23:$N$23,MATCH(Calculo_Acumulado[[#This Row],[Meses]],$C$21:$N$21,0)),0)</f>
        <v>-13350</v>
      </c>
      <c r="D55" s="27">
        <f>IFERROR(INDEX($C$44:$N$44,MATCH(Calculo_Acumulado[[#This Row],[Meses]],$C$42:$N$42,0)),0)</f>
        <v>225400</v>
      </c>
      <c r="E55" s="28">
        <f>Calculo_Acumulado[[#This Row],[Fluxo de Caixa (Acumulado)]]+Calculo_Acumulado[[#This Row],[Pagar/Receber (Acumulado)]]</f>
        <v>212050</v>
      </c>
    </row>
    <row r="56" spans="2:14" ht="17.25" outlineLevel="1" x14ac:dyDescent="0.3">
      <c r="B56" s="26" t="s">
        <v>87</v>
      </c>
      <c r="C56" s="27">
        <f>IFERROR(INDEX($C$23:$N$23,MATCH(Calculo_Acumulado[[#This Row],[Meses]],$C$21:$N$21,0)),0)</f>
        <v>3100</v>
      </c>
      <c r="D56" s="27">
        <f>IFERROR(INDEX($C$44:$N$44,MATCH(Calculo_Acumulado[[#This Row],[Meses]],$C$42:$N$42,0)),0)</f>
        <v>243400</v>
      </c>
      <c r="E56" s="28">
        <f>Calculo_Acumulado[[#This Row],[Fluxo de Caixa (Acumulado)]]+Calculo_Acumulado[[#This Row],[Pagar/Receber (Acumulado)]]</f>
        <v>246500</v>
      </c>
    </row>
    <row r="57" spans="2:14" ht="17.25" outlineLevel="1" x14ac:dyDescent="0.3">
      <c r="B57" s="26" t="s">
        <v>88</v>
      </c>
      <c r="C57" s="27">
        <f>IFERROR(INDEX($C$23:$N$23,MATCH(Calculo_Acumulado[[#This Row],[Meses]],$C$21:$N$21,0)),0)</f>
        <v>-15450</v>
      </c>
      <c r="D57" s="27">
        <f>IFERROR(INDEX($C$44:$N$44,MATCH(Calculo_Acumulado[[#This Row],[Meses]],$C$42:$N$42,0)),0)</f>
        <v>297200</v>
      </c>
      <c r="E57" s="28">
        <f>Calculo_Acumulado[[#This Row],[Fluxo de Caixa (Acumulado)]]+Calculo_Acumulado[[#This Row],[Pagar/Receber (Acumulado)]]</f>
        <v>281750</v>
      </c>
    </row>
    <row r="58" spans="2:14" ht="17.25" outlineLevel="1" x14ac:dyDescent="0.3">
      <c r="B58" s="26" t="s">
        <v>89</v>
      </c>
      <c r="C58" s="27">
        <f>IFERROR(INDEX($C$23:$N$23,MATCH(Calculo_Acumulado[[#This Row],[Meses]],$C$21:$N$21,0)),0)</f>
        <v>-350</v>
      </c>
      <c r="D58" s="27">
        <f>IFERROR(INDEX($C$44:$N$44,MATCH(Calculo_Acumulado[[#This Row],[Meses]],$C$42:$N$42,0)),0)</f>
        <v>317200</v>
      </c>
      <c r="E58" s="28">
        <f>Calculo_Acumulado[[#This Row],[Fluxo de Caixa (Acumulado)]]+Calculo_Acumulado[[#This Row],[Pagar/Receber (Acumulado)]]</f>
        <v>316850</v>
      </c>
    </row>
    <row r="59" spans="2:14" ht="17.25" outlineLevel="1" x14ac:dyDescent="0.3">
      <c r="B59" s="26" t="s">
        <v>90</v>
      </c>
      <c r="C59" s="27">
        <f>IFERROR(INDEX($C$23:$N$23,MATCH(Calculo_Acumulado[[#This Row],[Meses]],$C$21:$N$21,0)),0)</f>
        <v>-13450</v>
      </c>
      <c r="D59" s="27">
        <f>IFERROR(INDEX($C$44:$N$44,MATCH(Calculo_Acumulado[[#This Row],[Meses]],$C$42:$N$42,0)),0)</f>
        <v>375200</v>
      </c>
      <c r="E59" s="28">
        <f>Calculo_Acumulado[[#This Row],[Fluxo de Caixa (Acumulado)]]+Calculo_Acumulado[[#This Row],[Pagar/Receber (Acumulado)]]</f>
        <v>361750</v>
      </c>
    </row>
    <row r="60" spans="2:14" ht="17.25" outlineLevel="1" x14ac:dyDescent="0.3">
      <c r="B60" s="26" t="s">
        <v>91</v>
      </c>
      <c r="C60" s="27">
        <f>IFERROR(INDEX($C$23:$N$23,MATCH(Calculo_Acumulado[[#This Row],[Meses]],$C$21:$N$21,0)),0)</f>
        <v>24250</v>
      </c>
      <c r="D60" s="27">
        <f>IFERROR(INDEX($C$44:$N$44,MATCH(Calculo_Acumulado[[#This Row],[Meses]],$C$42:$N$42,0)),0)</f>
        <v>396000</v>
      </c>
      <c r="E60" s="28">
        <f>Calculo_Acumulado[[#This Row],[Fluxo de Caixa (Acumulado)]]+Calculo_Acumulado[[#This Row],[Pagar/Receber (Acumulado)]]</f>
        <v>420250</v>
      </c>
    </row>
    <row r="61" spans="2:14" outlineLevel="1" x14ac:dyDescent="0.3"/>
    <row r="62" spans="2:14" ht="20.25" outlineLevel="1" x14ac:dyDescent="0.35">
      <c r="B62" s="40" t="s">
        <v>93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</row>
    <row r="63" spans="2:14" outlineLevel="1" x14ac:dyDescent="0.3">
      <c r="B63" s="30" t="s">
        <v>71</v>
      </c>
      <c r="C63" s="31" t="s">
        <v>55</v>
      </c>
      <c r="D63" s="31" t="s">
        <v>56</v>
      </c>
      <c r="E63" s="31" t="s">
        <v>57</v>
      </c>
      <c r="F63" s="31" t="s">
        <v>58</v>
      </c>
      <c r="G63" s="31" t="s">
        <v>59</v>
      </c>
      <c r="H63" s="31" t="s">
        <v>60</v>
      </c>
      <c r="I63" s="31" t="s">
        <v>61</v>
      </c>
      <c r="J63" s="31" t="s">
        <v>62</v>
      </c>
      <c r="K63" s="31" t="s">
        <v>63</v>
      </c>
      <c r="L63" s="31" t="s">
        <v>64</v>
      </c>
      <c r="M63" s="31" t="s">
        <v>65</v>
      </c>
      <c r="N63" s="31" t="s">
        <v>66</v>
      </c>
    </row>
    <row r="64" spans="2:14" outlineLevel="1" x14ac:dyDescent="0.3">
      <c r="B64" s="17" t="s">
        <v>50</v>
      </c>
      <c r="C64" s="32">
        <f>E49</f>
        <v>42700</v>
      </c>
      <c r="D64" s="32">
        <f>E50</f>
        <v>85300</v>
      </c>
      <c r="E64" s="32">
        <f>E51</f>
        <v>109200</v>
      </c>
      <c r="F64" s="32">
        <f>E52</f>
        <v>164800</v>
      </c>
      <c r="G64" s="32">
        <f>E53</f>
        <v>230150</v>
      </c>
      <c r="H64" s="32">
        <f>E54</f>
        <v>168050</v>
      </c>
      <c r="I64" s="32">
        <f>E55</f>
        <v>212050</v>
      </c>
      <c r="J64" s="32">
        <f>E56</f>
        <v>246500</v>
      </c>
      <c r="K64" s="32">
        <f>E57</f>
        <v>281750</v>
      </c>
      <c r="L64" s="32">
        <f>E58</f>
        <v>316850</v>
      </c>
      <c r="M64" s="32">
        <f>E59</f>
        <v>361750</v>
      </c>
      <c r="N64" s="32">
        <f>E60</f>
        <v>420250</v>
      </c>
    </row>
    <row r="66" spans="2:8" ht="26.25" outlineLevel="1" x14ac:dyDescent="0.45">
      <c r="B66" s="24" t="s">
        <v>98</v>
      </c>
      <c r="C66" s="25"/>
    </row>
    <row r="67" spans="2:8" outlineLevel="1" x14ac:dyDescent="0.3"/>
    <row r="68" spans="2:8" outlineLevel="1" x14ac:dyDescent="0.3">
      <c r="B68" s="19" t="s">
        <v>44</v>
      </c>
      <c r="C68" t="s">
        <v>94</v>
      </c>
    </row>
    <row r="69" spans="2:8" outlineLevel="1" x14ac:dyDescent="0.3"/>
    <row r="70" spans="2:8" outlineLevel="1" x14ac:dyDescent="0.3">
      <c r="B70" s="19" t="s">
        <v>67</v>
      </c>
      <c r="C70" t="s">
        <v>68</v>
      </c>
    </row>
    <row r="71" spans="2:8" outlineLevel="1" x14ac:dyDescent="0.3">
      <c r="B71" s="20" t="s">
        <v>56</v>
      </c>
      <c r="C71" s="21">
        <v>33800</v>
      </c>
      <c r="D71"/>
    </row>
    <row r="72" spans="2:8" outlineLevel="1" x14ac:dyDescent="0.3">
      <c r="B72" s="20" t="s">
        <v>57</v>
      </c>
      <c r="C72" s="21">
        <v>46800</v>
      </c>
      <c r="D72"/>
    </row>
    <row r="73" spans="2:8" outlineLevel="1" x14ac:dyDescent="0.3">
      <c r="B73" s="20" t="s">
        <v>58</v>
      </c>
      <c r="C73" s="21">
        <v>65000</v>
      </c>
      <c r="D73"/>
    </row>
    <row r="74" spans="2:8" outlineLevel="1" x14ac:dyDescent="0.3">
      <c r="B74" s="20" t="s">
        <v>59</v>
      </c>
      <c r="C74" s="21">
        <v>13800</v>
      </c>
      <c r="D74"/>
    </row>
    <row r="75" spans="2:8" outlineLevel="1" x14ac:dyDescent="0.3">
      <c r="B75" s="20" t="s">
        <v>61</v>
      </c>
      <c r="C75" s="21">
        <v>66000</v>
      </c>
      <c r="D75"/>
    </row>
    <row r="76" spans="2:8" outlineLevel="1" x14ac:dyDescent="0.3">
      <c r="B76" s="20" t="s">
        <v>62</v>
      </c>
      <c r="C76" s="21">
        <v>18000</v>
      </c>
      <c r="D76"/>
    </row>
    <row r="77" spans="2:8" outlineLevel="1" x14ac:dyDescent="0.3">
      <c r="B77" s="20" t="s">
        <v>63</v>
      </c>
      <c r="C77" s="21">
        <v>53800</v>
      </c>
      <c r="D77"/>
    </row>
    <row r="78" spans="2:8" outlineLevel="1" x14ac:dyDescent="0.3">
      <c r="B78" s="20" t="s">
        <v>64</v>
      </c>
      <c r="C78" s="21">
        <v>20000</v>
      </c>
      <c r="D78"/>
    </row>
    <row r="79" spans="2:8" outlineLevel="1" x14ac:dyDescent="0.3">
      <c r="B79" s="20" t="s">
        <v>65</v>
      </c>
      <c r="C79" s="21">
        <v>58000</v>
      </c>
      <c r="D79"/>
    </row>
    <row r="80" spans="2:8" outlineLevel="1" x14ac:dyDescent="0.3">
      <c r="B80" s="20" t="s">
        <v>66</v>
      </c>
      <c r="C80" s="21">
        <v>20800</v>
      </c>
      <c r="D80"/>
      <c r="H80"/>
    </row>
    <row r="81" spans="2:4" outlineLevel="1" x14ac:dyDescent="0.3">
      <c r="B81" s="20" t="s">
        <v>50</v>
      </c>
      <c r="C81" s="21">
        <v>396000</v>
      </c>
      <c r="D81"/>
    </row>
    <row r="82" spans="2:4" outlineLevel="1" x14ac:dyDescent="0.3">
      <c r="B82"/>
      <c r="C82"/>
      <c r="D82"/>
    </row>
    <row r="83" spans="2:4" ht="26.25" outlineLevel="1" x14ac:dyDescent="0.45">
      <c r="B83" s="24" t="s">
        <v>99</v>
      </c>
      <c r="C83" s="25"/>
      <c r="D83"/>
    </row>
    <row r="84" spans="2:4" outlineLevel="1" x14ac:dyDescent="0.3">
      <c r="D84"/>
    </row>
    <row r="85" spans="2:4" outlineLevel="1" x14ac:dyDescent="0.3">
      <c r="B85" s="19" t="s">
        <v>36</v>
      </c>
      <c r="C85" t="s">
        <v>41</v>
      </c>
    </row>
    <row r="86" spans="2:4" outlineLevel="1" x14ac:dyDescent="0.3">
      <c r="B86" s="19" t="s">
        <v>2</v>
      </c>
      <c r="C86" t="s">
        <v>14</v>
      </c>
    </row>
    <row r="87" spans="2:4" outlineLevel="1" x14ac:dyDescent="0.3"/>
    <row r="88" spans="2:4" outlineLevel="1" x14ac:dyDescent="0.3">
      <c r="B88" s="19" t="s">
        <v>67</v>
      </c>
      <c r="C88" t="s">
        <v>97</v>
      </c>
      <c r="D88"/>
    </row>
    <row r="89" spans="2:4" outlineLevel="1" x14ac:dyDescent="0.3">
      <c r="B89" s="20" t="s">
        <v>56</v>
      </c>
      <c r="C89" s="21">
        <v>1200</v>
      </c>
      <c r="D89"/>
    </row>
    <row r="90" spans="2:4" outlineLevel="1" x14ac:dyDescent="0.3">
      <c r="B90" s="20" t="s">
        <v>57</v>
      </c>
      <c r="C90" s="21">
        <v>1200</v>
      </c>
      <c r="D90"/>
    </row>
    <row r="91" spans="2:4" outlineLevel="1" x14ac:dyDescent="0.3">
      <c r="B91" s="20" t="s">
        <v>59</v>
      </c>
      <c r="C91" s="21">
        <v>1200</v>
      </c>
      <c r="D91"/>
    </row>
    <row r="92" spans="2:4" outlineLevel="1" x14ac:dyDescent="0.3">
      <c r="B92" s="20" t="s">
        <v>63</v>
      </c>
      <c r="C92" s="21">
        <v>1200</v>
      </c>
      <c r="D92"/>
    </row>
    <row r="93" spans="2:4" outlineLevel="1" x14ac:dyDescent="0.3">
      <c r="B93" s="20" t="s">
        <v>66</v>
      </c>
      <c r="C93" s="21">
        <v>1200</v>
      </c>
      <c r="D93"/>
    </row>
    <row r="94" spans="2:4" outlineLevel="1" x14ac:dyDescent="0.3">
      <c r="B94" s="20" t="s">
        <v>50</v>
      </c>
      <c r="C94" s="21">
        <v>6000</v>
      </c>
      <c r="D94"/>
    </row>
    <row r="95" spans="2:4" outlineLevel="1" x14ac:dyDescent="0.3">
      <c r="B95"/>
      <c r="C95"/>
    </row>
    <row r="96" spans="2:4" outlineLevel="1" x14ac:dyDescent="0.3">
      <c r="B96" s="19" t="s">
        <v>36</v>
      </c>
      <c r="C96" t="s">
        <v>41</v>
      </c>
    </row>
    <row r="97" spans="2:3" outlineLevel="1" x14ac:dyDescent="0.3">
      <c r="B97" s="19" t="s">
        <v>2</v>
      </c>
      <c r="C97" t="s">
        <v>4</v>
      </c>
    </row>
    <row r="98" spans="2:3" outlineLevel="1" x14ac:dyDescent="0.3"/>
    <row r="99" spans="2:3" outlineLevel="1" x14ac:dyDescent="0.3">
      <c r="B99" s="19" t="s">
        <v>67</v>
      </c>
      <c r="C99" t="s">
        <v>68</v>
      </c>
    </row>
    <row r="100" spans="2:3" outlineLevel="1" x14ac:dyDescent="0.3">
      <c r="B100" s="20" t="s">
        <v>56</v>
      </c>
      <c r="C100" s="21">
        <v>35000</v>
      </c>
    </row>
    <row r="101" spans="2:3" outlineLevel="1" x14ac:dyDescent="0.3">
      <c r="B101" s="20" t="s">
        <v>57</v>
      </c>
      <c r="C101" s="21">
        <v>48000</v>
      </c>
    </row>
    <row r="102" spans="2:3" outlineLevel="1" x14ac:dyDescent="0.3">
      <c r="B102" s="20" t="s">
        <v>58</v>
      </c>
      <c r="C102" s="21">
        <v>65000</v>
      </c>
    </row>
    <row r="103" spans="2:3" outlineLevel="1" x14ac:dyDescent="0.3">
      <c r="B103" s="20" t="s">
        <v>59</v>
      </c>
      <c r="C103" s="21">
        <v>15000</v>
      </c>
    </row>
    <row r="104" spans="2:3" outlineLevel="1" x14ac:dyDescent="0.3">
      <c r="B104" s="20" t="s">
        <v>61</v>
      </c>
      <c r="C104" s="21">
        <v>66000</v>
      </c>
    </row>
    <row r="105" spans="2:3" outlineLevel="1" x14ac:dyDescent="0.3">
      <c r="B105" s="20" t="s">
        <v>62</v>
      </c>
      <c r="C105" s="21">
        <v>18000</v>
      </c>
    </row>
    <row r="106" spans="2:3" outlineLevel="1" x14ac:dyDescent="0.3">
      <c r="B106" s="20" t="s">
        <v>63</v>
      </c>
      <c r="C106" s="21">
        <v>55000</v>
      </c>
    </row>
    <row r="107" spans="2:3" outlineLevel="1" x14ac:dyDescent="0.3">
      <c r="B107" s="20" t="s">
        <v>64</v>
      </c>
      <c r="C107" s="21">
        <v>20000</v>
      </c>
    </row>
    <row r="108" spans="2:3" outlineLevel="1" x14ac:dyDescent="0.3">
      <c r="B108" s="20" t="s">
        <v>65</v>
      </c>
      <c r="C108" s="21">
        <v>58000</v>
      </c>
    </row>
    <row r="109" spans="2:3" outlineLevel="1" x14ac:dyDescent="0.3">
      <c r="B109" s="20" t="s">
        <v>66</v>
      </c>
      <c r="C109" s="21">
        <v>22000</v>
      </c>
    </row>
    <row r="110" spans="2:3" outlineLevel="1" x14ac:dyDescent="0.3">
      <c r="B110" s="20" t="s">
        <v>50</v>
      </c>
      <c r="C110" s="21">
        <v>402000</v>
      </c>
    </row>
    <row r="112" spans="2:3" x14ac:dyDescent="0.3">
      <c r="B112"/>
      <c r="C112"/>
    </row>
    <row r="113" spans="2:3" x14ac:dyDescent="0.3">
      <c r="B113"/>
      <c r="C113"/>
    </row>
    <row r="114" spans="2:3" x14ac:dyDescent="0.3">
      <c r="B114"/>
      <c r="C114"/>
    </row>
    <row r="115" spans="2:3" x14ac:dyDescent="0.3">
      <c r="B115"/>
      <c r="C115"/>
    </row>
    <row r="116" spans="2:3" x14ac:dyDescent="0.3">
      <c r="B116"/>
      <c r="C116"/>
    </row>
    <row r="117" spans="2:3" x14ac:dyDescent="0.3">
      <c r="B117"/>
      <c r="C117"/>
    </row>
    <row r="118" spans="2:3" x14ac:dyDescent="0.3">
      <c r="B118"/>
      <c r="C118"/>
    </row>
    <row r="119" spans="2:3" x14ac:dyDescent="0.3">
      <c r="B119"/>
      <c r="C119"/>
    </row>
    <row r="120" spans="2:3" x14ac:dyDescent="0.3">
      <c r="B120"/>
      <c r="C120"/>
    </row>
    <row r="121" spans="2:3" x14ac:dyDescent="0.3">
      <c r="B121"/>
      <c r="C121"/>
    </row>
    <row r="122" spans="2:3" x14ac:dyDescent="0.3">
      <c r="B122"/>
      <c r="C122"/>
    </row>
    <row r="123" spans="2:3" x14ac:dyDescent="0.3">
      <c r="B123"/>
      <c r="C123"/>
    </row>
    <row r="124" spans="2:3" x14ac:dyDescent="0.3">
      <c r="B124"/>
      <c r="C124"/>
    </row>
    <row r="125" spans="2:3" x14ac:dyDescent="0.3">
      <c r="B125"/>
      <c r="C125"/>
    </row>
    <row r="126" spans="2:3" x14ac:dyDescent="0.3">
      <c r="B126"/>
      <c r="C126"/>
    </row>
    <row r="127" spans="2:3" x14ac:dyDescent="0.3">
      <c r="B127"/>
      <c r="C127"/>
    </row>
  </sheetData>
  <mergeCells count="7">
    <mergeCell ref="B62:N62"/>
    <mergeCell ref="A1:XFD1"/>
    <mergeCell ref="A2:XFD2"/>
    <mergeCell ref="B15:N15"/>
    <mergeCell ref="B20:N20"/>
    <mergeCell ref="B36:N36"/>
    <mergeCell ref="B41:N41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3F42-78AC-473B-82BE-82D0AA98488B}">
  <dimension ref="A1"/>
  <sheetViews>
    <sheetView showGridLines="0" tabSelected="1" zoomScaleNormal="100" workbookViewId="0">
      <selection activeCell="AF9" sqref="AF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A9C1-ADC3-445B-AB05-7DF562747B97}">
  <dimension ref="A1:F24"/>
  <sheetViews>
    <sheetView showGridLines="0" zoomScale="130" zoomScaleNormal="130" workbookViewId="0">
      <selection activeCell="D9" sqref="D9"/>
    </sheetView>
  </sheetViews>
  <sheetFormatPr defaultRowHeight="15" x14ac:dyDescent="0.25"/>
  <cols>
    <col min="1" max="1" width="4.7109375" customWidth="1"/>
    <col min="2" max="2" width="26.28515625" bestFit="1" customWidth="1"/>
    <col min="3" max="3" width="25.5703125" bestFit="1" customWidth="1"/>
    <col min="4" max="4" width="14.5703125" bestFit="1" customWidth="1"/>
  </cols>
  <sheetData>
    <row r="1" spans="1:6" s="38" customFormat="1" ht="46.5" customHeight="1" x14ac:dyDescent="0.25">
      <c r="A1" s="38" t="s">
        <v>30</v>
      </c>
    </row>
    <row r="2" spans="1:6" s="39" customFormat="1" ht="4.5" customHeight="1" thickBot="1" x14ac:dyDescent="0.3"/>
    <row r="3" spans="1:6" ht="15.75" thickTop="1" x14ac:dyDescent="0.25">
      <c r="B3" s="2"/>
      <c r="C3" s="2"/>
      <c r="D3" s="2"/>
    </row>
    <row r="4" spans="1:6" ht="17.25" x14ac:dyDescent="0.25">
      <c r="B4" s="9" t="s">
        <v>0</v>
      </c>
      <c r="C4" s="9" t="s">
        <v>1</v>
      </c>
      <c r="D4" s="9" t="s">
        <v>2</v>
      </c>
    </row>
    <row r="5" spans="1:6" ht="16.5" x14ac:dyDescent="0.25">
      <c r="B5" s="1" t="s">
        <v>3</v>
      </c>
      <c r="C5" s="1" t="s">
        <v>3</v>
      </c>
      <c r="D5" s="1" t="s">
        <v>4</v>
      </c>
    </row>
    <row r="6" spans="1:6" ht="16.5" x14ac:dyDescent="0.25">
      <c r="B6" s="1" t="s">
        <v>5</v>
      </c>
      <c r="C6" s="1" t="s">
        <v>6</v>
      </c>
      <c r="D6" s="1" t="s">
        <v>4</v>
      </c>
    </row>
    <row r="7" spans="1:6" ht="16.5" x14ac:dyDescent="0.25">
      <c r="B7" s="1" t="s">
        <v>7</v>
      </c>
      <c r="C7" s="1" t="s">
        <v>6</v>
      </c>
      <c r="D7" s="1" t="s">
        <v>4</v>
      </c>
    </row>
    <row r="8" spans="1:6" ht="16.5" x14ac:dyDescent="0.25">
      <c r="B8" s="1" t="s">
        <v>8</v>
      </c>
      <c r="C8" s="1" t="s">
        <v>6</v>
      </c>
      <c r="D8" s="1" t="s">
        <v>4</v>
      </c>
    </row>
    <row r="9" spans="1:6" ht="16.5" x14ac:dyDescent="0.25">
      <c r="B9" s="1" t="s">
        <v>9</v>
      </c>
      <c r="C9" s="1" t="s">
        <v>6</v>
      </c>
      <c r="D9" s="1" t="s">
        <v>4</v>
      </c>
      <c r="F9" s="3"/>
    </row>
    <row r="10" spans="1:6" ht="16.5" x14ac:dyDescent="0.25">
      <c r="B10" s="1" t="s">
        <v>10</v>
      </c>
      <c r="C10" s="1" t="s">
        <v>11</v>
      </c>
      <c r="D10" s="1" t="s">
        <v>4</v>
      </c>
    </row>
    <row r="11" spans="1:6" ht="16.5" x14ac:dyDescent="0.25">
      <c r="B11" s="1" t="s">
        <v>12</v>
      </c>
      <c r="C11" s="1" t="s">
        <v>13</v>
      </c>
      <c r="D11" s="1" t="s">
        <v>14</v>
      </c>
    </row>
    <row r="12" spans="1:6" ht="16.5" x14ac:dyDescent="0.25">
      <c r="B12" s="1" t="s">
        <v>15</v>
      </c>
      <c r="C12" s="1" t="s">
        <v>13</v>
      </c>
      <c r="D12" s="1" t="s">
        <v>14</v>
      </c>
    </row>
    <row r="13" spans="1:6" ht="16.5" x14ac:dyDescent="0.25">
      <c r="B13" s="1" t="s">
        <v>16</v>
      </c>
      <c r="C13" s="1" t="s">
        <v>13</v>
      </c>
      <c r="D13" s="1" t="s">
        <v>14</v>
      </c>
    </row>
    <row r="14" spans="1:6" ht="16.5" x14ac:dyDescent="0.25">
      <c r="B14" s="1" t="s">
        <v>17</v>
      </c>
      <c r="C14" s="1" t="s">
        <v>13</v>
      </c>
      <c r="D14" s="1" t="s">
        <v>14</v>
      </c>
    </row>
    <row r="15" spans="1:6" ht="16.5" x14ac:dyDescent="0.25">
      <c r="B15" s="1" t="s">
        <v>18</v>
      </c>
      <c r="C15" s="1" t="s">
        <v>13</v>
      </c>
      <c r="D15" s="1" t="s">
        <v>14</v>
      </c>
    </row>
    <row r="16" spans="1:6" ht="16.5" x14ac:dyDescent="0.25">
      <c r="B16" s="1" t="s">
        <v>19</v>
      </c>
      <c r="C16" s="1" t="s">
        <v>13</v>
      </c>
      <c r="D16" s="1" t="s">
        <v>14</v>
      </c>
    </row>
    <row r="17" spans="2:4" ht="16.5" x14ac:dyDescent="0.25">
      <c r="B17" s="1" t="s">
        <v>20</v>
      </c>
      <c r="C17" s="1" t="s">
        <v>13</v>
      </c>
      <c r="D17" s="1" t="s">
        <v>14</v>
      </c>
    </row>
    <row r="18" spans="2:4" ht="16.5" x14ac:dyDescent="0.25">
      <c r="B18" s="1" t="s">
        <v>21</v>
      </c>
      <c r="C18" s="1" t="s">
        <v>13</v>
      </c>
      <c r="D18" s="1" t="s">
        <v>14</v>
      </c>
    </row>
    <row r="19" spans="2:4" ht="16.5" x14ac:dyDescent="0.25">
      <c r="B19" s="1" t="s">
        <v>22</v>
      </c>
      <c r="C19" s="1" t="s">
        <v>13</v>
      </c>
      <c r="D19" s="1" t="s">
        <v>14</v>
      </c>
    </row>
    <row r="20" spans="2:4" ht="16.5" x14ac:dyDescent="0.25">
      <c r="B20" s="1" t="s">
        <v>23</v>
      </c>
      <c r="C20" s="1" t="s">
        <v>13</v>
      </c>
      <c r="D20" s="1" t="s">
        <v>14</v>
      </c>
    </row>
    <row r="21" spans="2:4" ht="16.5" x14ac:dyDescent="0.25">
      <c r="B21" s="1" t="s">
        <v>24</v>
      </c>
      <c r="C21" s="1" t="s">
        <v>25</v>
      </c>
      <c r="D21" s="1" t="s">
        <v>14</v>
      </c>
    </row>
    <row r="22" spans="2:4" ht="16.5" x14ac:dyDescent="0.25">
      <c r="B22" s="1" t="s">
        <v>26</v>
      </c>
      <c r="C22" s="1" t="s">
        <v>25</v>
      </c>
      <c r="D22" s="1" t="s">
        <v>14</v>
      </c>
    </row>
    <row r="23" spans="2:4" ht="16.5" x14ac:dyDescent="0.25">
      <c r="B23" s="1" t="s">
        <v>27</v>
      </c>
      <c r="C23" s="1" t="s">
        <v>25</v>
      </c>
      <c r="D23" s="1" t="s">
        <v>14</v>
      </c>
    </row>
    <row r="24" spans="2:4" ht="16.5" x14ac:dyDescent="0.25">
      <c r="B24" s="1" t="s">
        <v>28</v>
      </c>
      <c r="C24" s="1" t="s">
        <v>29</v>
      </c>
      <c r="D24" s="1" t="s">
        <v>14</v>
      </c>
    </row>
  </sheetData>
  <mergeCells count="2">
    <mergeCell ref="A1:XFD1"/>
    <mergeCell ref="A2:XF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B134-CE87-41E0-AA59-08105231950B}">
  <dimension ref="A1:C6"/>
  <sheetViews>
    <sheetView zoomScale="205" zoomScaleNormal="205" workbookViewId="0">
      <selection activeCell="D11" sqref="D11"/>
    </sheetView>
  </sheetViews>
  <sheetFormatPr defaultRowHeight="15" x14ac:dyDescent="0.25"/>
  <cols>
    <col min="1" max="1" width="3.7109375" customWidth="1"/>
  </cols>
  <sheetData>
    <row r="1" spans="1:3" s="38" customFormat="1" ht="46.5" customHeight="1" x14ac:dyDescent="0.25">
      <c r="A1" s="38" t="s">
        <v>95</v>
      </c>
    </row>
    <row r="2" spans="1:3" s="39" customFormat="1" ht="4.5" customHeight="1" thickBot="1" x14ac:dyDescent="0.3"/>
    <row r="3" spans="1:3" ht="15.75" thickTop="1" x14ac:dyDescent="0.25"/>
    <row r="4" spans="1:3" x14ac:dyDescent="0.25">
      <c r="B4" s="33" t="s">
        <v>31</v>
      </c>
      <c r="C4" s="34"/>
    </row>
    <row r="5" spans="1:3" x14ac:dyDescent="0.25">
      <c r="B5" s="33" t="s">
        <v>32</v>
      </c>
      <c r="C5" s="35"/>
    </row>
    <row r="6" spans="1:3" x14ac:dyDescent="0.25">
      <c r="B6" s="33" t="s">
        <v>96</v>
      </c>
      <c r="C6" s="36"/>
    </row>
  </sheetData>
  <mergeCells count="2">
    <mergeCell ref="A1:XFD1"/>
    <mergeCell ref="A2:XFD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3FF8D5-0F70-43FC-9101-C4A506808E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3</vt:i4>
      </vt:variant>
    </vt:vector>
  </HeadingPairs>
  <TitlesOfParts>
    <vt:vector size="9" baseType="lpstr">
      <vt:lpstr>Base de Lançamentos</vt:lpstr>
      <vt:lpstr>Relatório</vt:lpstr>
      <vt:lpstr>Análises</vt:lpstr>
      <vt:lpstr>Dashboard</vt:lpstr>
      <vt:lpstr>Referências</vt:lpstr>
      <vt:lpstr>Paleta de Cores</vt:lpstr>
      <vt:lpstr>CategoriaConta</vt:lpstr>
      <vt:lpstr>Conta</vt:lpstr>
      <vt:lpstr>Transação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Marcello</dc:creator>
  <cp:lastModifiedBy>Gustavo Marcello</cp:lastModifiedBy>
  <dcterms:created xsi:type="dcterms:W3CDTF">2025-10-21T13:55:41Z</dcterms:created>
  <dcterms:modified xsi:type="dcterms:W3CDTF">2025-10-27T23:41:57Z</dcterms:modified>
</cp:coreProperties>
</file>