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<sst xmlns="http://schemas.openxmlformats.org/spreadsheetml/2006/main" count="1530" uniqueCount="1066">
  <si>
    <t>Ativo</t>
  </si>
  <si>
    <t>Data</t>
  </si>
  <si>
    <t>Último (R$)</t>
  </si>
  <si>
    <t>Var. Dia (%)</t>
  </si>
  <si>
    <t>Var. Sem. (%)</t>
  </si>
  <si>
    <t>Var. Mês (%)</t>
  </si>
  <si>
    <t>Variação Mes</t>
  </si>
  <si>
    <t>Var. Ano (%)</t>
  </si>
  <si>
    <t>Variação ano</t>
  </si>
  <si>
    <t>Var. 12M (%)</t>
  </si>
  <si>
    <t>Val. Mín</t>
  </si>
  <si>
    <t>Val. Máx</t>
  </si>
  <si>
    <t>Volume</t>
  </si>
  <si>
    <t>Variação %</t>
  </si>
  <si>
    <t>Primeiro (R$)</t>
  </si>
  <si>
    <t>Quantidade de ações</t>
  </si>
  <si>
    <t>Variação de volume</t>
  </si>
  <si>
    <t>Resultado</t>
  </si>
  <si>
    <t>Nome da empresa</t>
  </si>
  <si>
    <t>Segmento</t>
  </si>
  <si>
    <t>Idade</t>
  </si>
  <si>
    <t>Faixa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</si>
  <si>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</si>
  <si>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</si>
  <si>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</si>
  <si>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</si>
  <si>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</si>
  <si>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</si>
  <si>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</si>
  <si>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</si>
  <si>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</si>
  <si>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</si>
  <si>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</si>
  <si>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</si>
  <si>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</si>
  <si>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</si>
  <si>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</si>
  <si>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</si>
  <si>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</si>
  <si>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</si>
  <si>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</si>
  <si>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</si>
  <si>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</si>
  <si>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</si>
  <si>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</si>
  <si>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</si>
  <si>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</si>
  <si>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</si>
  <si>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</si>
  <si>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</si>
  <si>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</si>
  <si>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</si>
  <si>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</si>
  <si>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</si>
  <si>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</si>
  <si>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</si>
  <si>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</si>
  <si>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</si>
  <si>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</si>
  <si>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</si>
  <si>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</si>
  <si>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</si>
  <si>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</si>
  <si>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</si>
  <si>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</si>
  <si>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</si>
  <si>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</si>
  <si>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</si>
  <si>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</si>
  <si>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</si>
  <si>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</si>
  <si>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</si>
  <si>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</si>
  <si>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</si>
  <si>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</si>
  <si>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</si>
  <si>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</si>
  <si>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</si>
  <si>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</si>
  <si>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</si>
  <si>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</si>
  <si>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</si>
  <si>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</si>
  <si>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</si>
  <si>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</si>
  <si>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</si>
  <si>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</si>
  <si>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</si>
  <si>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</si>
  <si>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</si>
  <si>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</si>
  <si>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</si>
  <si>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</si>
  <si>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</si>
  <si>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</si>
  <si>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</si>
  <si>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</si>
  <si>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</si>
  <si>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</si>
  <si>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</si>
  <si>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</si>
  <si>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</si>
  <si>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</si>
  <si>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</si>
  <si>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</si>
  <si>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</si>
  <si>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</si>
  <si>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</si>
  <si>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</si>
  <si>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</si>
  <si>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</si>
  <si>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</si>
  <si>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</si>
  <si>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</si>
  <si>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</si>
  <si>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</si>
  <si>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</si>
  <si>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</si>
  <si>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</si>
  <si>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</si>
  <si>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</si>
  <si>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</si>
  <si>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</si>
  <si>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</si>
  <si>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</si>
  <si>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</si>
  <si>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</si>
  <si>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</si>
  <si>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</si>
  <si>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</si>
  <si>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</si>
  <si>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</si>
  <si>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</si>
  <si>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</si>
  <si>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</si>
  <si>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</si>
  <si>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</si>
  <si>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</si>
  <si>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</si>
  <si>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</si>
  <si>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</si>
  <si>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</si>
  <si>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</si>
  <si>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</si>
  <si>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</si>
  <si>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</si>
  <si>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</si>
  <si>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</si>
  <si>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</si>
  <si>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</si>
  <si>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</si>
  <si>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</si>
  <si>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</si>
  <si>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</si>
  <si>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</si>
  <si>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</si>
  <si>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</si>
  <si>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</si>
  <si>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</si>
  <si>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</si>
  <si>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</si>
  <si>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</si>
  <si>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</si>
  <si>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</si>
  <si>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</si>
  <si>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</si>
  <si>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</si>
  <si>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</si>
  <si>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</si>
  <si>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</si>
  <si>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</si>
  <si>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</si>
  <si>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</si>
  <si>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</si>
  <si>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</si>
  <si>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</si>
  <si>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</si>
  <si>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</si>
  <si>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</si>
  <si>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</si>
  <si>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</si>
  <si>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</si>
  <si>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</si>
  <si>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Filtro</t>
  </si>
  <si>
    <t>Valor</t>
  </si>
  <si>
    <t>Maior valor de variação</t>
  </si>
  <si>
    <t>Menor valor de variação</t>
  </si>
  <si>
    <t>Média valor de variação</t>
  </si>
  <si>
    <t>Medidas dos dados que subiram apenas</t>
  </si>
  <si>
    <t>Medidas dos dados que desceram apenas</t>
  </si>
  <si>
    <t>Variação</t>
  </si>
  <si>
    <t>Variação de quem subiu</t>
  </si>
  <si>
    <t>Variação de quem desceu</t>
  </si>
  <si>
    <t>Porcentagem</t>
  </si>
  <si>
    <t>Ánalise por faixa etária</t>
  </si>
  <si>
    <t>Qtd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</si>
  <si>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</si>
  <si>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</si>
  <si>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</si>
  <si>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</si>
  <si>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</si>
  <si>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</si>
  <si>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</si>
  <si>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</si>
  <si>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</si>
  <si>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</si>
  <si>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</si>
  <si>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</si>
  <si>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</si>
  <si>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</si>
  <si>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</si>
  <si>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</si>
  <si>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</si>
  <si>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</si>
  <si>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</si>
  <si>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</si>
  <si>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</si>
  <si>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</si>
  <si>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</si>
  <si>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</si>
  <si>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</si>
  <si>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</si>
  <si>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</si>
  <si>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</si>
  <si>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</si>
  <si>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</si>
  <si>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</si>
  <si>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</si>
  <si>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</si>
  <si>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</si>
  <si>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</si>
  <si>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</si>
  <si>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</si>
  <si>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</si>
  <si>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</si>
  <si>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</si>
  <si>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</si>
  <si>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</si>
  <si>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</si>
  <si>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</si>
  <si>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</si>
  <si>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</si>
  <si>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</si>
  <si>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</si>
  <si>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</si>
  <si>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</si>
  <si>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</si>
  <si>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</si>
  <si>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</si>
  <si>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</si>
  <si>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</si>
  <si>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</si>
  <si>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</si>
  <si>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</si>
  <si>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</si>
  <si>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</si>
  <si>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</si>
  <si>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</si>
  <si>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</si>
  <si>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</si>
  <si>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</si>
  <si>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</si>
  <si>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</si>
  <si>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</si>
  <si>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</si>
  <si>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</si>
  <si>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</si>
  <si>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</si>
  <si>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</si>
  <si>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</si>
  <si>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</si>
  <si>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</si>
  <si>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</si>
  <si>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</si>
  <si>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</si>
  <si>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</si>
  <si>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</si>
  <si>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</si>
  <si>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</si>
  <si>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</si>
  <si>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</si>
  <si>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</si>
  <si>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</si>
  <si>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</si>
  <si>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</si>
  <si>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</si>
  <si>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</si>
  <si>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</si>
  <si>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</si>
  <si>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</si>
  <si>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</si>
  <si>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</si>
  <si>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</si>
  <si>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</si>
  <si>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</si>
  <si>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</si>
  <si>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</si>
  <si>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</si>
  <si>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</si>
  <si>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</si>
  <si>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</si>
  <si>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</si>
  <si>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</si>
  <si>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</si>
  <si>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</si>
  <si>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</si>
  <si>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</si>
  <si>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</si>
  <si>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</si>
  <si>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</si>
  <si>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</si>
  <si>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</si>
  <si>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</si>
  <si>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</si>
  <si>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</si>
  <si>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</si>
  <si>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</si>
  <si>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</si>
  <si>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</si>
  <si>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</si>
  <si>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</si>
  <si>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</si>
  <si>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</si>
  <si>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</si>
  <si>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</si>
  <si>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</si>
  <si>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</si>
  <si>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</si>
  <si>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</si>
  <si>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</si>
  <si>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</si>
  <si>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</si>
  <si>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</si>
  <si>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</si>
  <si>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</si>
  <si>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</si>
  <si>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</si>
  <si>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</si>
  <si>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</si>
  <si>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</si>
  <si>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</si>
  <si>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</si>
  <si>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</si>
  <si>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</si>
  <si>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</si>
  <si>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</si>
  <si>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</si>
  <si>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</si>
  <si>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</si>
  <si>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</si>
  <si>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</si>
  <si>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</si>
  <si>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</si>
  <si>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</si>
  <si>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</si>
  <si>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</si>
  <si>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</si>
  <si>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</si>
  <si>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</si>
  <si>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</si>
  <si>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</si>
  <si>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</si>
  <si>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</si>
  <si>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</si>
  <si>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</si>
  <si>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</si>
  <si>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</si>
  <si>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</si>
  <si>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</si>
  <si>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</si>
  <si>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</si>
  <si>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</si>
  <si>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</si>
  <si>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</si>
  <si>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</si>
  <si>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</si>
  <si>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</si>
  <si>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</si>
  <si>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</si>
  <si>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</si>
  <si>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</si>
  <si>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</si>
  <si>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</si>
  <si>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</si>
  <si>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</si>
  <si>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</si>
  <si>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</si>
  <si>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</si>
  <si>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</si>
  <si>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</si>
  <si>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</si>
  <si>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</si>
  <si>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</si>
  <si>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</si>
  <si>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</si>
  <si>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</si>
  <si>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</si>
  <si>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</si>
  <si>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</si>
  <si>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</si>
  <si>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</si>
  <si>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</si>
  <si>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</si>
  <si>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</si>
  <si>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</si>
  <si>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</si>
  <si>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</si>
  <si>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</si>
  <si>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</si>
  <si>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</si>
  <si>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</si>
  <si>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</si>
  <si>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</si>
  <si>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</si>
  <si>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</si>
  <si>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</si>
  <si>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</si>
  <si>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</si>
  <si>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</si>
  <si>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</si>
  <si>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</si>
  <si>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</si>
  <si>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</si>
  <si>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</si>
  <si>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</si>
  <si>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</si>
  <si>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</si>
  <si>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</si>
  <si>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</si>
  <si>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</si>
  <si>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</si>
  <si>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</si>
  <si>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</si>
  <si>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</si>
  <si>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</si>
  <si>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</si>
  <si>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</si>
  <si>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</si>
  <si>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</si>
  <si>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</si>
  <si>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</si>
  <si>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</si>
  <si>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</si>
  <si>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</si>
  <si>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</si>
  <si>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</si>
  <si>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</si>
  <si>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</si>
  <si>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</si>
  <si>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</si>
  <si>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</si>
  <si>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</si>
  <si>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</si>
  <si>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</si>
  <si>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</si>
  <si>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</si>
  <si>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</si>
  <si>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</si>
  <si>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</si>
  <si>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</si>
  <si>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</si>
  <si>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</si>
  <si>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</si>
  <si>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</si>
  <si>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</si>
  <si>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</si>
  <si>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</si>
  <si>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</si>
  <si>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</si>
  <si>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</si>
  <si>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</si>
  <si>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</si>
  <si>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</si>
  <si>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</si>
  <si>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</si>
  <si>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</si>
  <si>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</si>
  <si>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</si>
  <si>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</si>
  <si>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</si>
  <si>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</si>
  <si>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</si>
  <si>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</si>
  <si>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</si>
  <si>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</si>
  <si>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</si>
  <si>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</si>
  <si>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</si>
  <si>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</si>
  <si>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</si>
  <si>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</si>
  <si>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</si>
  <si>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</si>
  <si>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</si>
  <si>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</si>
  <si>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</si>
  <si>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</si>
  <si>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</si>
  <si>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</si>
  <si>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</si>
  <si>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</si>
  <si>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</si>
  <si>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</si>
  <si>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</si>
  <si>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</si>
  <si>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</si>
  <si>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</si>
  <si>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</si>
  <si>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</si>
  <si>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</si>
  <si>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</si>
  <si>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</si>
  <si>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</si>
  <si>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</si>
  <si>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</si>
  <si>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</si>
  <si>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</si>
  <si>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</si>
  <si>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</si>
  <si>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</si>
  <si>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</si>
  <si>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</si>
  <si>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</si>
  <si>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</si>
  <si>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</si>
  <si>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</si>
  <si>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</si>
  <si>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</si>
  <si>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</si>
  <si>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</si>
  <si>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</si>
  <si>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</si>
  <si>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</si>
  <si>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</si>
  <si>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</si>
  <si>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</si>
  <si>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</si>
  <si>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</si>
  <si>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</si>
  <si>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</si>
  <si>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</si>
  <si>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</si>
  <si>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</si>
  <si>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</si>
  <si>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</si>
  <si>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</si>
  <si>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</si>
  <si>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</si>
  <si>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</si>
  <si>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</si>
  <si>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</si>
  <si>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</si>
  <si>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</si>
  <si>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</si>
  <si>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</si>
  <si>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</si>
  <si>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</si>
  <si>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</si>
  <si>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</si>
  <si>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</si>
  <si>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</si>
  <si>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</si>
  <si>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</si>
  <si>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</si>
  <si>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</si>
  <si>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</si>
  <si>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</si>
  <si>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</si>
  <si>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</si>
  <si>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</si>
  <si>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</si>
  <si>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</si>
  <si>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</si>
  <si>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</si>
  <si>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</si>
  <si>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</si>
  <si>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</si>
  <si>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</si>
  <si>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</si>
  <si>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</si>
  <si>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</si>
  <si>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</si>
  <si>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</si>
  <si>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</si>
  <si>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</si>
  <si>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</si>
  <si>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</si>
  <si>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</si>
  <si>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</si>
  <si>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</si>
  <si>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</si>
  <si>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</si>
  <si>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</si>
  <si>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</si>
  <si>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</si>
  <si>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</si>
  <si>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</si>
  <si>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</si>
  <si>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</si>
  <si>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</si>
  <si>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</si>
  <si>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</si>
  <si>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</si>
  <si>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</si>
  <si>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</si>
  <si>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</si>
  <si>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</si>
  <si>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</si>
  <si>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</si>
  <si>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</si>
  <si>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</si>
  <si>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</si>
  <si>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</si>
  <si>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</si>
  <si>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</si>
  <si>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</si>
  <si>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</si>
  <si>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</si>
  <si>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</si>
  <si>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</si>
  <si>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</si>
  <si>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</si>
  <si>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</si>
  <si>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</si>
  <si>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</si>
  <si>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</si>
  <si>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</si>
  <si>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</si>
  <si>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</si>
  <si>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</si>
  <si>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</si>
  <si>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</si>
  <si>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</si>
  <si>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</si>
  <si>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</si>
  <si>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</si>
  <si>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</si>
  <si>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</si>
  <si>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</si>
  <si>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</si>
  <si>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</si>
  <si>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</si>
  <si>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</si>
  <si>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</si>
  <si>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</si>
  <si>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</si>
  <si>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</si>
  <si>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</si>
  <si>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</si>
  <si>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</si>
  <si>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</si>
  <si>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</si>
  <si>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</si>
  <si>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</si>
  <si>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</si>
  <si>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</si>
  <si>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</si>
  <si>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</si>
  <si>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</si>
  <si>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</si>
  <si>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</si>
  <si>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</si>
  <si>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</si>
  <si>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</si>
  <si>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</si>
  <si>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</si>
  <si>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</si>
  <si>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</si>
  <si>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</si>
  <si>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</si>
  <si>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</si>
  <si>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</si>
  <si>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</si>
  <si>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</si>
  <si>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</si>
  <si>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</si>
  <si>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</si>
  <si>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</si>
  <si>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</si>
  <si>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</si>
  <si>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</si>
  <si>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</si>
  <si>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</si>
  <si>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</si>
  <si>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</si>
  <si>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</si>
  <si>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</si>
  <si>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</si>
  <si>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</si>
  <si>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</si>
  <si>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</si>
  <si>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</si>
  <si>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</si>
  <si>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</si>
  <si>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</si>
  <si>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</si>
  <si>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</si>
  <si>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</si>
  <si>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</si>
  <si>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</si>
  <si>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</si>
  <si>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</si>
  <si>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</si>
  <si>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</si>
  <si>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</si>
  <si>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</si>
  <si>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</si>
  <si>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</si>
  <si>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</si>
  <si>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</si>
  <si>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</si>
  <si>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</si>
  <si>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</si>
  <si>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</si>
  <si>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</si>
  <si>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</si>
  <si>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</si>
  <si>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</si>
  <si>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</si>
  <si>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</si>
  <si>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</si>
  <si>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</si>
  <si>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</si>
  <si>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</si>
  <si>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</si>
  <si>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</si>
  <si>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</si>
  <si>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</si>
  <si>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</si>
  <si>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</si>
  <si>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</si>
  <si>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</si>
  <si>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</si>
  <si>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</si>
  <si>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</si>
  <si>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</si>
  <si>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</si>
  <si>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</si>
  <si>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</si>
  <si>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</si>
  <si>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</si>
  <si>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</si>
  <si>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</si>
  <si>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</si>
  <si>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</si>
  <si>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</si>
  <si>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</si>
  <si>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</si>
  <si>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</si>
  <si>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</si>
  <si>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</si>
  <si>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</si>
  <si>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</si>
  <si>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</si>
  <si>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</si>
  <si>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</si>
  <si>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</si>
  <si>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</si>
  <si>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</si>
  <si>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</si>
  <si>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</si>
  <si>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</si>
  <si>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</si>
  <si>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</si>
  <si>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</si>
  <si>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</si>
  <si>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</si>
  <si>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</si>
  <si>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</si>
  <si>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</si>
  <si>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</si>
  <si>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</si>
  <si>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</si>
  <si>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</si>
  <si>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</si>
  <si>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</si>
  <si>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</si>
  <si>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</si>
  <si>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</si>
  <si>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</si>
  <si>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</si>
  <si>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</si>
  <si>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</si>
  <si>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</si>
  <si>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</si>
  <si>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</si>
  <si>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</si>
  <si>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</si>
  <si>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</si>
  <si>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</si>
  <si>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</si>
  <si>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</si>
  <si>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</si>
  <si>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</si>
  <si>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</si>
  <si>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</si>
  <si>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</si>
  <si>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</si>
  <si>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</si>
  <si>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</si>
  <si>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</si>
  <si>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</si>
  <si>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</si>
  <si>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</si>
  <si>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</si>
  <si>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</si>
  <si>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</si>
  <si>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</si>
  <si>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</si>
  <si>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</si>
  <si>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</si>
  <si>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</si>
  <si>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</si>
  <si>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</si>
  <si>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</si>
  <si>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</si>
  <si>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</si>
  <si>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</si>
  <si>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</si>
  <si>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</si>
  <si>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</si>
  <si>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</si>
  <si>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</si>
  <si>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</si>
  <si>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</si>
  <si>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</si>
  <si>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</si>
  <si>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</si>
  <si>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</si>
  <si>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</si>
  <si>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</si>
  <si>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</si>
  <si>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</si>
  <si>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</si>
  <si>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</si>
  <si>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</si>
  <si>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</si>
  <si>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</si>
  <si>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</si>
  <si>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</si>
  <si>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</si>
  <si>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</si>
  <si>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</si>
  <si>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</si>
  <si>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</si>
  <si>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</si>
  <si>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</si>
  <si>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</si>
  <si>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</si>
  <si>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</si>
  <si>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</si>
  <si>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</si>
  <si>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</si>
  <si>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</si>
  <si>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</si>
  <si>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</si>
  <si>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</si>
  <si>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</si>
  <si>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</si>
  <si>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</si>
  <si>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</si>
  <si>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</si>
  <si>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</si>
  <si>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</si>
  <si>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</si>
  <si>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</si>
  <si>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</si>
  <si>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</si>
  <si>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</si>
  <si>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</si>
  <si>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</si>
  <si>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</si>
  <si>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</si>
  <si>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</si>
  <si>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</si>
  <si>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</si>
  <si>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</si>
  <si>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</si>
  <si>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</si>
  <si>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</si>
  <si>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</si>
  <si>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</si>
  <si>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</si>
  <si>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</si>
  <si>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</si>
  <si>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</si>
  <si>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</si>
  <si>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</si>
  <si>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</si>
  <si>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</si>
  <si>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</si>
  <si>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</si>
  <si>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</si>
  <si>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</si>
  <si>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</si>
  <si>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</si>
  <si>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</si>
  <si>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</si>
  <si>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</si>
  <si>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</si>
  <si>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</si>
  <si>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</si>
  <si>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</si>
  <si>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</si>
  <si>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</si>
  <si>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</si>
  <si>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</si>
  <si>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</si>
  <si>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</si>
  <si>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</si>
  <si>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</si>
  <si>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</si>
  <si>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</si>
  <si>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</si>
  <si>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</si>
  <si>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</si>
  <si>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</si>
  <si>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</si>
  <si>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</si>
  <si>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</si>
  <si>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</si>
  <si>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</si>
  <si>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</si>
  <si>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</si>
  <si>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</si>
  <si>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</si>
  <si>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</si>
  <si>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</si>
  <si>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</si>
  <si>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</si>
  <si>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</si>
  <si>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</si>
  <si>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</si>
  <si>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</si>
  <si>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</si>
  <si>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</si>
  <si>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</si>
  <si>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</si>
  <si>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</si>
  <si>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</si>
  <si>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</si>
  <si>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</si>
  <si>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</si>
  <si>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</si>
  <si>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</si>
  <si>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</si>
  <si>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</si>
  <si>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</si>
  <si>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</si>
  <si>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</si>
  <si>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</si>
  <si>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</si>
  <si>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</si>
  <si>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</si>
  <si>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</si>
  <si>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</si>
  <si>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</si>
  <si>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</si>
  <si>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</si>
  <si>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</si>
  <si>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</si>
  <si>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</si>
  <si>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</si>
  <si>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</si>
  <si>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</si>
  <si>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</si>
  <si>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</si>
  <si>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</si>
  <si>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</si>
  <si>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</si>
  <si>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</si>
  <si>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</si>
  <si>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</si>
  <si>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</si>
  <si>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</si>
  <si>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</si>
  <si>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</si>
  <si>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</si>
  <si>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</si>
  <si>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</si>
  <si>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</si>
  <si>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</si>
  <si>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</si>
  <si>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</si>
  <si>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</si>
  <si>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</si>
  <si>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</si>
  <si>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</si>
  <si>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</si>
  <si>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</si>
  <si>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</si>
  <si>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</si>
  <si>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</si>
  <si>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</si>
  <si>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</si>
  <si>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</si>
  <si>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</si>
  <si>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</si>
  <si>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</si>
  <si>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</si>
  <si>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</si>
  <si>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</si>
  <si>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</si>
  <si>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</si>
  <si>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</si>
  <si>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</si>
  <si>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</si>
  <si>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</si>
  <si>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</si>
  <si>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</si>
  <si>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</si>
  <si>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</si>
  <si>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</si>
  <si>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</si>
  <si>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</si>
  <si>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</si>
  <si>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</si>
  <si>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</si>
  <si>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</si>
  <si>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</si>
  <si>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</si>
  <si>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</si>
  <si>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</si>
  <si>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</si>
  <si>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</si>
  <si>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</si>
  <si>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</si>
  <si>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</si>
  <si>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</si>
  <si>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</si>
  <si>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</si>
  <si>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</si>
  <si>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</si>
  <si>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</si>
  <si>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</si>
  <si>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em anos</t>
  </si>
  <si>
    <t>Siderurgia</t>
  </si>
  <si>
    <t>Mineração</t>
  </si>
  <si>
    <t>Petróleo</t>
  </si>
  <si>
    <t>Papel e Celulose</t>
  </si>
  <si>
    <t>Energia</t>
  </si>
  <si>
    <t>Imobiliário</t>
  </si>
  <si>
    <t>Financeiro</t>
  </si>
  <si>
    <t>Saúde</t>
  </si>
  <si>
    <t>Química</t>
  </si>
  <si>
    <t>Transporte</t>
  </si>
  <si>
    <t>Educação</t>
  </si>
  <si>
    <t>Construção</t>
  </si>
  <si>
    <t>Vestuário</t>
  </si>
  <si>
    <t>Alimentos</t>
  </si>
  <si>
    <t>Telecomunicações</t>
  </si>
  <si>
    <t>Investimentos</t>
  </si>
  <si>
    <t>Tecnologia</t>
  </si>
  <si>
    <t>Varejo</t>
  </si>
  <si>
    <t>Logística</t>
  </si>
  <si>
    <t>Água e Saneamento</t>
  </si>
  <si>
    <t>Agronegócio</t>
  </si>
  <si>
    <t>Infraestrutura</t>
  </si>
  <si>
    <t>Seguros</t>
  </si>
  <si>
    <t>Diversificado</t>
  </si>
  <si>
    <t>Aeroespacial</t>
  </si>
  <si>
    <t>Cosméticos</t>
  </si>
  <si>
    <t>Farmacêutico</t>
  </si>
  <si>
    <t>Agricultura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</si>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</sst>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color theme="1"/>
      <name val="Arial"/>
    </font>
    <font>
      <b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674EA7"/>
        <bgColor rgb="FF674EA7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0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10" xfId="0" applyAlignment="1" applyFont="1" applyNumberForma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10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vertical="bottom"/>
    </xf>
    <xf borderId="0" fillId="4" fontId="3" numFmtId="10" xfId="0" applyAlignment="1" applyFont="1" applyNumberFormat="1">
      <alignment vertical="bottom"/>
    </xf>
    <xf borderId="0" fillId="0" fontId="4" numFmtId="164" xfId="0" applyFont="1" applyNumberFormat="1"/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vertical="bottom"/>
    </xf>
    <xf borderId="0" fillId="3" fontId="3" numFmtId="10" xfId="0" applyAlignment="1" applyFont="1" applyNumberFormat="1">
      <alignment vertical="bottom"/>
    </xf>
    <xf borderId="0" fillId="5" fontId="1" numFmtId="0" xfId="0" applyAlignment="1" applyFill="1" applyFont="1">
      <alignment horizontal="center" vertical="bottom"/>
    </xf>
    <xf borderId="0" fillId="5" fontId="2" numFmtId="164" xfId="0" applyAlignment="1" applyFont="1" applyNumberFormat="1">
      <alignment horizontal="center" vertical="bottom"/>
    </xf>
    <xf borderId="0" fillId="5" fontId="4" numFmtId="0" xfId="0" applyAlignment="1" applyFont="1">
      <alignment horizontal="center"/>
    </xf>
    <xf borderId="0" fillId="3" fontId="2" numFmtId="164" xfId="0" applyAlignment="1" applyFont="1" applyNumberFormat="1">
      <alignment horizontal="left" vertical="bottom"/>
    </xf>
    <xf borderId="0" fillId="4" fontId="2" numFmtId="164" xfId="0" applyAlignment="1" applyFont="1" applyNumberFormat="1">
      <alignment horizontal="left" vertical="bottom"/>
    </xf>
    <xf borderId="0" fillId="6" fontId="5" numFmtId="0" xfId="0" applyAlignment="1" applyFill="1" applyFont="1">
      <alignment horizontal="center"/>
    </xf>
    <xf borderId="0" fillId="5" fontId="1" numFmtId="164" xfId="0" applyAlignment="1" applyFont="1" applyNumberFormat="1">
      <alignment horizontal="center" vertical="bottom"/>
    </xf>
    <xf borderId="0" fillId="0" fontId="4" numFmtId="0" xfId="0" applyFont="1"/>
    <xf borderId="0" fillId="0" fontId="4" numFmtId="10" xfId="0" applyFont="1" applyNumberFormat="1"/>
    <xf borderId="0" fillId="7" fontId="6" numFmtId="164" xfId="0" applyAlignment="1" applyFill="1" applyFont="1" applyNumberForma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Font="1"/>
    <xf borderId="0" fillId="3" fontId="2" numFmtId="0" xfId="0" applyAlignment="1" applyFont="1">
      <alignment shrinkToFit="0" vertical="bottom" wrapText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'Análises'!$A$15:$A$44</c:f>
            </c:strRef>
          </c:cat>
          <c:val>
            <c:numRef>
              <c:f>'Análises'!$C$15:$C$44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'Análises'!$A$48:$A$50</c:f>
            </c:strRef>
          </c:cat>
          <c:val>
            <c:numRef>
              <c:f>'Análises'!$B$48:$B$50</c:f>
              <c:numCache/>
            </c:numRef>
          </c:val>
        </c:ser>
        <c:axId val="179173211"/>
        <c:axId val="143232707"/>
      </c:barChart>
      <c:catAx>
        <c:axId val="179173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232707"/>
      </c:catAx>
      <c:valAx>
        <c:axId val="1432327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17321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Variação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'Análises'!$B$53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'Análises'!$A$54:$A$56</c:f>
            </c:strRef>
          </c:cat>
          <c:val>
            <c:numRef>
              <c:f>'Análises'!$B$54:$B$56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Qtd de empresas versus Ánalise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'Análises'!$A$54:$A$56</c:f>
            </c:strRef>
          </c:cat>
          <c:val>
            <c:numRef>
              <c:f>'Análises'!$C$54:$C$56</c:f>
              <c:numCache/>
            </c:numRef>
          </c:val>
        </c:ser>
        <c:axId val="326785023"/>
        <c:axId val="363091863"/>
      </c:barChart>
      <c:catAx>
        <c:axId val="32678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Ánalise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3091863"/>
      </c:catAx>
      <c:valAx>
        <c:axId val="363091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Qtd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67850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15</xdr:row>
      <xdr:rowOff>76200</xdr:rowOff>
    </xdr:from>
    <xdr:ext cx="7210425" cy="5038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39</xdr:row>
      <xdr:rowOff>38100</xdr:rowOff>
    </xdr:from>
    <xdr:ext cx="7210425" cy="3562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57</xdr:row>
      <xdr:rowOff>47625</xdr:rowOff>
    </xdr:from>
    <xdr:ext cx="5543550" cy="3429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447675</xdr:colOff>
      <xdr:row>56</xdr:row>
      <xdr:rowOff>200025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6" width="11.75"/>
    <col customWidth="1" hidden="1" min="7" max="7" width="12.63"/>
    <col customWidth="1" hidden="1" min="8" max="10" width="11.75"/>
    <col customWidth="1" hidden="1" min="11" max="11" width="8.75"/>
    <col customWidth="1" hidden="1" min="12" max="12" width="9.75"/>
    <col customWidth="1" hidden="1" min="13" max="13" width="9.63"/>
    <col customWidth="1" min="16" max="17" width="19.38"/>
    <col customWidth="1" min="19" max="19" width="17.0"/>
    <col customWidth="1" min="20" max="20" width="16.25"/>
    <col customWidth="1" min="22" max="22" width="16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ht="15.75" customHeight="1">
      <c r="A2" s="5" t="s">
        <v>22</v>
      </c>
      <c r="B2" s="6">
        <v>45317.0</v>
      </c>
      <c r="C2" s="7">
        <v>9.5</v>
      </c>
      <c r="D2" s="7">
        <v>5.2</v>
      </c>
      <c r="E2" s="8">
        <v>11.76</v>
      </c>
      <c r="F2" s="8">
        <v>2.26</v>
      </c>
      <c r="G2" s="9">
        <f t="shared" ref="G2:G82" si="1">F2/100</f>
        <v>0.0226</v>
      </c>
      <c r="H2" s="8">
        <v>2.26</v>
      </c>
      <c r="I2" s="9">
        <f t="shared" ref="I2:I82" si="2">H2/100</f>
        <v>0.0226</v>
      </c>
      <c r="J2" s="8">
        <v>15.97</v>
      </c>
      <c r="K2" s="8">
        <v>9.18</v>
      </c>
      <c r="L2" s="8">
        <v>9.56</v>
      </c>
      <c r="M2" s="5" t="s">
        <v>23</v>
      </c>
      <c r="N2" s="9">
        <f t="shared" ref="N2:N82" si="3">D2/100</f>
        <v>0.052</v>
      </c>
      <c r="O2" s="7">
        <f t="shared" ref="O2:O82" si="4">C2/(N2+1)</f>
        <v>9.030418251</v>
      </c>
      <c r="P2" s="10">
        <f>VLOOKUP(A2,Total_de_acoes!A:B,2,0)</f>
        <v>515117391</v>
      </c>
      <c r="Q2" s="11">
        <f t="shared" ref="Q2:Q82" si="5">(C2-O2)*P2</f>
        <v>241889725.4</v>
      </c>
      <c r="R2" s="11" t="str">
        <f t="shared" ref="R2:R82" si="6">IF(Q2 &gt; 0, "Subiu",IF(Q2&lt;0,"Desceu","Não variou"))</f>
        <v>Subiu</v>
      </c>
      <c r="S2" s="11" t="str">
        <f>VLOOKUP(A2,Ticker!A:B,2,0)</f>
        <v>Usiminas</v>
      </c>
      <c r="T2" s="11" t="str">
        <f>VLOOKUP(S2,Chatgpt!A:B,2,0)</f>
        <v>Siderurgia</v>
      </c>
      <c r="U2" s="10">
        <f>VLOOKUP(S2,Chatgpt!A:C,3,0)</f>
        <v>60</v>
      </c>
      <c r="V2" s="10" t="str">
        <f t="shared" ref="V2:V82" si="7">IF(U2 &gt; 100,"Mais de 100 anos",IF(U2&lt;50,"Menor de 50 anos","Entre 50 e 100 anos"))</f>
        <v>Entre 50 e 100 anos</v>
      </c>
    </row>
    <row r="3" ht="15.75" customHeight="1">
      <c r="A3" s="12" t="s">
        <v>24</v>
      </c>
      <c r="B3" s="13">
        <v>45317.0</v>
      </c>
      <c r="C3" s="14">
        <v>6.82</v>
      </c>
      <c r="D3" s="14">
        <v>2.4</v>
      </c>
      <c r="E3" s="15">
        <v>2.4</v>
      </c>
      <c r="F3" s="15">
        <v>-12.11</v>
      </c>
      <c r="G3" s="16">
        <f t="shared" si="1"/>
        <v>-0.1211</v>
      </c>
      <c r="H3" s="15">
        <v>-12.11</v>
      </c>
      <c r="I3" s="16">
        <f t="shared" si="2"/>
        <v>-0.1211</v>
      </c>
      <c r="J3" s="15">
        <v>50.56</v>
      </c>
      <c r="K3" s="15">
        <v>6.66</v>
      </c>
      <c r="L3" s="15">
        <v>6.86</v>
      </c>
      <c r="M3" s="12" t="s">
        <v>25</v>
      </c>
      <c r="N3" s="16">
        <f t="shared" si="3"/>
        <v>0.024</v>
      </c>
      <c r="O3" s="14">
        <f t="shared" si="4"/>
        <v>6.66015625</v>
      </c>
      <c r="P3" s="17">
        <f>VLOOKUP(A3,Total_de_acoes!A:B,2,0)</f>
        <v>1110559345</v>
      </c>
      <c r="Q3" s="18">
        <f t="shared" si="5"/>
        <v>177515970.3</v>
      </c>
      <c r="R3" s="18" t="str">
        <f t="shared" si="6"/>
        <v>Subiu</v>
      </c>
      <c r="S3" s="18" t="str">
        <f>VLOOKUP(A3,Ticker!A:B,2,0)</f>
        <v>CSN Mineração</v>
      </c>
      <c r="T3" s="18" t="str">
        <f>VLOOKUP(S3,Chatgpt!A:B,2,0)</f>
        <v>Mineração</v>
      </c>
      <c r="U3" s="17">
        <f>VLOOKUP(S3,Chatgpt!A:C,3,0)</f>
        <v>8</v>
      </c>
      <c r="V3" s="17" t="str">
        <f t="shared" si="7"/>
        <v>Menor de 50 anos</v>
      </c>
    </row>
    <row r="4" ht="15.75" customHeight="1">
      <c r="A4" s="5" t="s">
        <v>26</v>
      </c>
      <c r="B4" s="6">
        <v>45317.0</v>
      </c>
      <c r="C4" s="7">
        <v>41.96</v>
      </c>
      <c r="D4" s="7">
        <v>2.19</v>
      </c>
      <c r="E4" s="8">
        <v>7.73</v>
      </c>
      <c r="F4" s="8">
        <v>7.64</v>
      </c>
      <c r="G4" s="9">
        <f t="shared" si="1"/>
        <v>0.0764</v>
      </c>
      <c r="H4" s="8">
        <v>7.64</v>
      </c>
      <c r="I4" s="9">
        <f t="shared" si="2"/>
        <v>0.0764</v>
      </c>
      <c r="J4" s="8">
        <v>77.55</v>
      </c>
      <c r="K4" s="8">
        <v>40.81</v>
      </c>
      <c r="L4" s="8">
        <v>42.34</v>
      </c>
      <c r="M4" s="5" t="s">
        <v>27</v>
      </c>
      <c r="N4" s="9">
        <f t="shared" si="3"/>
        <v>0.0219</v>
      </c>
      <c r="O4" s="7">
        <f t="shared" si="4"/>
        <v>41.06076916</v>
      </c>
      <c r="P4" s="10">
        <f>VLOOKUP(A4,Total_de_acoes!A:B,2,0)</f>
        <v>2379877655</v>
      </c>
      <c r="Q4" s="11">
        <f t="shared" si="5"/>
        <v>2140059394</v>
      </c>
      <c r="R4" s="11" t="str">
        <f t="shared" si="6"/>
        <v>Subiu</v>
      </c>
      <c r="S4" s="11" t="str">
        <f>VLOOKUP(A4,Ticker!A:B,2,0)</f>
        <v>Petrobras</v>
      </c>
      <c r="T4" s="11" t="str">
        <f>VLOOKUP(S4,Chatgpt!A:B,2,0)</f>
        <v>Petróleo</v>
      </c>
      <c r="U4" s="10">
        <f>VLOOKUP(S4,Chatgpt!A:C,3,0)</f>
        <v>69</v>
      </c>
      <c r="V4" s="10" t="str">
        <f t="shared" si="7"/>
        <v>Entre 50 e 100 anos</v>
      </c>
    </row>
    <row r="5" ht="15.75" customHeight="1">
      <c r="A5" s="12" t="s">
        <v>28</v>
      </c>
      <c r="B5" s="13">
        <v>45317.0</v>
      </c>
      <c r="C5" s="14">
        <v>52.91</v>
      </c>
      <c r="D5" s="14">
        <v>2.04</v>
      </c>
      <c r="E5" s="15">
        <v>2.14</v>
      </c>
      <c r="F5" s="15">
        <v>-4.89</v>
      </c>
      <c r="G5" s="16">
        <f t="shared" si="1"/>
        <v>-0.0489</v>
      </c>
      <c r="H5" s="15">
        <v>-4.89</v>
      </c>
      <c r="I5" s="16">
        <f t="shared" si="2"/>
        <v>-0.0489</v>
      </c>
      <c r="J5" s="15">
        <v>18.85</v>
      </c>
      <c r="K5" s="15">
        <v>51.89</v>
      </c>
      <c r="L5" s="15">
        <v>53.17</v>
      </c>
      <c r="M5" s="12" t="s">
        <v>29</v>
      </c>
      <c r="N5" s="16">
        <f t="shared" si="3"/>
        <v>0.0204</v>
      </c>
      <c r="O5" s="14">
        <f t="shared" si="4"/>
        <v>51.85221482</v>
      </c>
      <c r="P5" s="17">
        <f>VLOOKUP(A5,Total_de_acoes!A:B,2,0)</f>
        <v>683452836</v>
      </c>
      <c r="Q5" s="18">
        <f t="shared" si="5"/>
        <v>722946282.7</v>
      </c>
      <c r="R5" s="18" t="str">
        <f t="shared" si="6"/>
        <v>Subiu</v>
      </c>
      <c r="S5" s="18" t="str">
        <f>VLOOKUP(A5,Ticker!A:B,2,0)</f>
        <v>Suzano</v>
      </c>
      <c r="T5" s="18" t="str">
        <f>VLOOKUP(S5,Chatgpt!A:B,2,0)</f>
        <v>Papel e Celulose</v>
      </c>
      <c r="U5" s="17">
        <f>VLOOKUP(S5,Chatgpt!A:C,3,0)</f>
        <v>94</v>
      </c>
      <c r="V5" s="17" t="str">
        <f t="shared" si="7"/>
        <v>Entre 50 e 100 anos</v>
      </c>
    </row>
    <row r="6" ht="15.75" customHeight="1">
      <c r="A6" s="5" t="s">
        <v>30</v>
      </c>
      <c r="B6" s="6">
        <v>45317.0</v>
      </c>
      <c r="C6" s="7">
        <v>37.1</v>
      </c>
      <c r="D6" s="7">
        <v>2.03</v>
      </c>
      <c r="E6" s="8">
        <v>2.49</v>
      </c>
      <c r="F6" s="8">
        <v>-3.66</v>
      </c>
      <c r="G6" s="9">
        <f t="shared" si="1"/>
        <v>-0.0366</v>
      </c>
      <c r="H6" s="8">
        <v>-3.66</v>
      </c>
      <c r="I6" s="9">
        <f t="shared" si="2"/>
        <v>-0.0366</v>
      </c>
      <c r="J6" s="8">
        <v>20.7</v>
      </c>
      <c r="K6" s="8">
        <v>36.37</v>
      </c>
      <c r="L6" s="8">
        <v>37.32</v>
      </c>
      <c r="M6" s="5" t="s">
        <v>31</v>
      </c>
      <c r="N6" s="9">
        <f t="shared" si="3"/>
        <v>0.0203</v>
      </c>
      <c r="O6" s="7">
        <f t="shared" si="4"/>
        <v>36.36185436</v>
      </c>
      <c r="P6" s="10">
        <f>VLOOKUP(A6,Total_de_acoes!A:B,2,0)</f>
        <v>187732538</v>
      </c>
      <c r="Q6" s="11">
        <f t="shared" si="5"/>
        <v>138573955.1</v>
      </c>
      <c r="R6" s="11" t="str">
        <f t="shared" si="6"/>
        <v>Subiu</v>
      </c>
      <c r="S6" s="11" t="str">
        <f>VLOOKUP(A6,Ticker!A:B,2,0)</f>
        <v>CPFL Energia</v>
      </c>
      <c r="T6" s="11" t="str">
        <f>VLOOKUP(S6,Chatgpt!A:B,2,0)</f>
        <v>Energia</v>
      </c>
      <c r="U6" s="10">
        <f>VLOOKUP(S6,Chatgpt!A:C,3,0)</f>
        <v>109</v>
      </c>
      <c r="V6" s="10" t="str">
        <f t="shared" si="7"/>
        <v>Mais de 100 anos</v>
      </c>
    </row>
    <row r="7" ht="15.75" customHeight="1">
      <c r="A7" s="12" t="s">
        <v>32</v>
      </c>
      <c r="B7" s="13">
        <v>45317.0</v>
      </c>
      <c r="C7" s="14">
        <v>45.69</v>
      </c>
      <c r="D7" s="14">
        <v>1.98</v>
      </c>
      <c r="E7" s="15">
        <v>2.42</v>
      </c>
      <c r="F7" s="15">
        <v>-0.78</v>
      </c>
      <c r="G7" s="16">
        <f t="shared" si="1"/>
        <v>-0.0078</v>
      </c>
      <c r="H7" s="15">
        <v>-0.78</v>
      </c>
      <c r="I7" s="16">
        <f t="shared" si="2"/>
        <v>-0.0078</v>
      </c>
      <c r="J7" s="15">
        <v>8.08</v>
      </c>
      <c r="K7" s="15">
        <v>44.25</v>
      </c>
      <c r="L7" s="15">
        <v>45.69</v>
      </c>
      <c r="M7" s="12" t="s">
        <v>33</v>
      </c>
      <c r="N7" s="16">
        <f t="shared" si="3"/>
        <v>0.0198</v>
      </c>
      <c r="O7" s="14">
        <f t="shared" si="4"/>
        <v>44.80290253</v>
      </c>
      <c r="P7" s="17">
        <f>VLOOKUP(A7,Total_de_acoes!A:B,2,0)</f>
        <v>800010734</v>
      </c>
      <c r="Q7" s="18">
        <f t="shared" si="5"/>
        <v>709687498.2</v>
      </c>
      <c r="R7" s="18" t="str">
        <f t="shared" si="6"/>
        <v>Subiu</v>
      </c>
      <c r="S7" s="18" t="str">
        <f>VLOOKUP(A7,Ticker!A:B,2,0)</f>
        <v>PetroRio</v>
      </c>
      <c r="T7" s="18" t="str">
        <f>VLOOKUP(S7,Chatgpt!A:B,2,0)</f>
        <v>Petróleo</v>
      </c>
      <c r="U7" s="17">
        <f>VLOOKUP(S7,Chatgpt!A:C,3,0)</f>
        <v>9</v>
      </c>
      <c r="V7" s="17" t="str">
        <f t="shared" si="7"/>
        <v>Menor de 50 anos</v>
      </c>
    </row>
    <row r="8" ht="15.75" customHeight="1">
      <c r="A8" s="5" t="s">
        <v>34</v>
      </c>
      <c r="B8" s="6">
        <v>45317.0</v>
      </c>
      <c r="C8" s="7">
        <v>39.96</v>
      </c>
      <c r="D8" s="7">
        <v>1.73</v>
      </c>
      <c r="E8" s="8">
        <v>6.47</v>
      </c>
      <c r="F8" s="8">
        <v>7.3</v>
      </c>
      <c r="G8" s="9">
        <f t="shared" si="1"/>
        <v>0.073</v>
      </c>
      <c r="H8" s="8">
        <v>7.3</v>
      </c>
      <c r="I8" s="9">
        <f t="shared" si="2"/>
        <v>0.073</v>
      </c>
      <c r="J8" s="8">
        <v>95.01</v>
      </c>
      <c r="K8" s="8">
        <v>38.91</v>
      </c>
      <c r="L8" s="8">
        <v>40.09</v>
      </c>
      <c r="M8" s="5" t="s">
        <v>35</v>
      </c>
      <c r="N8" s="9">
        <f t="shared" si="3"/>
        <v>0.0173</v>
      </c>
      <c r="O8" s="7">
        <f t="shared" si="4"/>
        <v>39.28044825</v>
      </c>
      <c r="P8" s="10">
        <f>VLOOKUP(A8,Total_de_acoes!A:B,2,0)</f>
        <v>4566445852</v>
      </c>
      <c r="Q8" s="11">
        <f t="shared" si="5"/>
        <v>3103136291</v>
      </c>
      <c r="R8" s="11" t="str">
        <f t="shared" si="6"/>
        <v>Subiu</v>
      </c>
      <c r="S8" s="11" t="str">
        <f>VLOOKUP(A8,Ticker!A:B,2,0)</f>
        <v>Petrobras</v>
      </c>
      <c r="T8" s="11" t="str">
        <f>VLOOKUP(S8,Chatgpt!A:B,2,0)</f>
        <v>Petróleo</v>
      </c>
      <c r="U8" s="10">
        <f>VLOOKUP(S8,Chatgpt!A:C,3,0)</f>
        <v>69</v>
      </c>
      <c r="V8" s="10" t="str">
        <f t="shared" si="7"/>
        <v>Entre 50 e 100 anos</v>
      </c>
    </row>
    <row r="9" ht="15.75" customHeight="1">
      <c r="A9" s="12" t="s">
        <v>36</v>
      </c>
      <c r="B9" s="13">
        <v>45317.0</v>
      </c>
      <c r="C9" s="14">
        <v>69.5</v>
      </c>
      <c r="D9" s="14">
        <v>1.66</v>
      </c>
      <c r="E9" s="15">
        <v>2.06</v>
      </c>
      <c r="F9" s="15">
        <v>-9.97</v>
      </c>
      <c r="G9" s="16">
        <f t="shared" si="1"/>
        <v>-0.0997</v>
      </c>
      <c r="H9" s="15">
        <v>-9.97</v>
      </c>
      <c r="I9" s="16">
        <f t="shared" si="2"/>
        <v>-0.0997</v>
      </c>
      <c r="J9" s="15">
        <v>-23.49</v>
      </c>
      <c r="K9" s="15">
        <v>67.5</v>
      </c>
      <c r="L9" s="15">
        <v>69.81</v>
      </c>
      <c r="M9" s="12" t="s">
        <v>37</v>
      </c>
      <c r="N9" s="16">
        <f t="shared" si="3"/>
        <v>0.0166</v>
      </c>
      <c r="O9" s="14">
        <f t="shared" si="4"/>
        <v>68.3651387</v>
      </c>
      <c r="P9" s="17">
        <f>VLOOKUP(A9,Total_de_acoes!A:B,2,0)</f>
        <v>4196924316</v>
      </c>
      <c r="Q9" s="18">
        <f t="shared" si="5"/>
        <v>4762926995</v>
      </c>
      <c r="R9" s="18" t="str">
        <f t="shared" si="6"/>
        <v>Subiu</v>
      </c>
      <c r="S9" s="18" t="str">
        <f>VLOOKUP(A9,Ticker!A:B,2,0)</f>
        <v>Vale</v>
      </c>
      <c r="T9" s="18" t="str">
        <f>VLOOKUP(S9,Chatgpt!A:B,2,0)</f>
        <v>Mineração</v>
      </c>
      <c r="U9" s="17">
        <f>VLOOKUP(S9,Chatgpt!A:C,3,0)</f>
        <v>79</v>
      </c>
      <c r="V9" s="17" t="str">
        <f t="shared" si="7"/>
        <v>Entre 50 e 100 anos</v>
      </c>
    </row>
    <row r="10" ht="15.75" customHeight="1">
      <c r="A10" s="5" t="s">
        <v>38</v>
      </c>
      <c r="B10" s="6">
        <v>45317.0</v>
      </c>
      <c r="C10" s="7">
        <v>28.19</v>
      </c>
      <c r="D10" s="7">
        <v>1.58</v>
      </c>
      <c r="E10" s="8">
        <v>2.03</v>
      </c>
      <c r="F10" s="8">
        <v>-0.81</v>
      </c>
      <c r="G10" s="9">
        <f t="shared" si="1"/>
        <v>-0.0081</v>
      </c>
      <c r="H10" s="8">
        <v>-0.81</v>
      </c>
      <c r="I10" s="9">
        <f t="shared" si="2"/>
        <v>-0.0081</v>
      </c>
      <c r="J10" s="8">
        <v>24.02</v>
      </c>
      <c r="K10" s="8">
        <v>27.71</v>
      </c>
      <c r="L10" s="8">
        <v>28.36</v>
      </c>
      <c r="M10" s="5" t="s">
        <v>39</v>
      </c>
      <c r="N10" s="9">
        <f t="shared" si="3"/>
        <v>0.0158</v>
      </c>
      <c r="O10" s="7">
        <f t="shared" si="4"/>
        <v>27.75152589</v>
      </c>
      <c r="P10" s="10">
        <f>VLOOKUP(A10,Total_de_acoes!A:B,2,0)</f>
        <v>268505432</v>
      </c>
      <c r="Q10" s="11">
        <f t="shared" si="5"/>
        <v>117732680.1</v>
      </c>
      <c r="R10" s="11" t="str">
        <f t="shared" si="6"/>
        <v>Subiu</v>
      </c>
      <c r="S10" s="11" t="str">
        <f>VLOOKUP(A10,Ticker!A:B,2,0)</f>
        <v>Multiplan</v>
      </c>
      <c r="T10" s="11" t="str">
        <f>VLOOKUP(S10,Chatgpt!A:B,2,0)</f>
        <v>Imobiliário</v>
      </c>
      <c r="U10" s="10">
        <f>VLOOKUP(S10,Chatgpt!A:C,3,0)</f>
        <v>48</v>
      </c>
      <c r="V10" s="10" t="str">
        <f t="shared" si="7"/>
        <v>Menor de 50 anos</v>
      </c>
    </row>
    <row r="11" ht="15.75" customHeight="1">
      <c r="A11" s="12" t="s">
        <v>40</v>
      </c>
      <c r="B11" s="13">
        <v>45317.0</v>
      </c>
      <c r="C11" s="14">
        <v>32.81</v>
      </c>
      <c r="D11" s="14">
        <v>1.48</v>
      </c>
      <c r="E11" s="15">
        <v>-0.39</v>
      </c>
      <c r="F11" s="15">
        <v>-3.36</v>
      </c>
      <c r="G11" s="16">
        <f t="shared" si="1"/>
        <v>-0.0336</v>
      </c>
      <c r="H11" s="15">
        <v>-3.36</v>
      </c>
      <c r="I11" s="16">
        <f t="shared" si="2"/>
        <v>-0.0336</v>
      </c>
      <c r="J11" s="15">
        <v>34.25</v>
      </c>
      <c r="K11" s="15">
        <v>32.35</v>
      </c>
      <c r="L11" s="15">
        <v>32.91</v>
      </c>
      <c r="M11" s="12" t="s">
        <v>41</v>
      </c>
      <c r="N11" s="16">
        <f t="shared" si="3"/>
        <v>0.0148</v>
      </c>
      <c r="O11" s="14">
        <f t="shared" si="4"/>
        <v>32.33149389</v>
      </c>
      <c r="P11" s="17">
        <f>VLOOKUP(A11,Total_de_acoes!A:B,2,0)</f>
        <v>4801593832</v>
      </c>
      <c r="Q11" s="18">
        <f t="shared" si="5"/>
        <v>2297591984</v>
      </c>
      <c r="R11" s="18" t="str">
        <f t="shared" si="6"/>
        <v>Subiu</v>
      </c>
      <c r="S11" s="18" t="str">
        <f>VLOOKUP(A11,Ticker!A:B,2,0)</f>
        <v>Itaú Unibanco</v>
      </c>
      <c r="T11" s="18" t="str">
        <f>VLOOKUP(S11,Chatgpt!A:B,2,0)</f>
        <v>Financeiro</v>
      </c>
      <c r="U11" s="17">
        <f>VLOOKUP(S11,Chatgpt!A:C,3,0)</f>
        <v>13</v>
      </c>
      <c r="V11" s="17" t="str">
        <f t="shared" si="7"/>
        <v>Menor de 50 anos</v>
      </c>
    </row>
    <row r="12" ht="15.75" customHeight="1">
      <c r="A12" s="5" t="s">
        <v>42</v>
      </c>
      <c r="B12" s="6">
        <v>45317.0</v>
      </c>
      <c r="C12" s="7">
        <v>27.56</v>
      </c>
      <c r="D12" s="7">
        <v>1.43</v>
      </c>
      <c r="E12" s="8">
        <v>3.41</v>
      </c>
      <c r="F12" s="8">
        <v>-4.17</v>
      </c>
      <c r="G12" s="9">
        <f t="shared" si="1"/>
        <v>-0.0417</v>
      </c>
      <c r="H12" s="8">
        <v>-4.17</v>
      </c>
      <c r="I12" s="9">
        <f t="shared" si="2"/>
        <v>-0.0417</v>
      </c>
      <c r="J12" s="8">
        <v>-6.01</v>
      </c>
      <c r="K12" s="8">
        <v>26.9</v>
      </c>
      <c r="L12" s="8">
        <v>27.91</v>
      </c>
      <c r="M12" s="5" t="s">
        <v>43</v>
      </c>
      <c r="N12" s="9">
        <f t="shared" si="3"/>
        <v>0.0143</v>
      </c>
      <c r="O12" s="7">
        <f t="shared" si="4"/>
        <v>27.17144829</v>
      </c>
      <c r="P12" s="10">
        <f>VLOOKUP(A12,Total_de_acoes!A:B,2,0)</f>
        <v>1168230366</v>
      </c>
      <c r="Q12" s="11">
        <f t="shared" si="5"/>
        <v>453917907</v>
      </c>
      <c r="R12" s="11" t="str">
        <f t="shared" si="6"/>
        <v>Subiu</v>
      </c>
      <c r="S12" s="11" t="str">
        <f>VLOOKUP(A12,Ticker!A:B,2,0)</f>
        <v>Rede D'Or</v>
      </c>
      <c r="T12" s="11" t="str">
        <f>VLOOKUP(S12,Chatgpt!A:B,2,0)</f>
        <v>Saúde</v>
      </c>
      <c r="U12" s="10">
        <f>VLOOKUP(S12,Chatgpt!A:C,3,0)</f>
        <v>48</v>
      </c>
      <c r="V12" s="10" t="str">
        <f t="shared" si="7"/>
        <v>Menor de 50 anos</v>
      </c>
    </row>
    <row r="13" ht="15.75" customHeight="1">
      <c r="A13" s="12" t="s">
        <v>44</v>
      </c>
      <c r="B13" s="13">
        <v>45317.0</v>
      </c>
      <c r="C13" s="14">
        <v>18.55</v>
      </c>
      <c r="D13" s="14">
        <v>1.42</v>
      </c>
      <c r="E13" s="15">
        <v>5.1</v>
      </c>
      <c r="F13" s="15">
        <v>-15.14</v>
      </c>
      <c r="G13" s="16">
        <f t="shared" si="1"/>
        <v>-0.1514</v>
      </c>
      <c r="H13" s="15">
        <v>-15.14</v>
      </c>
      <c r="I13" s="16">
        <f t="shared" si="2"/>
        <v>-0.1514</v>
      </c>
      <c r="J13" s="15">
        <v>-18.39</v>
      </c>
      <c r="K13" s="15">
        <v>18.29</v>
      </c>
      <c r="L13" s="15">
        <v>18.73</v>
      </c>
      <c r="M13" s="12" t="s">
        <v>45</v>
      </c>
      <c r="N13" s="16">
        <f t="shared" si="3"/>
        <v>0.0142</v>
      </c>
      <c r="O13" s="14">
        <f t="shared" si="4"/>
        <v>18.29027805</v>
      </c>
      <c r="P13" s="17">
        <f>VLOOKUP(A13,Total_de_acoes!A:B,2,0)</f>
        <v>265877867</v>
      </c>
      <c r="Q13" s="18">
        <f t="shared" si="5"/>
        <v>69054317.64</v>
      </c>
      <c r="R13" s="18" t="str">
        <f t="shared" si="6"/>
        <v>Subiu</v>
      </c>
      <c r="S13" s="18" t="str">
        <f>VLOOKUP(A13,Ticker!A:B,2,0)</f>
        <v>Braskem</v>
      </c>
      <c r="T13" s="18" t="str">
        <f>VLOOKUP(S13,Chatgpt!A:B,2,0)</f>
        <v>Química</v>
      </c>
      <c r="U13" s="17">
        <f>VLOOKUP(S13,Chatgpt!A:C,3,0)</f>
        <v>19</v>
      </c>
      <c r="V13" s="17" t="str">
        <f t="shared" si="7"/>
        <v>Menor de 50 anos</v>
      </c>
    </row>
    <row r="14" ht="15.75" customHeight="1">
      <c r="A14" s="5" t="s">
        <v>46</v>
      </c>
      <c r="B14" s="6">
        <v>45317.0</v>
      </c>
      <c r="C14" s="7">
        <v>14.27</v>
      </c>
      <c r="D14" s="7">
        <v>1.42</v>
      </c>
      <c r="E14" s="8">
        <v>8.85</v>
      </c>
      <c r="F14" s="8">
        <v>-10.87</v>
      </c>
      <c r="G14" s="9">
        <f t="shared" si="1"/>
        <v>-0.1087</v>
      </c>
      <c r="H14" s="8">
        <v>-10.87</v>
      </c>
      <c r="I14" s="9">
        <f t="shared" si="2"/>
        <v>-0.1087</v>
      </c>
      <c r="J14" s="8">
        <v>18.52</v>
      </c>
      <c r="K14" s="8">
        <v>13.8</v>
      </c>
      <c r="L14" s="8">
        <v>14.36</v>
      </c>
      <c r="M14" s="5" t="s">
        <v>47</v>
      </c>
      <c r="N14" s="9">
        <f t="shared" si="3"/>
        <v>0.0142</v>
      </c>
      <c r="O14" s="7">
        <f t="shared" si="4"/>
        <v>14.07020312</v>
      </c>
      <c r="P14" s="10">
        <f>VLOOKUP(A14,Total_de_acoes!A:B,2,0)</f>
        <v>327593725</v>
      </c>
      <c r="Q14" s="11">
        <f t="shared" si="5"/>
        <v>65452205.55</v>
      </c>
      <c r="R14" s="11" t="str">
        <f t="shared" si="6"/>
        <v>Subiu</v>
      </c>
      <c r="S14" s="11" t="str">
        <f>VLOOKUP(A14,Ticker!A:B,2,0)</f>
        <v>Azul</v>
      </c>
      <c r="T14" s="11" t="str">
        <f>VLOOKUP(S14,Chatgpt!A:B,2,0)</f>
        <v>Transporte</v>
      </c>
      <c r="U14" s="10">
        <f>VLOOKUP(S14,Chatgpt!A:C,3,0)</f>
        <v>13</v>
      </c>
      <c r="V14" s="10" t="str">
        <f t="shared" si="7"/>
        <v>Menor de 50 anos</v>
      </c>
    </row>
    <row r="15" ht="15.75" customHeight="1">
      <c r="A15" s="12" t="s">
        <v>48</v>
      </c>
      <c r="B15" s="13">
        <v>45317.0</v>
      </c>
      <c r="C15" s="14">
        <v>28.75</v>
      </c>
      <c r="D15" s="14">
        <v>1.41</v>
      </c>
      <c r="E15" s="15">
        <v>-2.71</v>
      </c>
      <c r="F15" s="15">
        <v>9.4</v>
      </c>
      <c r="G15" s="16">
        <f t="shared" si="1"/>
        <v>0.094</v>
      </c>
      <c r="H15" s="15">
        <v>9.4</v>
      </c>
      <c r="I15" s="16">
        <f t="shared" si="2"/>
        <v>0.094</v>
      </c>
      <c r="J15" s="15">
        <v>-37.7</v>
      </c>
      <c r="K15" s="15">
        <v>28.0</v>
      </c>
      <c r="L15" s="15">
        <v>28.75</v>
      </c>
      <c r="M15" s="12" t="s">
        <v>49</v>
      </c>
      <c r="N15" s="16">
        <f t="shared" si="3"/>
        <v>0.0141</v>
      </c>
      <c r="O15" s="14">
        <f t="shared" si="4"/>
        <v>28.35026132</v>
      </c>
      <c r="P15" s="17">
        <f>VLOOKUP(A15,Total_de_acoes!A:B,2,0)</f>
        <v>235665566</v>
      </c>
      <c r="Q15" s="18">
        <f t="shared" si="5"/>
        <v>94204643.35</v>
      </c>
      <c r="R15" s="18" t="str">
        <f t="shared" si="6"/>
        <v>Subiu</v>
      </c>
      <c r="S15" s="18" t="str">
        <f>VLOOKUP(A15,Ticker!A:B,2,0)</f>
        <v>3R Petroleum</v>
      </c>
      <c r="T15" s="18" t="str">
        <f>VLOOKUP(S15,Chatgpt!A:B,2,0)</f>
        <v>Petróleo</v>
      </c>
      <c r="U15" s="17">
        <f>VLOOKUP(S15,Chatgpt!A:C,3,0)</f>
        <v>10</v>
      </c>
      <c r="V15" s="17" t="str">
        <f t="shared" si="7"/>
        <v>Menor de 50 anos</v>
      </c>
    </row>
    <row r="16" ht="15.75" customHeight="1">
      <c r="A16" s="5" t="s">
        <v>50</v>
      </c>
      <c r="B16" s="6">
        <v>45317.0</v>
      </c>
      <c r="C16" s="7">
        <v>35.32</v>
      </c>
      <c r="D16" s="7">
        <v>1.34</v>
      </c>
      <c r="E16" s="8">
        <v>2.76</v>
      </c>
      <c r="F16" s="8">
        <v>-1.12</v>
      </c>
      <c r="G16" s="9">
        <f t="shared" si="1"/>
        <v>-0.0112</v>
      </c>
      <c r="H16" s="8">
        <v>-1.12</v>
      </c>
      <c r="I16" s="9">
        <f t="shared" si="2"/>
        <v>-0.0112</v>
      </c>
      <c r="J16" s="8">
        <v>28.01</v>
      </c>
      <c r="K16" s="8">
        <v>34.85</v>
      </c>
      <c r="L16" s="8">
        <v>35.76</v>
      </c>
      <c r="M16" s="5" t="s">
        <v>51</v>
      </c>
      <c r="N16" s="9">
        <f t="shared" si="3"/>
        <v>0.0134</v>
      </c>
      <c r="O16" s="7">
        <f t="shared" si="4"/>
        <v>34.8529702</v>
      </c>
      <c r="P16" s="10">
        <f>VLOOKUP(A16,Total_de_acoes!A:B,2,0)</f>
        <v>1095587251</v>
      </c>
      <c r="Q16" s="11">
        <f t="shared" si="5"/>
        <v>511671895.5</v>
      </c>
      <c r="R16" s="11" t="str">
        <f t="shared" si="6"/>
        <v>Subiu</v>
      </c>
      <c r="S16" s="11" t="str">
        <f>VLOOKUP(A16,Ticker!A:B,2,0)</f>
        <v>Equatorial Energia</v>
      </c>
      <c r="T16" s="11" t="str">
        <f>VLOOKUP(S16,Chatgpt!A:B,2,0)</f>
        <v>Energia</v>
      </c>
      <c r="U16" s="10">
        <f>VLOOKUP(S16,Chatgpt!A:C,3,0)</f>
        <v>23</v>
      </c>
      <c r="V16" s="10" t="str">
        <f t="shared" si="7"/>
        <v>Menor de 50 anos</v>
      </c>
    </row>
    <row r="17" ht="15.75" customHeight="1">
      <c r="A17" s="12" t="s">
        <v>52</v>
      </c>
      <c r="B17" s="13">
        <v>45317.0</v>
      </c>
      <c r="C17" s="14">
        <v>18.16</v>
      </c>
      <c r="D17" s="14">
        <v>1.33</v>
      </c>
      <c r="E17" s="15">
        <v>4.79</v>
      </c>
      <c r="F17" s="15">
        <v>-7.63</v>
      </c>
      <c r="G17" s="16">
        <f t="shared" si="1"/>
        <v>-0.0763</v>
      </c>
      <c r="H17" s="15">
        <v>-7.63</v>
      </c>
      <c r="I17" s="16">
        <f t="shared" si="2"/>
        <v>-0.0763</v>
      </c>
      <c r="J17" s="15">
        <v>12.45</v>
      </c>
      <c r="K17" s="15">
        <v>18.0</v>
      </c>
      <c r="L17" s="15">
        <v>18.49</v>
      </c>
      <c r="M17" s="12" t="s">
        <v>53</v>
      </c>
      <c r="N17" s="16">
        <f t="shared" si="3"/>
        <v>0.0133</v>
      </c>
      <c r="O17" s="14">
        <f t="shared" si="4"/>
        <v>17.92164216</v>
      </c>
      <c r="P17" s="17">
        <f>VLOOKUP(A17,Total_de_acoes!A:B,2,0)</f>
        <v>600865451</v>
      </c>
      <c r="Q17" s="18">
        <f t="shared" si="5"/>
        <v>143220991.5</v>
      </c>
      <c r="R17" s="18" t="str">
        <f t="shared" si="6"/>
        <v>Subiu</v>
      </c>
      <c r="S17" s="18" t="str">
        <f>VLOOKUP(A17,Ticker!A:B,2,0)</f>
        <v>Siderúrgica Nacional</v>
      </c>
      <c r="T17" s="18" t="str">
        <f>VLOOKUP(S17,Chatgpt!A:B,2,0)</f>
        <v>Siderurgia</v>
      </c>
      <c r="U17" s="17">
        <f>VLOOKUP(S17,Chatgpt!A:C,3,0)</f>
        <v>80</v>
      </c>
      <c r="V17" s="17" t="str">
        <f t="shared" si="7"/>
        <v>Entre 50 e 100 anos</v>
      </c>
    </row>
    <row r="18" ht="15.75" customHeight="1">
      <c r="A18" s="5" t="s">
        <v>54</v>
      </c>
      <c r="B18" s="6">
        <v>45317.0</v>
      </c>
      <c r="C18" s="7">
        <v>19.77</v>
      </c>
      <c r="D18" s="7">
        <v>1.28</v>
      </c>
      <c r="E18" s="8">
        <v>-5.9</v>
      </c>
      <c r="F18" s="8">
        <v>-11.82</v>
      </c>
      <c r="G18" s="9">
        <f t="shared" si="1"/>
        <v>-0.1182</v>
      </c>
      <c r="H18" s="8">
        <v>-11.82</v>
      </c>
      <c r="I18" s="9">
        <f t="shared" si="2"/>
        <v>-0.1182</v>
      </c>
      <c r="J18" s="8">
        <v>108.45</v>
      </c>
      <c r="K18" s="8">
        <v>18.99</v>
      </c>
      <c r="L18" s="8">
        <v>19.78</v>
      </c>
      <c r="M18" s="5" t="s">
        <v>55</v>
      </c>
      <c r="N18" s="9">
        <f t="shared" si="3"/>
        <v>0.0128</v>
      </c>
      <c r="O18" s="7">
        <f t="shared" si="4"/>
        <v>19.52014218</v>
      </c>
      <c r="P18" s="10">
        <f>VLOOKUP(A18,Total_de_acoes!A:B,2,0)</f>
        <v>289347914</v>
      </c>
      <c r="Q18" s="11">
        <f t="shared" si="5"/>
        <v>72295838.99</v>
      </c>
      <c r="R18" s="11" t="str">
        <f t="shared" si="6"/>
        <v>Subiu</v>
      </c>
      <c r="S18" s="11" t="str">
        <f>VLOOKUP(A18,Ticker!A:B,2,0)</f>
        <v>YDUQS</v>
      </c>
      <c r="T18" s="11" t="str">
        <f>VLOOKUP(S18,Chatgpt!A:B,2,0)</f>
        <v>Educação</v>
      </c>
      <c r="U18" s="10">
        <f>VLOOKUP(S18,Chatgpt!A:C,3,0)</f>
        <v>59</v>
      </c>
      <c r="V18" s="10" t="str">
        <f t="shared" si="7"/>
        <v>Entre 50 e 100 anos</v>
      </c>
    </row>
    <row r="19" ht="15.75" customHeight="1">
      <c r="A19" s="12" t="s">
        <v>56</v>
      </c>
      <c r="B19" s="13">
        <v>45317.0</v>
      </c>
      <c r="C19" s="14">
        <v>28.31</v>
      </c>
      <c r="D19" s="14">
        <v>1.28</v>
      </c>
      <c r="E19" s="15">
        <v>2.35</v>
      </c>
      <c r="F19" s="15">
        <v>6.79</v>
      </c>
      <c r="G19" s="16">
        <f t="shared" si="1"/>
        <v>0.0679</v>
      </c>
      <c r="H19" s="15">
        <v>6.79</v>
      </c>
      <c r="I19" s="16">
        <f t="shared" si="2"/>
        <v>0.0679</v>
      </c>
      <c r="J19" s="15">
        <v>119.82</v>
      </c>
      <c r="K19" s="15">
        <v>27.84</v>
      </c>
      <c r="L19" s="15">
        <v>28.39</v>
      </c>
      <c r="M19" s="12" t="s">
        <v>57</v>
      </c>
      <c r="N19" s="16">
        <f t="shared" si="3"/>
        <v>0.0128</v>
      </c>
      <c r="O19" s="14">
        <f t="shared" si="4"/>
        <v>27.95221169</v>
      </c>
      <c r="P19" s="17">
        <f>VLOOKUP(A19,Total_de_acoes!A:B,2,0)</f>
        <v>1086411192</v>
      </c>
      <c r="Q19" s="18">
        <f t="shared" si="5"/>
        <v>388705224</v>
      </c>
      <c r="R19" s="18" t="str">
        <f t="shared" si="6"/>
        <v>Subiu</v>
      </c>
      <c r="S19" s="18" t="str">
        <f>VLOOKUP(A19,Ticker!A:B,2,0)</f>
        <v>Ultrapar</v>
      </c>
      <c r="T19" s="18" t="str">
        <f>VLOOKUP(S19,Chatgpt!A:B,2,0)</f>
        <v>Petróleo</v>
      </c>
      <c r="U19" s="17">
        <f>VLOOKUP(S19,Chatgpt!A:C,3,0)</f>
        <v>83</v>
      </c>
      <c r="V19" s="17" t="str">
        <f t="shared" si="7"/>
        <v>Entre 50 e 100 anos</v>
      </c>
    </row>
    <row r="20" ht="15.75" customHeight="1">
      <c r="A20" s="5" t="s">
        <v>58</v>
      </c>
      <c r="B20" s="6">
        <v>45317.0</v>
      </c>
      <c r="C20" s="7">
        <v>8.08</v>
      </c>
      <c r="D20" s="7">
        <v>1.25</v>
      </c>
      <c r="E20" s="8">
        <v>1.38</v>
      </c>
      <c r="F20" s="8">
        <v>-28.05</v>
      </c>
      <c r="G20" s="9">
        <f t="shared" si="1"/>
        <v>-0.2805</v>
      </c>
      <c r="H20" s="8">
        <v>-28.05</v>
      </c>
      <c r="I20" s="9">
        <f t="shared" si="2"/>
        <v>-0.2805</v>
      </c>
      <c r="J20" s="8">
        <v>14.12</v>
      </c>
      <c r="K20" s="8">
        <v>7.93</v>
      </c>
      <c r="L20" s="8">
        <v>8.23</v>
      </c>
      <c r="M20" s="5" t="s">
        <v>59</v>
      </c>
      <c r="N20" s="9">
        <f t="shared" si="3"/>
        <v>0.0125</v>
      </c>
      <c r="O20" s="7">
        <f t="shared" si="4"/>
        <v>7.980246914</v>
      </c>
      <c r="P20" s="10">
        <f>VLOOKUP(A20,Total_de_acoes!A:B,2,0)</f>
        <v>376187582</v>
      </c>
      <c r="Q20" s="11">
        <f t="shared" si="5"/>
        <v>37525872.38</v>
      </c>
      <c r="R20" s="11" t="str">
        <f t="shared" si="6"/>
        <v>Subiu</v>
      </c>
      <c r="S20" s="11" t="str">
        <f>VLOOKUP(A20,Ticker!A:B,2,0)</f>
        <v>MRV</v>
      </c>
      <c r="T20" s="11" t="str">
        <f>VLOOKUP(S20,Chatgpt!A:B,2,0)</f>
        <v>Construção</v>
      </c>
      <c r="U20" s="10">
        <f>VLOOKUP(S20,Chatgpt!A:C,3,0)</f>
        <v>41</v>
      </c>
      <c r="V20" s="10" t="str">
        <f t="shared" si="7"/>
        <v>Menor de 50 anos</v>
      </c>
    </row>
    <row r="21" ht="15.75" customHeight="1">
      <c r="A21" s="12" t="s">
        <v>60</v>
      </c>
      <c r="B21" s="13">
        <v>45317.0</v>
      </c>
      <c r="C21" s="14">
        <v>57.91</v>
      </c>
      <c r="D21" s="14">
        <v>1.15</v>
      </c>
      <c r="E21" s="15">
        <v>-1.03</v>
      </c>
      <c r="F21" s="15">
        <v>-10.26</v>
      </c>
      <c r="G21" s="16">
        <f t="shared" si="1"/>
        <v>-0.1026</v>
      </c>
      <c r="H21" s="15">
        <v>-10.26</v>
      </c>
      <c r="I21" s="16">
        <f t="shared" si="2"/>
        <v>-0.1026</v>
      </c>
      <c r="J21" s="15">
        <v>-28.97</v>
      </c>
      <c r="K21" s="15">
        <v>56.22</v>
      </c>
      <c r="L21" s="15">
        <v>59.29</v>
      </c>
      <c r="M21" s="12" t="s">
        <v>61</v>
      </c>
      <c r="N21" s="16">
        <f t="shared" si="3"/>
        <v>0.0115</v>
      </c>
      <c r="O21" s="14">
        <f t="shared" si="4"/>
        <v>57.25160652</v>
      </c>
      <c r="P21" s="17">
        <f>VLOOKUP(A21,Total_de_acoes!A:B,2,0)</f>
        <v>62305891</v>
      </c>
      <c r="Q21" s="18">
        <f t="shared" si="5"/>
        <v>41021792.09</v>
      </c>
      <c r="R21" s="18" t="str">
        <f t="shared" si="6"/>
        <v>Subiu</v>
      </c>
      <c r="S21" s="18" t="str">
        <f>VLOOKUP(A21,Ticker!A:B,2,0)</f>
        <v>Arezzo</v>
      </c>
      <c r="T21" s="18" t="str">
        <f>VLOOKUP(S21,Chatgpt!A:B,2,0)</f>
        <v>Vestuário</v>
      </c>
      <c r="U21" s="17">
        <f>VLOOKUP(S21,Chatgpt!A:C,3,0)</f>
        <v>50</v>
      </c>
      <c r="V21" s="17" t="str">
        <f t="shared" si="7"/>
        <v>Entre 50 e 100 anos</v>
      </c>
    </row>
    <row r="22" ht="15.75" customHeight="1">
      <c r="A22" s="5" t="s">
        <v>62</v>
      </c>
      <c r="B22" s="6">
        <v>45317.0</v>
      </c>
      <c r="C22" s="7">
        <v>15.52</v>
      </c>
      <c r="D22" s="7">
        <v>1.04</v>
      </c>
      <c r="E22" s="8">
        <v>-0.77</v>
      </c>
      <c r="F22" s="8">
        <v>-9.08</v>
      </c>
      <c r="G22" s="9">
        <f t="shared" si="1"/>
        <v>-0.0908</v>
      </c>
      <c r="H22" s="8">
        <v>-9.08</v>
      </c>
      <c r="I22" s="9">
        <f t="shared" si="2"/>
        <v>-0.0908</v>
      </c>
      <c r="J22" s="8">
        <v>16.11</v>
      </c>
      <c r="K22" s="8">
        <v>15.35</v>
      </c>
      <c r="L22" s="8">
        <v>15.62</v>
      </c>
      <c r="M22" s="5" t="s">
        <v>63</v>
      </c>
      <c r="N22" s="9">
        <f t="shared" si="3"/>
        <v>0.0104</v>
      </c>
      <c r="O22" s="7">
        <f t="shared" si="4"/>
        <v>15.36025337</v>
      </c>
      <c r="P22" s="10">
        <f>VLOOKUP(A22,Total_de_acoes!A:B,2,0)</f>
        <v>5146576868</v>
      </c>
      <c r="Q22" s="11">
        <f t="shared" si="5"/>
        <v>822148336.4</v>
      </c>
      <c r="R22" s="11" t="str">
        <f t="shared" si="6"/>
        <v>Subiu</v>
      </c>
      <c r="S22" s="11" t="str">
        <f>VLOOKUP(A22,Ticker!A:B,2,0)</f>
        <v>Banco Bradesco</v>
      </c>
      <c r="T22" s="11" t="str">
        <f>VLOOKUP(S22,Chatgpt!A:B,2,0)</f>
        <v>Financeiro</v>
      </c>
      <c r="U22" s="10">
        <f>VLOOKUP(S22,Chatgpt!A:C,3,0)</f>
        <v>78</v>
      </c>
      <c r="V22" s="10" t="str">
        <f t="shared" si="7"/>
        <v>Entre 50 e 100 anos</v>
      </c>
    </row>
    <row r="23" ht="15.75" customHeight="1">
      <c r="A23" s="12" t="s">
        <v>64</v>
      </c>
      <c r="B23" s="13">
        <v>45317.0</v>
      </c>
      <c r="C23" s="14">
        <v>7.19</v>
      </c>
      <c r="D23" s="14">
        <v>0.98</v>
      </c>
      <c r="E23" s="15">
        <v>6.05</v>
      </c>
      <c r="F23" s="15">
        <v>-3.75</v>
      </c>
      <c r="G23" s="16">
        <f t="shared" si="1"/>
        <v>-0.0375</v>
      </c>
      <c r="H23" s="15">
        <v>-3.75</v>
      </c>
      <c r="I23" s="16">
        <f t="shared" si="2"/>
        <v>-0.0375</v>
      </c>
      <c r="J23" s="15">
        <v>-48.31</v>
      </c>
      <c r="K23" s="15">
        <v>7.11</v>
      </c>
      <c r="L23" s="15">
        <v>7.24</v>
      </c>
      <c r="M23" s="12" t="s">
        <v>65</v>
      </c>
      <c r="N23" s="16">
        <f t="shared" si="3"/>
        <v>0.0098</v>
      </c>
      <c r="O23" s="14">
        <f t="shared" si="4"/>
        <v>7.120221826</v>
      </c>
      <c r="P23" s="17">
        <f>VLOOKUP(A23,Total_de_acoes!A:B,2,0)</f>
        <v>261036182</v>
      </c>
      <c r="Q23" s="18">
        <f t="shared" si="5"/>
        <v>18214628.1</v>
      </c>
      <c r="R23" s="18" t="str">
        <f t="shared" si="6"/>
        <v>Subiu</v>
      </c>
      <c r="S23" s="18" t="str">
        <f>VLOOKUP(A23,Ticker!A:B,2,0)</f>
        <v>Minerva</v>
      </c>
      <c r="T23" s="18" t="str">
        <f>VLOOKUP(S23,Chatgpt!A:B,2,0)</f>
        <v>Alimentos</v>
      </c>
      <c r="U23" s="17">
        <f>VLOOKUP(S23,Chatgpt!A:C,3,0)</f>
        <v>29</v>
      </c>
      <c r="V23" s="17" t="str">
        <f t="shared" si="7"/>
        <v>Menor de 50 anos</v>
      </c>
    </row>
    <row r="24" ht="15.75" customHeight="1">
      <c r="A24" s="5" t="s">
        <v>66</v>
      </c>
      <c r="B24" s="6">
        <v>45317.0</v>
      </c>
      <c r="C24" s="7">
        <v>4.14</v>
      </c>
      <c r="D24" s="7">
        <v>0.97</v>
      </c>
      <c r="E24" s="8">
        <v>-6.33</v>
      </c>
      <c r="F24" s="8">
        <v>1.97</v>
      </c>
      <c r="G24" s="9">
        <f t="shared" si="1"/>
        <v>0.0197</v>
      </c>
      <c r="H24" s="8">
        <v>1.97</v>
      </c>
      <c r="I24" s="9">
        <f t="shared" si="2"/>
        <v>0.0197</v>
      </c>
      <c r="J24" s="8">
        <v>-51.18</v>
      </c>
      <c r="K24" s="8">
        <v>4.08</v>
      </c>
      <c r="L24" s="8">
        <v>4.2</v>
      </c>
      <c r="M24" s="5" t="s">
        <v>67</v>
      </c>
      <c r="N24" s="9">
        <f t="shared" si="3"/>
        <v>0.0097</v>
      </c>
      <c r="O24" s="7">
        <f t="shared" si="4"/>
        <v>4.10022779</v>
      </c>
      <c r="P24" s="10">
        <f>VLOOKUP(A24,Total_de_acoes!A:B,2,0)</f>
        <v>159430826</v>
      </c>
      <c r="Q24" s="11">
        <f t="shared" si="5"/>
        <v>6340916.223</v>
      </c>
      <c r="R24" s="11" t="str">
        <f t="shared" si="6"/>
        <v>Subiu</v>
      </c>
      <c r="S24" s="11" t="str">
        <f>VLOOKUP(A24,Ticker!A:B,2,0)</f>
        <v>Grupo Pão de Açúcar</v>
      </c>
      <c r="T24" s="11" t="str">
        <f>VLOOKUP(S24,Chatgpt!A:B,2,0)</f>
        <v>Alimentos</v>
      </c>
      <c r="U24" s="10">
        <f>VLOOKUP(S24,Chatgpt!A:C,3,0)</f>
        <v>72</v>
      </c>
      <c r="V24" s="10" t="str">
        <f t="shared" si="7"/>
        <v>Entre 50 e 100 anos</v>
      </c>
    </row>
    <row r="25" ht="15.75" customHeight="1">
      <c r="A25" s="12" t="s">
        <v>68</v>
      </c>
      <c r="B25" s="13">
        <v>45317.0</v>
      </c>
      <c r="C25" s="14">
        <v>14.61</v>
      </c>
      <c r="D25" s="14">
        <v>0.96</v>
      </c>
      <c r="E25" s="15">
        <v>12.38</v>
      </c>
      <c r="F25" s="15">
        <v>5.79</v>
      </c>
      <c r="G25" s="16">
        <f t="shared" si="1"/>
        <v>0.0579</v>
      </c>
      <c r="H25" s="15">
        <v>5.79</v>
      </c>
      <c r="I25" s="16">
        <f t="shared" si="2"/>
        <v>0.0579</v>
      </c>
      <c r="J25" s="15">
        <v>78.17</v>
      </c>
      <c r="K25" s="15">
        <v>14.46</v>
      </c>
      <c r="L25" s="15">
        <v>14.93</v>
      </c>
      <c r="M25" s="12" t="s">
        <v>69</v>
      </c>
      <c r="N25" s="16">
        <f t="shared" si="3"/>
        <v>0.0096</v>
      </c>
      <c r="O25" s="14">
        <f t="shared" si="4"/>
        <v>14.47107765</v>
      </c>
      <c r="P25" s="17">
        <f>VLOOKUP(A25,Total_de_acoes!A:B,2,0)</f>
        <v>1677525446</v>
      </c>
      <c r="Q25" s="18">
        <f t="shared" si="5"/>
        <v>233045769.6</v>
      </c>
      <c r="R25" s="18" t="str">
        <f t="shared" si="6"/>
        <v>Subiu</v>
      </c>
      <c r="S25" s="18" t="str">
        <f>VLOOKUP(A25,Ticker!A:B,2,0)</f>
        <v>BRF</v>
      </c>
      <c r="T25" s="18" t="str">
        <f>VLOOKUP(S25,Chatgpt!A:B,2,0)</f>
        <v>Alimentos</v>
      </c>
      <c r="U25" s="17">
        <f>VLOOKUP(S25,Chatgpt!A:C,3,0)</f>
        <v>11</v>
      </c>
      <c r="V25" s="17" t="str">
        <f t="shared" si="7"/>
        <v>Menor de 50 anos</v>
      </c>
    </row>
    <row r="26" ht="15.75" customHeight="1">
      <c r="A26" s="5" t="s">
        <v>70</v>
      </c>
      <c r="B26" s="6">
        <v>45317.0</v>
      </c>
      <c r="C26" s="7">
        <v>51.2</v>
      </c>
      <c r="D26" s="7">
        <v>0.88</v>
      </c>
      <c r="E26" s="8">
        <v>1.09</v>
      </c>
      <c r="F26" s="8">
        <v>-4.19</v>
      </c>
      <c r="G26" s="9">
        <f t="shared" si="1"/>
        <v>-0.0419</v>
      </c>
      <c r="H26" s="8">
        <v>-4.19</v>
      </c>
      <c r="I26" s="9">
        <f t="shared" si="2"/>
        <v>-0.0419</v>
      </c>
      <c r="J26" s="8">
        <v>32.78</v>
      </c>
      <c r="K26" s="8">
        <v>50.62</v>
      </c>
      <c r="L26" s="8">
        <v>51.26</v>
      </c>
      <c r="M26" s="5" t="s">
        <v>71</v>
      </c>
      <c r="N26" s="9">
        <f t="shared" si="3"/>
        <v>0.0088</v>
      </c>
      <c r="O26" s="7">
        <f t="shared" si="4"/>
        <v>50.75337034</v>
      </c>
      <c r="P26" s="10">
        <f>VLOOKUP(A26,Total_de_acoes!A:B,2,0)</f>
        <v>423091712</v>
      </c>
      <c r="Q26" s="11">
        <f t="shared" si="5"/>
        <v>188965307.1</v>
      </c>
      <c r="R26" s="11" t="str">
        <f t="shared" si="6"/>
        <v>Subiu</v>
      </c>
      <c r="S26" s="11" t="str">
        <f>VLOOKUP(A26,Ticker!A:B,2,0)</f>
        <v>Vivo</v>
      </c>
      <c r="T26" s="11" t="str">
        <f>VLOOKUP(S26,Chatgpt!A:B,2,0)</f>
        <v>Telecomunicações</v>
      </c>
      <c r="U26" s="10">
        <f>VLOOKUP(S26,Chatgpt!A:C,3,0)</f>
        <v>18</v>
      </c>
      <c r="V26" s="10" t="str">
        <f t="shared" si="7"/>
        <v>Menor de 50 anos</v>
      </c>
    </row>
    <row r="27" ht="15.75" customHeight="1">
      <c r="A27" s="12" t="s">
        <v>72</v>
      </c>
      <c r="B27" s="13">
        <v>45317.0</v>
      </c>
      <c r="C27" s="14">
        <v>22.64</v>
      </c>
      <c r="D27" s="14">
        <v>0.84</v>
      </c>
      <c r="E27" s="15">
        <v>1.07</v>
      </c>
      <c r="F27" s="15">
        <v>-1.35</v>
      </c>
      <c r="G27" s="16">
        <f t="shared" si="1"/>
        <v>-0.0135</v>
      </c>
      <c r="H27" s="15">
        <v>-1.35</v>
      </c>
      <c r="I27" s="16">
        <f t="shared" si="2"/>
        <v>-0.0135</v>
      </c>
      <c r="J27" s="15">
        <v>20.93</v>
      </c>
      <c r="K27" s="15">
        <v>22.32</v>
      </c>
      <c r="L27" s="15">
        <v>22.83</v>
      </c>
      <c r="M27" s="12" t="s">
        <v>73</v>
      </c>
      <c r="N27" s="16">
        <f t="shared" si="3"/>
        <v>0.0084</v>
      </c>
      <c r="O27" s="14">
        <f t="shared" si="4"/>
        <v>22.45140817</v>
      </c>
      <c r="P27" s="17">
        <f>VLOOKUP(A27,Total_de_acoes!A:B,2,0)</f>
        <v>1218352541</v>
      </c>
      <c r="Q27" s="18">
        <f t="shared" si="5"/>
        <v>229771333.6</v>
      </c>
      <c r="R27" s="18" t="str">
        <f t="shared" si="6"/>
        <v>Subiu</v>
      </c>
      <c r="S27" s="18" t="str">
        <f>VLOOKUP(A27,Ticker!A:B,2,0)</f>
        <v>Rumo</v>
      </c>
      <c r="T27" s="18" t="str">
        <f>VLOOKUP(S27,Chatgpt!A:B,2,0)</f>
        <v>Transporte</v>
      </c>
      <c r="U27" s="17">
        <f>VLOOKUP(S27,Chatgpt!A:C,3,0)</f>
        <v>32</v>
      </c>
      <c r="V27" s="17" t="str">
        <f t="shared" si="7"/>
        <v>Menor de 50 anos</v>
      </c>
    </row>
    <row r="28" ht="15.75" customHeight="1">
      <c r="A28" s="5" t="s">
        <v>74</v>
      </c>
      <c r="B28" s="6">
        <v>45317.0</v>
      </c>
      <c r="C28" s="7">
        <v>4.9</v>
      </c>
      <c r="D28" s="7">
        <v>0.82</v>
      </c>
      <c r="E28" s="8">
        <v>9.38</v>
      </c>
      <c r="F28" s="8">
        <v>5.83</v>
      </c>
      <c r="G28" s="9">
        <f t="shared" si="1"/>
        <v>0.0583</v>
      </c>
      <c r="H28" s="8">
        <v>5.83</v>
      </c>
      <c r="I28" s="9">
        <f t="shared" si="2"/>
        <v>0.0583</v>
      </c>
      <c r="J28" s="8">
        <v>-2.19</v>
      </c>
      <c r="K28" s="8">
        <v>4.82</v>
      </c>
      <c r="L28" s="8">
        <v>4.97</v>
      </c>
      <c r="M28" s="5" t="s">
        <v>75</v>
      </c>
      <c r="N28" s="9">
        <f t="shared" si="3"/>
        <v>0.0082</v>
      </c>
      <c r="O28" s="7">
        <f t="shared" si="4"/>
        <v>4.860146796</v>
      </c>
      <c r="P28" s="10">
        <f>VLOOKUP(A28,Total_de_acoes!A:B,2,0)</f>
        <v>1095462329</v>
      </c>
      <c r="Q28" s="11">
        <f t="shared" si="5"/>
        <v>43657683.38</v>
      </c>
      <c r="R28" s="11" t="str">
        <f t="shared" si="6"/>
        <v>Subiu</v>
      </c>
      <c r="S28" s="11" t="str">
        <f>VLOOKUP(A28,Ticker!A:B,2,0)</f>
        <v>Cielo</v>
      </c>
      <c r="T28" s="11" t="str">
        <f>VLOOKUP(S28,Chatgpt!A:B,2,0)</f>
        <v>Financeiro</v>
      </c>
      <c r="U28" s="10">
        <f>VLOOKUP(S28,Chatgpt!A:C,3,0)</f>
        <v>24</v>
      </c>
      <c r="V28" s="10" t="str">
        <f t="shared" si="7"/>
        <v>Menor de 50 anos</v>
      </c>
    </row>
    <row r="29" ht="15.75" customHeight="1">
      <c r="A29" s="12" t="s">
        <v>76</v>
      </c>
      <c r="B29" s="13">
        <v>45317.0</v>
      </c>
      <c r="C29" s="14">
        <v>7.81</v>
      </c>
      <c r="D29" s="14">
        <v>0.77</v>
      </c>
      <c r="E29" s="15">
        <v>3.17</v>
      </c>
      <c r="F29" s="15">
        <v>-3.22</v>
      </c>
      <c r="G29" s="16">
        <f t="shared" si="1"/>
        <v>-0.0322</v>
      </c>
      <c r="H29" s="15">
        <v>-3.22</v>
      </c>
      <c r="I29" s="16">
        <f t="shared" si="2"/>
        <v>-0.0322</v>
      </c>
      <c r="J29" s="15">
        <v>9.94</v>
      </c>
      <c r="K29" s="15">
        <v>7.7</v>
      </c>
      <c r="L29" s="15">
        <v>7.85</v>
      </c>
      <c r="M29" s="12" t="s">
        <v>77</v>
      </c>
      <c r="N29" s="16">
        <f t="shared" si="3"/>
        <v>0.0077</v>
      </c>
      <c r="O29" s="14">
        <f t="shared" si="4"/>
        <v>7.750322517</v>
      </c>
      <c r="P29" s="17">
        <f>VLOOKUP(A29,Total_de_acoes!A:B,2,0)</f>
        <v>302768240</v>
      </c>
      <c r="Q29" s="18">
        <f t="shared" si="5"/>
        <v>18068446.61</v>
      </c>
      <c r="R29" s="18" t="str">
        <f t="shared" si="6"/>
        <v>Subiu</v>
      </c>
      <c r="S29" s="18" t="str">
        <f>VLOOKUP(A29,Ticker!A:B,2,0)</f>
        <v>Dexco</v>
      </c>
      <c r="T29" s="18" t="str">
        <f>VLOOKUP(S29,Chatgpt!A:B,2,0)</f>
        <v>Investimentos</v>
      </c>
      <c r="U29" s="17">
        <f>VLOOKUP(S29,Chatgpt!A:C,3,0)</f>
        <v>8</v>
      </c>
      <c r="V29" s="17" t="str">
        <f t="shared" si="7"/>
        <v>Menor de 50 anos</v>
      </c>
    </row>
    <row r="30" ht="15.75" customHeight="1">
      <c r="A30" s="5" t="s">
        <v>78</v>
      </c>
      <c r="B30" s="6">
        <v>45317.0</v>
      </c>
      <c r="C30" s="7">
        <v>17.52</v>
      </c>
      <c r="D30" s="7">
        <v>0.74</v>
      </c>
      <c r="E30" s="8">
        <v>-0.57</v>
      </c>
      <c r="F30" s="8">
        <v>-2.29</v>
      </c>
      <c r="G30" s="9">
        <f t="shared" si="1"/>
        <v>-0.0229</v>
      </c>
      <c r="H30" s="8">
        <v>-2.29</v>
      </c>
      <c r="I30" s="9">
        <f t="shared" si="2"/>
        <v>-0.0229</v>
      </c>
      <c r="J30" s="8">
        <v>56.87</v>
      </c>
      <c r="K30" s="8">
        <v>17.36</v>
      </c>
      <c r="L30" s="8">
        <v>17.58</v>
      </c>
      <c r="M30" s="5" t="s">
        <v>79</v>
      </c>
      <c r="N30" s="9">
        <f t="shared" si="3"/>
        <v>0.0074</v>
      </c>
      <c r="O30" s="7">
        <f t="shared" si="4"/>
        <v>17.39130435</v>
      </c>
      <c r="P30" s="10">
        <f>VLOOKUP(A30,Total_de_acoes!A:B,2,0)</f>
        <v>807896814</v>
      </c>
      <c r="Q30" s="11">
        <f t="shared" si="5"/>
        <v>103972807.4</v>
      </c>
      <c r="R30" s="11" t="str">
        <f t="shared" si="6"/>
        <v>Subiu</v>
      </c>
      <c r="S30" s="11" t="str">
        <f>VLOOKUP(A30,Ticker!A:B,2,0)</f>
        <v>TIM</v>
      </c>
      <c r="T30" s="11" t="str">
        <f>VLOOKUP(S30,Chatgpt!A:B,2,0)</f>
        <v>Telecomunicações</v>
      </c>
      <c r="U30" s="10">
        <f>VLOOKUP(S30,Chatgpt!A:C,3,0)</f>
        <v>25</v>
      </c>
      <c r="V30" s="10" t="str">
        <f t="shared" si="7"/>
        <v>Menor de 50 anos</v>
      </c>
    </row>
    <row r="31" ht="15.75" customHeight="1">
      <c r="A31" s="12" t="s">
        <v>80</v>
      </c>
      <c r="B31" s="13">
        <v>45317.0</v>
      </c>
      <c r="C31" s="14">
        <v>23.22</v>
      </c>
      <c r="D31" s="14">
        <v>0.73</v>
      </c>
      <c r="E31" s="15">
        <v>1.93</v>
      </c>
      <c r="F31" s="15">
        <v>-9.51</v>
      </c>
      <c r="G31" s="16">
        <f t="shared" si="1"/>
        <v>-0.0951</v>
      </c>
      <c r="H31" s="15">
        <v>-9.51</v>
      </c>
      <c r="I31" s="16">
        <f t="shared" si="2"/>
        <v>-0.0951</v>
      </c>
      <c r="J31" s="15">
        <v>-20.4</v>
      </c>
      <c r="K31" s="15">
        <v>22.69</v>
      </c>
      <c r="L31" s="15">
        <v>23.28</v>
      </c>
      <c r="M31" s="12" t="s">
        <v>81</v>
      </c>
      <c r="N31" s="16">
        <f t="shared" si="3"/>
        <v>0.0073</v>
      </c>
      <c r="O31" s="14">
        <f t="shared" si="4"/>
        <v>23.05172243</v>
      </c>
      <c r="P31" s="17">
        <f>VLOOKUP(A31,Total_de_acoes!A:B,2,0)</f>
        <v>251003438</v>
      </c>
      <c r="Q31" s="18">
        <f t="shared" si="5"/>
        <v>42238249.54</v>
      </c>
      <c r="R31" s="18" t="str">
        <f t="shared" si="6"/>
        <v>Subiu</v>
      </c>
      <c r="S31" s="18" t="str">
        <f>VLOOKUP(A31,Ticker!A:B,2,0)</f>
        <v>Bradespar</v>
      </c>
      <c r="T31" s="18" t="str">
        <f>VLOOKUP(S31,Chatgpt!A:B,2,0)</f>
        <v>Financeiro</v>
      </c>
      <c r="U31" s="17">
        <f>VLOOKUP(S31,Chatgpt!A:C,3,0)</f>
        <v>40</v>
      </c>
      <c r="V31" s="17" t="str">
        <f t="shared" si="7"/>
        <v>Menor de 50 anos</v>
      </c>
    </row>
    <row r="32" ht="15.75" customHeight="1">
      <c r="A32" s="5" t="s">
        <v>82</v>
      </c>
      <c r="B32" s="6">
        <v>45317.0</v>
      </c>
      <c r="C32" s="7">
        <v>5.55</v>
      </c>
      <c r="D32" s="7">
        <v>0.72</v>
      </c>
      <c r="E32" s="8">
        <v>-3.65</v>
      </c>
      <c r="F32" s="8">
        <v>-7.65</v>
      </c>
      <c r="G32" s="9">
        <f t="shared" si="1"/>
        <v>-0.0765</v>
      </c>
      <c r="H32" s="8">
        <v>-7.65</v>
      </c>
      <c r="I32" s="9">
        <f t="shared" si="2"/>
        <v>-0.0765</v>
      </c>
      <c r="J32" s="8">
        <v>-14.03</v>
      </c>
      <c r="K32" s="8">
        <v>5.46</v>
      </c>
      <c r="L32" s="8">
        <v>5.6</v>
      </c>
      <c r="M32" s="5" t="s">
        <v>83</v>
      </c>
      <c r="N32" s="9">
        <f t="shared" si="3"/>
        <v>0.0072</v>
      </c>
      <c r="O32" s="7">
        <f t="shared" si="4"/>
        <v>5.510325655</v>
      </c>
      <c r="P32" s="10">
        <f>VLOOKUP(A32,Total_de_acoes!A:B,2,0)</f>
        <v>393173139</v>
      </c>
      <c r="Q32" s="11">
        <f t="shared" si="5"/>
        <v>15598886.65</v>
      </c>
      <c r="R32" s="11" t="str">
        <f t="shared" si="6"/>
        <v>Subiu</v>
      </c>
      <c r="S32" s="11" t="str">
        <f>VLOOKUP(A32,Ticker!A:B,2,0)</f>
        <v>Locaweb</v>
      </c>
      <c r="T32" s="11" t="str">
        <f>VLOOKUP(S32,Chatgpt!A:B,2,0)</f>
        <v>Tecnologia</v>
      </c>
      <c r="U32" s="10">
        <f>VLOOKUP(S32,Chatgpt!A:C,3,0)</f>
        <v>24</v>
      </c>
      <c r="V32" s="10" t="str">
        <f t="shared" si="7"/>
        <v>Menor de 50 anos</v>
      </c>
    </row>
    <row r="33" ht="15.75" customHeight="1">
      <c r="A33" s="12" t="s">
        <v>84</v>
      </c>
      <c r="B33" s="13">
        <v>45317.0</v>
      </c>
      <c r="C33" s="14">
        <v>23.83</v>
      </c>
      <c r="D33" s="14">
        <v>0.71</v>
      </c>
      <c r="E33" s="15">
        <v>1.49</v>
      </c>
      <c r="F33" s="15">
        <v>9.71</v>
      </c>
      <c r="G33" s="16">
        <f t="shared" si="1"/>
        <v>0.0971</v>
      </c>
      <c r="H33" s="15">
        <v>9.71</v>
      </c>
      <c r="I33" s="16">
        <f t="shared" si="2"/>
        <v>0.0971</v>
      </c>
      <c r="J33" s="15">
        <v>-26.61</v>
      </c>
      <c r="K33" s="15">
        <v>23.36</v>
      </c>
      <c r="L33" s="15">
        <v>23.99</v>
      </c>
      <c r="M33" s="12" t="s">
        <v>85</v>
      </c>
      <c r="N33" s="16">
        <f t="shared" si="3"/>
        <v>0.0071</v>
      </c>
      <c r="O33" s="14">
        <f t="shared" si="4"/>
        <v>23.6619998</v>
      </c>
      <c r="P33" s="17">
        <f>VLOOKUP(A33,Total_de_acoes!A:B,2,0)</f>
        <v>275005663</v>
      </c>
      <c r="Q33" s="18">
        <f t="shared" si="5"/>
        <v>46201006</v>
      </c>
      <c r="R33" s="18" t="str">
        <f t="shared" si="6"/>
        <v>Subiu</v>
      </c>
      <c r="S33" s="18" t="str">
        <f>VLOOKUP(A33,Ticker!A:B,2,0)</f>
        <v>PetroRecôncavo</v>
      </c>
      <c r="T33" s="18" t="str">
        <f>VLOOKUP(S33,Chatgpt!A:B,2,0)</f>
        <v>Petróleo</v>
      </c>
      <c r="U33" s="17">
        <f>VLOOKUP(S33,Chatgpt!A:C,3,0)</f>
        <v>11</v>
      </c>
      <c r="V33" s="17" t="str">
        <f t="shared" si="7"/>
        <v>Menor de 50 anos</v>
      </c>
    </row>
    <row r="34" ht="15.75" customHeight="1">
      <c r="A34" s="5" t="s">
        <v>86</v>
      </c>
      <c r="B34" s="6">
        <v>45317.0</v>
      </c>
      <c r="C34" s="7">
        <v>10.01</v>
      </c>
      <c r="D34" s="7">
        <v>0.7</v>
      </c>
      <c r="E34" s="8">
        <v>-0.3</v>
      </c>
      <c r="F34" s="8">
        <v>-3.47</v>
      </c>
      <c r="G34" s="9">
        <f t="shared" si="1"/>
        <v>-0.0347</v>
      </c>
      <c r="H34" s="8">
        <v>-3.47</v>
      </c>
      <c r="I34" s="9">
        <f t="shared" si="2"/>
        <v>-0.0347</v>
      </c>
      <c r="J34" s="8">
        <v>29.0</v>
      </c>
      <c r="K34" s="8">
        <v>9.93</v>
      </c>
      <c r="L34" s="8">
        <v>10.06</v>
      </c>
      <c r="M34" s="5" t="s">
        <v>87</v>
      </c>
      <c r="N34" s="9">
        <f t="shared" si="3"/>
        <v>0.007</v>
      </c>
      <c r="O34" s="7">
        <f t="shared" si="4"/>
        <v>9.94041708</v>
      </c>
      <c r="P34" s="10">
        <f>VLOOKUP(A34,Total_de_acoes!A:B,2,0)</f>
        <v>5372783971</v>
      </c>
      <c r="Q34" s="11">
        <f t="shared" si="5"/>
        <v>373853994.9</v>
      </c>
      <c r="R34" s="11" t="str">
        <f t="shared" si="6"/>
        <v>Subiu</v>
      </c>
      <c r="S34" s="11" t="str">
        <f>VLOOKUP(A34,Ticker!A:B,2,0)</f>
        <v>Itaúsa</v>
      </c>
      <c r="T34" s="11" t="str">
        <f>VLOOKUP(S34,Chatgpt!A:B,2,0)</f>
        <v>Financeiro</v>
      </c>
      <c r="U34" s="10">
        <f>VLOOKUP(S34,Chatgpt!A:C,3,0)</f>
        <v>54</v>
      </c>
      <c r="V34" s="10" t="str">
        <f t="shared" si="7"/>
        <v>Entre 50 e 100 anos</v>
      </c>
    </row>
    <row r="35" ht="15.75" customHeight="1">
      <c r="A35" s="12" t="s">
        <v>88</v>
      </c>
      <c r="B35" s="13">
        <v>45317.0</v>
      </c>
      <c r="C35" s="14">
        <v>56.97</v>
      </c>
      <c r="D35" s="14">
        <v>0.68</v>
      </c>
      <c r="E35" s="15">
        <v>1.88</v>
      </c>
      <c r="F35" s="15">
        <v>2.85</v>
      </c>
      <c r="G35" s="16">
        <f t="shared" si="1"/>
        <v>0.0285</v>
      </c>
      <c r="H35" s="15">
        <v>2.85</v>
      </c>
      <c r="I35" s="16">
        <f t="shared" si="2"/>
        <v>0.0285</v>
      </c>
      <c r="J35" s="15">
        <v>52.87</v>
      </c>
      <c r="K35" s="15">
        <v>56.55</v>
      </c>
      <c r="L35" s="15">
        <v>56.99</v>
      </c>
      <c r="M35" s="12" t="s">
        <v>89</v>
      </c>
      <c r="N35" s="16">
        <f t="shared" si="3"/>
        <v>0.0068</v>
      </c>
      <c r="O35" s="14">
        <f t="shared" si="4"/>
        <v>56.5852205</v>
      </c>
      <c r="P35" s="17">
        <f>VLOOKUP(A35,Total_de_acoes!A:B,2,0)</f>
        <v>1420949112</v>
      </c>
      <c r="Q35" s="18">
        <f t="shared" si="5"/>
        <v>546752088</v>
      </c>
      <c r="R35" s="18" t="str">
        <f t="shared" si="6"/>
        <v>Subiu</v>
      </c>
      <c r="S35" s="18" t="str">
        <f>VLOOKUP(A35,Ticker!A:B,2,0)</f>
        <v>Banco do Brasil</v>
      </c>
      <c r="T35" s="18" t="str">
        <f>VLOOKUP(S35,Chatgpt!A:B,2,0)</f>
        <v>Financeiro</v>
      </c>
      <c r="U35" s="17">
        <f>VLOOKUP(S35,Chatgpt!A:C,3,0)</f>
        <v>213</v>
      </c>
      <c r="V35" s="17" t="str">
        <f t="shared" si="7"/>
        <v>Mais de 100 anos</v>
      </c>
    </row>
    <row r="36" ht="15.75" customHeight="1">
      <c r="A36" s="5" t="s">
        <v>90</v>
      </c>
      <c r="B36" s="6">
        <v>45317.0</v>
      </c>
      <c r="C36" s="7">
        <v>26.16</v>
      </c>
      <c r="D36" s="7">
        <v>0.61</v>
      </c>
      <c r="E36" s="8">
        <v>-2.75</v>
      </c>
      <c r="F36" s="8">
        <v>-11.02</v>
      </c>
      <c r="G36" s="9">
        <f t="shared" si="1"/>
        <v>-0.1102</v>
      </c>
      <c r="H36" s="8">
        <v>-11.02</v>
      </c>
      <c r="I36" s="9">
        <f t="shared" si="2"/>
        <v>-0.1102</v>
      </c>
      <c r="J36" s="8">
        <v>10.07</v>
      </c>
      <c r="K36" s="8">
        <v>25.87</v>
      </c>
      <c r="L36" s="8">
        <v>26.38</v>
      </c>
      <c r="M36" s="5" t="s">
        <v>91</v>
      </c>
      <c r="N36" s="9">
        <f t="shared" si="3"/>
        <v>0.0061</v>
      </c>
      <c r="O36" s="7">
        <f t="shared" si="4"/>
        <v>26.00139151</v>
      </c>
      <c r="P36" s="10">
        <f>VLOOKUP(A36,Total_de_acoes!A:B,2,0)</f>
        <v>1275798515</v>
      </c>
      <c r="Q36" s="11">
        <f t="shared" si="5"/>
        <v>202352473.7</v>
      </c>
      <c r="R36" s="11" t="str">
        <f t="shared" si="6"/>
        <v>Subiu</v>
      </c>
      <c r="S36" s="11" t="str">
        <f>VLOOKUP(A36,Ticker!A:B,2,0)</f>
        <v>RaiaDrogasil</v>
      </c>
      <c r="T36" s="11" t="str">
        <f>VLOOKUP(S36,Chatgpt!A:B,2,0)</f>
        <v>Saúde</v>
      </c>
      <c r="U36" s="10">
        <f>VLOOKUP(S36,Chatgpt!A:C,3,0)</f>
        <v>117</v>
      </c>
      <c r="V36" s="10" t="str">
        <f t="shared" si="7"/>
        <v>Mais de 100 anos</v>
      </c>
    </row>
    <row r="37" ht="15.75" customHeight="1">
      <c r="A37" s="12" t="s">
        <v>92</v>
      </c>
      <c r="B37" s="13">
        <v>45317.0</v>
      </c>
      <c r="C37" s="14">
        <v>10.08</v>
      </c>
      <c r="D37" s="14">
        <v>0.59</v>
      </c>
      <c r="E37" s="15">
        <v>3.28</v>
      </c>
      <c r="F37" s="15">
        <v>-7.18</v>
      </c>
      <c r="G37" s="16">
        <f t="shared" si="1"/>
        <v>-0.0718</v>
      </c>
      <c r="H37" s="15">
        <v>-7.18</v>
      </c>
      <c r="I37" s="16">
        <f t="shared" si="2"/>
        <v>-0.0718</v>
      </c>
      <c r="J37" s="15">
        <v>-21.14</v>
      </c>
      <c r="K37" s="15">
        <v>10.03</v>
      </c>
      <c r="L37" s="15">
        <v>10.14</v>
      </c>
      <c r="M37" s="12" t="s">
        <v>93</v>
      </c>
      <c r="N37" s="16">
        <f t="shared" si="3"/>
        <v>0.0059</v>
      </c>
      <c r="O37" s="14">
        <f t="shared" si="4"/>
        <v>10.02087683</v>
      </c>
      <c r="P37" s="17">
        <f>VLOOKUP(A37,Total_de_acoes!A:B,2,0)</f>
        <v>660411219</v>
      </c>
      <c r="Q37" s="18">
        <f t="shared" si="5"/>
        <v>39045606.94</v>
      </c>
      <c r="R37" s="18" t="str">
        <f t="shared" si="6"/>
        <v>Subiu</v>
      </c>
      <c r="S37" s="18" t="str">
        <f>VLOOKUP(A37,Ticker!A:B,2,0)</f>
        <v>Metalúrgica Gerdau</v>
      </c>
      <c r="T37" s="18" t="str">
        <f>VLOOKUP(S37,Chatgpt!A:B,2,0)</f>
        <v>Siderurgia</v>
      </c>
      <c r="U37" s="17">
        <f>VLOOKUP(S37,Chatgpt!A:C,3,0)</f>
        <v>121</v>
      </c>
      <c r="V37" s="17" t="str">
        <f t="shared" si="7"/>
        <v>Mais de 100 anos</v>
      </c>
    </row>
    <row r="38" ht="15.75" customHeight="1">
      <c r="A38" s="5" t="s">
        <v>94</v>
      </c>
      <c r="B38" s="6">
        <v>45317.0</v>
      </c>
      <c r="C38" s="7">
        <v>18.57</v>
      </c>
      <c r="D38" s="7">
        <v>0.59</v>
      </c>
      <c r="E38" s="8">
        <v>2.65</v>
      </c>
      <c r="F38" s="8">
        <v>-4.08</v>
      </c>
      <c r="G38" s="9">
        <f t="shared" si="1"/>
        <v>-0.0408</v>
      </c>
      <c r="H38" s="8">
        <v>-4.08</v>
      </c>
      <c r="I38" s="9">
        <f t="shared" si="2"/>
        <v>-0.0408</v>
      </c>
      <c r="J38" s="8">
        <v>13.35</v>
      </c>
      <c r="K38" s="8">
        <v>18.3</v>
      </c>
      <c r="L38" s="8">
        <v>18.66</v>
      </c>
      <c r="M38" s="5" t="s">
        <v>95</v>
      </c>
      <c r="N38" s="9">
        <f t="shared" si="3"/>
        <v>0.0059</v>
      </c>
      <c r="O38" s="7">
        <f t="shared" si="4"/>
        <v>18.46107963</v>
      </c>
      <c r="P38" s="10">
        <f>VLOOKUP(A38,Total_de_acoes!A:B,2,0)</f>
        <v>1168097881</v>
      </c>
      <c r="Q38" s="11">
        <f t="shared" si="5"/>
        <v>127229653.2</v>
      </c>
      <c r="R38" s="11" t="str">
        <f t="shared" si="6"/>
        <v>Subiu</v>
      </c>
      <c r="S38" s="11" t="str">
        <f>VLOOKUP(A38,Ticker!A:B,2,0)</f>
        <v>Cosan</v>
      </c>
      <c r="T38" s="11" t="str">
        <f>VLOOKUP(S38,Chatgpt!A:B,2,0)</f>
        <v>Energia</v>
      </c>
      <c r="U38" s="10">
        <f>VLOOKUP(S38,Chatgpt!A:C,3,0)</f>
        <v>84</v>
      </c>
      <c r="V38" s="10" t="str">
        <f t="shared" si="7"/>
        <v>Entre 50 e 100 anos</v>
      </c>
    </row>
    <row r="39" ht="15.75" customHeight="1">
      <c r="A39" s="12" t="s">
        <v>96</v>
      </c>
      <c r="B39" s="13">
        <v>45317.0</v>
      </c>
      <c r="C39" s="14">
        <v>24.34</v>
      </c>
      <c r="D39" s="14">
        <v>0.57</v>
      </c>
      <c r="E39" s="15">
        <v>2.48</v>
      </c>
      <c r="F39" s="15">
        <v>-2.29</v>
      </c>
      <c r="G39" s="16">
        <f t="shared" si="1"/>
        <v>-0.0229</v>
      </c>
      <c r="H39" s="15">
        <v>-2.29</v>
      </c>
      <c r="I39" s="16">
        <f t="shared" si="2"/>
        <v>-0.0229</v>
      </c>
      <c r="J39" s="15">
        <v>17.29</v>
      </c>
      <c r="K39" s="15">
        <v>24.17</v>
      </c>
      <c r="L39" s="15">
        <v>24.56</v>
      </c>
      <c r="M39" s="12" t="s">
        <v>97</v>
      </c>
      <c r="N39" s="16">
        <f t="shared" si="3"/>
        <v>0.0057</v>
      </c>
      <c r="O39" s="14">
        <f t="shared" si="4"/>
        <v>24.20204832</v>
      </c>
      <c r="P39" s="17">
        <f>VLOOKUP(A39,Total_de_acoes!A:B,2,0)</f>
        <v>1134986472</v>
      </c>
      <c r="Q39" s="18">
        <f t="shared" si="5"/>
        <v>156573285.4</v>
      </c>
      <c r="R39" s="18" t="str">
        <f t="shared" si="6"/>
        <v>Subiu</v>
      </c>
      <c r="S39" s="18" t="str">
        <f>VLOOKUP(A39,Ticker!A:B,2,0)</f>
        <v>JBS</v>
      </c>
      <c r="T39" s="18" t="str">
        <f>VLOOKUP(S39,Chatgpt!A:B,2,0)</f>
        <v>Alimentos</v>
      </c>
      <c r="U39" s="17">
        <f>VLOOKUP(S39,Chatgpt!A:C,3,0)</f>
        <v>64</v>
      </c>
      <c r="V39" s="17" t="str">
        <f t="shared" si="7"/>
        <v>Entre 50 e 100 anos</v>
      </c>
    </row>
    <row r="40" ht="15.75" customHeight="1">
      <c r="A40" s="5" t="s">
        <v>98</v>
      </c>
      <c r="B40" s="6">
        <v>45317.0</v>
      </c>
      <c r="C40" s="7">
        <v>2.08</v>
      </c>
      <c r="D40" s="7">
        <v>0.48</v>
      </c>
      <c r="E40" s="8">
        <v>2.46</v>
      </c>
      <c r="F40" s="8">
        <v>-3.7</v>
      </c>
      <c r="G40" s="9">
        <f t="shared" si="1"/>
        <v>-0.037</v>
      </c>
      <c r="H40" s="8">
        <v>-3.7</v>
      </c>
      <c r="I40" s="9">
        <f t="shared" si="2"/>
        <v>-0.037</v>
      </c>
      <c r="J40" s="8">
        <v>-51.4</v>
      </c>
      <c r="K40" s="8">
        <v>2.02</v>
      </c>
      <c r="L40" s="8">
        <v>2.1</v>
      </c>
      <c r="M40" s="5" t="s">
        <v>99</v>
      </c>
      <c r="N40" s="9">
        <f t="shared" si="3"/>
        <v>0.0048</v>
      </c>
      <c r="O40" s="7">
        <f t="shared" si="4"/>
        <v>2.070063694</v>
      </c>
      <c r="P40" s="10">
        <f>VLOOKUP(A40,Total_de_acoes!A:B,2,0)</f>
        <v>2867627068</v>
      </c>
      <c r="Q40" s="11">
        <f t="shared" si="5"/>
        <v>28493619.27</v>
      </c>
      <c r="R40" s="11" t="str">
        <f t="shared" si="6"/>
        <v>Subiu</v>
      </c>
      <c r="S40" s="11" t="str">
        <f>VLOOKUP(A40,Ticker!A:B,2,0)</f>
        <v>Magazine Luiza</v>
      </c>
      <c r="T40" s="11" t="str">
        <f>VLOOKUP(S40,Chatgpt!A:B,2,0)</f>
        <v>Varejo</v>
      </c>
      <c r="U40" s="10">
        <f>VLOOKUP(S40,Chatgpt!A:C,3,0)</f>
        <v>64</v>
      </c>
      <c r="V40" s="10" t="str">
        <f t="shared" si="7"/>
        <v>Entre 50 e 100 anos</v>
      </c>
    </row>
    <row r="41" ht="15.75" customHeight="1">
      <c r="A41" s="12" t="s">
        <v>100</v>
      </c>
      <c r="B41" s="13">
        <v>45317.0</v>
      </c>
      <c r="C41" s="14">
        <v>13.75</v>
      </c>
      <c r="D41" s="14">
        <v>0.36</v>
      </c>
      <c r="E41" s="15">
        <v>-0.72</v>
      </c>
      <c r="F41" s="15">
        <v>-9.95</v>
      </c>
      <c r="G41" s="16">
        <f t="shared" si="1"/>
        <v>-0.0995</v>
      </c>
      <c r="H41" s="15">
        <v>-9.95</v>
      </c>
      <c r="I41" s="16">
        <f t="shared" si="2"/>
        <v>-0.0995</v>
      </c>
      <c r="J41" s="15">
        <v>15.78</v>
      </c>
      <c r="K41" s="15">
        <v>13.67</v>
      </c>
      <c r="L41" s="15">
        <v>13.9</v>
      </c>
      <c r="M41" s="12" t="s">
        <v>101</v>
      </c>
      <c r="N41" s="16">
        <f t="shared" si="3"/>
        <v>0.0036</v>
      </c>
      <c r="O41" s="14">
        <f t="shared" si="4"/>
        <v>13.70067756</v>
      </c>
      <c r="P41" s="17">
        <f>VLOOKUP(A41,Total_de_acoes!A:B,2,0)</f>
        <v>1500728902</v>
      </c>
      <c r="Q41" s="18">
        <f t="shared" si="5"/>
        <v>74019610.05</v>
      </c>
      <c r="R41" s="18" t="str">
        <f t="shared" si="6"/>
        <v>Subiu</v>
      </c>
      <c r="S41" s="18" t="str">
        <f>VLOOKUP(A41,Ticker!A:B,2,0)</f>
        <v>Banco Bradesco</v>
      </c>
      <c r="T41" s="18" t="str">
        <f>VLOOKUP(S41,Chatgpt!A:B,2,0)</f>
        <v>Financeiro</v>
      </c>
      <c r="U41" s="17">
        <f>VLOOKUP(S41,Chatgpt!A:C,3,0)</f>
        <v>78</v>
      </c>
      <c r="V41" s="17" t="str">
        <f t="shared" si="7"/>
        <v>Entre 50 e 100 anos</v>
      </c>
    </row>
    <row r="42" ht="15.75" customHeight="1">
      <c r="A42" s="5" t="s">
        <v>102</v>
      </c>
      <c r="B42" s="6">
        <v>45317.0</v>
      </c>
      <c r="C42" s="7">
        <v>21.84</v>
      </c>
      <c r="D42" s="7">
        <v>0.27</v>
      </c>
      <c r="E42" s="8">
        <v>3.65</v>
      </c>
      <c r="F42" s="8">
        <v>-8.08</v>
      </c>
      <c r="G42" s="9">
        <f t="shared" si="1"/>
        <v>-0.0808</v>
      </c>
      <c r="H42" s="8">
        <v>-8.08</v>
      </c>
      <c r="I42" s="9">
        <f t="shared" si="2"/>
        <v>-0.0808</v>
      </c>
      <c r="J42" s="8">
        <v>-26.1</v>
      </c>
      <c r="K42" s="8">
        <v>21.7</v>
      </c>
      <c r="L42" s="8">
        <v>21.94</v>
      </c>
      <c r="M42" s="5" t="s">
        <v>103</v>
      </c>
      <c r="N42" s="9">
        <f t="shared" si="3"/>
        <v>0.0027</v>
      </c>
      <c r="O42" s="7">
        <f t="shared" si="4"/>
        <v>21.78119078</v>
      </c>
      <c r="P42" s="10">
        <f>VLOOKUP(A42,Total_de_acoes!A:B,2,0)</f>
        <v>1118525506</v>
      </c>
      <c r="Q42" s="11">
        <f t="shared" si="5"/>
        <v>65779607.1</v>
      </c>
      <c r="R42" s="11" t="str">
        <f t="shared" si="6"/>
        <v>Subiu</v>
      </c>
      <c r="S42" s="11" t="str">
        <f>VLOOKUP(A42,Ticker!A:B,2,0)</f>
        <v>Gerdau</v>
      </c>
      <c r="T42" s="11" t="str">
        <f>VLOOKUP(S42,Chatgpt!A:B,2,0)</f>
        <v>Siderurgia</v>
      </c>
      <c r="U42" s="10">
        <f>VLOOKUP(S42,Chatgpt!A:C,3,0)</f>
        <v>78</v>
      </c>
      <c r="V42" s="10" t="str">
        <f t="shared" si="7"/>
        <v>Entre 50 e 100 anos</v>
      </c>
    </row>
    <row r="43" ht="15.75" customHeight="1">
      <c r="A43" s="12" t="s">
        <v>104</v>
      </c>
      <c r="B43" s="13">
        <v>45317.0</v>
      </c>
      <c r="C43" s="14">
        <v>3.74</v>
      </c>
      <c r="D43" s="14">
        <v>0.26</v>
      </c>
      <c r="E43" s="15">
        <v>0.0</v>
      </c>
      <c r="F43" s="15">
        <v>-7.2</v>
      </c>
      <c r="G43" s="16">
        <f t="shared" si="1"/>
        <v>-0.072</v>
      </c>
      <c r="H43" s="15">
        <v>-7.2</v>
      </c>
      <c r="I43" s="16">
        <f t="shared" si="2"/>
        <v>-0.072</v>
      </c>
      <c r="J43" s="15">
        <v>15.46</v>
      </c>
      <c r="K43" s="15">
        <v>3.71</v>
      </c>
      <c r="L43" s="15">
        <v>3.78</v>
      </c>
      <c r="M43" s="12" t="s">
        <v>105</v>
      </c>
      <c r="N43" s="16">
        <f t="shared" si="3"/>
        <v>0.0026</v>
      </c>
      <c r="O43" s="14">
        <f t="shared" si="4"/>
        <v>3.730301217</v>
      </c>
      <c r="P43" s="17">
        <f>VLOOKUP(A43,Total_de_acoes!A:B,2,0)</f>
        <v>1193047233</v>
      </c>
      <c r="Q43" s="18">
        <f t="shared" si="5"/>
        <v>11571106.42</v>
      </c>
      <c r="R43" s="18" t="str">
        <f t="shared" si="6"/>
        <v>Subiu</v>
      </c>
      <c r="S43" s="18" t="str">
        <f>VLOOKUP(A43,Ticker!A:B,2,0)</f>
        <v>Raízen</v>
      </c>
      <c r="T43" s="18" t="str">
        <f>VLOOKUP(S43,Chatgpt!A:B,2,0)</f>
        <v>Energia</v>
      </c>
      <c r="U43" s="17">
        <f>VLOOKUP(S43,Chatgpt!A:C,3,0)</f>
        <v>121</v>
      </c>
      <c r="V43" s="17" t="str">
        <f t="shared" si="7"/>
        <v>Mais de 100 anos</v>
      </c>
    </row>
    <row r="44" ht="15.75" customHeight="1">
      <c r="A44" s="5" t="s">
        <v>106</v>
      </c>
      <c r="B44" s="6">
        <v>45317.0</v>
      </c>
      <c r="C44" s="7">
        <v>10.07</v>
      </c>
      <c r="D44" s="7">
        <v>0.19</v>
      </c>
      <c r="E44" s="8">
        <v>0.9</v>
      </c>
      <c r="F44" s="8">
        <v>-2.8</v>
      </c>
      <c r="G44" s="9">
        <f t="shared" si="1"/>
        <v>-0.028</v>
      </c>
      <c r="H44" s="8">
        <v>-2.8</v>
      </c>
      <c r="I44" s="9">
        <f t="shared" si="2"/>
        <v>-0.028</v>
      </c>
      <c r="J44" s="8">
        <v>32.08</v>
      </c>
      <c r="K44" s="8">
        <v>9.96</v>
      </c>
      <c r="L44" s="8">
        <v>10.13</v>
      </c>
      <c r="M44" s="5" t="s">
        <v>107</v>
      </c>
      <c r="N44" s="9">
        <f t="shared" si="3"/>
        <v>0.0019</v>
      </c>
      <c r="O44" s="7">
        <f t="shared" si="4"/>
        <v>10.05090328</v>
      </c>
      <c r="P44" s="10">
        <f>VLOOKUP(A44,Total_de_acoes!A:B,2,0)</f>
        <v>1679335290</v>
      </c>
      <c r="Q44" s="11">
        <f t="shared" si="5"/>
        <v>32069789.5</v>
      </c>
      <c r="R44" s="11" t="str">
        <f t="shared" si="6"/>
        <v>Subiu</v>
      </c>
      <c r="S44" s="11" t="str">
        <f>VLOOKUP(A44,Ticker!A:B,2,0)</f>
        <v>Copel</v>
      </c>
      <c r="T44" s="11" t="str">
        <f>VLOOKUP(S44,Chatgpt!A:B,2,0)</f>
        <v>Energia</v>
      </c>
      <c r="U44" s="10">
        <f>VLOOKUP(S44,Chatgpt!A:C,3,0)</f>
        <v>8</v>
      </c>
      <c r="V44" s="10" t="str">
        <f t="shared" si="7"/>
        <v>Menor de 50 anos</v>
      </c>
    </row>
    <row r="45" ht="15.75" customHeight="1">
      <c r="A45" s="12" t="s">
        <v>108</v>
      </c>
      <c r="B45" s="13">
        <v>45317.0</v>
      </c>
      <c r="C45" s="14">
        <v>8.18</v>
      </c>
      <c r="D45" s="14">
        <v>0.12</v>
      </c>
      <c r="E45" s="15">
        <v>-3.76</v>
      </c>
      <c r="F45" s="15">
        <v>-18.77</v>
      </c>
      <c r="G45" s="16">
        <f t="shared" si="1"/>
        <v>-0.1877</v>
      </c>
      <c r="H45" s="15">
        <v>-18.77</v>
      </c>
      <c r="I45" s="16">
        <f t="shared" si="2"/>
        <v>-0.1877</v>
      </c>
      <c r="J45" s="15">
        <v>-40.74</v>
      </c>
      <c r="K45" s="15">
        <v>8.11</v>
      </c>
      <c r="L45" s="15">
        <v>8.27</v>
      </c>
      <c r="M45" s="12" t="s">
        <v>109</v>
      </c>
      <c r="N45" s="16">
        <f t="shared" si="3"/>
        <v>0.0012</v>
      </c>
      <c r="O45" s="14">
        <f t="shared" si="4"/>
        <v>8.170195765</v>
      </c>
      <c r="P45" s="17">
        <f>VLOOKUP(A45,Total_de_acoes!A:B,2,0)</f>
        <v>421383330</v>
      </c>
      <c r="Q45" s="18">
        <f t="shared" si="5"/>
        <v>4131341.158</v>
      </c>
      <c r="R45" s="18" t="str">
        <f t="shared" si="6"/>
        <v>Subiu</v>
      </c>
      <c r="S45" s="18" t="str">
        <f>VLOOKUP(A45,Ticker!A:B,2,0)</f>
        <v>Grupo Vamos</v>
      </c>
      <c r="T45" s="18" t="str">
        <f>VLOOKUP(S45,Chatgpt!A:B,2,0)</f>
        <v>Logística</v>
      </c>
      <c r="U45" s="17">
        <f>VLOOKUP(S45,Chatgpt!A:C,3,0)</f>
        <v>67</v>
      </c>
      <c r="V45" s="17" t="str">
        <f t="shared" si="7"/>
        <v>Entre 50 e 100 anos</v>
      </c>
    </row>
    <row r="46" ht="15.75" customHeight="1">
      <c r="A46" s="5" t="s">
        <v>110</v>
      </c>
      <c r="B46" s="6">
        <v>45317.0</v>
      </c>
      <c r="C46" s="7">
        <v>9.74</v>
      </c>
      <c r="D46" s="7">
        <v>0.0</v>
      </c>
      <c r="E46" s="8">
        <v>5.3</v>
      </c>
      <c r="F46" s="8">
        <v>0.41</v>
      </c>
      <c r="G46" s="9">
        <f t="shared" si="1"/>
        <v>0.0041</v>
      </c>
      <c r="H46" s="8">
        <v>0.41</v>
      </c>
      <c r="I46" s="9">
        <f t="shared" si="2"/>
        <v>0.0041</v>
      </c>
      <c r="J46" s="8">
        <v>17.99</v>
      </c>
      <c r="K46" s="8">
        <v>9.61</v>
      </c>
      <c r="L46" s="8">
        <v>9.86</v>
      </c>
      <c r="M46" s="5" t="s">
        <v>111</v>
      </c>
      <c r="N46" s="9">
        <f t="shared" si="3"/>
        <v>0</v>
      </c>
      <c r="O46" s="7">
        <f t="shared" si="4"/>
        <v>9.74</v>
      </c>
      <c r="P46" s="10">
        <f>VLOOKUP(A46,Total_de_acoes!A:B,2,0)</f>
        <v>331799687</v>
      </c>
      <c r="Q46" s="11">
        <f t="shared" si="5"/>
        <v>0</v>
      </c>
      <c r="R46" s="11" t="str">
        <f t="shared" si="6"/>
        <v>Não variou</v>
      </c>
      <c r="S46" s="11" t="str">
        <f>VLOOKUP(A46,Ticker!A:B,2,0)</f>
        <v>Marfrig</v>
      </c>
      <c r="T46" s="11" t="str">
        <f>VLOOKUP(S46,Chatgpt!A:B,2,0)</f>
        <v>Alimentos</v>
      </c>
      <c r="U46" s="10">
        <f>VLOOKUP(S46,Chatgpt!A:C,3,0)</f>
        <v>57</v>
      </c>
      <c r="V46" s="10" t="str">
        <f t="shared" si="7"/>
        <v>Entre 50 e 100 anos</v>
      </c>
    </row>
    <row r="47" ht="15.75" customHeight="1">
      <c r="A47" s="12" t="s">
        <v>112</v>
      </c>
      <c r="B47" s="13">
        <v>45317.0</v>
      </c>
      <c r="C47" s="14">
        <v>13.2</v>
      </c>
      <c r="D47" s="14">
        <v>0.0</v>
      </c>
      <c r="E47" s="15">
        <v>-1.12</v>
      </c>
      <c r="F47" s="15">
        <v>-3.86</v>
      </c>
      <c r="G47" s="16">
        <f t="shared" si="1"/>
        <v>-0.0386</v>
      </c>
      <c r="H47" s="15">
        <v>-3.86</v>
      </c>
      <c r="I47" s="16">
        <f t="shared" si="2"/>
        <v>-0.0386</v>
      </c>
      <c r="J47" s="15">
        <v>0.3</v>
      </c>
      <c r="K47" s="15">
        <v>13.15</v>
      </c>
      <c r="L47" s="15">
        <v>13.29</v>
      </c>
      <c r="M47" s="12" t="s">
        <v>113</v>
      </c>
      <c r="N47" s="16">
        <f t="shared" si="3"/>
        <v>0</v>
      </c>
      <c r="O47" s="14">
        <f t="shared" si="4"/>
        <v>13.2</v>
      </c>
      <c r="P47" s="17">
        <f>VLOOKUP(A47,Total_de_acoes!A:B,2,0)</f>
        <v>4394245879</v>
      </c>
      <c r="Q47" s="18">
        <f t="shared" si="5"/>
        <v>0</v>
      </c>
      <c r="R47" s="18" t="str">
        <f t="shared" si="6"/>
        <v>Não variou</v>
      </c>
      <c r="S47" s="18" t="str">
        <f>VLOOKUP(A47,Ticker!A:B,2,0)</f>
        <v>Ambev</v>
      </c>
      <c r="T47" s="18" t="str">
        <f>VLOOKUP(S47,Chatgpt!A:B,2,0)</f>
        <v>Alimentos</v>
      </c>
      <c r="U47" s="17">
        <f>VLOOKUP(S47,Chatgpt!A:C,3,0)</f>
        <v>16</v>
      </c>
      <c r="V47" s="17" t="str">
        <f t="shared" si="7"/>
        <v>Menor de 50 anos</v>
      </c>
    </row>
    <row r="48" ht="15.75" customHeight="1">
      <c r="A48" s="5" t="s">
        <v>114</v>
      </c>
      <c r="B48" s="6">
        <v>45317.0</v>
      </c>
      <c r="C48" s="7">
        <v>33.73</v>
      </c>
      <c r="D48" s="7">
        <v>-0.02</v>
      </c>
      <c r="E48" s="8">
        <v>-2.37</v>
      </c>
      <c r="F48" s="8">
        <v>0.24</v>
      </c>
      <c r="G48" s="9">
        <f t="shared" si="1"/>
        <v>0.0024</v>
      </c>
      <c r="H48" s="8">
        <v>0.24</v>
      </c>
      <c r="I48" s="9">
        <f t="shared" si="2"/>
        <v>0.0024</v>
      </c>
      <c r="J48" s="8">
        <v>0.91</v>
      </c>
      <c r="K48" s="8">
        <v>33.73</v>
      </c>
      <c r="L48" s="8">
        <v>34.03</v>
      </c>
      <c r="M48" s="5" t="s">
        <v>115</v>
      </c>
      <c r="N48" s="9">
        <f t="shared" si="3"/>
        <v>-0.0002</v>
      </c>
      <c r="O48" s="7">
        <f t="shared" si="4"/>
        <v>33.73674735</v>
      </c>
      <c r="P48" s="10">
        <f>VLOOKUP(A48,Total_de_acoes!A:B,2,0)</f>
        <v>671750768</v>
      </c>
      <c r="Q48" s="11">
        <f t="shared" si="5"/>
        <v>-4532537.188</v>
      </c>
      <c r="R48" s="11" t="str">
        <f t="shared" si="6"/>
        <v>Desceu</v>
      </c>
      <c r="S48" s="11" t="str">
        <f>VLOOKUP(A48,Ticker!A:B,2,0)</f>
        <v>BB Seguridade</v>
      </c>
      <c r="T48" s="11" t="str">
        <f>VLOOKUP(S48,Chatgpt!A:B,2,0)</f>
        <v>Financeiro</v>
      </c>
      <c r="U48" s="10">
        <f>VLOOKUP(S48,Chatgpt!A:C,3,0)</f>
        <v>11</v>
      </c>
      <c r="V48" s="10" t="str">
        <f t="shared" si="7"/>
        <v>Menor de 50 anos</v>
      </c>
    </row>
    <row r="49" ht="15.75" customHeight="1">
      <c r="A49" s="12" t="s">
        <v>116</v>
      </c>
      <c r="B49" s="13">
        <v>45317.0</v>
      </c>
      <c r="C49" s="14">
        <v>77.04</v>
      </c>
      <c r="D49" s="14">
        <v>-0.06</v>
      </c>
      <c r="E49" s="15">
        <v>1.37</v>
      </c>
      <c r="F49" s="15">
        <v>2.22</v>
      </c>
      <c r="G49" s="16">
        <f t="shared" si="1"/>
        <v>0.0222</v>
      </c>
      <c r="H49" s="15">
        <v>2.22</v>
      </c>
      <c r="I49" s="16">
        <f t="shared" si="2"/>
        <v>0.0222</v>
      </c>
      <c r="J49" s="15">
        <v>45.92</v>
      </c>
      <c r="K49" s="15">
        <v>76.52</v>
      </c>
      <c r="L49" s="15">
        <v>77.69</v>
      </c>
      <c r="M49" s="12" t="s">
        <v>117</v>
      </c>
      <c r="N49" s="16">
        <f t="shared" si="3"/>
        <v>-0.0006</v>
      </c>
      <c r="O49" s="14">
        <f t="shared" si="4"/>
        <v>77.08625175</v>
      </c>
      <c r="P49" s="17">
        <f>VLOOKUP(A49,Total_de_acoes!A:B,2,0)</f>
        <v>340001799</v>
      </c>
      <c r="Q49" s="18">
        <f t="shared" si="5"/>
        <v>-15725678.56</v>
      </c>
      <c r="R49" s="18" t="str">
        <f t="shared" si="6"/>
        <v>Desceu</v>
      </c>
      <c r="S49" s="18" t="str">
        <f>VLOOKUP(A49,Ticker!A:B,2,0)</f>
        <v>Sabesp</v>
      </c>
      <c r="T49" s="18" t="str">
        <f>VLOOKUP(S49,Chatgpt!A:B,2,0)</f>
        <v>Água e Saneamento</v>
      </c>
      <c r="U49" s="17">
        <f>VLOOKUP(S49,Chatgpt!A:C,3,0)</f>
        <v>47</v>
      </c>
      <c r="V49" s="17" t="str">
        <f t="shared" si="7"/>
        <v>Menor de 50 anos</v>
      </c>
    </row>
    <row r="50" ht="15.75" customHeight="1">
      <c r="A50" s="5" t="s">
        <v>118</v>
      </c>
      <c r="B50" s="6">
        <v>45317.0</v>
      </c>
      <c r="C50" s="7">
        <v>30.88</v>
      </c>
      <c r="D50" s="7">
        <v>-0.06</v>
      </c>
      <c r="E50" s="8">
        <v>-2.65</v>
      </c>
      <c r="F50" s="8">
        <v>-8.34</v>
      </c>
      <c r="G50" s="9">
        <f t="shared" si="1"/>
        <v>-0.0834</v>
      </c>
      <c r="H50" s="8">
        <v>-8.34</v>
      </c>
      <c r="I50" s="9">
        <f t="shared" si="2"/>
        <v>-0.0834</v>
      </c>
      <c r="J50" s="8">
        <v>5.89</v>
      </c>
      <c r="K50" s="8">
        <v>30.65</v>
      </c>
      <c r="L50" s="8">
        <v>31.34</v>
      </c>
      <c r="M50" s="5" t="s">
        <v>119</v>
      </c>
      <c r="N50" s="9">
        <f t="shared" si="3"/>
        <v>-0.0006</v>
      </c>
      <c r="O50" s="7">
        <f t="shared" si="4"/>
        <v>30.89853912</v>
      </c>
      <c r="P50" s="10">
        <f>VLOOKUP(A50,Total_de_acoes!A:B,2,0)</f>
        <v>514122351</v>
      </c>
      <c r="Q50" s="11">
        <f t="shared" si="5"/>
        <v>-9531377.746</v>
      </c>
      <c r="R50" s="11" t="str">
        <f t="shared" si="6"/>
        <v>Desceu</v>
      </c>
      <c r="S50" s="11" t="str">
        <f>VLOOKUP(A50,Ticker!A:B,2,0)</f>
        <v>Totvs</v>
      </c>
      <c r="T50" s="11" t="str">
        <f>VLOOKUP(S50,Chatgpt!A:B,2,0)</f>
        <v>Tecnologia</v>
      </c>
      <c r="U50" s="10">
        <f>VLOOKUP(S50,Chatgpt!A:C,3,0)</f>
        <v>55</v>
      </c>
      <c r="V50" s="10" t="str">
        <f t="shared" si="7"/>
        <v>Entre 50 e 100 anos</v>
      </c>
    </row>
    <row r="51" ht="15.75" customHeight="1">
      <c r="A51" s="12" t="s">
        <v>120</v>
      </c>
      <c r="B51" s="13">
        <v>45317.0</v>
      </c>
      <c r="C51" s="14">
        <v>11.64</v>
      </c>
      <c r="D51" s="14">
        <v>-0.17</v>
      </c>
      <c r="E51" s="15">
        <v>0.95</v>
      </c>
      <c r="F51" s="15">
        <v>1.39</v>
      </c>
      <c r="G51" s="16">
        <f t="shared" si="1"/>
        <v>0.0139</v>
      </c>
      <c r="H51" s="15">
        <v>1.39</v>
      </c>
      <c r="I51" s="16">
        <f t="shared" si="2"/>
        <v>0.0139</v>
      </c>
      <c r="J51" s="15">
        <v>12.26</v>
      </c>
      <c r="K51" s="15">
        <v>11.64</v>
      </c>
      <c r="L51" s="15">
        <v>11.8</v>
      </c>
      <c r="M51" s="12" t="s">
        <v>121</v>
      </c>
      <c r="N51" s="16">
        <f t="shared" si="3"/>
        <v>-0.0017</v>
      </c>
      <c r="O51" s="14">
        <f t="shared" si="4"/>
        <v>11.6598217</v>
      </c>
      <c r="P51" s="17">
        <f>VLOOKUP(A51,Total_de_acoes!A:B,2,0)</f>
        <v>1437415777</v>
      </c>
      <c r="Q51" s="18">
        <f t="shared" si="5"/>
        <v>-28492019.83</v>
      </c>
      <c r="R51" s="18" t="str">
        <f t="shared" si="6"/>
        <v>Desceu</v>
      </c>
      <c r="S51" s="18" t="str">
        <f>VLOOKUP(A51,Ticker!A:B,2,0)</f>
        <v>CEMIG</v>
      </c>
      <c r="T51" s="18" t="str">
        <f>VLOOKUP(S51,Chatgpt!A:B,2,0)</f>
        <v>Energia</v>
      </c>
      <c r="U51" s="17">
        <f>VLOOKUP(S51,Chatgpt!A:C,3,0)</f>
        <v>69</v>
      </c>
      <c r="V51" s="17" t="str">
        <f t="shared" si="7"/>
        <v>Entre 50 e 100 anos</v>
      </c>
    </row>
    <row r="52" ht="15.75" customHeight="1">
      <c r="A52" s="5" t="s">
        <v>122</v>
      </c>
      <c r="B52" s="6">
        <v>45317.0</v>
      </c>
      <c r="C52" s="7">
        <v>46.04</v>
      </c>
      <c r="D52" s="7">
        <v>-0.19</v>
      </c>
      <c r="E52" s="8">
        <v>-1.41</v>
      </c>
      <c r="F52" s="8">
        <v>-2.0</v>
      </c>
      <c r="G52" s="9">
        <f t="shared" si="1"/>
        <v>-0.02</v>
      </c>
      <c r="H52" s="8">
        <v>-2.0</v>
      </c>
      <c r="I52" s="9">
        <f t="shared" si="2"/>
        <v>-0.02</v>
      </c>
      <c r="J52" s="8">
        <v>7.43</v>
      </c>
      <c r="K52" s="8">
        <v>45.91</v>
      </c>
      <c r="L52" s="8">
        <v>46.42</v>
      </c>
      <c r="M52" s="5" t="s">
        <v>123</v>
      </c>
      <c r="N52" s="9">
        <f t="shared" si="3"/>
        <v>-0.0019</v>
      </c>
      <c r="O52" s="7">
        <f t="shared" si="4"/>
        <v>46.12764252</v>
      </c>
      <c r="P52" s="10">
        <f>VLOOKUP(A52,Total_de_acoes!A:B,2,0)</f>
        <v>268544014</v>
      </c>
      <c r="Q52" s="11">
        <f t="shared" si="5"/>
        <v>-23535874.33</v>
      </c>
      <c r="R52" s="11" t="str">
        <f t="shared" si="6"/>
        <v>Desceu</v>
      </c>
      <c r="S52" s="11" t="str">
        <f>VLOOKUP(A52,Ticker!A:B,2,0)</f>
        <v>Eletrobras</v>
      </c>
      <c r="T52" s="11" t="str">
        <f>VLOOKUP(S52,Chatgpt!A:B,2,0)</f>
        <v>Energia</v>
      </c>
      <c r="U52" s="10">
        <f>VLOOKUP(S52,Chatgpt!A:C,3,0)</f>
        <v>64</v>
      </c>
      <c r="V52" s="10" t="str">
        <f t="shared" si="7"/>
        <v>Entre 50 e 100 anos</v>
      </c>
    </row>
    <row r="53" ht="15.75" customHeight="1">
      <c r="A53" s="12" t="s">
        <v>124</v>
      </c>
      <c r="B53" s="13">
        <v>45317.0</v>
      </c>
      <c r="C53" s="14">
        <v>12.87</v>
      </c>
      <c r="D53" s="14">
        <v>-0.23</v>
      </c>
      <c r="E53" s="15">
        <v>1.42</v>
      </c>
      <c r="F53" s="15">
        <v>-5.44</v>
      </c>
      <c r="G53" s="16">
        <f t="shared" si="1"/>
        <v>-0.0544</v>
      </c>
      <c r="H53" s="15">
        <v>-5.44</v>
      </c>
      <c r="I53" s="16">
        <f t="shared" si="2"/>
        <v>-0.0544</v>
      </c>
      <c r="J53" s="15">
        <v>6.36</v>
      </c>
      <c r="K53" s="15">
        <v>12.84</v>
      </c>
      <c r="L53" s="15">
        <v>13.09</v>
      </c>
      <c r="M53" s="12" t="s">
        <v>125</v>
      </c>
      <c r="N53" s="16">
        <f t="shared" si="3"/>
        <v>-0.0023</v>
      </c>
      <c r="O53" s="14">
        <f t="shared" si="4"/>
        <v>12.89966924</v>
      </c>
      <c r="P53" s="17">
        <f>VLOOKUP(A53,Total_de_acoes!A:B,2,0)</f>
        <v>1579130168</v>
      </c>
      <c r="Q53" s="18">
        <f t="shared" si="5"/>
        <v>-46851590.76</v>
      </c>
      <c r="R53" s="18" t="str">
        <f t="shared" si="6"/>
        <v>Desceu</v>
      </c>
      <c r="S53" s="18" t="str">
        <f>VLOOKUP(A53,Ticker!A:B,2,0)</f>
        <v>Eneva</v>
      </c>
      <c r="T53" s="18" t="str">
        <f>VLOOKUP(S53,Chatgpt!A:B,2,0)</f>
        <v>Energia</v>
      </c>
      <c r="U53" s="17">
        <f>VLOOKUP(S53,Chatgpt!A:C,3,0)</f>
        <v>17</v>
      </c>
      <c r="V53" s="17" t="str">
        <f t="shared" si="7"/>
        <v>Menor de 50 anos</v>
      </c>
    </row>
    <row r="54" ht="15.75" customHeight="1">
      <c r="A54" s="5" t="s">
        <v>126</v>
      </c>
      <c r="B54" s="6">
        <v>45317.0</v>
      </c>
      <c r="C54" s="7">
        <v>33.17</v>
      </c>
      <c r="D54" s="7">
        <v>-0.24</v>
      </c>
      <c r="E54" s="8">
        <v>-0.93</v>
      </c>
      <c r="F54" s="8">
        <v>-10.13</v>
      </c>
      <c r="G54" s="9">
        <f t="shared" si="1"/>
        <v>-0.1013</v>
      </c>
      <c r="H54" s="8">
        <v>-10.13</v>
      </c>
      <c r="I54" s="9">
        <f t="shared" si="2"/>
        <v>-0.1013</v>
      </c>
      <c r="J54" s="8">
        <v>-11.84</v>
      </c>
      <c r="K54" s="8">
        <v>33.04</v>
      </c>
      <c r="L54" s="8">
        <v>33.5</v>
      </c>
      <c r="M54" s="5" t="s">
        <v>127</v>
      </c>
      <c r="N54" s="9">
        <f t="shared" si="3"/>
        <v>-0.0024</v>
      </c>
      <c r="O54" s="7">
        <f t="shared" si="4"/>
        <v>33.24979952</v>
      </c>
      <c r="P54" s="10">
        <f>VLOOKUP(A54,Total_de_acoes!A:B,2,0)</f>
        <v>1481593024</v>
      </c>
      <c r="Q54" s="11">
        <f t="shared" si="5"/>
        <v>-118230410.4</v>
      </c>
      <c r="R54" s="11" t="str">
        <f t="shared" si="6"/>
        <v>Desceu</v>
      </c>
      <c r="S54" s="11" t="str">
        <f>VLOOKUP(A54,Ticker!A:B,2,0)</f>
        <v>WEG</v>
      </c>
      <c r="T54" s="11" t="str">
        <f>VLOOKUP(S54,Chatgpt!A:B,2,0)</f>
        <v>Tecnologia</v>
      </c>
      <c r="U54" s="10">
        <f>VLOOKUP(S54,Chatgpt!A:C,3,0)</f>
        <v>59</v>
      </c>
      <c r="V54" s="10" t="str">
        <f t="shared" si="7"/>
        <v>Entre 50 e 100 anos</v>
      </c>
    </row>
    <row r="55" ht="15.75" customHeight="1">
      <c r="A55" s="12" t="s">
        <v>128</v>
      </c>
      <c r="B55" s="13">
        <v>45317.0</v>
      </c>
      <c r="C55" s="14">
        <v>19.3</v>
      </c>
      <c r="D55" s="14">
        <v>-0.25</v>
      </c>
      <c r="E55" s="15">
        <v>2.01</v>
      </c>
      <c r="F55" s="15">
        <v>2.55</v>
      </c>
      <c r="G55" s="16">
        <f t="shared" si="1"/>
        <v>0.0255</v>
      </c>
      <c r="H55" s="15">
        <v>2.55</v>
      </c>
      <c r="I55" s="16">
        <f t="shared" si="2"/>
        <v>0.0255</v>
      </c>
      <c r="J55" s="15">
        <v>-10.11</v>
      </c>
      <c r="K55" s="15">
        <v>19.1</v>
      </c>
      <c r="L55" s="15">
        <v>19.51</v>
      </c>
      <c r="M55" s="12" t="s">
        <v>129</v>
      </c>
      <c r="N55" s="16">
        <f t="shared" si="3"/>
        <v>-0.0025</v>
      </c>
      <c r="O55" s="14">
        <f t="shared" si="4"/>
        <v>19.34837093</v>
      </c>
      <c r="P55" s="17">
        <f>VLOOKUP(A55,Total_de_acoes!A:B,2,0)</f>
        <v>195751130</v>
      </c>
      <c r="Q55" s="18">
        <f t="shared" si="5"/>
        <v>-9468663.682</v>
      </c>
      <c r="R55" s="18" t="str">
        <f t="shared" si="6"/>
        <v>Desceu</v>
      </c>
      <c r="S55" s="18" t="str">
        <f>VLOOKUP(A55,Ticker!A:B,2,0)</f>
        <v>SLC Agrícola</v>
      </c>
      <c r="T55" s="18" t="str">
        <f>VLOOKUP(S55,Chatgpt!A:B,2,0)</f>
        <v>Agronegócio</v>
      </c>
      <c r="U55" s="17">
        <f>VLOOKUP(S55,Chatgpt!A:C,3,0)</f>
        <v>46</v>
      </c>
      <c r="V55" s="17" t="str">
        <f t="shared" si="7"/>
        <v>Menor de 50 anos</v>
      </c>
    </row>
    <row r="56" ht="15.75" customHeight="1">
      <c r="A56" s="5" t="s">
        <v>130</v>
      </c>
      <c r="B56" s="6">
        <v>45317.0</v>
      </c>
      <c r="C56" s="7">
        <v>24.62</v>
      </c>
      <c r="D56" s="7">
        <v>-0.28</v>
      </c>
      <c r="E56" s="8">
        <v>0.53</v>
      </c>
      <c r="F56" s="8">
        <v>-7.27</v>
      </c>
      <c r="G56" s="9">
        <f t="shared" si="1"/>
        <v>-0.0727</v>
      </c>
      <c r="H56" s="8">
        <v>-7.27</v>
      </c>
      <c r="I56" s="9">
        <f t="shared" si="2"/>
        <v>-0.0727</v>
      </c>
      <c r="J56" s="8">
        <v>39.82</v>
      </c>
      <c r="K56" s="8">
        <v>24.53</v>
      </c>
      <c r="L56" s="8">
        <v>24.92</v>
      </c>
      <c r="M56" s="5" t="s">
        <v>131</v>
      </c>
      <c r="N56" s="9">
        <f t="shared" si="3"/>
        <v>-0.0028</v>
      </c>
      <c r="O56" s="7">
        <f t="shared" si="4"/>
        <v>24.68912956</v>
      </c>
      <c r="P56" s="10">
        <f>VLOOKUP(A56,Total_de_acoes!A:B,2,0)</f>
        <v>532616595</v>
      </c>
      <c r="Q56" s="11">
        <f t="shared" si="5"/>
        <v>-36819552.34</v>
      </c>
      <c r="R56" s="11" t="str">
        <f t="shared" si="6"/>
        <v>Desceu</v>
      </c>
      <c r="S56" s="11" t="str">
        <f>VLOOKUP(A56,Ticker!A:B,2,0)</f>
        <v>ALOS3</v>
      </c>
      <c r="T56" s="11" t="str">
        <f>VLOOKUP(S56,Chatgpt!A:B,2,0)</f>
        <v>Energia</v>
      </c>
      <c r="U56" s="10">
        <f>VLOOKUP(S56,Chatgpt!A:C,3,0)</f>
        <v>9</v>
      </c>
      <c r="V56" s="10" t="str">
        <f t="shared" si="7"/>
        <v>Menor de 50 anos</v>
      </c>
    </row>
    <row r="57" ht="15.75" customHeight="1">
      <c r="A57" s="12" t="s">
        <v>132</v>
      </c>
      <c r="B57" s="13">
        <v>45317.0</v>
      </c>
      <c r="C57" s="14">
        <v>13.27</v>
      </c>
      <c r="D57" s="14">
        <v>-0.3</v>
      </c>
      <c r="E57" s="15">
        <v>-1.78</v>
      </c>
      <c r="F57" s="15">
        <v>-6.42</v>
      </c>
      <c r="G57" s="16">
        <f t="shared" si="1"/>
        <v>-0.0642</v>
      </c>
      <c r="H57" s="15">
        <v>-6.42</v>
      </c>
      <c r="I57" s="16">
        <f t="shared" si="2"/>
        <v>-0.0642</v>
      </c>
      <c r="J57" s="15">
        <v>13.59</v>
      </c>
      <c r="K57" s="15">
        <v>13.23</v>
      </c>
      <c r="L57" s="15">
        <v>13.41</v>
      </c>
      <c r="M57" s="12" t="s">
        <v>133</v>
      </c>
      <c r="N57" s="16">
        <f t="shared" si="3"/>
        <v>-0.003</v>
      </c>
      <c r="O57" s="14">
        <f t="shared" si="4"/>
        <v>13.30992979</v>
      </c>
      <c r="P57" s="17">
        <f>VLOOKUP(A57,Total_de_acoes!A:B,2,0)</f>
        <v>995335937</v>
      </c>
      <c r="Q57" s="18">
        <f t="shared" si="5"/>
        <v>-39743554.31</v>
      </c>
      <c r="R57" s="18" t="str">
        <f t="shared" si="6"/>
        <v>Desceu</v>
      </c>
      <c r="S57" s="18" t="str">
        <f>VLOOKUP(A57,Ticker!A:B,2,0)</f>
        <v>Grupo CCR</v>
      </c>
      <c r="T57" s="18" t="str">
        <f>VLOOKUP(S57,Chatgpt!A:B,2,0)</f>
        <v>Infraestrutura</v>
      </c>
      <c r="U57" s="17">
        <f>VLOOKUP(S57,Chatgpt!A:C,3,0)</f>
        <v>23</v>
      </c>
      <c r="V57" s="17" t="str">
        <f t="shared" si="7"/>
        <v>Menor de 50 anos</v>
      </c>
    </row>
    <row r="58" ht="15.75" customHeight="1">
      <c r="A58" s="5" t="s">
        <v>134</v>
      </c>
      <c r="B58" s="6">
        <v>45317.0</v>
      </c>
      <c r="C58" s="7">
        <v>3.03</v>
      </c>
      <c r="D58" s="7">
        <v>-0.32</v>
      </c>
      <c r="E58" s="8">
        <v>-5.02</v>
      </c>
      <c r="F58" s="8">
        <v>-13.18</v>
      </c>
      <c r="G58" s="9">
        <f t="shared" si="1"/>
        <v>-0.1318</v>
      </c>
      <c r="H58" s="8">
        <v>-13.18</v>
      </c>
      <c r="I58" s="9">
        <f t="shared" si="2"/>
        <v>-0.1318</v>
      </c>
      <c r="J58" s="8">
        <v>37.73</v>
      </c>
      <c r="K58" s="8">
        <v>2.97</v>
      </c>
      <c r="L58" s="8">
        <v>3.06</v>
      </c>
      <c r="M58" s="5" t="s">
        <v>135</v>
      </c>
      <c r="N58" s="9">
        <f t="shared" si="3"/>
        <v>-0.0032</v>
      </c>
      <c r="O58" s="7">
        <f t="shared" si="4"/>
        <v>3.039727127</v>
      </c>
      <c r="P58" s="10">
        <f>VLOOKUP(A58,Total_de_acoes!A:B,2,0)</f>
        <v>1814920980</v>
      </c>
      <c r="Q58" s="11">
        <f t="shared" si="5"/>
        <v>-17653966.51</v>
      </c>
      <c r="R58" s="11" t="str">
        <f t="shared" si="6"/>
        <v>Desceu</v>
      </c>
      <c r="S58" s="11" t="str">
        <f>VLOOKUP(A58,Ticker!A:B,2,0)</f>
        <v>Cogna</v>
      </c>
      <c r="T58" s="11" t="str">
        <f>VLOOKUP(S58,Chatgpt!A:B,2,0)</f>
        <v>Educação</v>
      </c>
      <c r="U58" s="10">
        <f>VLOOKUP(S58,Chatgpt!A:C,3,0)</f>
        <v>50</v>
      </c>
      <c r="V58" s="10" t="str">
        <f t="shared" si="7"/>
        <v>Entre 50 e 100 anos</v>
      </c>
    </row>
    <row r="59" ht="15.75" customHeight="1">
      <c r="A59" s="12" t="s">
        <v>136</v>
      </c>
      <c r="B59" s="13">
        <v>45317.0</v>
      </c>
      <c r="C59" s="14">
        <v>26.12</v>
      </c>
      <c r="D59" s="14">
        <v>-0.41</v>
      </c>
      <c r="E59" s="15">
        <v>-1.25</v>
      </c>
      <c r="F59" s="15">
        <v>-1.43</v>
      </c>
      <c r="G59" s="16">
        <f t="shared" si="1"/>
        <v>-0.0143</v>
      </c>
      <c r="H59" s="15">
        <v>-1.43</v>
      </c>
      <c r="I59" s="16">
        <f t="shared" si="2"/>
        <v>-0.0143</v>
      </c>
      <c r="J59" s="15">
        <v>22.81</v>
      </c>
      <c r="K59" s="15">
        <v>26.09</v>
      </c>
      <c r="L59" s="15">
        <v>26.4</v>
      </c>
      <c r="M59" s="12" t="s">
        <v>137</v>
      </c>
      <c r="N59" s="16">
        <f t="shared" si="3"/>
        <v>-0.0041</v>
      </c>
      <c r="O59" s="14">
        <f t="shared" si="4"/>
        <v>26.22753288</v>
      </c>
      <c r="P59" s="17">
        <f>VLOOKUP(A59,Total_de_acoes!A:B,2,0)</f>
        <v>395801044</v>
      </c>
      <c r="Q59" s="18">
        <f t="shared" si="5"/>
        <v>-42561628.08</v>
      </c>
      <c r="R59" s="18" t="str">
        <f t="shared" si="6"/>
        <v>Desceu</v>
      </c>
      <c r="S59" s="18" t="str">
        <f>VLOOKUP(A59,Ticker!A:B,2,0)</f>
        <v>Transmissão Paulista</v>
      </c>
      <c r="T59" s="18" t="str">
        <f>VLOOKUP(S59,Chatgpt!A:B,2,0)</f>
        <v>Energia</v>
      </c>
      <c r="U59" s="17">
        <f>VLOOKUP(S59,Chatgpt!A:C,3,0)</f>
        <v>23</v>
      </c>
      <c r="V59" s="17" t="str">
        <f t="shared" si="7"/>
        <v>Menor de 50 anos</v>
      </c>
    </row>
    <row r="60" ht="15.75" customHeight="1">
      <c r="A60" s="5" t="s">
        <v>138</v>
      </c>
      <c r="B60" s="6">
        <v>45317.0</v>
      </c>
      <c r="C60" s="7">
        <v>41.04</v>
      </c>
      <c r="D60" s="7">
        <v>-0.46</v>
      </c>
      <c r="E60" s="8">
        <v>0.56</v>
      </c>
      <c r="F60" s="8">
        <v>-9.46</v>
      </c>
      <c r="G60" s="9">
        <f t="shared" si="1"/>
        <v>-0.0946</v>
      </c>
      <c r="H60" s="8">
        <v>-9.46</v>
      </c>
      <c r="I60" s="9">
        <f t="shared" si="2"/>
        <v>-0.0946</v>
      </c>
      <c r="J60" s="8">
        <v>13.41</v>
      </c>
      <c r="K60" s="8">
        <v>40.92</v>
      </c>
      <c r="L60" s="8">
        <v>41.59</v>
      </c>
      <c r="M60" s="5" t="s">
        <v>139</v>
      </c>
      <c r="N60" s="9">
        <f t="shared" si="3"/>
        <v>-0.0046</v>
      </c>
      <c r="O60" s="7">
        <f t="shared" si="4"/>
        <v>41.22965642</v>
      </c>
      <c r="P60" s="10">
        <f>VLOOKUP(A60,Total_de_acoes!A:B,2,0)</f>
        <v>255236961</v>
      </c>
      <c r="Q60" s="11">
        <f t="shared" si="5"/>
        <v>-48407328.15</v>
      </c>
      <c r="R60" s="11" t="str">
        <f t="shared" si="6"/>
        <v>Desceu</v>
      </c>
      <c r="S60" s="11" t="str">
        <f>VLOOKUP(A60,Ticker!A:B,2,0)</f>
        <v>Engie</v>
      </c>
      <c r="T60" s="11" t="str">
        <f>VLOOKUP(S60,Chatgpt!A:B,2,0)</f>
        <v>Energia</v>
      </c>
      <c r="U60" s="10">
        <f>VLOOKUP(S60,Chatgpt!A:C,3,0)</f>
        <v>53</v>
      </c>
      <c r="V60" s="10" t="str">
        <f t="shared" si="7"/>
        <v>Entre 50 e 100 anos</v>
      </c>
    </row>
    <row r="61" ht="15.75" customHeight="1">
      <c r="A61" s="12" t="s">
        <v>140</v>
      </c>
      <c r="B61" s="13">
        <v>45317.0</v>
      </c>
      <c r="C61" s="14">
        <v>23.23</v>
      </c>
      <c r="D61" s="14">
        <v>-0.47</v>
      </c>
      <c r="E61" s="15">
        <v>2.43</v>
      </c>
      <c r="F61" s="15">
        <v>2.07</v>
      </c>
      <c r="G61" s="16">
        <f t="shared" si="1"/>
        <v>0.0207</v>
      </c>
      <c r="H61" s="15">
        <v>2.07</v>
      </c>
      <c r="I61" s="16">
        <f t="shared" si="2"/>
        <v>0.0207</v>
      </c>
      <c r="J61" s="15">
        <v>50.65</v>
      </c>
      <c r="K61" s="15">
        <v>22.97</v>
      </c>
      <c r="L61" s="15">
        <v>23.4</v>
      </c>
      <c r="M61" s="12" t="s">
        <v>141</v>
      </c>
      <c r="N61" s="16">
        <f t="shared" si="3"/>
        <v>-0.0047</v>
      </c>
      <c r="O61" s="14">
        <f t="shared" si="4"/>
        <v>23.33969657</v>
      </c>
      <c r="P61" s="17">
        <f>VLOOKUP(A61,Total_de_acoes!A:B,2,0)</f>
        <v>1114412532</v>
      </c>
      <c r="Q61" s="18">
        <f t="shared" si="5"/>
        <v>-122247236.7</v>
      </c>
      <c r="R61" s="18" t="str">
        <f t="shared" si="6"/>
        <v>Desceu</v>
      </c>
      <c r="S61" s="18" t="str">
        <f>VLOOKUP(A61,Ticker!A:B,2,0)</f>
        <v>Vibra Energia</v>
      </c>
      <c r="T61" s="18" t="str">
        <f>VLOOKUP(S61,Chatgpt!A:B,2,0)</f>
        <v>Energia</v>
      </c>
      <c r="U61" s="17">
        <f>VLOOKUP(S61,Chatgpt!A:C,3,0)</f>
        <v>8</v>
      </c>
      <c r="V61" s="17" t="str">
        <f t="shared" si="7"/>
        <v>Menor de 50 anos</v>
      </c>
    </row>
    <row r="62" ht="15.75" customHeight="1">
      <c r="A62" s="5" t="s">
        <v>142</v>
      </c>
      <c r="B62" s="6">
        <v>45317.0</v>
      </c>
      <c r="C62" s="7">
        <v>40.65</v>
      </c>
      <c r="D62" s="7">
        <v>-0.65</v>
      </c>
      <c r="E62" s="8">
        <v>5.45</v>
      </c>
      <c r="F62" s="8">
        <v>-8.24</v>
      </c>
      <c r="G62" s="9">
        <f t="shared" si="1"/>
        <v>-0.0824</v>
      </c>
      <c r="H62" s="8">
        <v>-8.24</v>
      </c>
      <c r="I62" s="9">
        <f t="shared" si="2"/>
        <v>-0.0824</v>
      </c>
      <c r="J62" s="8">
        <v>73.5</v>
      </c>
      <c r="K62" s="8">
        <v>40.09</v>
      </c>
      <c r="L62" s="8">
        <v>41.4</v>
      </c>
      <c r="M62" s="5" t="s">
        <v>143</v>
      </c>
      <c r="N62" s="9">
        <f t="shared" si="3"/>
        <v>-0.0065</v>
      </c>
      <c r="O62" s="7">
        <f t="shared" si="4"/>
        <v>40.9159537</v>
      </c>
      <c r="P62" s="10">
        <f>VLOOKUP(A62,Total_de_acoes!A:B,2,0)</f>
        <v>81838843</v>
      </c>
      <c r="Q62" s="11">
        <f t="shared" si="5"/>
        <v>-21765343.02</v>
      </c>
      <c r="R62" s="11" t="str">
        <f t="shared" si="6"/>
        <v>Desceu</v>
      </c>
      <c r="S62" s="11" t="str">
        <f>VLOOKUP(A62,Ticker!A:B,2,0)</f>
        <v>IRB Brasil RE</v>
      </c>
      <c r="T62" s="11" t="str">
        <f>VLOOKUP(S62,Chatgpt!A:B,2,0)</f>
        <v>Seguros</v>
      </c>
      <c r="U62" s="10">
        <f>VLOOKUP(S62,Chatgpt!A:C,3,0)</f>
        <v>83</v>
      </c>
      <c r="V62" s="10" t="str">
        <f t="shared" si="7"/>
        <v>Entre 50 e 100 anos</v>
      </c>
    </row>
    <row r="63" ht="15.75" customHeight="1">
      <c r="A63" s="12" t="s">
        <v>144</v>
      </c>
      <c r="B63" s="13">
        <v>45317.0</v>
      </c>
      <c r="C63" s="14">
        <v>40.86</v>
      </c>
      <c r="D63" s="14">
        <v>-0.65</v>
      </c>
      <c r="E63" s="15">
        <v>-2.04</v>
      </c>
      <c r="F63" s="15">
        <v>-3.7</v>
      </c>
      <c r="G63" s="16">
        <f t="shared" si="1"/>
        <v>-0.037</v>
      </c>
      <c r="H63" s="15">
        <v>-3.7</v>
      </c>
      <c r="I63" s="16">
        <f t="shared" si="2"/>
        <v>-0.037</v>
      </c>
      <c r="J63" s="15">
        <v>-3.64</v>
      </c>
      <c r="K63" s="15">
        <v>40.86</v>
      </c>
      <c r="L63" s="15">
        <v>41.44</v>
      </c>
      <c r="M63" s="12" t="s">
        <v>145</v>
      </c>
      <c r="N63" s="16">
        <f t="shared" si="3"/>
        <v>-0.0065</v>
      </c>
      <c r="O63" s="14">
        <f t="shared" si="4"/>
        <v>41.12732763</v>
      </c>
      <c r="P63" s="17">
        <f>VLOOKUP(A63,Total_de_acoes!A:B,2,0)</f>
        <v>1980568384</v>
      </c>
      <c r="Q63" s="18">
        <f t="shared" si="5"/>
        <v>-529460651.3</v>
      </c>
      <c r="R63" s="18" t="str">
        <f t="shared" si="6"/>
        <v>Desceu</v>
      </c>
      <c r="S63" s="18" t="str">
        <f>VLOOKUP(A63,Ticker!A:B,2,0)</f>
        <v>Eletrobras</v>
      </c>
      <c r="T63" s="18" t="str">
        <f>VLOOKUP(S63,Chatgpt!A:B,2,0)</f>
        <v>Energia</v>
      </c>
      <c r="U63" s="17">
        <f>VLOOKUP(S63,Chatgpt!A:C,3,0)</f>
        <v>64</v>
      </c>
      <c r="V63" s="17" t="str">
        <f t="shared" si="7"/>
        <v>Entre 50 e 100 anos</v>
      </c>
    </row>
    <row r="64" ht="15.75" customHeight="1">
      <c r="A64" s="5" t="s">
        <v>146</v>
      </c>
      <c r="B64" s="6">
        <v>45317.0</v>
      </c>
      <c r="C64" s="7">
        <v>3.4</v>
      </c>
      <c r="D64" s="7">
        <v>-0.87</v>
      </c>
      <c r="E64" s="8">
        <v>-4.23</v>
      </c>
      <c r="F64" s="8">
        <v>-13.92</v>
      </c>
      <c r="G64" s="9">
        <f t="shared" si="1"/>
        <v>-0.1392</v>
      </c>
      <c r="H64" s="8">
        <v>-13.92</v>
      </c>
      <c r="I64" s="9">
        <f t="shared" si="2"/>
        <v>-0.1392</v>
      </c>
      <c r="J64" s="8">
        <v>-46.63</v>
      </c>
      <c r="K64" s="8">
        <v>3.35</v>
      </c>
      <c r="L64" s="8">
        <v>3.47</v>
      </c>
      <c r="M64" s="5" t="s">
        <v>147</v>
      </c>
      <c r="N64" s="9">
        <f t="shared" si="3"/>
        <v>-0.0087</v>
      </c>
      <c r="O64" s="7">
        <f t="shared" si="4"/>
        <v>3.429839605</v>
      </c>
      <c r="P64" s="10">
        <f>VLOOKUP(A64,Total_de_acoes!A:B,2,0)</f>
        <v>309729428</v>
      </c>
      <c r="Q64" s="11">
        <f t="shared" si="5"/>
        <v>-9242203.652</v>
      </c>
      <c r="R64" s="11" t="str">
        <f t="shared" si="6"/>
        <v>Desceu</v>
      </c>
      <c r="S64" s="11" t="str">
        <f>VLOOKUP(A64,Ticker!A:B,2,0)</f>
        <v>Petz</v>
      </c>
      <c r="T64" s="11" t="str">
        <f>VLOOKUP(S64,Chatgpt!A:B,2,0)</f>
        <v>Varejo</v>
      </c>
      <c r="U64" s="10">
        <f>VLOOKUP(S64,Chatgpt!A:C,3,0)</f>
        <v>64</v>
      </c>
      <c r="V64" s="10" t="str">
        <f t="shared" si="7"/>
        <v>Entre 50 e 100 anos</v>
      </c>
    </row>
    <row r="65" ht="15.75" customHeight="1">
      <c r="A65" s="12" t="s">
        <v>148</v>
      </c>
      <c r="B65" s="13">
        <v>45317.0</v>
      </c>
      <c r="C65" s="14">
        <v>15.91</v>
      </c>
      <c r="D65" s="14">
        <v>-0.93</v>
      </c>
      <c r="E65" s="15">
        <v>-2.39</v>
      </c>
      <c r="F65" s="15">
        <v>-14.92</v>
      </c>
      <c r="G65" s="16">
        <f t="shared" si="1"/>
        <v>-0.1492</v>
      </c>
      <c r="H65" s="15">
        <v>-14.92</v>
      </c>
      <c r="I65" s="16">
        <f t="shared" si="2"/>
        <v>-0.1492</v>
      </c>
      <c r="J65" s="15">
        <v>8.93</v>
      </c>
      <c r="K65" s="15">
        <v>15.85</v>
      </c>
      <c r="L65" s="15">
        <v>16.31</v>
      </c>
      <c r="M65" s="12" t="s">
        <v>149</v>
      </c>
      <c r="N65" s="16">
        <f t="shared" si="3"/>
        <v>-0.0093</v>
      </c>
      <c r="O65" s="14">
        <f t="shared" si="4"/>
        <v>16.05935197</v>
      </c>
      <c r="P65" s="17">
        <f>VLOOKUP(A65,Total_de_acoes!A:B,2,0)</f>
        <v>91514307</v>
      </c>
      <c r="Q65" s="18">
        <f t="shared" si="5"/>
        <v>-13667842.34</v>
      </c>
      <c r="R65" s="18" t="str">
        <f t="shared" si="6"/>
        <v>Desceu</v>
      </c>
      <c r="S65" s="18" t="str">
        <f>VLOOKUP(A65,Ticker!A:B,2,0)</f>
        <v>EZTEC</v>
      </c>
      <c r="T65" s="18" t="str">
        <f>VLOOKUP(S65,Chatgpt!A:B,2,0)</f>
        <v>Construção</v>
      </c>
      <c r="U65" s="17">
        <f>VLOOKUP(S65,Chatgpt!A:C,3,0)</f>
        <v>9</v>
      </c>
      <c r="V65" s="17" t="str">
        <f t="shared" si="7"/>
        <v>Menor de 50 anos</v>
      </c>
    </row>
    <row r="66" ht="15.75" customHeight="1">
      <c r="A66" s="5" t="s">
        <v>150</v>
      </c>
      <c r="B66" s="6">
        <v>45317.0</v>
      </c>
      <c r="C66" s="7">
        <v>16.49</v>
      </c>
      <c r="D66" s="7">
        <v>-1.07</v>
      </c>
      <c r="E66" s="8">
        <v>1.04</v>
      </c>
      <c r="F66" s="8">
        <v>-8.59</v>
      </c>
      <c r="G66" s="9">
        <f t="shared" si="1"/>
        <v>-0.0859</v>
      </c>
      <c r="H66" s="8">
        <v>-8.59</v>
      </c>
      <c r="I66" s="9">
        <f t="shared" si="2"/>
        <v>-0.0859</v>
      </c>
      <c r="J66" s="8">
        <v>17.16</v>
      </c>
      <c r="K66" s="8">
        <v>16.4</v>
      </c>
      <c r="L66" s="8">
        <v>16.71</v>
      </c>
      <c r="M66" s="5" t="s">
        <v>93</v>
      </c>
      <c r="N66" s="9">
        <f t="shared" si="3"/>
        <v>-0.0107</v>
      </c>
      <c r="O66" s="7">
        <f t="shared" si="4"/>
        <v>16.66835136</v>
      </c>
      <c r="P66" s="10">
        <f>VLOOKUP(A66,Total_de_acoes!A:B,2,0)</f>
        <v>240822651</v>
      </c>
      <c r="Q66" s="11">
        <f t="shared" si="5"/>
        <v>-42951047.22</v>
      </c>
      <c r="R66" s="11" t="str">
        <f t="shared" si="6"/>
        <v>Desceu</v>
      </c>
      <c r="S66" s="11" t="str">
        <f>VLOOKUP(A66,Ticker!A:B,2,0)</f>
        <v>Fleury</v>
      </c>
      <c r="T66" s="11" t="str">
        <f>VLOOKUP(S66,Chatgpt!A:B,2,0)</f>
        <v>Saúde</v>
      </c>
      <c r="U66" s="10">
        <f>VLOOKUP(S66,Chatgpt!A:C,3,0)</f>
        <v>42</v>
      </c>
      <c r="V66" s="10" t="str">
        <f t="shared" si="7"/>
        <v>Menor de 50 anos</v>
      </c>
    </row>
    <row r="67" ht="15.75" customHeight="1">
      <c r="A67" s="12" t="s">
        <v>151</v>
      </c>
      <c r="B67" s="13">
        <v>45317.0</v>
      </c>
      <c r="C67" s="14">
        <v>6.95</v>
      </c>
      <c r="D67" s="14">
        <v>-1.27</v>
      </c>
      <c r="E67" s="15">
        <v>-0.43</v>
      </c>
      <c r="F67" s="15">
        <v>-6.71</v>
      </c>
      <c r="G67" s="16">
        <f t="shared" si="1"/>
        <v>-0.0671</v>
      </c>
      <c r="H67" s="15">
        <v>-6.71</v>
      </c>
      <c r="I67" s="16">
        <f t="shared" si="2"/>
        <v>-0.0671</v>
      </c>
      <c r="J67" s="15">
        <v>-30.01</v>
      </c>
      <c r="K67" s="15">
        <v>6.87</v>
      </c>
      <c r="L67" s="15">
        <v>7.14</v>
      </c>
      <c r="M67" s="12" t="s">
        <v>152</v>
      </c>
      <c r="N67" s="16">
        <f t="shared" si="3"/>
        <v>-0.0127</v>
      </c>
      <c r="O67" s="14">
        <f t="shared" si="4"/>
        <v>7.039400385</v>
      </c>
      <c r="P67" s="17">
        <f>VLOOKUP(A67,Total_de_acoes!A:B,2,0)</f>
        <v>496029967</v>
      </c>
      <c r="Q67" s="18">
        <f t="shared" si="5"/>
        <v>-44345269.97</v>
      </c>
      <c r="R67" s="18" t="str">
        <f t="shared" si="6"/>
        <v>Desceu</v>
      </c>
      <c r="S67" s="18" t="str">
        <f>VLOOKUP(A67,Ticker!A:B,2,0)</f>
        <v>Grupo Soma</v>
      </c>
      <c r="T67" s="18" t="str">
        <f>VLOOKUP(S67,Chatgpt!A:B,2,0)</f>
        <v>Diversificado</v>
      </c>
      <c r="U67" s="17">
        <f>VLOOKUP(S67,Chatgpt!A:C,3,0)</f>
        <v>95</v>
      </c>
      <c r="V67" s="17" t="str">
        <f t="shared" si="7"/>
        <v>Entre 50 e 100 anos</v>
      </c>
    </row>
    <row r="68" ht="15.75" customHeight="1">
      <c r="A68" s="5" t="s">
        <v>153</v>
      </c>
      <c r="B68" s="6">
        <v>45317.0</v>
      </c>
      <c r="C68" s="7">
        <v>8.67</v>
      </c>
      <c r="D68" s="7">
        <v>-1.36</v>
      </c>
      <c r="E68" s="8">
        <v>4.08</v>
      </c>
      <c r="F68" s="8">
        <v>-14.33</v>
      </c>
      <c r="G68" s="9">
        <f t="shared" si="1"/>
        <v>-0.1433</v>
      </c>
      <c r="H68" s="8">
        <v>-14.33</v>
      </c>
      <c r="I68" s="9">
        <f t="shared" si="2"/>
        <v>-0.1433</v>
      </c>
      <c r="J68" s="8">
        <v>-34.52</v>
      </c>
      <c r="K68" s="8">
        <v>8.62</v>
      </c>
      <c r="L68" s="8">
        <v>8.8</v>
      </c>
      <c r="M68" s="5" t="s">
        <v>154</v>
      </c>
      <c r="N68" s="9">
        <f t="shared" si="3"/>
        <v>-0.0136</v>
      </c>
      <c r="O68" s="7">
        <f t="shared" si="4"/>
        <v>8.789537713</v>
      </c>
      <c r="P68" s="10">
        <f>VLOOKUP(A68,Total_de_acoes!A:B,2,0)</f>
        <v>176733968</v>
      </c>
      <c r="Q68" s="11">
        <f t="shared" si="5"/>
        <v>-21126374.33</v>
      </c>
      <c r="R68" s="11" t="str">
        <f t="shared" si="6"/>
        <v>Desceu</v>
      </c>
      <c r="S68" s="11" t="str">
        <f>VLOOKUP(A68,Ticker!A:B,2,0)</f>
        <v>Alpargatas</v>
      </c>
      <c r="T68" s="11" t="str">
        <f>VLOOKUP(S68,Chatgpt!A:B,2,0)</f>
        <v>Vestuário</v>
      </c>
      <c r="U68" s="10">
        <f>VLOOKUP(S68,Chatgpt!A:C,3,0)</f>
        <v>17</v>
      </c>
      <c r="V68" s="10" t="str">
        <f t="shared" si="7"/>
        <v>Menor de 50 anos</v>
      </c>
    </row>
    <row r="69" ht="15.75" customHeight="1">
      <c r="A69" s="12" t="s">
        <v>155</v>
      </c>
      <c r="B69" s="13">
        <v>45317.0</v>
      </c>
      <c r="C69" s="14">
        <v>22.84</v>
      </c>
      <c r="D69" s="14">
        <v>-1.38</v>
      </c>
      <c r="E69" s="15">
        <v>2.38</v>
      </c>
      <c r="F69" s="15">
        <v>-5.15</v>
      </c>
      <c r="G69" s="16">
        <f t="shared" si="1"/>
        <v>-0.0515</v>
      </c>
      <c r="H69" s="15">
        <v>-5.15</v>
      </c>
      <c r="I69" s="16">
        <f t="shared" si="2"/>
        <v>-0.0515</v>
      </c>
      <c r="J69" s="15">
        <v>60.09</v>
      </c>
      <c r="K69" s="15">
        <v>22.62</v>
      </c>
      <c r="L69" s="15">
        <v>23.34</v>
      </c>
      <c r="M69" s="12" t="s">
        <v>156</v>
      </c>
      <c r="N69" s="16">
        <f t="shared" si="3"/>
        <v>-0.0138</v>
      </c>
      <c r="O69" s="14">
        <f t="shared" si="4"/>
        <v>23.15960251</v>
      </c>
      <c r="P69" s="17">
        <f>VLOOKUP(A69,Total_de_acoes!A:B,2,0)</f>
        <v>265784616</v>
      </c>
      <c r="Q69" s="18">
        <f t="shared" si="5"/>
        <v>-84945431.64</v>
      </c>
      <c r="R69" s="18" t="str">
        <f t="shared" si="6"/>
        <v>Desceu</v>
      </c>
      <c r="S69" s="18" t="str">
        <f>VLOOKUP(A69,Ticker!A:B,2,0)</f>
        <v>Cyrela</v>
      </c>
      <c r="T69" s="18" t="str">
        <f>VLOOKUP(S69,Chatgpt!A:B,2,0)</f>
        <v>Construção</v>
      </c>
      <c r="U69" s="17">
        <f>VLOOKUP(S69,Chatgpt!A:C,3,0)</f>
        <v>113</v>
      </c>
      <c r="V69" s="17" t="str">
        <f t="shared" si="7"/>
        <v>Mais de 100 anos</v>
      </c>
    </row>
    <row r="70" ht="15.75" customHeight="1">
      <c r="A70" s="5" t="s">
        <v>157</v>
      </c>
      <c r="B70" s="6">
        <v>45317.0</v>
      </c>
      <c r="C70" s="7">
        <v>22.4</v>
      </c>
      <c r="D70" s="7">
        <v>-1.4</v>
      </c>
      <c r="E70" s="8">
        <v>5.02</v>
      </c>
      <c r="F70" s="8">
        <v>0.04</v>
      </c>
      <c r="G70" s="9">
        <f t="shared" si="1"/>
        <v>0.0004</v>
      </c>
      <c r="H70" s="8">
        <v>0.04</v>
      </c>
      <c r="I70" s="9">
        <f t="shared" si="2"/>
        <v>0.0004</v>
      </c>
      <c r="J70" s="8">
        <v>34.29</v>
      </c>
      <c r="K70" s="8">
        <v>22.26</v>
      </c>
      <c r="L70" s="8">
        <v>22.92</v>
      </c>
      <c r="M70" s="5" t="s">
        <v>158</v>
      </c>
      <c r="N70" s="9">
        <f t="shared" si="3"/>
        <v>-0.014</v>
      </c>
      <c r="O70" s="7">
        <f t="shared" si="4"/>
        <v>22.71805274</v>
      </c>
      <c r="P70" s="10">
        <f>VLOOKUP(A70,Total_de_acoes!A:B,2,0)</f>
        <v>734632705</v>
      </c>
      <c r="Q70" s="11">
        <f t="shared" si="5"/>
        <v>-233651943.5</v>
      </c>
      <c r="R70" s="11" t="str">
        <f t="shared" si="6"/>
        <v>Desceu</v>
      </c>
      <c r="S70" s="11" t="str">
        <f>VLOOKUP(A70,Ticker!A:B,2,0)</f>
        <v>Embraer</v>
      </c>
      <c r="T70" s="11" t="str">
        <f>VLOOKUP(S70,Chatgpt!A:B,2,0)</f>
        <v>Aeroespacial</v>
      </c>
      <c r="U70" s="10">
        <f>VLOOKUP(S70,Chatgpt!A:C,3,0)</f>
        <v>58</v>
      </c>
      <c r="V70" s="10" t="str">
        <f t="shared" si="7"/>
        <v>Entre 50 e 100 anos</v>
      </c>
    </row>
    <row r="71" ht="15.75" customHeight="1">
      <c r="A71" s="12" t="s">
        <v>159</v>
      </c>
      <c r="B71" s="13">
        <v>45317.0</v>
      </c>
      <c r="C71" s="14">
        <v>15.97</v>
      </c>
      <c r="D71" s="14">
        <v>-1.41</v>
      </c>
      <c r="E71" s="15">
        <v>-7.37</v>
      </c>
      <c r="F71" s="15">
        <v>-5.45</v>
      </c>
      <c r="G71" s="16">
        <f t="shared" si="1"/>
        <v>-0.0545</v>
      </c>
      <c r="H71" s="15">
        <v>-5.45</v>
      </c>
      <c r="I71" s="16">
        <f t="shared" si="2"/>
        <v>-0.0545</v>
      </c>
      <c r="J71" s="15">
        <v>23.51</v>
      </c>
      <c r="K71" s="15">
        <v>15.84</v>
      </c>
      <c r="L71" s="15">
        <v>16.43</v>
      </c>
      <c r="M71" s="12" t="s">
        <v>160</v>
      </c>
      <c r="N71" s="16">
        <f t="shared" si="3"/>
        <v>-0.0141</v>
      </c>
      <c r="O71" s="14">
        <f t="shared" si="4"/>
        <v>16.1983974</v>
      </c>
      <c r="P71" s="17">
        <f>VLOOKUP(A71,Total_de_acoes!A:B,2,0)</f>
        <v>846244302</v>
      </c>
      <c r="Q71" s="18">
        <f t="shared" si="5"/>
        <v>-193280001.2</v>
      </c>
      <c r="R71" s="18" t="str">
        <f t="shared" si="6"/>
        <v>Desceu</v>
      </c>
      <c r="S71" s="18" t="str">
        <f>VLOOKUP(A71,Ticker!A:B,2,0)</f>
        <v>Natura</v>
      </c>
      <c r="T71" s="18" t="str">
        <f>VLOOKUP(S71,Chatgpt!A:B,2,0)</f>
        <v>Cosméticos</v>
      </c>
      <c r="U71" s="17">
        <f>VLOOKUP(S71,Chatgpt!A:C,3,0)</f>
        <v>53</v>
      </c>
      <c r="V71" s="17" t="str">
        <f t="shared" si="7"/>
        <v>Entre 50 e 100 anos</v>
      </c>
    </row>
    <row r="72" ht="15.75" customHeight="1">
      <c r="A72" s="5" t="s">
        <v>161</v>
      </c>
      <c r="B72" s="6">
        <v>45317.0</v>
      </c>
      <c r="C72" s="7">
        <v>13.8</v>
      </c>
      <c r="D72" s="7">
        <v>-1.42</v>
      </c>
      <c r="E72" s="8">
        <v>-3.5</v>
      </c>
      <c r="F72" s="8">
        <v>2.0</v>
      </c>
      <c r="G72" s="9">
        <f t="shared" si="1"/>
        <v>0.02</v>
      </c>
      <c r="H72" s="8">
        <v>2.0</v>
      </c>
      <c r="I72" s="9">
        <f t="shared" si="2"/>
        <v>0.02</v>
      </c>
      <c r="J72" s="8">
        <v>-34.02</v>
      </c>
      <c r="K72" s="8">
        <v>13.63</v>
      </c>
      <c r="L72" s="8">
        <v>14.0</v>
      </c>
      <c r="M72" s="5" t="s">
        <v>162</v>
      </c>
      <c r="N72" s="9">
        <f t="shared" si="3"/>
        <v>-0.0142</v>
      </c>
      <c r="O72" s="7">
        <f t="shared" si="4"/>
        <v>13.99878271</v>
      </c>
      <c r="P72" s="10">
        <f>VLOOKUP(A72,Total_de_acoes!A:B,2,0)</f>
        <v>1349217892</v>
      </c>
      <c r="Q72" s="11">
        <f t="shared" si="5"/>
        <v>-268201195.1</v>
      </c>
      <c r="R72" s="11" t="str">
        <f t="shared" si="6"/>
        <v>Desceu</v>
      </c>
      <c r="S72" s="11" t="str">
        <f>VLOOKUP(A72,Ticker!A:B,2,0)</f>
        <v>Assaí</v>
      </c>
      <c r="T72" s="11" t="str">
        <f>VLOOKUP(S72,Chatgpt!A:B,2,0)</f>
        <v>Varejo</v>
      </c>
      <c r="U72" s="10">
        <f>VLOOKUP(S72,Chatgpt!A:C,3,0)</f>
        <v>54</v>
      </c>
      <c r="V72" s="10" t="str">
        <f t="shared" si="7"/>
        <v>Entre 50 e 100 anos</v>
      </c>
    </row>
    <row r="73" ht="15.75" customHeight="1">
      <c r="A73" s="12" t="s">
        <v>163</v>
      </c>
      <c r="B73" s="13">
        <v>45317.0</v>
      </c>
      <c r="C73" s="14">
        <v>13.22</v>
      </c>
      <c r="D73" s="14">
        <v>-1.56</v>
      </c>
      <c r="E73" s="15">
        <v>-4.13</v>
      </c>
      <c r="F73" s="15">
        <v>-8.58</v>
      </c>
      <c r="G73" s="16">
        <f t="shared" si="1"/>
        <v>-0.0858</v>
      </c>
      <c r="H73" s="15">
        <v>-8.58</v>
      </c>
      <c r="I73" s="16">
        <f t="shared" si="2"/>
        <v>-0.0858</v>
      </c>
      <c r="J73" s="15">
        <v>3.88</v>
      </c>
      <c r="K73" s="15">
        <v>13.18</v>
      </c>
      <c r="L73" s="15">
        <v>13.42</v>
      </c>
      <c r="M73" s="12" t="s">
        <v>164</v>
      </c>
      <c r="N73" s="16">
        <f t="shared" si="3"/>
        <v>-0.0156</v>
      </c>
      <c r="O73" s="14">
        <f t="shared" si="4"/>
        <v>13.4295002</v>
      </c>
      <c r="P73" s="17">
        <f>VLOOKUP(A73,Total_de_acoes!A:B,2,0)</f>
        <v>5602790110</v>
      </c>
      <c r="Q73" s="18">
        <f t="shared" si="5"/>
        <v>-1173785666</v>
      </c>
      <c r="R73" s="18" t="str">
        <f t="shared" si="6"/>
        <v>Desceu</v>
      </c>
      <c r="S73" s="18" t="str">
        <f>VLOOKUP(A73,Ticker!A:B,2,0)</f>
        <v>B3</v>
      </c>
      <c r="T73" s="18" t="str">
        <f>VLOOKUP(S73,Chatgpt!A:B,2,0)</f>
        <v>Financeiro</v>
      </c>
      <c r="U73" s="17">
        <f>VLOOKUP(S73,Chatgpt!A:C,3,0)</f>
        <v>82</v>
      </c>
      <c r="V73" s="17" t="str">
        <f t="shared" si="7"/>
        <v>Entre 50 e 100 anos</v>
      </c>
    </row>
    <row r="74" ht="15.75" customHeight="1">
      <c r="A74" s="5" t="s">
        <v>165</v>
      </c>
      <c r="B74" s="6">
        <v>45317.0</v>
      </c>
      <c r="C74" s="7">
        <v>31.08</v>
      </c>
      <c r="D74" s="7">
        <v>-1.61</v>
      </c>
      <c r="E74" s="8">
        <v>-5.27</v>
      </c>
      <c r="F74" s="8">
        <v>-13.06</v>
      </c>
      <c r="G74" s="9">
        <f t="shared" si="1"/>
        <v>-0.1306</v>
      </c>
      <c r="H74" s="8">
        <v>-13.06</v>
      </c>
      <c r="I74" s="9">
        <f t="shared" si="2"/>
        <v>-0.1306</v>
      </c>
      <c r="J74" s="8">
        <v>-27.52</v>
      </c>
      <c r="K74" s="8">
        <v>30.91</v>
      </c>
      <c r="L74" s="8">
        <v>31.72</v>
      </c>
      <c r="M74" s="5" t="s">
        <v>166</v>
      </c>
      <c r="N74" s="9">
        <f t="shared" si="3"/>
        <v>-0.0161</v>
      </c>
      <c r="O74" s="7">
        <f t="shared" si="4"/>
        <v>31.58857607</v>
      </c>
      <c r="P74" s="10">
        <f>VLOOKUP(A74,Total_de_acoes!A:B,2,0)</f>
        <v>409490388</v>
      </c>
      <c r="Q74" s="11">
        <f t="shared" si="5"/>
        <v>-208257014.2</v>
      </c>
      <c r="R74" s="11" t="str">
        <f t="shared" si="6"/>
        <v>Desceu</v>
      </c>
      <c r="S74" s="11" t="str">
        <f>VLOOKUP(A74,Ticker!A:B,2,0)</f>
        <v>Hypera</v>
      </c>
      <c r="T74" s="11" t="str">
        <f>VLOOKUP(S74,Chatgpt!A:B,2,0)</f>
        <v>Farmacêutico</v>
      </c>
      <c r="U74" s="10">
        <f>VLOOKUP(S74,Chatgpt!A:C,3,0)</f>
        <v>45</v>
      </c>
      <c r="V74" s="10" t="str">
        <f t="shared" si="7"/>
        <v>Menor de 50 anos</v>
      </c>
    </row>
    <row r="75" ht="15.75" customHeight="1">
      <c r="A75" s="12" t="s">
        <v>167</v>
      </c>
      <c r="B75" s="13">
        <v>45317.0</v>
      </c>
      <c r="C75" s="14">
        <v>28.2</v>
      </c>
      <c r="D75" s="14">
        <v>-1.94</v>
      </c>
      <c r="E75" s="15">
        <v>0.36</v>
      </c>
      <c r="F75" s="15">
        <v>-3.79</v>
      </c>
      <c r="G75" s="16">
        <f t="shared" si="1"/>
        <v>-0.0379</v>
      </c>
      <c r="H75" s="15">
        <v>-3.79</v>
      </c>
      <c r="I75" s="16">
        <f t="shared" si="2"/>
        <v>-0.0379</v>
      </c>
      <c r="J75" s="15">
        <v>17.1</v>
      </c>
      <c r="K75" s="15">
        <v>28.13</v>
      </c>
      <c r="L75" s="15">
        <v>28.97</v>
      </c>
      <c r="M75" s="12" t="s">
        <v>168</v>
      </c>
      <c r="N75" s="16">
        <f t="shared" si="3"/>
        <v>-0.0194</v>
      </c>
      <c r="O75" s="14">
        <f t="shared" si="4"/>
        <v>28.75790332</v>
      </c>
      <c r="P75" s="17">
        <f>VLOOKUP(A75,Total_de_acoes!A:B,2,0)</f>
        <v>142377330</v>
      </c>
      <c r="Q75" s="18">
        <f t="shared" si="5"/>
        <v>-79432785.74</v>
      </c>
      <c r="R75" s="18" t="str">
        <f t="shared" si="6"/>
        <v>Desceu</v>
      </c>
      <c r="S75" s="18" t="str">
        <f>VLOOKUP(A75,Ticker!A:B,2,0)</f>
        <v>São Martinho</v>
      </c>
      <c r="T75" s="18" t="str">
        <f>VLOOKUP(S75,Chatgpt!A:B,2,0)</f>
        <v>Agricultura</v>
      </c>
      <c r="U75" s="17">
        <f>VLOOKUP(S75,Chatgpt!A:C,3,0)</f>
        <v>54</v>
      </c>
      <c r="V75" s="17" t="str">
        <f t="shared" si="7"/>
        <v>Entre 50 e 100 anos</v>
      </c>
    </row>
    <row r="76" ht="15.75" customHeight="1">
      <c r="A76" s="5" t="s">
        <v>169</v>
      </c>
      <c r="B76" s="6">
        <v>45317.0</v>
      </c>
      <c r="C76" s="7">
        <v>3.93</v>
      </c>
      <c r="D76" s="7">
        <v>-1.99</v>
      </c>
      <c r="E76" s="8">
        <v>-2.24</v>
      </c>
      <c r="F76" s="8">
        <v>-11.69</v>
      </c>
      <c r="G76" s="9">
        <f t="shared" si="1"/>
        <v>-0.1169</v>
      </c>
      <c r="H76" s="8">
        <v>-11.69</v>
      </c>
      <c r="I76" s="9">
        <f t="shared" si="2"/>
        <v>-0.1169</v>
      </c>
      <c r="J76" s="8">
        <v>-11.49</v>
      </c>
      <c r="K76" s="8">
        <v>3.89</v>
      </c>
      <c r="L76" s="8">
        <v>4.06</v>
      </c>
      <c r="M76" s="5" t="s">
        <v>170</v>
      </c>
      <c r="N76" s="9">
        <f t="shared" si="3"/>
        <v>-0.0199</v>
      </c>
      <c r="O76" s="7">
        <f t="shared" si="4"/>
        <v>4.009794919</v>
      </c>
      <c r="P76" s="10">
        <f>VLOOKUP(A76,Total_de_acoes!A:B,2,0)</f>
        <v>4394332306</v>
      </c>
      <c r="Q76" s="11">
        <f t="shared" si="5"/>
        <v>-350645389.9</v>
      </c>
      <c r="R76" s="11" t="str">
        <f t="shared" si="6"/>
        <v>Desceu</v>
      </c>
      <c r="S76" s="11" t="str">
        <f>VLOOKUP(A76,Ticker!A:B,2,0)</f>
        <v>Hapvida</v>
      </c>
      <c r="T76" s="11" t="str">
        <f>VLOOKUP(S76,Chatgpt!A:B,2,0)</f>
        <v>Saúde</v>
      </c>
      <c r="U76" s="10">
        <f>VLOOKUP(S76,Chatgpt!A:C,3,0)</f>
        <v>37</v>
      </c>
      <c r="V76" s="10" t="str">
        <f t="shared" si="7"/>
        <v>Menor de 50 anos</v>
      </c>
    </row>
    <row r="77" ht="15.75" customHeight="1">
      <c r="A77" s="12" t="s">
        <v>171</v>
      </c>
      <c r="B77" s="13">
        <v>45317.0</v>
      </c>
      <c r="C77" s="14">
        <v>15.78</v>
      </c>
      <c r="D77" s="14">
        <v>-2.29</v>
      </c>
      <c r="E77" s="15">
        <v>-5.62</v>
      </c>
      <c r="F77" s="15">
        <v>-9.41</v>
      </c>
      <c r="G77" s="16">
        <f t="shared" si="1"/>
        <v>-0.0941</v>
      </c>
      <c r="H77" s="15">
        <v>-9.41</v>
      </c>
      <c r="I77" s="16">
        <f t="shared" si="2"/>
        <v>-0.0941</v>
      </c>
      <c r="J77" s="15">
        <v>-24.94</v>
      </c>
      <c r="K77" s="15">
        <v>15.7</v>
      </c>
      <c r="L77" s="15">
        <v>16.23</v>
      </c>
      <c r="M77" s="12" t="s">
        <v>172</v>
      </c>
      <c r="N77" s="16">
        <f t="shared" si="3"/>
        <v>-0.0229</v>
      </c>
      <c r="O77" s="14">
        <f t="shared" si="4"/>
        <v>16.14983113</v>
      </c>
      <c r="P77" s="17">
        <f>VLOOKUP(A77,Total_de_acoes!A:B,2,0)</f>
        <v>951329770</v>
      </c>
      <c r="Q77" s="18">
        <f t="shared" si="5"/>
        <v>-351831366.6</v>
      </c>
      <c r="R77" s="18" t="str">
        <f t="shared" si="6"/>
        <v>Desceu</v>
      </c>
      <c r="S77" s="18" t="str">
        <f>VLOOKUP(A77,Ticker!A:B,2,0)</f>
        <v>Lojas Renner</v>
      </c>
      <c r="T77" s="18" t="str">
        <f>VLOOKUP(S77,Chatgpt!A:B,2,0)</f>
        <v>Varejo</v>
      </c>
      <c r="U77" s="17">
        <f>VLOOKUP(S77,Chatgpt!A:C,3,0)</f>
        <v>95</v>
      </c>
      <c r="V77" s="17" t="str">
        <f t="shared" si="7"/>
        <v>Entre 50 e 100 anos</v>
      </c>
    </row>
    <row r="78" ht="15.75" customHeight="1">
      <c r="A78" s="5" t="s">
        <v>173</v>
      </c>
      <c r="B78" s="6">
        <v>45317.0</v>
      </c>
      <c r="C78" s="7">
        <v>10.71</v>
      </c>
      <c r="D78" s="7">
        <v>-2.45</v>
      </c>
      <c r="E78" s="8">
        <v>-9.47</v>
      </c>
      <c r="F78" s="8">
        <v>-13.98</v>
      </c>
      <c r="G78" s="9">
        <f t="shared" si="1"/>
        <v>-0.1398</v>
      </c>
      <c r="H78" s="8">
        <v>-13.98</v>
      </c>
      <c r="I78" s="9">
        <f t="shared" si="2"/>
        <v>-0.1398</v>
      </c>
      <c r="J78" s="8">
        <v>-32.72</v>
      </c>
      <c r="K78" s="8">
        <v>10.7</v>
      </c>
      <c r="L78" s="8">
        <v>11.08</v>
      </c>
      <c r="M78" s="5" t="s">
        <v>174</v>
      </c>
      <c r="N78" s="9">
        <f t="shared" si="3"/>
        <v>-0.0245</v>
      </c>
      <c r="O78" s="7">
        <f t="shared" si="4"/>
        <v>10.97898514</v>
      </c>
      <c r="P78" s="10">
        <f>VLOOKUP(A78,Total_de_acoes!A:B,2,0)</f>
        <v>533990587</v>
      </c>
      <c r="Q78" s="11">
        <f t="shared" si="5"/>
        <v>-143635530.6</v>
      </c>
      <c r="R78" s="11" t="str">
        <f t="shared" si="6"/>
        <v>Desceu</v>
      </c>
      <c r="S78" s="11" t="str">
        <f>VLOOKUP(A78,Ticker!A:B,2,0)</f>
        <v>Carrefour Brasil</v>
      </c>
      <c r="T78" s="11" t="str">
        <f>VLOOKUP(S78,Chatgpt!A:B,2,0)</f>
        <v>Varejo</v>
      </c>
      <c r="U78" s="10">
        <f>VLOOKUP(S78,Chatgpt!A:C,3,0)</f>
        <v>49</v>
      </c>
      <c r="V78" s="10" t="str">
        <f t="shared" si="7"/>
        <v>Menor de 50 anos</v>
      </c>
    </row>
    <row r="79" ht="15.75" customHeight="1">
      <c r="A79" s="12" t="s">
        <v>175</v>
      </c>
      <c r="B79" s="13">
        <v>45317.0</v>
      </c>
      <c r="C79" s="14">
        <v>8.7</v>
      </c>
      <c r="D79" s="14">
        <v>-2.46</v>
      </c>
      <c r="E79" s="15">
        <v>-6.95</v>
      </c>
      <c r="F79" s="15">
        <v>-23.55</v>
      </c>
      <c r="G79" s="16">
        <f t="shared" si="1"/>
        <v>-0.2355</v>
      </c>
      <c r="H79" s="15">
        <v>-23.55</v>
      </c>
      <c r="I79" s="16">
        <f t="shared" si="2"/>
        <v>-0.2355</v>
      </c>
      <c r="J79" s="15">
        <v>-85.74</v>
      </c>
      <c r="K79" s="15">
        <v>8.67</v>
      </c>
      <c r="L79" s="15">
        <v>8.95</v>
      </c>
      <c r="M79" s="12" t="s">
        <v>176</v>
      </c>
      <c r="N79" s="16">
        <f t="shared" si="3"/>
        <v>-0.0246</v>
      </c>
      <c r="O79" s="14">
        <f t="shared" si="4"/>
        <v>8.919417675</v>
      </c>
      <c r="P79" s="17">
        <f>VLOOKUP(A79,Total_de_acoes!A:B,2,0)</f>
        <v>94843047</v>
      </c>
      <c r="Q79" s="18">
        <f t="shared" si="5"/>
        <v>-20810240.84</v>
      </c>
      <c r="R79" s="18" t="str">
        <f t="shared" si="6"/>
        <v>Desceu</v>
      </c>
      <c r="S79" s="18" t="str">
        <f>VLOOKUP(A79,Ticker!A:B,2,0)</f>
        <v>Casas Bahia</v>
      </c>
      <c r="T79" s="18" t="str">
        <f>VLOOKUP(S79,Chatgpt!A:B,2,0)</f>
        <v>Varejo</v>
      </c>
      <c r="U79" s="17">
        <f>VLOOKUP(S79,Chatgpt!A:C,3,0)</f>
        <v>50</v>
      </c>
      <c r="V79" s="17" t="str">
        <f t="shared" si="7"/>
        <v>Entre 50 e 100 anos</v>
      </c>
    </row>
    <row r="80" ht="15.75" customHeight="1">
      <c r="A80" s="5" t="s">
        <v>177</v>
      </c>
      <c r="B80" s="6">
        <v>45317.0</v>
      </c>
      <c r="C80" s="7">
        <v>56.24</v>
      </c>
      <c r="D80" s="7">
        <v>-3.63</v>
      </c>
      <c r="E80" s="8">
        <v>-6.41</v>
      </c>
      <c r="F80" s="8">
        <v>-11.57</v>
      </c>
      <c r="G80" s="9">
        <f t="shared" si="1"/>
        <v>-0.1157</v>
      </c>
      <c r="H80" s="8">
        <v>-11.57</v>
      </c>
      <c r="I80" s="9">
        <f t="shared" si="2"/>
        <v>-0.1157</v>
      </c>
      <c r="J80" s="8">
        <v>-2.77</v>
      </c>
      <c r="K80" s="8">
        <v>56.04</v>
      </c>
      <c r="L80" s="8">
        <v>58.9</v>
      </c>
      <c r="M80" s="5" t="s">
        <v>178</v>
      </c>
      <c r="N80" s="9">
        <f t="shared" si="3"/>
        <v>-0.0363</v>
      </c>
      <c r="O80" s="7">
        <f t="shared" si="4"/>
        <v>58.35841029</v>
      </c>
      <c r="P80" s="10">
        <f>VLOOKUP(A80,Total_de_acoes!A:B,2,0)</f>
        <v>853202347</v>
      </c>
      <c r="Q80" s="11">
        <f t="shared" si="5"/>
        <v>-1807432634</v>
      </c>
      <c r="R80" s="11" t="str">
        <f t="shared" si="6"/>
        <v>Desceu</v>
      </c>
      <c r="S80" s="11" t="str">
        <f>VLOOKUP(A80,Ticker!A:B,2,0)</f>
        <v>Localiza</v>
      </c>
      <c r="T80" s="11" t="str">
        <f>VLOOKUP(S80,Chatgpt!A:B,2,0)</f>
        <v>Aluguel de Carros</v>
      </c>
      <c r="U80" s="10">
        <f>VLOOKUP(S80,Chatgpt!A:C,3,0)</f>
        <v>20</v>
      </c>
      <c r="V80" s="10" t="str">
        <f t="shared" si="7"/>
        <v>Menor de 50 anos</v>
      </c>
    </row>
    <row r="81" ht="15.75" customHeight="1">
      <c r="A81" s="12" t="s">
        <v>179</v>
      </c>
      <c r="B81" s="13">
        <v>45317.0</v>
      </c>
      <c r="C81" s="14">
        <v>3.07</v>
      </c>
      <c r="D81" s="14">
        <v>-4.36</v>
      </c>
      <c r="E81" s="15">
        <v>-5.54</v>
      </c>
      <c r="F81" s="15">
        <v>-12.29</v>
      </c>
      <c r="G81" s="16">
        <f t="shared" si="1"/>
        <v>-0.1229</v>
      </c>
      <c r="H81" s="15">
        <v>-12.29</v>
      </c>
      <c r="I81" s="16">
        <f t="shared" si="2"/>
        <v>-0.1229</v>
      </c>
      <c r="J81" s="15">
        <v>-36.83</v>
      </c>
      <c r="K81" s="15">
        <v>3.05</v>
      </c>
      <c r="L81" s="15">
        <v>3.23</v>
      </c>
      <c r="M81" s="12" t="s">
        <v>180</v>
      </c>
      <c r="N81" s="16">
        <f t="shared" si="3"/>
        <v>-0.0436</v>
      </c>
      <c r="O81" s="14">
        <f t="shared" si="4"/>
        <v>3.209953994</v>
      </c>
      <c r="P81" s="17">
        <f>VLOOKUP(A81,Total_de_acoes!A:B,2,0)</f>
        <v>525582771</v>
      </c>
      <c r="Q81" s="18">
        <f t="shared" si="5"/>
        <v>-73557408.06</v>
      </c>
      <c r="R81" s="18" t="str">
        <f t="shared" si="6"/>
        <v>Desceu</v>
      </c>
      <c r="S81" s="18" t="str">
        <f>VLOOKUP(A81,Ticker!A:B,2,0)</f>
        <v>CVC</v>
      </c>
      <c r="T81" s="18" t="str">
        <f>VLOOKUP(S81,Chatgpt!A:B,2,0)</f>
        <v>Turismo</v>
      </c>
      <c r="U81" s="17">
        <f>VLOOKUP(S81,Chatgpt!A:C,3,0)</f>
        <v>35</v>
      </c>
      <c r="V81" s="17" t="str">
        <f t="shared" si="7"/>
        <v>Menor de 50 anos</v>
      </c>
    </row>
    <row r="82" ht="15.75" customHeight="1">
      <c r="A82" s="5" t="s">
        <v>181</v>
      </c>
      <c r="B82" s="6">
        <v>45317.0</v>
      </c>
      <c r="C82" s="7">
        <v>5.92</v>
      </c>
      <c r="D82" s="7">
        <v>-8.07</v>
      </c>
      <c r="E82" s="8">
        <v>-15.91</v>
      </c>
      <c r="F82" s="8">
        <v>-34.0</v>
      </c>
      <c r="G82" s="16">
        <f t="shared" si="1"/>
        <v>-0.34</v>
      </c>
      <c r="H82" s="8">
        <v>-34.0</v>
      </c>
      <c r="I82" s="9">
        <f t="shared" si="2"/>
        <v>-0.34</v>
      </c>
      <c r="J82" s="8">
        <v>-25.44</v>
      </c>
      <c r="K82" s="8">
        <v>5.51</v>
      </c>
      <c r="L82" s="8">
        <v>6.02</v>
      </c>
      <c r="M82" s="5" t="s">
        <v>182</v>
      </c>
      <c r="N82" s="9">
        <f t="shared" si="3"/>
        <v>-0.0807</v>
      </c>
      <c r="O82" s="7">
        <f t="shared" si="4"/>
        <v>6.439682367</v>
      </c>
      <c r="P82" s="10">
        <f>VLOOKUP(A82,Total_de_acoes!A:B,2,0)</f>
        <v>198184909</v>
      </c>
      <c r="Q82" s="11">
        <f t="shared" si="5"/>
        <v>-102993202.6</v>
      </c>
      <c r="R82" s="11" t="str">
        <f t="shared" si="6"/>
        <v>Desceu</v>
      </c>
      <c r="S82" s="11" t="str">
        <f>VLOOKUP(A82,Ticker!A:B,2,0)</f>
        <v>GOL</v>
      </c>
      <c r="T82" s="11" t="str">
        <f>VLOOKUP(S82,Chatgpt!A:B,2,0)</f>
        <v>Transporte</v>
      </c>
      <c r="U82" s="10">
        <f>VLOOKUP(S82,Chatgpt!A:C,3,0)</f>
        <v>64</v>
      </c>
      <c r="V82" s="10" t="str">
        <f t="shared" si="7"/>
        <v>Entre 50 e 100 anos</v>
      </c>
    </row>
    <row r="83" ht="15.75" customHeight="1">
      <c r="A83" s="19"/>
      <c r="B83" s="19"/>
      <c r="C83" s="20"/>
      <c r="D83" s="20"/>
      <c r="E83" s="19"/>
      <c r="F83" s="19"/>
      <c r="G83" s="21"/>
      <c r="H83" s="19"/>
      <c r="I83" s="21"/>
      <c r="J83" s="19"/>
      <c r="K83" s="19"/>
      <c r="L83" s="19"/>
      <c r="M83" s="19"/>
      <c r="N83" s="19"/>
      <c r="O83" s="19"/>
      <c r="Q83" s="22"/>
    </row>
    <row r="84" ht="15.75" customHeight="1">
      <c r="A84" s="23"/>
      <c r="B84" s="23"/>
      <c r="C84" s="24"/>
      <c r="D84" s="24"/>
      <c r="E84" s="23"/>
      <c r="F84" s="23"/>
      <c r="G84" s="25"/>
      <c r="H84" s="23"/>
      <c r="I84" s="25"/>
      <c r="J84" s="23"/>
      <c r="K84" s="23"/>
      <c r="L84" s="23"/>
      <c r="M84" s="23"/>
      <c r="N84" s="23"/>
      <c r="O84" s="23"/>
      <c r="Q84" s="22"/>
    </row>
    <row r="85" ht="15.75" customHeight="1">
      <c r="A85" s="19"/>
      <c r="B85" s="19"/>
      <c r="C85" s="20"/>
      <c r="D85" s="20"/>
      <c r="E85" s="19"/>
      <c r="F85" s="19"/>
      <c r="G85" s="21"/>
      <c r="H85" s="19"/>
      <c r="I85" s="21"/>
      <c r="J85" s="19"/>
      <c r="K85" s="19"/>
      <c r="L85" s="19"/>
      <c r="M85" s="19"/>
      <c r="N85" s="19"/>
      <c r="O85" s="19"/>
      <c r="Q85" s="22"/>
    </row>
    <row r="86" ht="15.75" customHeight="1">
      <c r="A86" s="23"/>
      <c r="B86" s="23"/>
      <c r="C86" s="24"/>
      <c r="D86" s="24"/>
      <c r="E86" s="23"/>
      <c r="F86" s="23"/>
      <c r="G86" s="25"/>
      <c r="H86" s="23"/>
      <c r="I86" s="25"/>
      <c r="J86" s="23"/>
      <c r="K86" s="23"/>
      <c r="L86" s="23"/>
      <c r="M86" s="23"/>
      <c r="N86" s="23"/>
      <c r="O86" s="23"/>
      <c r="Q86" s="22"/>
    </row>
    <row r="87" ht="15.75" customHeight="1">
      <c r="A87" s="19"/>
      <c r="B87" s="19"/>
      <c r="C87" s="20"/>
      <c r="D87" s="20"/>
      <c r="E87" s="19"/>
      <c r="F87" s="19"/>
      <c r="G87" s="21"/>
      <c r="H87" s="19"/>
      <c r="I87" s="21"/>
      <c r="J87" s="19"/>
      <c r="K87" s="19"/>
      <c r="L87" s="19"/>
      <c r="M87" s="19"/>
      <c r="N87" s="19"/>
      <c r="O87" s="19"/>
      <c r="Q87" s="22"/>
    </row>
    <row r="88" ht="15.75" customHeight="1">
      <c r="A88" s="23"/>
      <c r="B88" s="23"/>
      <c r="C88" s="24"/>
      <c r="D88" s="24"/>
      <c r="E88" s="23"/>
      <c r="F88" s="23"/>
      <c r="G88" s="25"/>
      <c r="H88" s="23"/>
      <c r="I88" s="25"/>
      <c r="J88" s="23"/>
      <c r="K88" s="23"/>
      <c r="L88" s="23"/>
      <c r="M88" s="23"/>
      <c r="N88" s="23"/>
      <c r="O88" s="23"/>
      <c r="Q88" s="22"/>
    </row>
    <row r="89" ht="15.75" customHeight="1">
      <c r="A89" s="19"/>
      <c r="B89" s="19"/>
      <c r="C89" s="20"/>
      <c r="D89" s="20"/>
      <c r="E89" s="19"/>
      <c r="F89" s="19"/>
      <c r="G89" s="21"/>
      <c r="H89" s="19"/>
      <c r="I89" s="21"/>
      <c r="J89" s="19"/>
      <c r="K89" s="19"/>
      <c r="L89" s="19"/>
      <c r="M89" s="19"/>
      <c r="N89" s="19"/>
      <c r="O89" s="19"/>
      <c r="Q89" s="22"/>
    </row>
    <row r="90" ht="15.75" customHeight="1">
      <c r="A90" s="23"/>
      <c r="B90" s="23"/>
      <c r="C90" s="24"/>
      <c r="D90" s="24"/>
      <c r="E90" s="23"/>
      <c r="F90" s="23"/>
      <c r="G90" s="25"/>
      <c r="H90" s="23"/>
      <c r="I90" s="25"/>
      <c r="J90" s="23"/>
      <c r="K90" s="23"/>
      <c r="L90" s="23"/>
      <c r="M90" s="23"/>
      <c r="N90" s="23"/>
      <c r="O90" s="23"/>
      <c r="Q90" s="22"/>
    </row>
    <row r="91" ht="15.75" customHeight="1">
      <c r="A91" s="19"/>
      <c r="B91" s="19"/>
      <c r="C91" s="20"/>
      <c r="D91" s="20"/>
      <c r="E91" s="19"/>
      <c r="F91" s="19"/>
      <c r="G91" s="21"/>
      <c r="H91" s="19"/>
      <c r="I91" s="21"/>
      <c r="J91" s="19"/>
      <c r="K91" s="19"/>
      <c r="L91" s="19"/>
      <c r="M91" s="19"/>
      <c r="N91" s="19"/>
      <c r="O91" s="19"/>
      <c r="Q91" s="22"/>
    </row>
    <row r="92" ht="15.75" customHeight="1">
      <c r="A92" s="23"/>
      <c r="B92" s="23"/>
      <c r="C92" s="24"/>
      <c r="D92" s="24"/>
      <c r="E92" s="23"/>
      <c r="F92" s="23"/>
      <c r="G92" s="25"/>
      <c r="H92" s="23"/>
      <c r="I92" s="25"/>
      <c r="J92" s="23"/>
      <c r="K92" s="23"/>
      <c r="L92" s="23"/>
      <c r="M92" s="23"/>
      <c r="N92" s="23"/>
      <c r="O92" s="23"/>
      <c r="Q92" s="22"/>
    </row>
    <row r="93" ht="15.75" customHeight="1">
      <c r="A93" s="19"/>
      <c r="B93" s="19"/>
      <c r="C93" s="20"/>
      <c r="D93" s="20"/>
      <c r="E93" s="19"/>
      <c r="F93" s="19"/>
      <c r="G93" s="21"/>
      <c r="H93" s="19"/>
      <c r="I93" s="21"/>
      <c r="J93" s="19"/>
      <c r="K93" s="19"/>
      <c r="L93" s="19"/>
      <c r="M93" s="19"/>
      <c r="N93" s="19"/>
      <c r="O93" s="19"/>
      <c r="Q93" s="22"/>
    </row>
    <row r="94" ht="15.75" customHeight="1">
      <c r="A94" s="23"/>
      <c r="B94" s="23"/>
      <c r="C94" s="24"/>
      <c r="D94" s="24"/>
      <c r="E94" s="23"/>
      <c r="F94" s="23"/>
      <c r="G94" s="25"/>
      <c r="H94" s="23"/>
      <c r="I94" s="25"/>
      <c r="J94" s="23"/>
      <c r="K94" s="23"/>
      <c r="L94" s="23"/>
      <c r="M94" s="23"/>
      <c r="N94" s="23"/>
      <c r="O94" s="23"/>
      <c r="Q94" s="22"/>
    </row>
    <row r="95" ht="15.75" customHeight="1">
      <c r="A95" s="19"/>
      <c r="B95" s="19"/>
      <c r="C95" s="20"/>
      <c r="D95" s="20"/>
      <c r="E95" s="19"/>
      <c r="F95" s="19"/>
      <c r="G95" s="21"/>
      <c r="H95" s="19"/>
      <c r="I95" s="21"/>
      <c r="J95" s="19"/>
      <c r="K95" s="19"/>
      <c r="L95" s="19"/>
      <c r="M95" s="19"/>
      <c r="N95" s="19"/>
      <c r="O95" s="19"/>
      <c r="Q95" s="22"/>
    </row>
    <row r="96" ht="15.75" customHeight="1">
      <c r="A96" s="23"/>
      <c r="B96" s="23"/>
      <c r="C96" s="24"/>
      <c r="D96" s="24"/>
      <c r="E96" s="23"/>
      <c r="F96" s="23"/>
      <c r="G96" s="25"/>
      <c r="H96" s="23"/>
      <c r="I96" s="25"/>
      <c r="J96" s="23"/>
      <c r="K96" s="23"/>
      <c r="L96" s="23"/>
      <c r="M96" s="23"/>
      <c r="N96" s="23"/>
      <c r="O96" s="23"/>
      <c r="Q96" s="22"/>
    </row>
    <row r="97" ht="15.75" customHeight="1">
      <c r="A97" s="19"/>
      <c r="B97" s="19"/>
      <c r="C97" s="20"/>
      <c r="D97" s="20"/>
      <c r="E97" s="19"/>
      <c r="F97" s="19"/>
      <c r="G97" s="21"/>
      <c r="H97" s="19"/>
      <c r="I97" s="21"/>
      <c r="J97" s="19"/>
      <c r="K97" s="19"/>
      <c r="L97" s="19"/>
      <c r="M97" s="19"/>
      <c r="N97" s="19"/>
      <c r="O97" s="19"/>
      <c r="Q97" s="22"/>
    </row>
    <row r="98" ht="15.75" customHeight="1">
      <c r="A98" s="23"/>
      <c r="B98" s="23"/>
      <c r="C98" s="24"/>
      <c r="D98" s="24"/>
      <c r="E98" s="23"/>
      <c r="F98" s="23"/>
      <c r="G98" s="25"/>
      <c r="H98" s="23"/>
      <c r="I98" s="25"/>
      <c r="J98" s="23"/>
      <c r="K98" s="23"/>
      <c r="L98" s="23"/>
      <c r="M98" s="23"/>
      <c r="N98" s="23"/>
      <c r="O98" s="23"/>
      <c r="Q98" s="22"/>
    </row>
    <row r="99" ht="15.75" customHeight="1">
      <c r="A99" s="19"/>
      <c r="B99" s="19"/>
      <c r="C99" s="20"/>
      <c r="D99" s="20"/>
      <c r="E99" s="19"/>
      <c r="F99" s="19"/>
      <c r="G99" s="21"/>
      <c r="H99" s="19"/>
      <c r="I99" s="21"/>
      <c r="J99" s="19"/>
      <c r="K99" s="19"/>
      <c r="L99" s="19"/>
      <c r="M99" s="19"/>
      <c r="N99" s="19"/>
      <c r="O99" s="19"/>
      <c r="Q99" s="22"/>
    </row>
    <row r="100" ht="15.75" customHeight="1">
      <c r="A100" s="23"/>
      <c r="B100" s="23"/>
      <c r="C100" s="24"/>
      <c r="D100" s="24"/>
      <c r="E100" s="23"/>
      <c r="F100" s="23"/>
      <c r="G100" s="25"/>
      <c r="H100" s="23"/>
      <c r="I100" s="25"/>
      <c r="J100" s="23"/>
      <c r="K100" s="23"/>
      <c r="L100" s="23"/>
      <c r="M100" s="23"/>
      <c r="N100" s="23"/>
      <c r="O100" s="23"/>
      <c r="Q100" s="22"/>
    </row>
    <row r="101" ht="15.75" customHeight="1">
      <c r="A101" s="19"/>
      <c r="B101" s="19"/>
      <c r="C101" s="20"/>
      <c r="D101" s="20"/>
      <c r="E101" s="19"/>
      <c r="F101" s="19"/>
      <c r="G101" s="21"/>
      <c r="H101" s="19"/>
      <c r="I101" s="21"/>
      <c r="J101" s="19"/>
      <c r="K101" s="19"/>
      <c r="L101" s="19"/>
      <c r="M101" s="19"/>
      <c r="N101" s="19"/>
      <c r="O101" s="19"/>
      <c r="Q101" s="22"/>
    </row>
    <row r="102" ht="15.75" customHeight="1">
      <c r="A102" s="23"/>
      <c r="B102" s="23"/>
      <c r="C102" s="24"/>
      <c r="D102" s="24"/>
      <c r="E102" s="23"/>
      <c r="F102" s="23"/>
      <c r="G102" s="25"/>
      <c r="H102" s="23"/>
      <c r="I102" s="25"/>
      <c r="J102" s="23"/>
      <c r="K102" s="23"/>
      <c r="L102" s="23"/>
      <c r="M102" s="23"/>
      <c r="N102" s="23"/>
      <c r="O102" s="23"/>
      <c r="Q102" s="22"/>
    </row>
    <row r="103" ht="15.75" customHeight="1">
      <c r="A103" s="19"/>
      <c r="B103" s="19"/>
      <c r="C103" s="20"/>
      <c r="D103" s="20"/>
      <c r="E103" s="19"/>
      <c r="F103" s="19"/>
      <c r="G103" s="21"/>
      <c r="H103" s="19"/>
      <c r="I103" s="21"/>
      <c r="J103" s="19"/>
      <c r="K103" s="19"/>
      <c r="L103" s="19"/>
      <c r="M103" s="19"/>
      <c r="N103" s="19"/>
      <c r="O103" s="19"/>
      <c r="Q103" s="22"/>
    </row>
    <row r="104" ht="15.75" customHeight="1">
      <c r="A104" s="23"/>
      <c r="B104" s="23"/>
      <c r="C104" s="24"/>
      <c r="D104" s="24"/>
      <c r="E104" s="23"/>
      <c r="F104" s="23"/>
      <c r="G104" s="25"/>
      <c r="H104" s="23"/>
      <c r="I104" s="25"/>
      <c r="J104" s="23"/>
      <c r="K104" s="23"/>
      <c r="L104" s="23"/>
      <c r="M104" s="23"/>
      <c r="N104" s="23"/>
      <c r="O104" s="23"/>
      <c r="Q104" s="22"/>
    </row>
    <row r="105" ht="15.75" customHeight="1">
      <c r="A105" s="19"/>
      <c r="B105" s="19"/>
      <c r="C105" s="20"/>
      <c r="D105" s="20"/>
      <c r="E105" s="19"/>
      <c r="F105" s="19"/>
      <c r="G105" s="21"/>
      <c r="H105" s="19"/>
      <c r="I105" s="21"/>
      <c r="J105" s="19"/>
      <c r="K105" s="19"/>
      <c r="L105" s="19"/>
      <c r="M105" s="19"/>
      <c r="N105" s="19"/>
      <c r="O105" s="19"/>
      <c r="Q105" s="22"/>
    </row>
    <row r="106" ht="15.75" customHeight="1">
      <c r="A106" s="23"/>
      <c r="B106" s="23"/>
      <c r="C106" s="24"/>
      <c r="D106" s="24"/>
      <c r="E106" s="23"/>
      <c r="F106" s="23"/>
      <c r="G106" s="25"/>
      <c r="H106" s="23"/>
      <c r="I106" s="25"/>
      <c r="J106" s="23"/>
      <c r="K106" s="23"/>
      <c r="L106" s="23"/>
      <c r="M106" s="23"/>
      <c r="N106" s="23"/>
      <c r="O106" s="23"/>
      <c r="Q106" s="22"/>
    </row>
    <row r="107" ht="15.75" customHeight="1">
      <c r="A107" s="19"/>
      <c r="B107" s="19"/>
      <c r="C107" s="20"/>
      <c r="D107" s="20"/>
      <c r="E107" s="19"/>
      <c r="F107" s="19"/>
      <c r="G107" s="21"/>
      <c r="H107" s="19"/>
      <c r="I107" s="21"/>
      <c r="J107" s="19"/>
      <c r="K107" s="19"/>
      <c r="L107" s="19"/>
      <c r="M107" s="19"/>
      <c r="N107" s="19"/>
      <c r="O107" s="19"/>
      <c r="Q107" s="22"/>
    </row>
    <row r="108" ht="15.75" customHeight="1">
      <c r="A108" s="23"/>
      <c r="B108" s="23"/>
      <c r="C108" s="24"/>
      <c r="D108" s="24"/>
      <c r="E108" s="23"/>
      <c r="F108" s="23"/>
      <c r="G108" s="25"/>
      <c r="H108" s="23"/>
      <c r="I108" s="25"/>
      <c r="J108" s="23"/>
      <c r="K108" s="23"/>
      <c r="L108" s="23"/>
      <c r="M108" s="23"/>
      <c r="N108" s="23"/>
      <c r="O108" s="23"/>
      <c r="Q108" s="22"/>
    </row>
    <row r="109" ht="15.75" customHeight="1">
      <c r="A109" s="19"/>
      <c r="B109" s="19"/>
      <c r="C109" s="20"/>
      <c r="D109" s="20"/>
      <c r="E109" s="19"/>
      <c r="F109" s="19"/>
      <c r="G109" s="21"/>
      <c r="H109" s="19"/>
      <c r="I109" s="21"/>
      <c r="J109" s="19"/>
      <c r="K109" s="19"/>
      <c r="L109" s="19"/>
      <c r="M109" s="19"/>
      <c r="N109" s="19"/>
      <c r="O109" s="19"/>
      <c r="Q109" s="22"/>
    </row>
    <row r="110" ht="15.75" customHeight="1">
      <c r="A110" s="23"/>
      <c r="B110" s="23"/>
      <c r="C110" s="24"/>
      <c r="D110" s="24"/>
      <c r="E110" s="23"/>
      <c r="F110" s="23"/>
      <c r="G110" s="25"/>
      <c r="H110" s="23"/>
      <c r="I110" s="25"/>
      <c r="J110" s="23"/>
      <c r="K110" s="23"/>
      <c r="L110" s="23"/>
      <c r="M110" s="23"/>
      <c r="N110" s="23"/>
      <c r="O110" s="23"/>
      <c r="Q110" s="22"/>
    </row>
    <row r="111" ht="15.75" customHeight="1">
      <c r="A111" s="19"/>
      <c r="B111" s="19"/>
      <c r="C111" s="20"/>
      <c r="D111" s="20"/>
      <c r="E111" s="19"/>
      <c r="F111" s="19"/>
      <c r="G111" s="21"/>
      <c r="H111" s="19"/>
      <c r="I111" s="21"/>
      <c r="J111" s="19"/>
      <c r="K111" s="19"/>
      <c r="L111" s="19"/>
      <c r="M111" s="19"/>
      <c r="N111" s="19"/>
      <c r="O111" s="19"/>
      <c r="Q111" s="22"/>
    </row>
    <row r="112" ht="15.75" customHeight="1">
      <c r="A112" s="23"/>
      <c r="B112" s="23"/>
      <c r="C112" s="24"/>
      <c r="D112" s="24"/>
      <c r="E112" s="23"/>
      <c r="F112" s="23"/>
      <c r="G112" s="25"/>
      <c r="H112" s="23"/>
      <c r="I112" s="25"/>
      <c r="J112" s="23"/>
      <c r="K112" s="23"/>
      <c r="L112" s="23"/>
      <c r="M112" s="23"/>
      <c r="N112" s="23"/>
      <c r="O112" s="23"/>
      <c r="Q112" s="22"/>
    </row>
    <row r="113" ht="15.75" customHeight="1">
      <c r="A113" s="19"/>
      <c r="B113" s="19"/>
      <c r="C113" s="20"/>
      <c r="D113" s="20"/>
      <c r="E113" s="19"/>
      <c r="F113" s="19"/>
      <c r="G113" s="21"/>
      <c r="H113" s="19"/>
      <c r="I113" s="21"/>
      <c r="J113" s="19"/>
      <c r="K113" s="19"/>
      <c r="L113" s="19"/>
      <c r="M113" s="19"/>
      <c r="N113" s="19"/>
      <c r="O113" s="19"/>
      <c r="Q113" s="22"/>
    </row>
    <row r="114" ht="15.75" customHeight="1">
      <c r="A114" s="23"/>
      <c r="B114" s="23"/>
      <c r="C114" s="24"/>
      <c r="D114" s="24"/>
      <c r="E114" s="23"/>
      <c r="F114" s="23"/>
      <c r="G114" s="25"/>
      <c r="H114" s="23"/>
      <c r="I114" s="25"/>
      <c r="J114" s="23"/>
      <c r="K114" s="23"/>
      <c r="L114" s="23"/>
      <c r="M114" s="23"/>
      <c r="N114" s="23"/>
      <c r="O114" s="23"/>
      <c r="Q114" s="22"/>
    </row>
    <row r="115" ht="15.75" customHeight="1">
      <c r="A115" s="19"/>
      <c r="B115" s="19"/>
      <c r="C115" s="20"/>
      <c r="D115" s="20"/>
      <c r="E115" s="19"/>
      <c r="F115" s="19"/>
      <c r="G115" s="21"/>
      <c r="H115" s="19"/>
      <c r="I115" s="21"/>
      <c r="J115" s="19"/>
      <c r="K115" s="19"/>
      <c r="L115" s="19"/>
      <c r="M115" s="19"/>
      <c r="N115" s="19"/>
      <c r="O115" s="19"/>
      <c r="Q115" s="22"/>
    </row>
    <row r="116" ht="15.75" customHeight="1">
      <c r="A116" s="23"/>
      <c r="B116" s="23"/>
      <c r="C116" s="24"/>
      <c r="D116" s="24"/>
      <c r="E116" s="23"/>
      <c r="F116" s="23"/>
      <c r="G116" s="25"/>
      <c r="H116" s="23"/>
      <c r="I116" s="25"/>
      <c r="J116" s="23"/>
      <c r="K116" s="23"/>
      <c r="L116" s="23"/>
      <c r="M116" s="23"/>
      <c r="N116" s="23"/>
      <c r="O116" s="23"/>
      <c r="Q116" s="22"/>
    </row>
    <row r="117" ht="15.75" customHeight="1">
      <c r="A117" s="19"/>
      <c r="B117" s="19"/>
      <c r="C117" s="20"/>
      <c r="D117" s="20"/>
      <c r="E117" s="19"/>
      <c r="F117" s="19"/>
      <c r="G117" s="21"/>
      <c r="H117" s="19"/>
      <c r="I117" s="21"/>
      <c r="J117" s="19"/>
      <c r="K117" s="19"/>
      <c r="L117" s="19"/>
      <c r="M117" s="19"/>
      <c r="N117" s="19"/>
      <c r="O117" s="19"/>
      <c r="Q117" s="22"/>
    </row>
    <row r="118" ht="15.75" customHeight="1">
      <c r="A118" s="23"/>
      <c r="B118" s="23"/>
      <c r="C118" s="24"/>
      <c r="D118" s="24"/>
      <c r="E118" s="23"/>
      <c r="F118" s="23"/>
      <c r="G118" s="25"/>
      <c r="H118" s="23"/>
      <c r="I118" s="25"/>
      <c r="J118" s="23"/>
      <c r="K118" s="23"/>
      <c r="L118" s="23"/>
      <c r="M118" s="23"/>
      <c r="N118" s="23"/>
      <c r="O118" s="23"/>
      <c r="Q118" s="22"/>
    </row>
    <row r="119" ht="15.75" customHeight="1">
      <c r="A119" s="19"/>
      <c r="B119" s="19"/>
      <c r="C119" s="20"/>
      <c r="D119" s="20"/>
      <c r="E119" s="19"/>
      <c r="F119" s="19"/>
      <c r="G119" s="21"/>
      <c r="H119" s="19"/>
      <c r="I119" s="21"/>
      <c r="J119" s="19"/>
      <c r="K119" s="19"/>
      <c r="L119" s="19"/>
      <c r="M119" s="19"/>
      <c r="N119" s="19"/>
      <c r="O119" s="19"/>
      <c r="Q119" s="22"/>
    </row>
    <row r="120" ht="15.75" customHeight="1">
      <c r="A120" s="23"/>
      <c r="B120" s="23"/>
      <c r="C120" s="24"/>
      <c r="D120" s="24"/>
      <c r="E120" s="23"/>
      <c r="F120" s="23"/>
      <c r="G120" s="25"/>
      <c r="H120" s="23"/>
      <c r="I120" s="25"/>
      <c r="J120" s="23"/>
      <c r="K120" s="23"/>
      <c r="L120" s="23"/>
      <c r="M120" s="23"/>
      <c r="N120" s="23"/>
      <c r="O120" s="23"/>
      <c r="Q120" s="22"/>
    </row>
    <row r="121" ht="15.75" customHeight="1">
      <c r="A121" s="19"/>
      <c r="B121" s="19"/>
      <c r="C121" s="20"/>
      <c r="D121" s="20"/>
      <c r="E121" s="19"/>
      <c r="F121" s="19"/>
      <c r="G121" s="21"/>
      <c r="H121" s="19"/>
      <c r="I121" s="21"/>
      <c r="J121" s="19"/>
      <c r="K121" s="19"/>
      <c r="L121" s="19"/>
      <c r="M121" s="19"/>
      <c r="N121" s="19"/>
      <c r="O121" s="19"/>
      <c r="Q121" s="22"/>
    </row>
    <row r="122" ht="15.75" customHeight="1">
      <c r="A122" s="23"/>
      <c r="B122" s="23"/>
      <c r="C122" s="24"/>
      <c r="D122" s="24"/>
      <c r="E122" s="23"/>
      <c r="F122" s="23"/>
      <c r="G122" s="25"/>
      <c r="H122" s="23"/>
      <c r="I122" s="25"/>
      <c r="J122" s="23"/>
      <c r="K122" s="23"/>
      <c r="L122" s="23"/>
      <c r="M122" s="23"/>
      <c r="N122" s="23"/>
      <c r="O122" s="23"/>
      <c r="Q122" s="22"/>
    </row>
    <row r="123" ht="15.75" customHeight="1">
      <c r="A123" s="19"/>
      <c r="B123" s="19"/>
      <c r="C123" s="20"/>
      <c r="D123" s="20"/>
      <c r="E123" s="19"/>
      <c r="F123" s="19"/>
      <c r="G123" s="21"/>
      <c r="H123" s="19"/>
      <c r="I123" s="21"/>
      <c r="J123" s="19"/>
      <c r="K123" s="19"/>
      <c r="L123" s="19"/>
      <c r="M123" s="19"/>
      <c r="N123" s="19"/>
      <c r="O123" s="19"/>
      <c r="Q123" s="22"/>
    </row>
    <row r="124" ht="15.75" customHeight="1">
      <c r="A124" s="23"/>
      <c r="B124" s="23"/>
      <c r="C124" s="24"/>
      <c r="D124" s="24"/>
      <c r="E124" s="23"/>
      <c r="F124" s="23"/>
      <c r="G124" s="25"/>
      <c r="H124" s="23"/>
      <c r="I124" s="25"/>
      <c r="J124" s="23"/>
      <c r="K124" s="23"/>
      <c r="L124" s="23"/>
      <c r="M124" s="23"/>
      <c r="N124" s="23"/>
      <c r="O124" s="23"/>
      <c r="Q124" s="22"/>
    </row>
    <row r="125" ht="15.75" customHeight="1">
      <c r="A125" s="19"/>
      <c r="B125" s="19"/>
      <c r="C125" s="20"/>
      <c r="D125" s="20"/>
      <c r="E125" s="19"/>
      <c r="F125" s="19"/>
      <c r="G125" s="21"/>
      <c r="H125" s="19"/>
      <c r="I125" s="21"/>
      <c r="J125" s="19"/>
      <c r="K125" s="19"/>
      <c r="L125" s="19"/>
      <c r="M125" s="19"/>
      <c r="N125" s="19"/>
      <c r="O125" s="19"/>
      <c r="Q125" s="22"/>
    </row>
    <row r="126" ht="15.75" customHeight="1">
      <c r="A126" s="23"/>
      <c r="B126" s="23"/>
      <c r="C126" s="24"/>
      <c r="D126" s="24"/>
      <c r="E126" s="23"/>
      <c r="F126" s="23"/>
      <c r="G126" s="25"/>
      <c r="H126" s="23"/>
      <c r="I126" s="25"/>
      <c r="J126" s="23"/>
      <c r="K126" s="23"/>
      <c r="L126" s="23"/>
      <c r="M126" s="23"/>
      <c r="N126" s="23"/>
      <c r="O126" s="23"/>
      <c r="Q126" s="22"/>
    </row>
    <row r="127" ht="15.75" customHeight="1">
      <c r="A127" s="19"/>
      <c r="B127" s="19"/>
      <c r="C127" s="20"/>
      <c r="D127" s="20"/>
      <c r="E127" s="19"/>
      <c r="F127" s="19"/>
      <c r="G127" s="21"/>
      <c r="H127" s="19"/>
      <c r="I127" s="21"/>
      <c r="J127" s="19"/>
      <c r="K127" s="19"/>
      <c r="L127" s="19"/>
      <c r="M127" s="19"/>
      <c r="N127" s="19"/>
      <c r="O127" s="19"/>
      <c r="Q127" s="22"/>
    </row>
    <row r="128" ht="15.75" customHeight="1">
      <c r="A128" s="23"/>
      <c r="B128" s="23"/>
      <c r="C128" s="24"/>
      <c r="D128" s="24"/>
      <c r="E128" s="23"/>
      <c r="F128" s="23"/>
      <c r="G128" s="25"/>
      <c r="H128" s="23"/>
      <c r="I128" s="25"/>
      <c r="J128" s="23"/>
      <c r="K128" s="23"/>
      <c r="L128" s="23"/>
      <c r="M128" s="23"/>
      <c r="N128" s="23"/>
      <c r="O128" s="23"/>
      <c r="Q128" s="22"/>
    </row>
    <row r="129" ht="15.75" customHeight="1">
      <c r="A129" s="19"/>
      <c r="B129" s="19"/>
      <c r="C129" s="20"/>
      <c r="D129" s="20"/>
      <c r="E129" s="19"/>
      <c r="F129" s="19"/>
      <c r="G129" s="21"/>
      <c r="H129" s="19"/>
      <c r="I129" s="21"/>
      <c r="J129" s="19"/>
      <c r="K129" s="19"/>
      <c r="L129" s="19"/>
      <c r="M129" s="19"/>
      <c r="N129" s="19"/>
      <c r="O129" s="19"/>
      <c r="Q129" s="22"/>
    </row>
    <row r="130" ht="15.75" customHeight="1">
      <c r="A130" s="23"/>
      <c r="B130" s="23"/>
      <c r="C130" s="24"/>
      <c r="D130" s="24"/>
      <c r="E130" s="23"/>
      <c r="F130" s="23"/>
      <c r="G130" s="25"/>
      <c r="H130" s="23"/>
      <c r="I130" s="25"/>
      <c r="J130" s="23"/>
      <c r="K130" s="23"/>
      <c r="L130" s="23"/>
      <c r="M130" s="23"/>
      <c r="N130" s="23"/>
      <c r="O130" s="23"/>
      <c r="Q130" s="22"/>
    </row>
    <row r="131" ht="15.75" customHeight="1">
      <c r="A131" s="19"/>
      <c r="B131" s="19"/>
      <c r="C131" s="20"/>
      <c r="D131" s="20"/>
      <c r="E131" s="19"/>
      <c r="F131" s="19"/>
      <c r="G131" s="21"/>
      <c r="H131" s="19"/>
      <c r="I131" s="21"/>
      <c r="J131" s="19"/>
      <c r="K131" s="19"/>
      <c r="L131" s="19"/>
      <c r="M131" s="19"/>
      <c r="N131" s="19"/>
      <c r="O131" s="19"/>
      <c r="Q131" s="22"/>
    </row>
    <row r="132" ht="15.75" customHeight="1">
      <c r="A132" s="23"/>
      <c r="B132" s="23"/>
      <c r="C132" s="24"/>
      <c r="D132" s="24"/>
      <c r="E132" s="23"/>
      <c r="F132" s="23"/>
      <c r="G132" s="25"/>
      <c r="H132" s="23"/>
      <c r="I132" s="25"/>
      <c r="J132" s="23"/>
      <c r="K132" s="23"/>
      <c r="L132" s="23"/>
      <c r="M132" s="23"/>
      <c r="N132" s="23"/>
      <c r="O132" s="23"/>
      <c r="Q132" s="22"/>
    </row>
    <row r="133" ht="15.75" customHeight="1">
      <c r="A133" s="19"/>
      <c r="B133" s="19"/>
      <c r="C133" s="20"/>
      <c r="D133" s="20"/>
      <c r="E133" s="19"/>
      <c r="F133" s="19"/>
      <c r="G133" s="21"/>
      <c r="H133" s="19"/>
      <c r="I133" s="21"/>
      <c r="J133" s="19"/>
      <c r="K133" s="19"/>
      <c r="L133" s="19"/>
      <c r="M133" s="19"/>
      <c r="N133" s="19"/>
      <c r="O133" s="19"/>
      <c r="Q133" s="22"/>
    </row>
    <row r="134" ht="15.75" customHeight="1">
      <c r="A134" s="23"/>
      <c r="B134" s="23"/>
      <c r="C134" s="24"/>
      <c r="D134" s="24"/>
      <c r="E134" s="23"/>
      <c r="F134" s="23"/>
      <c r="G134" s="25"/>
      <c r="H134" s="23"/>
      <c r="I134" s="25"/>
      <c r="J134" s="23"/>
      <c r="K134" s="23"/>
      <c r="L134" s="23"/>
      <c r="M134" s="23"/>
      <c r="N134" s="23"/>
      <c r="O134" s="23"/>
      <c r="Q134" s="22"/>
    </row>
    <row r="135" ht="15.75" customHeight="1">
      <c r="A135" s="19"/>
      <c r="B135" s="19"/>
      <c r="C135" s="20"/>
      <c r="D135" s="20"/>
      <c r="E135" s="19"/>
      <c r="F135" s="19"/>
      <c r="G135" s="21"/>
      <c r="H135" s="19"/>
      <c r="I135" s="21"/>
      <c r="J135" s="19"/>
      <c r="K135" s="19"/>
      <c r="L135" s="19"/>
      <c r="M135" s="19"/>
      <c r="N135" s="19"/>
      <c r="O135" s="19"/>
      <c r="Q135" s="22"/>
    </row>
    <row r="136" ht="15.75" customHeight="1">
      <c r="A136" s="23"/>
      <c r="B136" s="23"/>
      <c r="C136" s="24"/>
      <c r="D136" s="24"/>
      <c r="E136" s="23"/>
      <c r="F136" s="23"/>
      <c r="G136" s="25"/>
      <c r="H136" s="23"/>
      <c r="I136" s="25"/>
      <c r="J136" s="23"/>
      <c r="K136" s="23"/>
      <c r="L136" s="23"/>
      <c r="M136" s="23"/>
      <c r="N136" s="23"/>
      <c r="O136" s="23"/>
      <c r="Q136" s="22"/>
    </row>
    <row r="137" ht="15.75" customHeight="1">
      <c r="A137" s="19"/>
      <c r="B137" s="19"/>
      <c r="C137" s="20"/>
      <c r="D137" s="20"/>
      <c r="E137" s="19"/>
      <c r="F137" s="19"/>
      <c r="G137" s="21"/>
      <c r="H137" s="19"/>
      <c r="I137" s="21"/>
      <c r="J137" s="19"/>
      <c r="K137" s="19"/>
      <c r="L137" s="19"/>
      <c r="M137" s="19"/>
      <c r="N137" s="19"/>
      <c r="O137" s="19"/>
      <c r="Q137" s="22"/>
    </row>
    <row r="138" ht="15.75" customHeight="1">
      <c r="A138" s="23"/>
      <c r="B138" s="23"/>
      <c r="C138" s="24"/>
      <c r="D138" s="24"/>
      <c r="E138" s="23"/>
      <c r="F138" s="23"/>
      <c r="G138" s="25"/>
      <c r="H138" s="23"/>
      <c r="I138" s="25"/>
      <c r="J138" s="23"/>
      <c r="K138" s="23"/>
      <c r="L138" s="23"/>
      <c r="M138" s="23"/>
      <c r="N138" s="23"/>
      <c r="O138" s="23"/>
      <c r="Q138" s="22"/>
    </row>
    <row r="139" ht="15.75" customHeight="1">
      <c r="A139" s="19"/>
      <c r="B139" s="19"/>
      <c r="C139" s="20"/>
      <c r="D139" s="20"/>
      <c r="E139" s="19"/>
      <c r="F139" s="19"/>
      <c r="G139" s="21"/>
      <c r="H139" s="19"/>
      <c r="I139" s="21"/>
      <c r="J139" s="19"/>
      <c r="K139" s="19"/>
      <c r="L139" s="19"/>
      <c r="M139" s="19"/>
      <c r="N139" s="19"/>
      <c r="O139" s="19"/>
      <c r="Q139" s="22"/>
    </row>
    <row r="140" ht="15.75" customHeight="1">
      <c r="A140" s="23"/>
      <c r="B140" s="23"/>
      <c r="C140" s="24"/>
      <c r="D140" s="24"/>
      <c r="E140" s="23"/>
      <c r="F140" s="23"/>
      <c r="G140" s="25"/>
      <c r="H140" s="23"/>
      <c r="I140" s="25"/>
      <c r="J140" s="23"/>
      <c r="K140" s="23"/>
      <c r="L140" s="23"/>
      <c r="M140" s="23"/>
      <c r="N140" s="23"/>
      <c r="O140" s="23"/>
      <c r="Q140" s="22"/>
    </row>
    <row r="141" ht="15.75" customHeight="1">
      <c r="A141" s="19"/>
      <c r="B141" s="19"/>
      <c r="C141" s="20"/>
      <c r="D141" s="20"/>
      <c r="E141" s="19"/>
      <c r="F141" s="19"/>
      <c r="G141" s="21"/>
      <c r="H141" s="19"/>
      <c r="I141" s="21"/>
      <c r="J141" s="19"/>
      <c r="K141" s="19"/>
      <c r="L141" s="19"/>
      <c r="M141" s="19"/>
      <c r="N141" s="19"/>
      <c r="O141" s="19"/>
      <c r="Q141" s="22"/>
    </row>
    <row r="142" ht="15.75" customHeight="1">
      <c r="A142" s="23"/>
      <c r="B142" s="23"/>
      <c r="C142" s="24"/>
      <c r="D142" s="24"/>
      <c r="E142" s="23"/>
      <c r="F142" s="23"/>
      <c r="G142" s="25"/>
      <c r="H142" s="23"/>
      <c r="I142" s="25"/>
      <c r="J142" s="23"/>
      <c r="K142" s="23"/>
      <c r="L142" s="23"/>
      <c r="M142" s="23"/>
      <c r="N142" s="23"/>
      <c r="O142" s="23"/>
      <c r="Q142" s="22"/>
    </row>
    <row r="143" ht="15.75" customHeight="1">
      <c r="A143" s="19"/>
      <c r="B143" s="19"/>
      <c r="C143" s="20"/>
      <c r="D143" s="20"/>
      <c r="E143" s="19"/>
      <c r="F143" s="19"/>
      <c r="G143" s="21"/>
      <c r="H143" s="19"/>
      <c r="I143" s="21"/>
      <c r="J143" s="19"/>
      <c r="K143" s="19"/>
      <c r="L143" s="19"/>
      <c r="M143" s="19"/>
      <c r="N143" s="19"/>
      <c r="O143" s="19"/>
      <c r="Q143" s="22"/>
    </row>
    <row r="144" ht="15.75" customHeight="1">
      <c r="A144" s="23"/>
      <c r="B144" s="23"/>
      <c r="C144" s="24"/>
      <c r="D144" s="24"/>
      <c r="E144" s="23"/>
      <c r="F144" s="23"/>
      <c r="G144" s="25"/>
      <c r="H144" s="23"/>
      <c r="I144" s="25"/>
      <c r="J144" s="23"/>
      <c r="K144" s="23"/>
      <c r="L144" s="23"/>
      <c r="M144" s="23"/>
      <c r="N144" s="23"/>
      <c r="O144" s="23"/>
      <c r="Q144" s="22"/>
    </row>
    <row r="145" ht="15.75" customHeight="1">
      <c r="A145" s="19"/>
      <c r="B145" s="19"/>
      <c r="C145" s="20"/>
      <c r="D145" s="20"/>
      <c r="E145" s="19"/>
      <c r="F145" s="19"/>
      <c r="G145" s="21"/>
      <c r="H145" s="19"/>
      <c r="I145" s="21"/>
      <c r="J145" s="19"/>
      <c r="K145" s="19"/>
      <c r="L145" s="19"/>
      <c r="M145" s="19"/>
      <c r="N145" s="19"/>
      <c r="O145" s="19"/>
      <c r="Q145" s="22"/>
    </row>
    <row r="146" ht="15.75" customHeight="1">
      <c r="A146" s="23"/>
      <c r="B146" s="23"/>
      <c r="C146" s="24"/>
      <c r="D146" s="24"/>
      <c r="E146" s="23"/>
      <c r="F146" s="23"/>
      <c r="G146" s="25"/>
      <c r="H146" s="23"/>
      <c r="I146" s="25"/>
      <c r="J146" s="23"/>
      <c r="K146" s="23"/>
      <c r="L146" s="23"/>
      <c r="M146" s="23"/>
      <c r="N146" s="23"/>
      <c r="O146" s="23"/>
      <c r="Q146" s="22"/>
    </row>
    <row r="147" ht="15.75" customHeight="1">
      <c r="A147" s="19"/>
      <c r="B147" s="19"/>
      <c r="C147" s="20"/>
      <c r="D147" s="20"/>
      <c r="E147" s="19"/>
      <c r="F147" s="19"/>
      <c r="G147" s="21"/>
      <c r="H147" s="19"/>
      <c r="I147" s="21"/>
      <c r="J147" s="19"/>
      <c r="K147" s="19"/>
      <c r="L147" s="19"/>
      <c r="M147" s="19"/>
      <c r="N147" s="19"/>
      <c r="O147" s="19"/>
      <c r="Q147" s="22"/>
    </row>
    <row r="148" ht="15.75" customHeight="1">
      <c r="A148" s="23"/>
      <c r="B148" s="23"/>
      <c r="C148" s="24"/>
      <c r="D148" s="24"/>
      <c r="E148" s="23"/>
      <c r="F148" s="23"/>
      <c r="G148" s="25"/>
      <c r="H148" s="23"/>
      <c r="I148" s="25"/>
      <c r="J148" s="23"/>
      <c r="K148" s="23"/>
      <c r="L148" s="23"/>
      <c r="M148" s="23"/>
      <c r="N148" s="23"/>
      <c r="O148" s="23"/>
      <c r="Q148" s="22"/>
    </row>
    <row r="149" ht="15.75" customHeight="1">
      <c r="A149" s="19"/>
      <c r="B149" s="19"/>
      <c r="C149" s="20"/>
      <c r="D149" s="20"/>
      <c r="E149" s="19"/>
      <c r="F149" s="19"/>
      <c r="G149" s="21"/>
      <c r="H149" s="19"/>
      <c r="I149" s="21"/>
      <c r="J149" s="19"/>
      <c r="K149" s="19"/>
      <c r="L149" s="19"/>
      <c r="M149" s="19"/>
      <c r="N149" s="19"/>
      <c r="O149" s="19"/>
      <c r="Q149" s="22"/>
    </row>
    <row r="150" ht="15.75" customHeight="1">
      <c r="A150" s="23"/>
      <c r="B150" s="23"/>
      <c r="C150" s="24"/>
      <c r="D150" s="24"/>
      <c r="E150" s="23"/>
      <c r="F150" s="23"/>
      <c r="G150" s="25"/>
      <c r="H150" s="23"/>
      <c r="I150" s="25"/>
      <c r="J150" s="23"/>
      <c r="K150" s="23"/>
      <c r="L150" s="23"/>
      <c r="M150" s="23"/>
      <c r="N150" s="23"/>
      <c r="O150" s="23"/>
      <c r="Q150" s="22"/>
    </row>
    <row r="151" ht="15.75" customHeight="1">
      <c r="A151" s="19"/>
      <c r="B151" s="19"/>
      <c r="C151" s="20"/>
      <c r="D151" s="20"/>
      <c r="E151" s="19"/>
      <c r="F151" s="19"/>
      <c r="G151" s="21"/>
      <c r="H151" s="19"/>
      <c r="I151" s="21"/>
      <c r="J151" s="19"/>
      <c r="K151" s="19"/>
      <c r="L151" s="19"/>
      <c r="M151" s="19"/>
      <c r="N151" s="19"/>
      <c r="O151" s="19"/>
      <c r="Q151" s="22"/>
    </row>
    <row r="152" ht="15.75" customHeight="1">
      <c r="A152" s="23"/>
      <c r="B152" s="23"/>
      <c r="C152" s="24"/>
      <c r="D152" s="24"/>
      <c r="E152" s="23"/>
      <c r="F152" s="23"/>
      <c r="G152" s="25"/>
      <c r="H152" s="23"/>
      <c r="I152" s="25"/>
      <c r="J152" s="23"/>
      <c r="K152" s="23"/>
      <c r="L152" s="23"/>
      <c r="M152" s="23"/>
      <c r="N152" s="23"/>
      <c r="O152" s="23"/>
      <c r="Q152" s="22"/>
    </row>
    <row r="153" ht="15.75" customHeight="1">
      <c r="A153" s="19"/>
      <c r="B153" s="19"/>
      <c r="C153" s="20"/>
      <c r="D153" s="20"/>
      <c r="E153" s="19"/>
      <c r="F153" s="19"/>
      <c r="G153" s="21"/>
      <c r="H153" s="19"/>
      <c r="I153" s="21"/>
      <c r="J153" s="19"/>
      <c r="K153" s="19"/>
      <c r="L153" s="19"/>
      <c r="M153" s="19"/>
      <c r="N153" s="19"/>
      <c r="O153" s="19"/>
      <c r="Q153" s="22"/>
    </row>
    <row r="154" ht="15.75" customHeight="1">
      <c r="A154" s="23"/>
      <c r="B154" s="23"/>
      <c r="C154" s="24"/>
      <c r="D154" s="24"/>
      <c r="E154" s="23"/>
      <c r="F154" s="23"/>
      <c r="G154" s="25"/>
      <c r="H154" s="23"/>
      <c r="I154" s="25"/>
      <c r="J154" s="23"/>
      <c r="K154" s="23"/>
      <c r="L154" s="23"/>
      <c r="M154" s="23"/>
      <c r="N154" s="23"/>
      <c r="O154" s="23"/>
      <c r="Q154" s="22"/>
    </row>
    <row r="155" ht="15.75" customHeight="1">
      <c r="A155" s="19"/>
      <c r="B155" s="19"/>
      <c r="C155" s="20"/>
      <c r="D155" s="20"/>
      <c r="E155" s="19"/>
      <c r="F155" s="19"/>
      <c r="G155" s="21"/>
      <c r="H155" s="19"/>
      <c r="I155" s="21"/>
      <c r="J155" s="19"/>
      <c r="K155" s="19"/>
      <c r="L155" s="19"/>
      <c r="M155" s="19"/>
      <c r="N155" s="19"/>
      <c r="O155" s="19"/>
      <c r="Q155" s="22"/>
    </row>
    <row r="156" ht="15.75" customHeight="1">
      <c r="A156" s="23"/>
      <c r="B156" s="23"/>
      <c r="C156" s="24"/>
      <c r="D156" s="24"/>
      <c r="E156" s="23"/>
      <c r="F156" s="23"/>
      <c r="G156" s="25"/>
      <c r="H156" s="23"/>
      <c r="I156" s="25"/>
      <c r="J156" s="23"/>
      <c r="K156" s="23"/>
      <c r="L156" s="23"/>
      <c r="M156" s="23"/>
      <c r="N156" s="23"/>
      <c r="O156" s="23"/>
      <c r="Q156" s="22"/>
    </row>
    <row r="157" ht="15.75" customHeight="1">
      <c r="A157" s="19"/>
      <c r="B157" s="19"/>
      <c r="C157" s="20"/>
      <c r="D157" s="20"/>
      <c r="E157" s="19"/>
      <c r="F157" s="19"/>
      <c r="G157" s="21"/>
      <c r="H157" s="19"/>
      <c r="I157" s="21"/>
      <c r="J157" s="19"/>
      <c r="K157" s="19"/>
      <c r="L157" s="19"/>
      <c r="M157" s="19"/>
      <c r="N157" s="19"/>
      <c r="O157" s="19"/>
      <c r="Q157" s="22"/>
    </row>
    <row r="158" ht="15.75" customHeight="1">
      <c r="A158" s="23"/>
      <c r="B158" s="23"/>
      <c r="C158" s="24"/>
      <c r="D158" s="24"/>
      <c r="E158" s="23"/>
      <c r="F158" s="23"/>
      <c r="G158" s="25"/>
      <c r="H158" s="23"/>
      <c r="I158" s="25"/>
      <c r="J158" s="23"/>
      <c r="K158" s="23"/>
      <c r="L158" s="23"/>
      <c r="M158" s="23"/>
      <c r="N158" s="23"/>
      <c r="O158" s="23"/>
      <c r="Q158" s="22"/>
    </row>
    <row r="159" ht="15.75" customHeight="1">
      <c r="A159" s="19"/>
      <c r="B159" s="19"/>
      <c r="C159" s="20"/>
      <c r="D159" s="20"/>
      <c r="E159" s="19"/>
      <c r="F159" s="19"/>
      <c r="G159" s="21"/>
      <c r="H159" s="19"/>
      <c r="I159" s="21"/>
      <c r="J159" s="19"/>
      <c r="K159" s="19"/>
      <c r="L159" s="19"/>
      <c r="M159" s="19"/>
      <c r="N159" s="19"/>
      <c r="O159" s="19"/>
      <c r="Q159" s="22"/>
    </row>
    <row r="160" ht="15.75" customHeight="1">
      <c r="A160" s="23"/>
      <c r="B160" s="23"/>
      <c r="C160" s="24"/>
      <c r="D160" s="24"/>
      <c r="E160" s="23"/>
      <c r="F160" s="23"/>
      <c r="G160" s="25"/>
      <c r="H160" s="23"/>
      <c r="I160" s="25"/>
      <c r="J160" s="23"/>
      <c r="K160" s="23"/>
      <c r="L160" s="23"/>
      <c r="M160" s="23"/>
      <c r="N160" s="23"/>
      <c r="O160" s="23"/>
      <c r="Q160" s="22"/>
    </row>
    <row r="161" ht="15.75" customHeight="1">
      <c r="A161" s="19"/>
      <c r="B161" s="19"/>
      <c r="C161" s="20"/>
      <c r="D161" s="20"/>
      <c r="E161" s="19"/>
      <c r="F161" s="19"/>
      <c r="G161" s="21"/>
      <c r="H161" s="19"/>
      <c r="I161" s="21"/>
      <c r="J161" s="19"/>
      <c r="K161" s="19"/>
      <c r="L161" s="19"/>
      <c r="M161" s="19"/>
      <c r="N161" s="19"/>
      <c r="O161" s="19"/>
      <c r="Q161" s="22"/>
    </row>
    <row r="162" ht="15.75" customHeight="1">
      <c r="A162" s="23"/>
      <c r="B162" s="23"/>
      <c r="C162" s="24"/>
      <c r="D162" s="24"/>
      <c r="E162" s="23"/>
      <c r="F162" s="23"/>
      <c r="G162" s="25"/>
      <c r="H162" s="23"/>
      <c r="I162" s="25"/>
      <c r="J162" s="23"/>
      <c r="K162" s="23"/>
      <c r="L162" s="23"/>
      <c r="M162" s="23"/>
      <c r="N162" s="23"/>
      <c r="O162" s="23"/>
      <c r="Q162" s="22"/>
    </row>
    <row r="163" ht="15.75" customHeight="1">
      <c r="A163" s="19"/>
      <c r="B163" s="19"/>
      <c r="C163" s="20"/>
      <c r="D163" s="20"/>
      <c r="E163" s="19"/>
      <c r="F163" s="19"/>
      <c r="G163" s="21"/>
      <c r="H163" s="19"/>
      <c r="I163" s="21"/>
      <c r="J163" s="19"/>
      <c r="K163" s="19"/>
      <c r="L163" s="19"/>
      <c r="M163" s="19"/>
      <c r="N163" s="19"/>
      <c r="O163" s="19"/>
      <c r="Q163" s="22"/>
    </row>
    <row r="164" ht="15.75" customHeight="1">
      <c r="A164" s="23"/>
      <c r="B164" s="23"/>
      <c r="C164" s="24"/>
      <c r="D164" s="24"/>
      <c r="E164" s="23"/>
      <c r="F164" s="23"/>
      <c r="G164" s="25"/>
      <c r="H164" s="23"/>
      <c r="I164" s="25"/>
      <c r="J164" s="23"/>
      <c r="K164" s="23"/>
      <c r="L164" s="23"/>
      <c r="M164" s="23"/>
      <c r="N164" s="23"/>
      <c r="O164" s="23"/>
      <c r="Q164" s="22"/>
    </row>
    <row r="165" ht="15.75" customHeight="1">
      <c r="A165" s="19"/>
      <c r="B165" s="19"/>
      <c r="C165" s="20"/>
      <c r="D165" s="20"/>
      <c r="E165" s="19"/>
      <c r="F165" s="19"/>
      <c r="G165" s="21"/>
      <c r="H165" s="19"/>
      <c r="I165" s="21"/>
      <c r="J165" s="19"/>
      <c r="K165" s="19"/>
      <c r="L165" s="19"/>
      <c r="M165" s="19"/>
      <c r="N165" s="19"/>
      <c r="O165" s="19"/>
      <c r="Q165" s="22"/>
    </row>
    <row r="166" ht="15.75" customHeight="1">
      <c r="A166" s="23"/>
      <c r="B166" s="23"/>
      <c r="C166" s="24"/>
      <c r="D166" s="24"/>
      <c r="E166" s="23"/>
      <c r="F166" s="23"/>
      <c r="G166" s="25"/>
      <c r="H166" s="23"/>
      <c r="I166" s="25"/>
      <c r="J166" s="23"/>
      <c r="K166" s="23"/>
      <c r="L166" s="23"/>
      <c r="M166" s="23"/>
      <c r="N166" s="23"/>
      <c r="O166" s="23"/>
      <c r="Q166" s="22"/>
    </row>
    <row r="167" ht="15.75" customHeight="1">
      <c r="A167" s="19"/>
      <c r="B167" s="19"/>
      <c r="C167" s="20"/>
      <c r="D167" s="20"/>
      <c r="E167" s="19"/>
      <c r="F167" s="19"/>
      <c r="G167" s="21"/>
      <c r="H167" s="19"/>
      <c r="I167" s="21"/>
      <c r="J167" s="19"/>
      <c r="K167" s="19"/>
      <c r="L167" s="19"/>
      <c r="M167" s="19"/>
      <c r="N167" s="19"/>
      <c r="O167" s="19"/>
      <c r="Q167" s="22"/>
    </row>
    <row r="168" ht="15.75" customHeight="1">
      <c r="A168" s="23"/>
      <c r="B168" s="23"/>
      <c r="C168" s="24"/>
      <c r="D168" s="24"/>
      <c r="E168" s="23"/>
      <c r="F168" s="23"/>
      <c r="G168" s="25"/>
      <c r="H168" s="23"/>
      <c r="I168" s="25"/>
      <c r="J168" s="23"/>
      <c r="K168" s="23"/>
      <c r="L168" s="23"/>
      <c r="M168" s="23"/>
      <c r="N168" s="23"/>
      <c r="O168" s="23"/>
      <c r="Q168" s="22"/>
    </row>
    <row r="169" ht="15.75" customHeight="1">
      <c r="A169" s="19"/>
      <c r="B169" s="19"/>
      <c r="C169" s="20"/>
      <c r="D169" s="20"/>
      <c r="E169" s="19"/>
      <c r="F169" s="19"/>
      <c r="G169" s="21"/>
      <c r="H169" s="19"/>
      <c r="I169" s="21"/>
      <c r="J169" s="19"/>
      <c r="K169" s="19"/>
      <c r="L169" s="19"/>
      <c r="M169" s="19"/>
      <c r="N169" s="19"/>
      <c r="O169" s="19"/>
      <c r="Q169" s="22"/>
    </row>
    <row r="170" ht="15.75" customHeight="1">
      <c r="A170" s="23"/>
      <c r="B170" s="23"/>
      <c r="C170" s="24"/>
      <c r="D170" s="24"/>
      <c r="E170" s="23"/>
      <c r="F170" s="23"/>
      <c r="G170" s="25"/>
      <c r="H170" s="23"/>
      <c r="I170" s="25"/>
      <c r="J170" s="23"/>
      <c r="K170" s="23"/>
      <c r="L170" s="23"/>
      <c r="M170" s="23"/>
      <c r="N170" s="23"/>
      <c r="O170" s="23"/>
      <c r="Q170" s="22"/>
    </row>
    <row r="171" ht="15.75" customHeight="1">
      <c r="A171" s="19"/>
      <c r="B171" s="19"/>
      <c r="C171" s="20"/>
      <c r="D171" s="20"/>
      <c r="E171" s="19"/>
      <c r="F171" s="19"/>
      <c r="G171" s="21"/>
      <c r="H171" s="19"/>
      <c r="I171" s="21"/>
      <c r="J171" s="19"/>
      <c r="K171" s="19"/>
      <c r="L171" s="19"/>
      <c r="M171" s="19"/>
      <c r="N171" s="19"/>
      <c r="O171" s="19"/>
      <c r="Q171" s="22"/>
    </row>
    <row r="172" ht="15.75" customHeight="1">
      <c r="A172" s="23"/>
      <c r="B172" s="23"/>
      <c r="C172" s="24"/>
      <c r="D172" s="24"/>
      <c r="E172" s="23"/>
      <c r="F172" s="23"/>
      <c r="G172" s="25"/>
      <c r="H172" s="23"/>
      <c r="I172" s="25"/>
      <c r="J172" s="23"/>
      <c r="K172" s="23"/>
      <c r="L172" s="23"/>
      <c r="M172" s="23"/>
      <c r="N172" s="23"/>
      <c r="O172" s="23"/>
      <c r="Q172" s="22"/>
    </row>
    <row r="173" ht="15.75" customHeight="1">
      <c r="A173" s="19"/>
      <c r="B173" s="19"/>
      <c r="C173" s="20"/>
      <c r="D173" s="20"/>
      <c r="E173" s="19"/>
      <c r="F173" s="19"/>
      <c r="G173" s="21"/>
      <c r="H173" s="19"/>
      <c r="I173" s="21"/>
      <c r="J173" s="19"/>
      <c r="K173" s="19"/>
      <c r="L173" s="19"/>
      <c r="M173" s="19"/>
      <c r="N173" s="19"/>
      <c r="O173" s="19"/>
      <c r="Q173" s="22"/>
    </row>
    <row r="174" ht="15.75" customHeight="1">
      <c r="A174" s="23"/>
      <c r="B174" s="23"/>
      <c r="C174" s="24"/>
      <c r="D174" s="24"/>
      <c r="E174" s="23"/>
      <c r="F174" s="23"/>
      <c r="G174" s="25"/>
      <c r="H174" s="23"/>
      <c r="I174" s="25"/>
      <c r="J174" s="23"/>
      <c r="K174" s="23"/>
      <c r="L174" s="23"/>
      <c r="M174" s="23"/>
      <c r="N174" s="23"/>
      <c r="O174" s="23"/>
      <c r="Q174" s="22"/>
    </row>
    <row r="175" ht="15.75" customHeight="1">
      <c r="A175" s="19"/>
      <c r="B175" s="19"/>
      <c r="C175" s="20"/>
      <c r="D175" s="20"/>
      <c r="E175" s="19"/>
      <c r="F175" s="19"/>
      <c r="G175" s="21"/>
      <c r="H175" s="19"/>
      <c r="I175" s="21"/>
      <c r="J175" s="19"/>
      <c r="K175" s="19"/>
      <c r="L175" s="19"/>
      <c r="M175" s="19"/>
      <c r="N175" s="19"/>
      <c r="O175" s="19"/>
      <c r="Q175" s="22"/>
    </row>
    <row r="176" ht="15.75" customHeight="1">
      <c r="A176" s="23"/>
      <c r="B176" s="23"/>
      <c r="C176" s="24"/>
      <c r="D176" s="24"/>
      <c r="E176" s="23"/>
      <c r="F176" s="23"/>
      <c r="G176" s="25"/>
      <c r="H176" s="23"/>
      <c r="I176" s="25"/>
      <c r="J176" s="23"/>
      <c r="K176" s="23"/>
      <c r="L176" s="23"/>
      <c r="M176" s="23"/>
      <c r="N176" s="23"/>
      <c r="O176" s="23"/>
      <c r="Q176" s="22"/>
    </row>
    <row r="177" ht="15.75" customHeight="1">
      <c r="A177" s="19"/>
      <c r="B177" s="19"/>
      <c r="C177" s="20"/>
      <c r="D177" s="20"/>
      <c r="E177" s="19"/>
      <c r="F177" s="19"/>
      <c r="G177" s="21"/>
      <c r="H177" s="19"/>
      <c r="I177" s="21"/>
      <c r="J177" s="19"/>
      <c r="K177" s="19"/>
      <c r="L177" s="19"/>
      <c r="M177" s="19"/>
      <c r="N177" s="19"/>
      <c r="O177" s="19"/>
      <c r="Q177" s="22"/>
    </row>
    <row r="178" ht="15.75" customHeight="1">
      <c r="A178" s="23"/>
      <c r="B178" s="23"/>
      <c r="C178" s="24"/>
      <c r="D178" s="24"/>
      <c r="E178" s="23"/>
      <c r="F178" s="23"/>
      <c r="G178" s="25"/>
      <c r="H178" s="23"/>
      <c r="I178" s="25"/>
      <c r="J178" s="23"/>
      <c r="K178" s="23"/>
      <c r="L178" s="23"/>
      <c r="M178" s="23"/>
      <c r="N178" s="23"/>
      <c r="O178" s="23"/>
      <c r="Q178" s="22"/>
    </row>
    <row r="179" ht="15.75" customHeight="1">
      <c r="A179" s="19"/>
      <c r="B179" s="19"/>
      <c r="C179" s="20"/>
      <c r="D179" s="20"/>
      <c r="E179" s="19"/>
      <c r="F179" s="19"/>
      <c r="G179" s="21"/>
      <c r="H179" s="19"/>
      <c r="I179" s="21"/>
      <c r="J179" s="19"/>
      <c r="K179" s="19"/>
      <c r="L179" s="19"/>
      <c r="M179" s="19"/>
      <c r="N179" s="19"/>
      <c r="O179" s="19"/>
      <c r="Q179" s="22"/>
    </row>
    <row r="180" ht="15.75" customHeight="1">
      <c r="A180" s="23"/>
      <c r="B180" s="23"/>
      <c r="C180" s="24"/>
      <c r="D180" s="24"/>
      <c r="E180" s="23"/>
      <c r="F180" s="23"/>
      <c r="G180" s="25"/>
      <c r="H180" s="23"/>
      <c r="I180" s="25"/>
      <c r="J180" s="23"/>
      <c r="K180" s="23"/>
      <c r="L180" s="23"/>
      <c r="M180" s="23"/>
      <c r="N180" s="23"/>
      <c r="O180" s="23"/>
      <c r="Q180" s="22"/>
    </row>
    <row r="181" ht="15.75" customHeight="1">
      <c r="A181" s="19"/>
      <c r="B181" s="19"/>
      <c r="C181" s="20"/>
      <c r="D181" s="20"/>
      <c r="E181" s="19"/>
      <c r="F181" s="19"/>
      <c r="G181" s="21"/>
      <c r="H181" s="19"/>
      <c r="I181" s="21"/>
      <c r="J181" s="19"/>
      <c r="K181" s="19"/>
      <c r="L181" s="19"/>
      <c r="M181" s="19"/>
      <c r="N181" s="19"/>
      <c r="O181" s="19"/>
      <c r="Q181" s="22"/>
    </row>
    <row r="182" ht="15.75" customHeight="1">
      <c r="A182" s="23"/>
      <c r="B182" s="23"/>
      <c r="C182" s="24"/>
      <c r="D182" s="24"/>
      <c r="E182" s="23"/>
      <c r="F182" s="23"/>
      <c r="G182" s="25"/>
      <c r="H182" s="23"/>
      <c r="I182" s="25"/>
      <c r="J182" s="23"/>
      <c r="K182" s="23"/>
      <c r="L182" s="23"/>
      <c r="M182" s="23"/>
      <c r="N182" s="23"/>
      <c r="O182" s="23"/>
      <c r="Q182" s="22"/>
    </row>
    <row r="183" ht="15.75" customHeight="1">
      <c r="A183" s="19"/>
      <c r="B183" s="19"/>
      <c r="C183" s="20"/>
      <c r="D183" s="20"/>
      <c r="E183" s="19"/>
      <c r="F183" s="19"/>
      <c r="G183" s="21"/>
      <c r="H183" s="19"/>
      <c r="I183" s="21"/>
      <c r="J183" s="19"/>
      <c r="K183" s="19"/>
      <c r="L183" s="19"/>
      <c r="M183" s="19"/>
      <c r="N183" s="19"/>
      <c r="O183" s="19"/>
      <c r="Q183" s="22"/>
    </row>
    <row r="184" ht="15.75" customHeight="1">
      <c r="A184" s="23"/>
      <c r="B184" s="23"/>
      <c r="C184" s="24"/>
      <c r="D184" s="24"/>
      <c r="E184" s="23"/>
      <c r="F184" s="23"/>
      <c r="G184" s="25"/>
      <c r="H184" s="23"/>
      <c r="I184" s="25"/>
      <c r="J184" s="23"/>
      <c r="K184" s="23"/>
      <c r="L184" s="23"/>
      <c r="M184" s="23"/>
      <c r="N184" s="23"/>
      <c r="O184" s="23"/>
      <c r="Q184" s="22"/>
    </row>
    <row r="185" ht="15.75" customHeight="1">
      <c r="A185" s="19"/>
      <c r="B185" s="19"/>
      <c r="C185" s="20"/>
      <c r="D185" s="20"/>
      <c r="E185" s="19"/>
      <c r="F185" s="19"/>
      <c r="G185" s="21"/>
      <c r="H185" s="19"/>
      <c r="I185" s="21"/>
      <c r="J185" s="19"/>
      <c r="K185" s="19"/>
      <c r="L185" s="19"/>
      <c r="M185" s="19"/>
      <c r="N185" s="19"/>
      <c r="O185" s="19"/>
      <c r="Q185" s="22"/>
    </row>
    <row r="186" ht="15.75" customHeight="1">
      <c r="A186" s="23"/>
      <c r="B186" s="23"/>
      <c r="C186" s="24"/>
      <c r="D186" s="24"/>
      <c r="E186" s="23"/>
      <c r="F186" s="23"/>
      <c r="G186" s="25"/>
      <c r="H186" s="23"/>
      <c r="I186" s="25"/>
      <c r="J186" s="23"/>
      <c r="K186" s="23"/>
      <c r="L186" s="23"/>
      <c r="M186" s="23"/>
      <c r="N186" s="23"/>
      <c r="O186" s="23"/>
      <c r="Q186" s="22"/>
    </row>
    <row r="187" ht="15.75" customHeight="1">
      <c r="A187" s="19"/>
      <c r="B187" s="19"/>
      <c r="C187" s="20"/>
      <c r="D187" s="20"/>
      <c r="E187" s="19"/>
      <c r="F187" s="19"/>
      <c r="G187" s="21"/>
      <c r="H187" s="19"/>
      <c r="I187" s="21"/>
      <c r="J187" s="19"/>
      <c r="K187" s="19"/>
      <c r="L187" s="19"/>
      <c r="M187" s="19"/>
      <c r="N187" s="19"/>
      <c r="O187" s="19"/>
      <c r="Q187" s="22"/>
    </row>
    <row r="188" ht="15.75" customHeight="1">
      <c r="A188" s="23"/>
      <c r="B188" s="23"/>
      <c r="C188" s="24"/>
      <c r="D188" s="24"/>
      <c r="E188" s="23"/>
      <c r="F188" s="23"/>
      <c r="G188" s="25"/>
      <c r="H188" s="23"/>
      <c r="I188" s="25"/>
      <c r="J188" s="23"/>
      <c r="K188" s="23"/>
      <c r="L188" s="23"/>
      <c r="M188" s="23"/>
      <c r="N188" s="23"/>
      <c r="O188" s="23"/>
      <c r="Q188" s="22"/>
    </row>
    <row r="189" ht="15.75" customHeight="1">
      <c r="A189" s="19"/>
      <c r="B189" s="19"/>
      <c r="C189" s="20"/>
      <c r="D189" s="20"/>
      <c r="E189" s="19"/>
      <c r="F189" s="19"/>
      <c r="G189" s="21"/>
      <c r="H189" s="19"/>
      <c r="I189" s="21"/>
      <c r="J189" s="19"/>
      <c r="K189" s="19"/>
      <c r="L189" s="19"/>
      <c r="M189" s="19"/>
      <c r="N189" s="19"/>
      <c r="O189" s="19"/>
      <c r="Q189" s="22"/>
    </row>
    <row r="190" ht="15.75" customHeight="1">
      <c r="A190" s="23"/>
      <c r="B190" s="23"/>
      <c r="C190" s="24"/>
      <c r="D190" s="24"/>
      <c r="E190" s="23"/>
      <c r="F190" s="23"/>
      <c r="G190" s="25"/>
      <c r="H190" s="23"/>
      <c r="I190" s="25"/>
      <c r="J190" s="23"/>
      <c r="K190" s="23"/>
      <c r="L190" s="23"/>
      <c r="M190" s="23"/>
      <c r="N190" s="23"/>
      <c r="O190" s="23"/>
      <c r="Q190" s="22"/>
    </row>
    <row r="191" ht="15.75" customHeight="1">
      <c r="A191" s="19"/>
      <c r="B191" s="19"/>
      <c r="C191" s="20"/>
      <c r="D191" s="20"/>
      <c r="E191" s="19"/>
      <c r="F191" s="19"/>
      <c r="G191" s="21"/>
      <c r="H191" s="19"/>
      <c r="I191" s="21"/>
      <c r="J191" s="19"/>
      <c r="K191" s="19"/>
      <c r="L191" s="19"/>
      <c r="M191" s="19"/>
      <c r="N191" s="19"/>
      <c r="O191" s="19"/>
      <c r="Q191" s="22"/>
    </row>
    <row r="192" ht="15.75" customHeight="1">
      <c r="A192" s="23"/>
      <c r="B192" s="23"/>
      <c r="C192" s="24"/>
      <c r="D192" s="24"/>
      <c r="E192" s="23"/>
      <c r="F192" s="23"/>
      <c r="G192" s="25"/>
      <c r="H192" s="23"/>
      <c r="I192" s="25"/>
      <c r="J192" s="23"/>
      <c r="K192" s="23"/>
      <c r="L192" s="23"/>
      <c r="M192" s="23"/>
      <c r="N192" s="23"/>
      <c r="O192" s="23"/>
      <c r="Q192" s="22"/>
    </row>
    <row r="193" ht="15.75" customHeight="1">
      <c r="A193" s="19"/>
      <c r="B193" s="19"/>
      <c r="C193" s="20"/>
      <c r="D193" s="20"/>
      <c r="E193" s="19"/>
      <c r="F193" s="19"/>
      <c r="G193" s="21"/>
      <c r="H193" s="19"/>
      <c r="I193" s="21"/>
      <c r="J193" s="19"/>
      <c r="K193" s="19"/>
      <c r="L193" s="19"/>
      <c r="M193" s="19"/>
      <c r="N193" s="19"/>
      <c r="O193" s="19"/>
      <c r="Q193" s="22"/>
    </row>
    <row r="194" ht="15.75" customHeight="1">
      <c r="A194" s="23"/>
      <c r="B194" s="23"/>
      <c r="C194" s="24"/>
      <c r="D194" s="24"/>
      <c r="E194" s="23"/>
      <c r="F194" s="23"/>
      <c r="G194" s="25"/>
      <c r="H194" s="23"/>
      <c r="I194" s="25"/>
      <c r="J194" s="23"/>
      <c r="K194" s="23"/>
      <c r="L194" s="23"/>
      <c r="M194" s="23"/>
      <c r="N194" s="23"/>
      <c r="O194" s="23"/>
      <c r="Q194" s="22"/>
    </row>
    <row r="195" ht="15.75" customHeight="1">
      <c r="A195" s="19"/>
      <c r="B195" s="19"/>
      <c r="C195" s="20"/>
      <c r="D195" s="20"/>
      <c r="E195" s="19"/>
      <c r="F195" s="19"/>
      <c r="G195" s="21"/>
      <c r="H195" s="19"/>
      <c r="I195" s="21"/>
      <c r="J195" s="19"/>
      <c r="K195" s="19"/>
      <c r="L195" s="19"/>
      <c r="M195" s="19"/>
      <c r="N195" s="19"/>
      <c r="O195" s="19"/>
      <c r="Q195" s="22"/>
    </row>
    <row r="196" ht="15.75" customHeight="1">
      <c r="A196" s="23"/>
      <c r="B196" s="23"/>
      <c r="C196" s="24"/>
      <c r="D196" s="24"/>
      <c r="E196" s="23"/>
      <c r="F196" s="23"/>
      <c r="G196" s="25"/>
      <c r="H196" s="23"/>
      <c r="I196" s="25"/>
      <c r="J196" s="23"/>
      <c r="K196" s="23"/>
      <c r="L196" s="23"/>
      <c r="M196" s="23"/>
      <c r="N196" s="23"/>
      <c r="O196" s="23"/>
      <c r="Q196" s="22"/>
    </row>
    <row r="197" ht="15.75" customHeight="1">
      <c r="A197" s="19"/>
      <c r="B197" s="19"/>
      <c r="C197" s="20"/>
      <c r="D197" s="20"/>
      <c r="E197" s="19"/>
      <c r="F197" s="19"/>
      <c r="G197" s="21"/>
      <c r="H197" s="19"/>
      <c r="I197" s="21"/>
      <c r="J197" s="19"/>
      <c r="K197" s="19"/>
      <c r="L197" s="19"/>
      <c r="M197" s="19"/>
      <c r="N197" s="19"/>
      <c r="O197" s="19"/>
      <c r="Q197" s="22"/>
    </row>
    <row r="198" ht="15.75" customHeight="1">
      <c r="A198" s="23"/>
      <c r="B198" s="23"/>
      <c r="C198" s="24"/>
      <c r="D198" s="24"/>
      <c r="E198" s="23"/>
      <c r="F198" s="23"/>
      <c r="G198" s="25"/>
      <c r="H198" s="23"/>
      <c r="I198" s="25"/>
      <c r="J198" s="23"/>
      <c r="K198" s="23"/>
      <c r="L198" s="23"/>
      <c r="M198" s="23"/>
      <c r="N198" s="23"/>
      <c r="O198" s="23"/>
      <c r="Q198" s="22"/>
    </row>
    <row r="199" ht="15.75" customHeight="1">
      <c r="A199" s="19"/>
      <c r="B199" s="19"/>
      <c r="C199" s="20"/>
      <c r="D199" s="20"/>
      <c r="E199" s="19"/>
      <c r="F199" s="19"/>
      <c r="G199" s="21"/>
      <c r="H199" s="19"/>
      <c r="I199" s="21"/>
      <c r="J199" s="19"/>
      <c r="K199" s="19"/>
      <c r="L199" s="19"/>
      <c r="M199" s="19"/>
      <c r="N199" s="19"/>
      <c r="O199" s="19"/>
      <c r="Q199" s="22"/>
    </row>
    <row r="200" ht="15.75" customHeight="1">
      <c r="A200" s="23"/>
      <c r="B200" s="23"/>
      <c r="C200" s="24"/>
      <c r="D200" s="24"/>
      <c r="E200" s="23"/>
      <c r="F200" s="23"/>
      <c r="G200" s="25"/>
      <c r="H200" s="23"/>
      <c r="I200" s="25"/>
      <c r="J200" s="23"/>
      <c r="K200" s="23"/>
      <c r="L200" s="23"/>
      <c r="M200" s="23"/>
      <c r="N200" s="23"/>
      <c r="O200" s="23"/>
      <c r="Q200" s="22"/>
    </row>
    <row r="201" ht="15.75" customHeight="1">
      <c r="A201" s="19"/>
      <c r="B201" s="19"/>
      <c r="C201" s="20"/>
      <c r="D201" s="20"/>
      <c r="E201" s="19"/>
      <c r="F201" s="19"/>
      <c r="G201" s="21"/>
      <c r="H201" s="19"/>
      <c r="I201" s="21"/>
      <c r="J201" s="19"/>
      <c r="K201" s="19"/>
      <c r="L201" s="19"/>
      <c r="M201" s="19"/>
      <c r="N201" s="19"/>
      <c r="O201" s="19"/>
      <c r="Q201" s="22"/>
    </row>
    <row r="202" ht="15.75" customHeight="1">
      <c r="A202" s="23"/>
      <c r="B202" s="23"/>
      <c r="C202" s="24"/>
      <c r="D202" s="24"/>
      <c r="E202" s="23"/>
      <c r="F202" s="23"/>
      <c r="G202" s="25"/>
      <c r="H202" s="23"/>
      <c r="I202" s="25"/>
      <c r="J202" s="23"/>
      <c r="K202" s="23"/>
      <c r="L202" s="23"/>
      <c r="M202" s="23"/>
      <c r="N202" s="23"/>
      <c r="O202" s="23"/>
      <c r="Q202" s="22"/>
    </row>
    <row r="203" ht="15.75" customHeight="1">
      <c r="A203" s="19"/>
      <c r="B203" s="19"/>
      <c r="C203" s="20"/>
      <c r="D203" s="20"/>
      <c r="E203" s="19"/>
      <c r="F203" s="19"/>
      <c r="G203" s="21"/>
      <c r="H203" s="19"/>
      <c r="I203" s="21"/>
      <c r="J203" s="19"/>
      <c r="K203" s="19"/>
      <c r="L203" s="19"/>
      <c r="M203" s="19"/>
      <c r="N203" s="19"/>
      <c r="O203" s="19"/>
      <c r="Q203" s="22"/>
    </row>
    <row r="204" ht="15.75" customHeight="1">
      <c r="A204" s="23"/>
      <c r="B204" s="23"/>
      <c r="C204" s="24"/>
      <c r="D204" s="24"/>
      <c r="E204" s="23"/>
      <c r="F204" s="23"/>
      <c r="G204" s="25"/>
      <c r="H204" s="23"/>
      <c r="I204" s="25"/>
      <c r="J204" s="23"/>
      <c r="K204" s="23"/>
      <c r="L204" s="23"/>
      <c r="M204" s="23"/>
      <c r="N204" s="23"/>
      <c r="O204" s="23"/>
      <c r="Q204" s="22"/>
    </row>
    <row r="205" ht="15.75" customHeight="1">
      <c r="A205" s="19"/>
      <c r="B205" s="19"/>
      <c r="C205" s="20"/>
      <c r="D205" s="20"/>
      <c r="E205" s="19"/>
      <c r="F205" s="19"/>
      <c r="G205" s="21"/>
      <c r="H205" s="19"/>
      <c r="I205" s="21"/>
      <c r="J205" s="19"/>
      <c r="K205" s="19"/>
      <c r="L205" s="19"/>
      <c r="M205" s="19"/>
      <c r="N205" s="19"/>
      <c r="O205" s="19"/>
      <c r="Q205" s="22"/>
    </row>
    <row r="206" ht="15.75" customHeight="1">
      <c r="A206" s="23"/>
      <c r="B206" s="23"/>
      <c r="C206" s="24"/>
      <c r="D206" s="24"/>
      <c r="E206" s="23"/>
      <c r="F206" s="23"/>
      <c r="G206" s="25"/>
      <c r="H206" s="23"/>
      <c r="I206" s="25"/>
      <c r="J206" s="23"/>
      <c r="K206" s="23"/>
      <c r="L206" s="23"/>
      <c r="M206" s="23"/>
      <c r="N206" s="23"/>
      <c r="O206" s="23"/>
      <c r="Q206" s="22"/>
    </row>
    <row r="207" ht="15.75" customHeight="1">
      <c r="A207" s="19"/>
      <c r="B207" s="19"/>
      <c r="C207" s="20"/>
      <c r="D207" s="20"/>
      <c r="E207" s="19"/>
      <c r="F207" s="19"/>
      <c r="G207" s="21"/>
      <c r="H207" s="19"/>
      <c r="I207" s="21"/>
      <c r="J207" s="19"/>
      <c r="K207" s="19"/>
      <c r="L207" s="19"/>
      <c r="M207" s="19"/>
      <c r="N207" s="19"/>
      <c r="O207" s="19"/>
      <c r="Q207" s="22"/>
    </row>
    <row r="208" ht="15.75" customHeight="1">
      <c r="A208" s="23"/>
      <c r="B208" s="23"/>
      <c r="C208" s="24"/>
      <c r="D208" s="24"/>
      <c r="E208" s="23"/>
      <c r="F208" s="23"/>
      <c r="G208" s="25"/>
      <c r="H208" s="23"/>
      <c r="I208" s="25"/>
      <c r="J208" s="23"/>
      <c r="K208" s="23"/>
      <c r="L208" s="23"/>
      <c r="M208" s="23"/>
      <c r="N208" s="23"/>
      <c r="O208" s="23"/>
      <c r="Q208" s="22"/>
    </row>
    <row r="209" ht="15.75" customHeight="1">
      <c r="A209" s="19"/>
      <c r="B209" s="19"/>
      <c r="C209" s="20"/>
      <c r="D209" s="20"/>
      <c r="E209" s="19"/>
      <c r="F209" s="19"/>
      <c r="G209" s="21"/>
      <c r="H209" s="19"/>
      <c r="I209" s="21"/>
      <c r="J209" s="19"/>
      <c r="K209" s="19"/>
      <c r="L209" s="19"/>
      <c r="M209" s="19"/>
      <c r="N209" s="19"/>
      <c r="O209" s="19"/>
      <c r="Q209" s="22"/>
    </row>
    <row r="210" ht="15.75" customHeight="1">
      <c r="A210" s="23"/>
      <c r="B210" s="23"/>
      <c r="C210" s="24"/>
      <c r="D210" s="24"/>
      <c r="E210" s="23"/>
      <c r="F210" s="23"/>
      <c r="G210" s="25"/>
      <c r="H210" s="23"/>
      <c r="I210" s="25"/>
      <c r="J210" s="23"/>
      <c r="K210" s="23"/>
      <c r="L210" s="23"/>
      <c r="M210" s="23"/>
      <c r="N210" s="23"/>
      <c r="O210" s="23"/>
      <c r="Q210" s="22"/>
    </row>
    <row r="211" ht="15.75" customHeight="1">
      <c r="A211" s="19"/>
      <c r="B211" s="19"/>
      <c r="C211" s="20"/>
      <c r="D211" s="20"/>
      <c r="E211" s="19"/>
      <c r="F211" s="19"/>
      <c r="G211" s="21"/>
      <c r="H211" s="19"/>
      <c r="I211" s="21"/>
      <c r="J211" s="19"/>
      <c r="K211" s="19"/>
      <c r="L211" s="19"/>
      <c r="M211" s="19"/>
      <c r="N211" s="19"/>
      <c r="O211" s="19"/>
      <c r="Q211" s="22"/>
    </row>
    <row r="212" ht="15.75" customHeight="1">
      <c r="A212" s="23"/>
      <c r="B212" s="23"/>
      <c r="C212" s="24"/>
      <c r="D212" s="24"/>
      <c r="E212" s="23"/>
      <c r="F212" s="23"/>
      <c r="G212" s="25"/>
      <c r="H212" s="23"/>
      <c r="I212" s="25"/>
      <c r="J212" s="23"/>
      <c r="K212" s="23"/>
      <c r="L212" s="23"/>
      <c r="M212" s="23"/>
      <c r="N212" s="23"/>
      <c r="O212" s="23"/>
      <c r="Q212" s="22"/>
    </row>
    <row r="213" ht="15.75" customHeight="1">
      <c r="A213" s="19"/>
      <c r="B213" s="19"/>
      <c r="C213" s="20"/>
      <c r="D213" s="20"/>
      <c r="E213" s="19"/>
      <c r="F213" s="19"/>
      <c r="G213" s="21"/>
      <c r="H213" s="19"/>
      <c r="I213" s="21"/>
      <c r="J213" s="19"/>
      <c r="K213" s="19"/>
      <c r="L213" s="19"/>
      <c r="M213" s="19"/>
      <c r="N213" s="19"/>
      <c r="O213" s="19"/>
      <c r="Q213" s="22"/>
    </row>
    <row r="214" ht="15.75" customHeight="1">
      <c r="A214" s="23"/>
      <c r="B214" s="23"/>
      <c r="C214" s="24"/>
      <c r="D214" s="24"/>
      <c r="E214" s="23"/>
      <c r="F214" s="23"/>
      <c r="G214" s="25"/>
      <c r="H214" s="23"/>
      <c r="I214" s="25"/>
      <c r="J214" s="23"/>
      <c r="K214" s="23"/>
      <c r="L214" s="23"/>
      <c r="M214" s="23"/>
      <c r="N214" s="23"/>
      <c r="O214" s="23"/>
      <c r="Q214" s="22"/>
    </row>
    <row r="215" ht="15.75" customHeight="1">
      <c r="A215" s="19"/>
      <c r="B215" s="19"/>
      <c r="C215" s="20"/>
      <c r="D215" s="20"/>
      <c r="E215" s="19"/>
      <c r="F215" s="19"/>
      <c r="G215" s="21"/>
      <c r="H215" s="19"/>
      <c r="I215" s="21"/>
      <c r="J215" s="19"/>
      <c r="K215" s="19"/>
      <c r="L215" s="19"/>
      <c r="M215" s="19"/>
      <c r="N215" s="19"/>
      <c r="O215" s="19"/>
      <c r="Q215" s="22"/>
    </row>
    <row r="216" ht="15.75" customHeight="1">
      <c r="A216" s="23"/>
      <c r="B216" s="23"/>
      <c r="C216" s="24"/>
      <c r="D216" s="24"/>
      <c r="E216" s="23"/>
      <c r="F216" s="23"/>
      <c r="G216" s="25"/>
      <c r="H216" s="23"/>
      <c r="I216" s="25"/>
      <c r="J216" s="23"/>
      <c r="K216" s="23"/>
      <c r="L216" s="23"/>
      <c r="M216" s="23"/>
      <c r="N216" s="23"/>
      <c r="O216" s="23"/>
      <c r="Q216" s="22"/>
    </row>
    <row r="217" ht="15.75" customHeight="1">
      <c r="A217" s="19"/>
      <c r="B217" s="19"/>
      <c r="C217" s="20"/>
      <c r="D217" s="20"/>
      <c r="E217" s="19"/>
      <c r="F217" s="19"/>
      <c r="G217" s="21"/>
      <c r="H217" s="19"/>
      <c r="I217" s="21"/>
      <c r="J217" s="19"/>
      <c r="K217" s="19"/>
      <c r="L217" s="19"/>
      <c r="M217" s="19"/>
      <c r="N217" s="19"/>
      <c r="O217" s="19"/>
      <c r="Q217" s="22"/>
    </row>
    <row r="218" ht="15.75" customHeight="1">
      <c r="A218" s="23"/>
      <c r="B218" s="23"/>
      <c r="C218" s="24"/>
      <c r="D218" s="24"/>
      <c r="E218" s="23"/>
      <c r="F218" s="23"/>
      <c r="G218" s="25"/>
      <c r="H218" s="23"/>
      <c r="I218" s="25"/>
      <c r="J218" s="23"/>
      <c r="K218" s="23"/>
      <c r="L218" s="23"/>
      <c r="M218" s="23"/>
      <c r="N218" s="23"/>
      <c r="O218" s="23"/>
      <c r="Q218" s="22"/>
    </row>
    <row r="219" ht="15.75" customHeight="1">
      <c r="A219" s="19"/>
      <c r="B219" s="19"/>
      <c r="C219" s="20"/>
      <c r="D219" s="20"/>
      <c r="E219" s="19"/>
      <c r="F219" s="19"/>
      <c r="G219" s="21"/>
      <c r="H219" s="19"/>
      <c r="I219" s="21"/>
      <c r="J219" s="19"/>
      <c r="K219" s="19"/>
      <c r="L219" s="19"/>
      <c r="M219" s="19"/>
      <c r="N219" s="19"/>
      <c r="O219" s="19"/>
      <c r="Q219" s="22"/>
    </row>
    <row r="220" ht="15.75" customHeight="1">
      <c r="A220" s="23"/>
      <c r="B220" s="23"/>
      <c r="C220" s="24"/>
      <c r="D220" s="24"/>
      <c r="E220" s="23"/>
      <c r="F220" s="23"/>
      <c r="G220" s="25"/>
      <c r="H220" s="23"/>
      <c r="I220" s="25"/>
      <c r="J220" s="23"/>
      <c r="K220" s="23"/>
      <c r="L220" s="23"/>
      <c r="M220" s="23"/>
      <c r="N220" s="23"/>
      <c r="O220" s="23"/>
      <c r="Q220" s="22"/>
    </row>
    <row r="221" ht="15.75" customHeight="1">
      <c r="A221" s="19"/>
      <c r="B221" s="19"/>
      <c r="C221" s="20"/>
      <c r="D221" s="20"/>
      <c r="E221" s="19"/>
      <c r="F221" s="19"/>
      <c r="G221" s="21"/>
      <c r="H221" s="19"/>
      <c r="I221" s="21"/>
      <c r="J221" s="19"/>
      <c r="K221" s="19"/>
      <c r="L221" s="19"/>
      <c r="M221" s="19"/>
      <c r="N221" s="19"/>
      <c r="O221" s="19"/>
      <c r="Q221" s="22"/>
    </row>
    <row r="222" ht="15.75" customHeight="1">
      <c r="A222" s="23"/>
      <c r="B222" s="23"/>
      <c r="C222" s="24"/>
      <c r="D222" s="24"/>
      <c r="E222" s="23"/>
      <c r="F222" s="23"/>
      <c r="G222" s="25"/>
      <c r="H222" s="23"/>
      <c r="I222" s="25"/>
      <c r="J222" s="23"/>
      <c r="K222" s="23"/>
      <c r="L222" s="23"/>
      <c r="M222" s="23"/>
      <c r="N222" s="23"/>
      <c r="O222" s="23"/>
      <c r="Q222" s="22"/>
    </row>
    <row r="223" ht="15.75" customHeight="1">
      <c r="A223" s="19"/>
      <c r="B223" s="19"/>
      <c r="C223" s="20"/>
      <c r="D223" s="20"/>
      <c r="E223" s="19"/>
      <c r="F223" s="19"/>
      <c r="G223" s="21"/>
      <c r="H223" s="19"/>
      <c r="I223" s="21"/>
      <c r="J223" s="19"/>
      <c r="K223" s="19"/>
      <c r="L223" s="19"/>
      <c r="M223" s="19"/>
      <c r="N223" s="19"/>
      <c r="O223" s="19"/>
      <c r="Q223" s="22"/>
    </row>
    <row r="224" ht="15.75" customHeight="1">
      <c r="A224" s="23"/>
      <c r="B224" s="23"/>
      <c r="C224" s="24"/>
      <c r="D224" s="24"/>
      <c r="E224" s="23"/>
      <c r="F224" s="23"/>
      <c r="G224" s="25"/>
      <c r="H224" s="23"/>
      <c r="I224" s="25"/>
      <c r="J224" s="23"/>
      <c r="K224" s="23"/>
      <c r="L224" s="23"/>
      <c r="M224" s="23"/>
      <c r="N224" s="23"/>
      <c r="O224" s="23"/>
      <c r="Q224" s="22"/>
    </row>
    <row r="225" ht="15.75" customHeight="1">
      <c r="A225" s="19"/>
      <c r="B225" s="19"/>
      <c r="C225" s="20"/>
      <c r="D225" s="20"/>
      <c r="E225" s="19"/>
      <c r="F225" s="19"/>
      <c r="G225" s="21"/>
      <c r="H225" s="19"/>
      <c r="I225" s="21"/>
      <c r="J225" s="19"/>
      <c r="K225" s="19"/>
      <c r="L225" s="19"/>
      <c r="M225" s="19"/>
      <c r="N225" s="19"/>
      <c r="O225" s="19"/>
      <c r="Q225" s="22"/>
    </row>
    <row r="226" ht="15.75" customHeight="1">
      <c r="A226" s="23"/>
      <c r="B226" s="23"/>
      <c r="C226" s="24"/>
      <c r="D226" s="24"/>
      <c r="E226" s="23"/>
      <c r="F226" s="23"/>
      <c r="G226" s="25"/>
      <c r="H226" s="23"/>
      <c r="I226" s="25"/>
      <c r="J226" s="23"/>
      <c r="K226" s="23"/>
      <c r="L226" s="23"/>
      <c r="M226" s="23"/>
      <c r="N226" s="23"/>
      <c r="O226" s="23"/>
      <c r="Q226" s="22"/>
    </row>
    <row r="227" ht="15.75" customHeight="1">
      <c r="A227" s="19"/>
      <c r="B227" s="19"/>
      <c r="C227" s="20"/>
      <c r="D227" s="20"/>
      <c r="E227" s="19"/>
      <c r="F227" s="19"/>
      <c r="G227" s="21"/>
      <c r="H227" s="19"/>
      <c r="I227" s="21"/>
      <c r="J227" s="19"/>
      <c r="K227" s="19"/>
      <c r="L227" s="19"/>
      <c r="M227" s="19"/>
      <c r="N227" s="19"/>
      <c r="O227" s="19"/>
      <c r="Q227" s="22"/>
    </row>
    <row r="228" ht="15.75" customHeight="1">
      <c r="A228" s="23"/>
      <c r="B228" s="23"/>
      <c r="C228" s="24"/>
      <c r="D228" s="24"/>
      <c r="E228" s="23"/>
      <c r="F228" s="23"/>
      <c r="G228" s="25"/>
      <c r="H228" s="23"/>
      <c r="I228" s="25"/>
      <c r="J228" s="23"/>
      <c r="K228" s="23"/>
      <c r="L228" s="23"/>
      <c r="M228" s="23"/>
      <c r="N228" s="23"/>
      <c r="O228" s="23"/>
      <c r="Q228" s="22"/>
    </row>
    <row r="229" ht="15.75" customHeight="1">
      <c r="A229" s="19"/>
      <c r="B229" s="19"/>
      <c r="C229" s="20"/>
      <c r="D229" s="20"/>
      <c r="E229" s="19"/>
      <c r="F229" s="19"/>
      <c r="G229" s="21"/>
      <c r="H229" s="19"/>
      <c r="I229" s="21"/>
      <c r="J229" s="19"/>
      <c r="K229" s="19"/>
      <c r="L229" s="19"/>
      <c r="M229" s="19"/>
      <c r="N229" s="19"/>
      <c r="O229" s="19"/>
      <c r="Q229" s="22"/>
    </row>
    <row r="230" ht="15.75" customHeight="1">
      <c r="A230" s="23"/>
      <c r="B230" s="23"/>
      <c r="C230" s="24"/>
      <c r="D230" s="24"/>
      <c r="E230" s="23"/>
      <c r="F230" s="23"/>
      <c r="G230" s="25"/>
      <c r="H230" s="23"/>
      <c r="I230" s="25"/>
      <c r="J230" s="23"/>
      <c r="K230" s="23"/>
      <c r="L230" s="23"/>
      <c r="M230" s="23"/>
      <c r="N230" s="23"/>
      <c r="O230" s="23"/>
      <c r="Q230" s="22"/>
    </row>
    <row r="231" ht="15.75" customHeight="1">
      <c r="A231" s="19"/>
      <c r="B231" s="19"/>
      <c r="C231" s="20"/>
      <c r="D231" s="20"/>
      <c r="E231" s="19"/>
      <c r="F231" s="19"/>
      <c r="G231" s="21"/>
      <c r="H231" s="19"/>
      <c r="I231" s="21"/>
      <c r="J231" s="19"/>
      <c r="K231" s="19"/>
      <c r="L231" s="19"/>
      <c r="M231" s="19"/>
      <c r="N231" s="19"/>
      <c r="O231" s="19"/>
      <c r="Q231" s="22"/>
    </row>
    <row r="232" ht="15.75" customHeight="1">
      <c r="A232" s="23"/>
      <c r="B232" s="23"/>
      <c r="C232" s="24"/>
      <c r="D232" s="24"/>
      <c r="E232" s="23"/>
      <c r="F232" s="23"/>
      <c r="G232" s="25"/>
      <c r="H232" s="23"/>
      <c r="I232" s="25"/>
      <c r="J232" s="23"/>
      <c r="K232" s="23"/>
      <c r="L232" s="23"/>
      <c r="M232" s="23"/>
      <c r="N232" s="23"/>
      <c r="O232" s="23"/>
      <c r="Q232" s="22"/>
    </row>
    <row r="233" ht="15.75" customHeight="1">
      <c r="A233" s="19"/>
      <c r="B233" s="19"/>
      <c r="C233" s="20"/>
      <c r="D233" s="20"/>
      <c r="E233" s="19"/>
      <c r="F233" s="19"/>
      <c r="G233" s="21"/>
      <c r="H233" s="19"/>
      <c r="I233" s="21"/>
      <c r="J233" s="19"/>
      <c r="K233" s="19"/>
      <c r="L233" s="19"/>
      <c r="M233" s="19"/>
      <c r="N233" s="19"/>
      <c r="O233" s="19"/>
      <c r="Q233" s="22"/>
    </row>
    <row r="234" ht="15.75" customHeight="1">
      <c r="A234" s="23"/>
      <c r="B234" s="23"/>
      <c r="C234" s="24"/>
      <c r="D234" s="24"/>
      <c r="E234" s="23"/>
      <c r="F234" s="23"/>
      <c r="G234" s="25"/>
      <c r="H234" s="23"/>
      <c r="I234" s="25"/>
      <c r="J234" s="23"/>
      <c r="K234" s="23"/>
      <c r="L234" s="23"/>
      <c r="M234" s="23"/>
      <c r="N234" s="23"/>
      <c r="O234" s="23"/>
      <c r="Q234" s="22"/>
    </row>
    <row r="235" ht="15.75" customHeight="1">
      <c r="A235" s="19"/>
      <c r="B235" s="19"/>
      <c r="C235" s="20"/>
      <c r="D235" s="20"/>
      <c r="E235" s="19"/>
      <c r="F235" s="19"/>
      <c r="G235" s="21"/>
      <c r="H235" s="19"/>
      <c r="I235" s="21"/>
      <c r="J235" s="19"/>
      <c r="K235" s="19"/>
      <c r="L235" s="19"/>
      <c r="M235" s="19"/>
      <c r="N235" s="19"/>
      <c r="O235" s="19"/>
      <c r="Q235" s="22"/>
    </row>
    <row r="236" ht="15.75" customHeight="1">
      <c r="A236" s="23"/>
      <c r="B236" s="23"/>
      <c r="C236" s="24"/>
      <c r="D236" s="24"/>
      <c r="E236" s="23"/>
      <c r="F236" s="23"/>
      <c r="G236" s="25"/>
      <c r="H236" s="23"/>
      <c r="I236" s="25"/>
      <c r="J236" s="23"/>
      <c r="K236" s="23"/>
      <c r="L236" s="23"/>
      <c r="M236" s="23"/>
      <c r="N236" s="23"/>
      <c r="O236" s="23"/>
      <c r="Q236" s="22"/>
    </row>
    <row r="237" ht="15.75" customHeight="1">
      <c r="A237" s="19"/>
      <c r="B237" s="19"/>
      <c r="C237" s="20"/>
      <c r="D237" s="20"/>
      <c r="E237" s="19"/>
      <c r="F237" s="19"/>
      <c r="G237" s="21"/>
      <c r="H237" s="19"/>
      <c r="I237" s="21"/>
      <c r="J237" s="19"/>
      <c r="K237" s="19"/>
      <c r="L237" s="19"/>
      <c r="M237" s="19"/>
      <c r="N237" s="19"/>
      <c r="O237" s="19"/>
      <c r="Q237" s="22"/>
    </row>
    <row r="238" ht="15.75" customHeight="1">
      <c r="A238" s="23"/>
      <c r="B238" s="23"/>
      <c r="C238" s="24"/>
      <c r="D238" s="24"/>
      <c r="E238" s="23"/>
      <c r="F238" s="23"/>
      <c r="G238" s="25"/>
      <c r="H238" s="23"/>
      <c r="I238" s="25"/>
      <c r="J238" s="23"/>
      <c r="K238" s="23"/>
      <c r="L238" s="23"/>
      <c r="M238" s="23"/>
      <c r="N238" s="23"/>
      <c r="O238" s="23"/>
      <c r="Q238" s="22"/>
    </row>
    <row r="239" ht="15.75" customHeight="1">
      <c r="A239" s="19"/>
      <c r="B239" s="19"/>
      <c r="C239" s="20"/>
      <c r="D239" s="20"/>
      <c r="E239" s="19"/>
      <c r="F239" s="19"/>
      <c r="G239" s="21"/>
      <c r="H239" s="19"/>
      <c r="I239" s="21"/>
      <c r="J239" s="19"/>
      <c r="K239" s="19"/>
      <c r="L239" s="19"/>
      <c r="M239" s="19"/>
      <c r="N239" s="19"/>
      <c r="O239" s="19"/>
      <c r="Q239" s="22"/>
    </row>
    <row r="240" ht="15.75" customHeight="1">
      <c r="A240" s="23"/>
      <c r="B240" s="23"/>
      <c r="C240" s="24"/>
      <c r="D240" s="24"/>
      <c r="E240" s="23"/>
      <c r="F240" s="23"/>
      <c r="G240" s="25"/>
      <c r="H240" s="23"/>
      <c r="I240" s="25"/>
      <c r="J240" s="23"/>
      <c r="K240" s="23"/>
      <c r="L240" s="23"/>
      <c r="M240" s="23"/>
      <c r="N240" s="23"/>
      <c r="O240" s="23"/>
      <c r="Q240" s="22"/>
    </row>
    <row r="241" ht="15.75" customHeight="1">
      <c r="A241" s="19"/>
      <c r="B241" s="19"/>
      <c r="C241" s="20"/>
      <c r="D241" s="20"/>
      <c r="E241" s="19"/>
      <c r="F241" s="19"/>
      <c r="G241" s="21"/>
      <c r="H241" s="19"/>
      <c r="I241" s="21"/>
      <c r="J241" s="19"/>
      <c r="K241" s="19"/>
      <c r="L241" s="19"/>
      <c r="M241" s="19"/>
      <c r="N241" s="19"/>
      <c r="O241" s="19"/>
      <c r="Q241" s="22"/>
    </row>
    <row r="242" ht="15.75" customHeight="1">
      <c r="A242" s="23"/>
      <c r="B242" s="23"/>
      <c r="C242" s="24"/>
      <c r="D242" s="24"/>
      <c r="E242" s="23"/>
      <c r="F242" s="23"/>
      <c r="G242" s="25"/>
      <c r="H242" s="23"/>
      <c r="I242" s="25"/>
      <c r="J242" s="23"/>
      <c r="K242" s="23"/>
      <c r="L242" s="23"/>
      <c r="M242" s="23"/>
      <c r="N242" s="23"/>
      <c r="O242" s="23"/>
      <c r="Q242" s="22"/>
    </row>
    <row r="243" ht="15.75" customHeight="1">
      <c r="A243" s="19"/>
      <c r="B243" s="19"/>
      <c r="C243" s="20"/>
      <c r="D243" s="20"/>
      <c r="E243" s="19"/>
      <c r="F243" s="19"/>
      <c r="G243" s="21"/>
      <c r="H243" s="19"/>
      <c r="I243" s="21"/>
      <c r="J243" s="19"/>
      <c r="K243" s="19"/>
      <c r="L243" s="19"/>
      <c r="M243" s="19"/>
      <c r="N243" s="19"/>
      <c r="O243" s="19"/>
      <c r="Q243" s="22"/>
    </row>
    <row r="244" ht="15.75" customHeight="1">
      <c r="A244" s="23"/>
      <c r="B244" s="23"/>
      <c r="C244" s="24"/>
      <c r="D244" s="24"/>
      <c r="E244" s="23"/>
      <c r="F244" s="23"/>
      <c r="G244" s="25"/>
      <c r="H244" s="23"/>
      <c r="I244" s="25"/>
      <c r="J244" s="23"/>
      <c r="K244" s="23"/>
      <c r="L244" s="23"/>
      <c r="M244" s="23"/>
      <c r="N244" s="23"/>
      <c r="O244" s="23"/>
      <c r="Q244" s="22"/>
    </row>
    <row r="245" ht="15.75" customHeight="1">
      <c r="A245" s="19"/>
      <c r="B245" s="19"/>
      <c r="C245" s="20"/>
      <c r="D245" s="20"/>
      <c r="E245" s="19"/>
      <c r="F245" s="19"/>
      <c r="G245" s="21"/>
      <c r="H245" s="19"/>
      <c r="I245" s="21"/>
      <c r="J245" s="19"/>
      <c r="K245" s="19"/>
      <c r="L245" s="19"/>
      <c r="M245" s="19"/>
      <c r="N245" s="19"/>
      <c r="O245" s="19"/>
      <c r="Q245" s="22"/>
    </row>
    <row r="246" ht="15.75" customHeight="1">
      <c r="A246" s="23"/>
      <c r="B246" s="23"/>
      <c r="C246" s="24"/>
      <c r="D246" s="24"/>
      <c r="E246" s="23"/>
      <c r="F246" s="23"/>
      <c r="G246" s="25"/>
      <c r="H246" s="23"/>
      <c r="I246" s="25"/>
      <c r="J246" s="23"/>
      <c r="K246" s="23"/>
      <c r="L246" s="23"/>
      <c r="M246" s="23"/>
      <c r="N246" s="23"/>
      <c r="O246" s="23"/>
      <c r="Q246" s="22"/>
    </row>
    <row r="247" ht="15.75" customHeight="1">
      <c r="A247" s="19"/>
      <c r="B247" s="19"/>
      <c r="C247" s="20"/>
      <c r="D247" s="20"/>
      <c r="E247" s="19"/>
      <c r="F247" s="19"/>
      <c r="G247" s="21"/>
      <c r="H247" s="19"/>
      <c r="I247" s="21"/>
      <c r="J247" s="19"/>
      <c r="K247" s="19"/>
      <c r="L247" s="19"/>
      <c r="M247" s="19"/>
      <c r="N247" s="19"/>
      <c r="O247" s="19"/>
      <c r="Q247" s="22"/>
    </row>
    <row r="248" ht="15.75" customHeight="1">
      <c r="A248" s="23"/>
      <c r="B248" s="23"/>
      <c r="C248" s="24"/>
      <c r="D248" s="24"/>
      <c r="E248" s="23"/>
      <c r="F248" s="23"/>
      <c r="G248" s="25"/>
      <c r="H248" s="23"/>
      <c r="I248" s="25"/>
      <c r="J248" s="23"/>
      <c r="K248" s="23"/>
      <c r="L248" s="23"/>
      <c r="M248" s="23"/>
      <c r="N248" s="23"/>
      <c r="O248" s="23"/>
      <c r="Q248" s="22"/>
    </row>
    <row r="249" ht="15.75" customHeight="1">
      <c r="A249" s="19"/>
      <c r="B249" s="19"/>
      <c r="C249" s="20"/>
      <c r="D249" s="20"/>
      <c r="E249" s="19"/>
      <c r="F249" s="19"/>
      <c r="G249" s="21"/>
      <c r="H249" s="19"/>
      <c r="I249" s="21"/>
      <c r="J249" s="19"/>
      <c r="K249" s="19"/>
      <c r="L249" s="19"/>
      <c r="M249" s="19"/>
      <c r="N249" s="19"/>
      <c r="O249" s="19"/>
      <c r="Q249" s="22"/>
    </row>
    <row r="250" ht="15.75" customHeight="1">
      <c r="A250" s="23"/>
      <c r="B250" s="23"/>
      <c r="C250" s="24"/>
      <c r="D250" s="24"/>
      <c r="E250" s="23"/>
      <c r="F250" s="23"/>
      <c r="G250" s="25"/>
      <c r="H250" s="23"/>
      <c r="I250" s="25"/>
      <c r="J250" s="23"/>
      <c r="K250" s="23"/>
      <c r="L250" s="23"/>
      <c r="M250" s="23"/>
      <c r="N250" s="23"/>
      <c r="O250" s="23"/>
      <c r="Q250" s="22"/>
    </row>
    <row r="251" ht="15.75" customHeight="1">
      <c r="A251" s="19"/>
      <c r="B251" s="19"/>
      <c r="C251" s="20"/>
      <c r="D251" s="20"/>
      <c r="E251" s="19"/>
      <c r="F251" s="19"/>
      <c r="G251" s="21"/>
      <c r="H251" s="19"/>
      <c r="I251" s="21"/>
      <c r="J251" s="19"/>
      <c r="K251" s="19"/>
      <c r="L251" s="19"/>
      <c r="M251" s="19"/>
      <c r="N251" s="19"/>
      <c r="O251" s="19"/>
      <c r="Q251" s="22"/>
    </row>
    <row r="252" ht="15.75" customHeight="1">
      <c r="A252" s="23"/>
      <c r="B252" s="23"/>
      <c r="C252" s="24"/>
      <c r="D252" s="24"/>
      <c r="E252" s="23"/>
      <c r="F252" s="23"/>
      <c r="G252" s="25"/>
      <c r="H252" s="23"/>
      <c r="I252" s="25"/>
      <c r="J252" s="23"/>
      <c r="K252" s="23"/>
      <c r="L252" s="23"/>
      <c r="M252" s="23"/>
      <c r="N252" s="23"/>
      <c r="O252" s="23"/>
      <c r="Q252" s="22"/>
    </row>
    <row r="253" ht="15.75" customHeight="1">
      <c r="A253" s="19"/>
      <c r="B253" s="19"/>
      <c r="C253" s="20"/>
      <c r="D253" s="20"/>
      <c r="E253" s="19"/>
      <c r="F253" s="19"/>
      <c r="G253" s="21"/>
      <c r="H253" s="19"/>
      <c r="I253" s="21"/>
      <c r="J253" s="19"/>
      <c r="K253" s="19"/>
      <c r="L253" s="19"/>
      <c r="M253" s="19"/>
      <c r="N253" s="19"/>
      <c r="O253" s="19"/>
      <c r="Q253" s="22"/>
    </row>
    <row r="254" ht="15.75" customHeight="1">
      <c r="A254" s="23"/>
      <c r="B254" s="23"/>
      <c r="C254" s="24"/>
      <c r="D254" s="24"/>
      <c r="E254" s="23"/>
      <c r="F254" s="23"/>
      <c r="G254" s="25"/>
      <c r="H254" s="23"/>
      <c r="I254" s="25"/>
      <c r="J254" s="23"/>
      <c r="K254" s="23"/>
      <c r="L254" s="23"/>
      <c r="M254" s="23"/>
      <c r="N254" s="23"/>
      <c r="O254" s="23"/>
      <c r="Q254" s="22"/>
    </row>
    <row r="255" ht="15.75" customHeight="1">
      <c r="A255" s="19"/>
      <c r="B255" s="19"/>
      <c r="C255" s="20"/>
      <c r="D255" s="20"/>
      <c r="E255" s="19"/>
      <c r="F255" s="19"/>
      <c r="G255" s="21"/>
      <c r="H255" s="19"/>
      <c r="I255" s="21"/>
      <c r="J255" s="19"/>
      <c r="K255" s="19"/>
      <c r="L255" s="19"/>
      <c r="M255" s="19"/>
      <c r="N255" s="19"/>
      <c r="O255" s="19"/>
      <c r="Q255" s="22"/>
    </row>
    <row r="256" ht="15.75" customHeight="1">
      <c r="A256" s="23"/>
      <c r="B256" s="23"/>
      <c r="C256" s="24"/>
      <c r="D256" s="24"/>
      <c r="E256" s="23"/>
      <c r="F256" s="23"/>
      <c r="G256" s="25"/>
      <c r="H256" s="23"/>
      <c r="I256" s="25"/>
      <c r="J256" s="23"/>
      <c r="K256" s="23"/>
      <c r="L256" s="23"/>
      <c r="M256" s="23"/>
      <c r="N256" s="23"/>
      <c r="O256" s="23"/>
      <c r="Q256" s="22"/>
    </row>
    <row r="257" ht="15.75" customHeight="1">
      <c r="A257" s="19"/>
      <c r="B257" s="19"/>
      <c r="C257" s="20"/>
      <c r="D257" s="20"/>
      <c r="E257" s="19"/>
      <c r="F257" s="19"/>
      <c r="G257" s="21"/>
      <c r="H257" s="19"/>
      <c r="I257" s="21"/>
      <c r="J257" s="19"/>
      <c r="K257" s="19"/>
      <c r="L257" s="19"/>
      <c r="M257" s="19"/>
      <c r="N257" s="19"/>
      <c r="O257" s="19"/>
      <c r="Q257" s="22"/>
    </row>
    <row r="258" ht="15.75" customHeight="1">
      <c r="A258" s="23"/>
      <c r="B258" s="23"/>
      <c r="C258" s="24"/>
      <c r="D258" s="24"/>
      <c r="E258" s="23"/>
      <c r="F258" s="23"/>
      <c r="G258" s="25"/>
      <c r="H258" s="23"/>
      <c r="I258" s="25"/>
      <c r="J258" s="23"/>
      <c r="K258" s="23"/>
      <c r="L258" s="23"/>
      <c r="M258" s="23"/>
      <c r="N258" s="23"/>
      <c r="O258" s="23"/>
      <c r="Q258" s="22"/>
    </row>
    <row r="259" ht="15.75" customHeight="1">
      <c r="A259" s="19"/>
      <c r="B259" s="19"/>
      <c r="C259" s="20"/>
      <c r="D259" s="20"/>
      <c r="E259" s="19"/>
      <c r="F259" s="19"/>
      <c r="G259" s="21"/>
      <c r="H259" s="19"/>
      <c r="I259" s="21"/>
      <c r="J259" s="19"/>
      <c r="K259" s="19"/>
      <c r="L259" s="19"/>
      <c r="M259" s="19"/>
      <c r="N259" s="19"/>
      <c r="O259" s="19"/>
      <c r="Q259" s="22"/>
    </row>
    <row r="260" ht="15.75" customHeight="1">
      <c r="A260" s="23"/>
      <c r="B260" s="23"/>
      <c r="C260" s="24"/>
      <c r="D260" s="24"/>
      <c r="E260" s="23"/>
      <c r="F260" s="23"/>
      <c r="G260" s="25"/>
      <c r="H260" s="23"/>
      <c r="I260" s="25"/>
      <c r="J260" s="23"/>
      <c r="K260" s="23"/>
      <c r="L260" s="23"/>
      <c r="M260" s="23"/>
      <c r="N260" s="23"/>
      <c r="O260" s="23"/>
      <c r="Q260" s="22"/>
    </row>
    <row r="261" ht="15.75" customHeight="1">
      <c r="A261" s="19"/>
      <c r="B261" s="19"/>
      <c r="C261" s="20"/>
      <c r="D261" s="20"/>
      <c r="E261" s="19"/>
      <c r="F261" s="19"/>
      <c r="G261" s="21"/>
      <c r="H261" s="19"/>
      <c r="I261" s="21"/>
      <c r="J261" s="19"/>
      <c r="K261" s="19"/>
      <c r="L261" s="19"/>
      <c r="M261" s="19"/>
      <c r="N261" s="19"/>
      <c r="O261" s="19"/>
      <c r="Q261" s="22"/>
    </row>
    <row r="262" ht="15.75" customHeight="1">
      <c r="A262" s="23"/>
      <c r="B262" s="23"/>
      <c r="C262" s="24"/>
      <c r="D262" s="24"/>
      <c r="E262" s="23"/>
      <c r="F262" s="23"/>
      <c r="G262" s="25"/>
      <c r="H262" s="23"/>
      <c r="I262" s="25"/>
      <c r="J262" s="23"/>
      <c r="K262" s="23"/>
      <c r="L262" s="23"/>
      <c r="M262" s="23"/>
      <c r="N262" s="23"/>
      <c r="O262" s="23"/>
      <c r="Q262" s="22"/>
    </row>
    <row r="263" ht="15.75" customHeight="1">
      <c r="A263" s="19"/>
      <c r="B263" s="19"/>
      <c r="C263" s="20"/>
      <c r="D263" s="20"/>
      <c r="E263" s="19"/>
      <c r="F263" s="19"/>
      <c r="G263" s="21"/>
      <c r="H263" s="19"/>
      <c r="I263" s="21"/>
      <c r="J263" s="19"/>
      <c r="K263" s="19"/>
      <c r="L263" s="19"/>
      <c r="M263" s="19"/>
      <c r="N263" s="19"/>
      <c r="O263" s="19"/>
      <c r="Q263" s="22"/>
    </row>
    <row r="264" ht="15.75" customHeight="1">
      <c r="A264" s="23"/>
      <c r="B264" s="23"/>
      <c r="C264" s="24"/>
      <c r="D264" s="24"/>
      <c r="E264" s="23"/>
      <c r="F264" s="23"/>
      <c r="G264" s="25"/>
      <c r="H264" s="23"/>
      <c r="I264" s="25"/>
      <c r="J264" s="23"/>
      <c r="K264" s="23"/>
      <c r="L264" s="23"/>
      <c r="M264" s="23"/>
      <c r="N264" s="23"/>
      <c r="O264" s="23"/>
      <c r="Q264" s="22"/>
    </row>
    <row r="265" ht="15.75" customHeight="1">
      <c r="A265" s="19"/>
      <c r="B265" s="19"/>
      <c r="C265" s="20"/>
      <c r="D265" s="20"/>
      <c r="E265" s="19"/>
      <c r="F265" s="19"/>
      <c r="G265" s="21"/>
      <c r="H265" s="19"/>
      <c r="I265" s="21"/>
      <c r="J265" s="19"/>
      <c r="K265" s="19"/>
      <c r="L265" s="19"/>
      <c r="M265" s="19"/>
      <c r="N265" s="19"/>
      <c r="O265" s="19"/>
      <c r="Q265" s="22"/>
    </row>
    <row r="266" ht="15.75" customHeight="1">
      <c r="A266" s="23"/>
      <c r="B266" s="23"/>
      <c r="C266" s="24"/>
      <c r="D266" s="24"/>
      <c r="E266" s="23"/>
      <c r="F266" s="23"/>
      <c r="G266" s="25"/>
      <c r="H266" s="23"/>
      <c r="I266" s="25"/>
      <c r="J266" s="23"/>
      <c r="K266" s="23"/>
      <c r="L266" s="23"/>
      <c r="M266" s="23"/>
      <c r="N266" s="23"/>
      <c r="O266" s="23"/>
      <c r="Q266" s="22"/>
    </row>
    <row r="267" ht="15.75" customHeight="1">
      <c r="A267" s="19"/>
      <c r="B267" s="19"/>
      <c r="C267" s="20"/>
      <c r="D267" s="20"/>
      <c r="E267" s="19"/>
      <c r="F267" s="19"/>
      <c r="G267" s="21"/>
      <c r="H267" s="19"/>
      <c r="I267" s="21"/>
      <c r="J267" s="19"/>
      <c r="K267" s="19"/>
      <c r="L267" s="19"/>
      <c r="M267" s="19"/>
      <c r="N267" s="19"/>
      <c r="O267" s="19"/>
      <c r="Q267" s="22"/>
    </row>
    <row r="268" ht="15.75" customHeight="1">
      <c r="A268" s="23"/>
      <c r="B268" s="23"/>
      <c r="C268" s="24"/>
      <c r="D268" s="24"/>
      <c r="E268" s="23"/>
      <c r="F268" s="23"/>
      <c r="G268" s="25"/>
      <c r="H268" s="23"/>
      <c r="I268" s="25"/>
      <c r="J268" s="23"/>
      <c r="K268" s="23"/>
      <c r="L268" s="23"/>
      <c r="M268" s="23"/>
      <c r="N268" s="23"/>
      <c r="O268" s="23"/>
      <c r="Q268" s="22"/>
    </row>
    <row r="269" ht="15.75" customHeight="1">
      <c r="A269" s="19"/>
      <c r="B269" s="19"/>
      <c r="C269" s="20"/>
      <c r="D269" s="20"/>
      <c r="E269" s="19"/>
      <c r="F269" s="19"/>
      <c r="G269" s="21"/>
      <c r="H269" s="19"/>
      <c r="I269" s="21"/>
      <c r="J269" s="19"/>
      <c r="K269" s="19"/>
      <c r="L269" s="19"/>
      <c r="M269" s="19"/>
      <c r="N269" s="19"/>
      <c r="O269" s="19"/>
      <c r="Q269" s="22"/>
    </row>
    <row r="270" ht="15.75" customHeight="1">
      <c r="A270" s="23"/>
      <c r="B270" s="23"/>
      <c r="C270" s="24"/>
      <c r="D270" s="24"/>
      <c r="E270" s="23"/>
      <c r="F270" s="23"/>
      <c r="G270" s="25"/>
      <c r="H270" s="23"/>
      <c r="I270" s="25"/>
      <c r="J270" s="23"/>
      <c r="K270" s="23"/>
      <c r="L270" s="23"/>
      <c r="M270" s="23"/>
      <c r="N270" s="23"/>
      <c r="O270" s="23"/>
      <c r="Q270" s="22"/>
    </row>
    <row r="271" ht="15.75" customHeight="1">
      <c r="A271" s="19"/>
      <c r="B271" s="19"/>
      <c r="C271" s="20"/>
      <c r="D271" s="20"/>
      <c r="E271" s="19"/>
      <c r="F271" s="19"/>
      <c r="G271" s="21"/>
      <c r="H271" s="19"/>
      <c r="I271" s="21"/>
      <c r="J271" s="19"/>
      <c r="K271" s="19"/>
      <c r="L271" s="19"/>
      <c r="M271" s="19"/>
      <c r="N271" s="19"/>
      <c r="O271" s="19"/>
      <c r="Q271" s="22"/>
    </row>
    <row r="272" ht="15.75" customHeight="1">
      <c r="A272" s="23"/>
      <c r="B272" s="23"/>
      <c r="C272" s="24"/>
      <c r="D272" s="24"/>
      <c r="E272" s="23"/>
      <c r="F272" s="23"/>
      <c r="G272" s="25"/>
      <c r="H272" s="23"/>
      <c r="I272" s="25"/>
      <c r="J272" s="23"/>
      <c r="K272" s="23"/>
      <c r="L272" s="23"/>
      <c r="M272" s="23"/>
      <c r="N272" s="23"/>
      <c r="O272" s="23"/>
      <c r="Q272" s="22"/>
    </row>
    <row r="273" ht="15.75" customHeight="1">
      <c r="A273" s="19"/>
      <c r="B273" s="19"/>
      <c r="C273" s="20"/>
      <c r="D273" s="20"/>
      <c r="E273" s="19"/>
      <c r="F273" s="19"/>
      <c r="G273" s="21"/>
      <c r="H273" s="19"/>
      <c r="I273" s="21"/>
      <c r="J273" s="19"/>
      <c r="K273" s="19"/>
      <c r="L273" s="19"/>
      <c r="M273" s="19"/>
      <c r="N273" s="19"/>
      <c r="O273" s="19"/>
      <c r="Q273" s="22"/>
    </row>
    <row r="274" ht="15.75" customHeight="1">
      <c r="A274" s="23"/>
      <c r="B274" s="23"/>
      <c r="C274" s="24"/>
      <c r="D274" s="24"/>
      <c r="E274" s="23"/>
      <c r="F274" s="23"/>
      <c r="G274" s="25"/>
      <c r="H274" s="23"/>
      <c r="I274" s="25"/>
      <c r="J274" s="23"/>
      <c r="K274" s="23"/>
      <c r="L274" s="23"/>
      <c r="M274" s="23"/>
      <c r="N274" s="23"/>
      <c r="O274" s="23"/>
      <c r="Q274" s="22"/>
    </row>
    <row r="275" ht="15.75" customHeight="1">
      <c r="A275" s="19"/>
      <c r="B275" s="19"/>
      <c r="C275" s="20"/>
      <c r="D275" s="20"/>
      <c r="E275" s="19"/>
      <c r="F275" s="19"/>
      <c r="G275" s="21"/>
      <c r="H275" s="19"/>
      <c r="I275" s="21"/>
      <c r="J275" s="19"/>
      <c r="K275" s="19"/>
      <c r="L275" s="19"/>
      <c r="M275" s="19"/>
      <c r="N275" s="19"/>
      <c r="O275" s="19"/>
      <c r="Q275" s="22"/>
    </row>
    <row r="276" ht="15.75" customHeight="1">
      <c r="A276" s="23"/>
      <c r="B276" s="23"/>
      <c r="C276" s="24"/>
      <c r="D276" s="24"/>
      <c r="E276" s="23"/>
      <c r="F276" s="23"/>
      <c r="G276" s="25"/>
      <c r="H276" s="23"/>
      <c r="I276" s="25"/>
      <c r="J276" s="23"/>
      <c r="K276" s="23"/>
      <c r="L276" s="23"/>
      <c r="M276" s="23"/>
      <c r="N276" s="23"/>
      <c r="O276" s="23"/>
      <c r="Q276" s="22"/>
    </row>
    <row r="277" ht="15.75" customHeight="1">
      <c r="A277" s="19"/>
      <c r="B277" s="19"/>
      <c r="C277" s="20"/>
      <c r="D277" s="20"/>
      <c r="E277" s="19"/>
      <c r="F277" s="19"/>
      <c r="G277" s="21"/>
      <c r="H277" s="19"/>
      <c r="I277" s="21"/>
      <c r="J277" s="19"/>
      <c r="K277" s="19"/>
      <c r="L277" s="19"/>
      <c r="M277" s="19"/>
      <c r="N277" s="19"/>
      <c r="O277" s="19"/>
      <c r="Q277" s="22"/>
    </row>
    <row r="278" ht="15.75" customHeight="1">
      <c r="A278" s="23"/>
      <c r="B278" s="23"/>
      <c r="C278" s="24"/>
      <c r="D278" s="24"/>
      <c r="E278" s="23"/>
      <c r="F278" s="23"/>
      <c r="G278" s="25"/>
      <c r="H278" s="23"/>
      <c r="I278" s="25"/>
      <c r="J278" s="23"/>
      <c r="K278" s="23"/>
      <c r="L278" s="23"/>
      <c r="M278" s="23"/>
      <c r="N278" s="23"/>
      <c r="O278" s="23"/>
      <c r="Q278" s="22"/>
    </row>
    <row r="279" ht="15.75" customHeight="1">
      <c r="A279" s="19"/>
      <c r="B279" s="19"/>
      <c r="C279" s="20"/>
      <c r="D279" s="20"/>
      <c r="E279" s="19"/>
      <c r="F279" s="19"/>
      <c r="G279" s="21"/>
      <c r="H279" s="19"/>
      <c r="I279" s="21"/>
      <c r="J279" s="19"/>
      <c r="K279" s="19"/>
      <c r="L279" s="19"/>
      <c r="M279" s="19"/>
      <c r="N279" s="19"/>
      <c r="O279" s="19"/>
      <c r="Q279" s="22"/>
    </row>
    <row r="280" ht="15.75" customHeight="1">
      <c r="A280" s="23"/>
      <c r="B280" s="23"/>
      <c r="C280" s="24"/>
      <c r="D280" s="24"/>
      <c r="E280" s="23"/>
      <c r="F280" s="23"/>
      <c r="G280" s="25"/>
      <c r="H280" s="23"/>
      <c r="I280" s="25"/>
      <c r="J280" s="23"/>
      <c r="K280" s="23"/>
      <c r="L280" s="23"/>
      <c r="M280" s="23"/>
      <c r="N280" s="23"/>
      <c r="O280" s="23"/>
      <c r="Q280" s="22"/>
    </row>
    <row r="281" ht="15.75" customHeight="1">
      <c r="A281" s="19"/>
      <c r="B281" s="19"/>
      <c r="C281" s="20"/>
      <c r="D281" s="20"/>
      <c r="E281" s="19"/>
      <c r="F281" s="19"/>
      <c r="G281" s="21"/>
      <c r="H281" s="19"/>
      <c r="I281" s="21"/>
      <c r="J281" s="19"/>
      <c r="K281" s="19"/>
      <c r="L281" s="19"/>
      <c r="M281" s="19"/>
      <c r="N281" s="19"/>
      <c r="O281" s="19"/>
      <c r="Q281" s="22"/>
    </row>
    <row r="282" ht="15.75" customHeight="1">
      <c r="A282" s="23"/>
      <c r="B282" s="23"/>
      <c r="C282" s="24"/>
      <c r="D282" s="24"/>
      <c r="E282" s="23"/>
      <c r="F282" s="23"/>
      <c r="G282" s="25"/>
      <c r="H282" s="23"/>
      <c r="I282" s="25"/>
      <c r="J282" s="23"/>
      <c r="K282" s="23"/>
      <c r="L282" s="23"/>
      <c r="M282" s="23"/>
      <c r="N282" s="23"/>
      <c r="O282" s="23"/>
      <c r="Q282" s="22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38"/>
    <col customWidth="1" min="2" max="2" width="17.5"/>
    <col customWidth="1" min="3" max="3" width="22.0"/>
    <col customWidth="1" min="4" max="4" width="23.38"/>
    <col customWidth="1" min="5" max="6" width="12.63"/>
  </cols>
  <sheetData>
    <row r="1" ht="15.75" customHeight="1">
      <c r="A1" s="26" t="s">
        <v>183</v>
      </c>
      <c r="B1" s="27" t="s">
        <v>184</v>
      </c>
      <c r="C1" s="28" t="s">
        <v>18</v>
      </c>
      <c r="D1" s="28"/>
    </row>
    <row r="2" ht="15.75" customHeight="1">
      <c r="A2" s="1" t="s">
        <v>185</v>
      </c>
      <c r="B2" s="11">
        <f>MAX(Principal!Q:Q)</f>
        <v>4762926995</v>
      </c>
      <c r="C2" s="29" t="str">
        <f>VLOOKUP(B2,Principal!Q:S,3,0)</f>
        <v>Vale</v>
      </c>
      <c r="D2" s="29" t="str">
        <f>VLOOKUP(C2,Principal!S:T,2,0)</f>
        <v>Mineração</v>
      </c>
    </row>
    <row r="3" ht="15.75" customHeight="1">
      <c r="A3" s="1" t="s">
        <v>186</v>
      </c>
      <c r="B3" s="18">
        <f>MIN(Principal!Q:Q)</f>
        <v>-1807432634</v>
      </c>
      <c r="C3" s="30" t="str">
        <f>VLOOKUP(B3,Principal!Q:S,3,0)</f>
        <v>Localiza</v>
      </c>
      <c r="D3" s="30" t="str">
        <f>VLOOKUP(C3,Principal!S:T,2,0)</f>
        <v>Aluguel de Carros</v>
      </c>
    </row>
    <row r="4" ht="15.75" customHeight="1">
      <c r="A4" s="1" t="s">
        <v>187</v>
      </c>
      <c r="B4" s="11">
        <f>AVERAGE(Principal!Q:Q)</f>
        <v>165190210.5</v>
      </c>
      <c r="C4" s="11"/>
      <c r="D4" s="11"/>
    </row>
    <row r="5" ht="15.75" customHeight="1">
      <c r="A5" s="31" t="s">
        <v>188</v>
      </c>
    </row>
    <row r="6" ht="15.75" customHeight="1">
      <c r="A6" s="1" t="s">
        <v>185</v>
      </c>
      <c r="B6" s="18">
        <f>MAXIFS(Principal!Q:Q,Principal!R:R,"Subiu")</f>
        <v>4762926995</v>
      </c>
      <c r="C6" s="30" t="str">
        <f>VLOOKUP(B6,Principal!Q:S,3,0)</f>
        <v>Vale</v>
      </c>
      <c r="D6" s="30" t="str">
        <f>VLOOKUP(C6,Principal!S:T,2,0)</f>
        <v>Mineração</v>
      </c>
    </row>
    <row r="7" ht="15.75" customHeight="1">
      <c r="A7" s="1" t="s">
        <v>186</v>
      </c>
      <c r="B7" s="11">
        <f>MINIFS(Principal!Q:Q,Principal!R:R,"Subiu")</f>
        <v>4131341.158</v>
      </c>
      <c r="C7" s="29" t="str">
        <f>VLOOKUP(B7,Principal!Q:S,3,0)</f>
        <v>Grupo Vamos</v>
      </c>
      <c r="D7" s="29" t="str">
        <f>VLOOKUP(C7,Principal!S:T,2,0)</f>
        <v>Logística</v>
      </c>
    </row>
    <row r="8" ht="15.75" customHeight="1">
      <c r="A8" s="1" t="s">
        <v>187</v>
      </c>
      <c r="B8" s="18">
        <f>AVERAGEIFS(Principal!Q:Q,Principal!R:R,"Subiu")</f>
        <v>448164250.2</v>
      </c>
      <c r="C8" s="18"/>
      <c r="D8" s="18"/>
    </row>
    <row r="9" ht="15.75" customHeight="1">
      <c r="A9" s="31" t="s">
        <v>189</v>
      </c>
    </row>
    <row r="10" ht="15.75" customHeight="1">
      <c r="A10" s="1" t="s">
        <v>185</v>
      </c>
      <c r="B10" s="11">
        <f>MAXIFS(Principal!Q:Q,Principal!R:R,"Desceu")</f>
        <v>-4532537.188</v>
      </c>
      <c r="C10" s="29" t="str">
        <f>VLOOKUP(B10,Principal!Q:S,3,0)</f>
        <v>BB Seguridade</v>
      </c>
      <c r="D10" s="29" t="str">
        <f>VLOOKUP(C10,Principal!S:T,2,0)</f>
        <v>Financeiro</v>
      </c>
    </row>
    <row r="11" ht="15.75" customHeight="1">
      <c r="A11" s="1" t="s">
        <v>186</v>
      </c>
      <c r="B11" s="18">
        <f>MINIFS(Principal!Q:Q,Principal!R:R,"Desceu")</f>
        <v>-1807432634</v>
      </c>
      <c r="C11" s="30" t="str">
        <f>VLOOKUP(B11,Principal!Q:S,3,0)</f>
        <v>Localiza</v>
      </c>
      <c r="D11" s="30" t="str">
        <f>VLOOKUP(C11,Principal!S:T,2,0)</f>
        <v>Aluguel de Carros</v>
      </c>
    </row>
    <row r="12" ht="15.75" customHeight="1">
      <c r="A12" s="1" t="s">
        <v>187</v>
      </c>
      <c r="B12" s="11">
        <f>AVERAGEIFS(Principal!Q:Q,Principal!R:R,"Desceu")</f>
        <v>-181109141.8</v>
      </c>
      <c r="C12" s="29"/>
      <c r="D12" s="29"/>
    </row>
    <row r="13" ht="15.75" customHeight="1"/>
    <row r="14" ht="15.75" customHeight="1">
      <c r="A14" s="32" t="str">
        <f>IFERROR(__xludf.DUMMYFUNCTION("UNIQUE(Principal!T:T)"),"Segmento")</f>
        <v>Segmento</v>
      </c>
      <c r="B14" s="26" t="s">
        <v>190</v>
      </c>
      <c r="C14" s="26" t="s">
        <v>191</v>
      </c>
      <c r="D14" s="26" t="s">
        <v>192</v>
      </c>
    </row>
    <row r="15" ht="15.75" customHeight="1">
      <c r="A15" s="4" t="str">
        <f>IFERROR(__xludf.DUMMYFUNCTION("""COMPUTED_VALUE"""),"Siderurgia")</f>
        <v>Siderurgia</v>
      </c>
      <c r="B15" s="11">
        <f>SUMIF(Principal!T:T,A15,Principal!Q:Q)</f>
        <v>489935930.9</v>
      </c>
      <c r="C15" s="11">
        <f>SUMIFS(Principal!Q:Q,Principal!T:T,A15,Principal!R:R,"Subiu")</f>
        <v>489935930.9</v>
      </c>
      <c r="D15" s="11"/>
    </row>
    <row r="16" ht="15.75" customHeight="1">
      <c r="A16" s="4" t="str">
        <f>IFERROR(__xludf.DUMMYFUNCTION("""COMPUTED_VALUE"""),"Mineração")</f>
        <v>Mineração</v>
      </c>
      <c r="B16" s="18">
        <f>SUMIF(Principal!T:T,A16,Principal!Q:Q)</f>
        <v>4940442966</v>
      </c>
      <c r="C16" s="18">
        <f>SUMIFS(Principal!Q:Q,Principal!T:T,A16,Principal!R:R,"Subiu")</f>
        <v>4940442966</v>
      </c>
      <c r="D16" s="18"/>
    </row>
    <row r="17" ht="15.75" customHeight="1">
      <c r="A17" s="4" t="str">
        <f>IFERROR(__xludf.DUMMYFUNCTION("""COMPUTED_VALUE"""),"Petróleo")</f>
        <v>Petróleo</v>
      </c>
      <c r="B17" s="11">
        <f>SUMIF(Principal!T:T,A17,Principal!Q:Q)</f>
        <v>6481994056</v>
      </c>
      <c r="C17" s="11">
        <f>SUMIFS(Principal!Q:Q,Principal!T:T,A17,Principal!R:R,"Subiu")</f>
        <v>6481994056</v>
      </c>
      <c r="D17" s="11"/>
    </row>
    <row r="18" ht="15.75" customHeight="1">
      <c r="A18" s="4" t="str">
        <f>IFERROR(__xludf.DUMMYFUNCTION("""COMPUTED_VALUE"""),"Papel e Celulose")</f>
        <v>Papel e Celulose</v>
      </c>
      <c r="B18" s="18">
        <f>SUMIF(Principal!T:T,A18,Principal!Q:Q)</f>
        <v>722946282.7</v>
      </c>
      <c r="C18" s="18">
        <f>SUMIFS(Principal!Q:Q,Principal!T:T,A18,Principal!R:R,"Subiu")</f>
        <v>722946282.7</v>
      </c>
      <c r="D18" s="18"/>
    </row>
    <row r="19" ht="15.75" customHeight="1">
      <c r="A19" s="4" t="str">
        <f>IFERROR(__xludf.DUMMYFUNCTION("""COMPUTED_VALUE"""),"Energia")</f>
        <v>Energia</v>
      </c>
      <c r="B19" s="11">
        <f>SUMIF(Principal!T:T,A19,Principal!Q:Q)</f>
        <v>-57259481.89</v>
      </c>
      <c r="C19" s="11">
        <f>SUMIFS(Principal!Q:Q,Principal!T:T,A19,Principal!R:R,"Subiu")</f>
        <v>821116399.6</v>
      </c>
      <c r="D19" s="11"/>
    </row>
    <row r="20" ht="15.75" customHeight="1">
      <c r="A20" s="4" t="str">
        <f>IFERROR(__xludf.DUMMYFUNCTION("""COMPUTED_VALUE"""),"Imobiliário")</f>
        <v>Imobiliário</v>
      </c>
      <c r="B20" s="18">
        <f>SUMIF(Principal!T:T,A20,Principal!Q:Q)</f>
        <v>117732680.1</v>
      </c>
      <c r="C20" s="18">
        <f>SUMIFS(Principal!Q:Q,Principal!T:T,A20,Principal!R:R,"Subiu")</f>
        <v>117732680.1</v>
      </c>
      <c r="D20" s="18"/>
    </row>
    <row r="21" ht="15.75" customHeight="1">
      <c r="A21" s="4" t="str">
        <f>IFERROR(__xludf.DUMMYFUNCTION("""COMPUTED_VALUE"""),"Financeiro")</f>
        <v>Financeiro</v>
      </c>
      <c r="B21" s="11">
        <f>SUMIF(Principal!T:T,A21,Principal!Q:Q)</f>
        <v>3021943743</v>
      </c>
      <c r="C21" s="11">
        <f>SUMIFS(Principal!Q:Q,Principal!T:T,A21,Principal!R:R,"Subiu")</f>
        <v>4200261947</v>
      </c>
      <c r="D21" s="11"/>
    </row>
    <row r="22" ht="15.75" customHeight="1">
      <c r="A22" s="4" t="str">
        <f>IFERROR(__xludf.DUMMYFUNCTION("""COMPUTED_VALUE"""),"Saúde")</f>
        <v>Saúde</v>
      </c>
      <c r="B22" s="18">
        <f>SUMIF(Principal!T:T,A22,Principal!Q:Q)</f>
        <v>262673943.6</v>
      </c>
      <c r="C22" s="18">
        <f>SUMIFS(Principal!Q:Q,Principal!T:T,A22,Principal!R:R,"Subiu")</f>
        <v>656270380.8</v>
      </c>
      <c r="D22" s="18"/>
    </row>
    <row r="23" ht="15.75" customHeight="1">
      <c r="A23" s="4" t="str">
        <f>IFERROR(__xludf.DUMMYFUNCTION("""COMPUTED_VALUE"""),"Química")</f>
        <v>Química</v>
      </c>
      <c r="B23" s="11">
        <f>SUMIF(Principal!T:T,A23,Principal!Q:Q)</f>
        <v>69054317.64</v>
      </c>
      <c r="C23" s="11">
        <f>SUMIFS(Principal!Q:Q,Principal!T:T,A23,Principal!R:R,"Subiu")</f>
        <v>69054317.64</v>
      </c>
      <c r="D23" s="11"/>
    </row>
    <row r="24" ht="15.75" customHeight="1">
      <c r="A24" s="4" t="str">
        <f>IFERROR(__xludf.DUMMYFUNCTION("""COMPUTED_VALUE"""),"Transporte")</f>
        <v>Transporte</v>
      </c>
      <c r="B24" s="18">
        <f>SUMIF(Principal!T:T,A24,Principal!Q:Q)</f>
        <v>192230336.6</v>
      </c>
      <c r="C24" s="18">
        <f>SUMIFS(Principal!Q:Q,Principal!T:T,A24,Principal!R:R,"Subiu")</f>
        <v>295223539.2</v>
      </c>
      <c r="D24" s="18"/>
    </row>
    <row r="25" ht="15.75" customHeight="1">
      <c r="A25" s="4" t="str">
        <f>IFERROR(__xludf.DUMMYFUNCTION("""COMPUTED_VALUE"""),"Educação")</f>
        <v>Educação</v>
      </c>
      <c r="B25" s="11">
        <f>SUMIF(Principal!T:T,A25,Principal!Q:Q)</f>
        <v>54641872.47</v>
      </c>
      <c r="C25" s="11">
        <f>SUMIFS(Principal!Q:Q,Principal!T:T,A25,Principal!R:R,"Subiu")</f>
        <v>72295838.99</v>
      </c>
      <c r="D25" s="11"/>
    </row>
    <row r="26" ht="15.75" customHeight="1">
      <c r="A26" s="4" t="str">
        <f>IFERROR(__xludf.DUMMYFUNCTION("""COMPUTED_VALUE"""),"Construção")</f>
        <v>Construção</v>
      </c>
      <c r="B26" s="18">
        <f>SUMIF(Principal!T:T,A26,Principal!Q:Q)</f>
        <v>-61087401.61</v>
      </c>
      <c r="C26" s="18">
        <f>SUMIFS(Principal!Q:Q,Principal!T:T,A26,Principal!R:R,"Subiu")</f>
        <v>37525872.38</v>
      </c>
      <c r="D26" s="18"/>
    </row>
    <row r="27" ht="15.75" customHeight="1">
      <c r="A27" s="4" t="str">
        <f>IFERROR(__xludf.DUMMYFUNCTION("""COMPUTED_VALUE"""),"Vestuário")</f>
        <v>Vestuário</v>
      </c>
      <c r="B27" s="11">
        <f>SUMIF(Principal!T:T,A27,Principal!Q:Q)</f>
        <v>19895417.77</v>
      </c>
      <c r="C27" s="11">
        <f>SUMIFS(Principal!Q:Q,Principal!T:T,A27,Principal!R:R,"Subiu")</f>
        <v>41021792.09</v>
      </c>
      <c r="D27" s="11"/>
    </row>
    <row r="28" ht="15.75" customHeight="1">
      <c r="A28" s="4" t="str">
        <f>IFERROR(__xludf.DUMMYFUNCTION("""COMPUTED_VALUE"""),"Alimentos")</f>
        <v>Alimentos</v>
      </c>
      <c r="B28" s="18">
        <f>SUMIF(Principal!T:T,A28,Principal!Q:Q)</f>
        <v>414174599.3</v>
      </c>
      <c r="C28" s="18">
        <f>SUMIFS(Principal!Q:Q,Principal!T:T,A28,Principal!R:R,"Subiu")</f>
        <v>414174599.3</v>
      </c>
      <c r="D28" s="18"/>
    </row>
    <row r="29" ht="15.75" customHeight="1">
      <c r="A29" s="4" t="str">
        <f>IFERROR(__xludf.DUMMYFUNCTION("""COMPUTED_VALUE"""),"Telecomunicações")</f>
        <v>Telecomunicações</v>
      </c>
      <c r="B29" s="11">
        <f>SUMIF(Principal!T:T,A29,Principal!Q:Q)</f>
        <v>292938114.4</v>
      </c>
      <c r="C29" s="11">
        <f>SUMIFS(Principal!Q:Q,Principal!T:T,A29,Principal!R:R,"Subiu")</f>
        <v>292938114.4</v>
      </c>
      <c r="D29" s="11"/>
    </row>
    <row r="30" ht="15.75" customHeight="1">
      <c r="A30" s="4" t="str">
        <f>IFERROR(__xludf.DUMMYFUNCTION("""COMPUTED_VALUE"""),"Investimentos")</f>
        <v>Investimentos</v>
      </c>
      <c r="B30" s="18">
        <f>SUMIF(Principal!T:T,A30,Principal!Q:Q)</f>
        <v>18068446.61</v>
      </c>
      <c r="C30" s="18">
        <f>SUMIFS(Principal!Q:Q,Principal!T:T,A30,Principal!R:R,"Subiu")</f>
        <v>18068446.61</v>
      </c>
      <c r="D30" s="18"/>
    </row>
    <row r="31" ht="15.75" customHeight="1">
      <c r="A31" s="4" t="str">
        <f>IFERROR(__xludf.DUMMYFUNCTION("""COMPUTED_VALUE"""),"Tecnologia")</f>
        <v>Tecnologia</v>
      </c>
      <c r="B31" s="11">
        <f>SUMIF(Principal!T:T,A31,Principal!Q:Q)</f>
        <v>-112162901.5</v>
      </c>
      <c r="C31" s="11">
        <f>SUMIFS(Principal!Q:Q,Principal!T:T,A31,Principal!R:R,"Subiu")</f>
        <v>15598886.65</v>
      </c>
      <c r="D31" s="11"/>
    </row>
    <row r="32" ht="15.75" customHeight="1">
      <c r="A32" s="4" t="str">
        <f>IFERROR(__xludf.DUMMYFUNCTION("""COMPUTED_VALUE"""),"Varejo")</f>
        <v>Varejo</v>
      </c>
      <c r="B32" s="18">
        <f>SUMIF(Principal!T:T,A32,Principal!Q:Q)</f>
        <v>-765226917.5</v>
      </c>
      <c r="C32" s="18">
        <f>SUMIFS(Principal!Q:Q,Principal!T:T,A32,Principal!R:R,"Subiu")</f>
        <v>28493619.27</v>
      </c>
      <c r="D32" s="18"/>
    </row>
    <row r="33" ht="15.75" customHeight="1">
      <c r="A33" s="4" t="str">
        <f>IFERROR(__xludf.DUMMYFUNCTION("""COMPUTED_VALUE"""),"Logística")</f>
        <v>Logística</v>
      </c>
      <c r="B33" s="11">
        <f>SUMIF(Principal!T:T,A33,Principal!Q:Q)</f>
        <v>4131341.158</v>
      </c>
      <c r="C33" s="11">
        <f>SUMIFS(Principal!Q:Q,Principal!T:T,A33,Principal!R:R,"Subiu")</f>
        <v>4131341.158</v>
      </c>
      <c r="D33" s="11"/>
    </row>
    <row r="34" ht="15.75" customHeight="1">
      <c r="A34" s="4" t="str">
        <f>IFERROR(__xludf.DUMMYFUNCTION("""COMPUTED_VALUE"""),"Água e Saneamento")</f>
        <v>Água e Saneamento</v>
      </c>
      <c r="B34" s="18">
        <f>SUMIF(Principal!T:T,A34,Principal!Q:Q)</f>
        <v>-15725678.56</v>
      </c>
      <c r="C34" s="18">
        <f>SUMIFS(Principal!Q:Q,Principal!T:T,A34,Principal!R:R,"Subiu")</f>
        <v>0</v>
      </c>
      <c r="D34" s="18"/>
    </row>
    <row r="35" ht="15.75" customHeight="1">
      <c r="A35" s="4" t="str">
        <f>IFERROR(__xludf.DUMMYFUNCTION("""COMPUTED_VALUE"""),"Agronegócio")</f>
        <v>Agronegócio</v>
      </c>
      <c r="B35" s="11">
        <f>SUMIF(Principal!T:T,A35,Principal!Q:Q)</f>
        <v>-9468663.682</v>
      </c>
      <c r="C35" s="11">
        <f>SUMIFS(Principal!Q:Q,Principal!T:T,A35,Principal!R:R,"Subiu")</f>
        <v>0</v>
      </c>
      <c r="D35" s="11"/>
    </row>
    <row r="36" ht="15.75" customHeight="1">
      <c r="A36" s="4" t="str">
        <f>IFERROR(__xludf.DUMMYFUNCTION("""COMPUTED_VALUE"""),"Infraestrutura")</f>
        <v>Infraestrutura</v>
      </c>
      <c r="B36" s="18">
        <f>SUMIF(Principal!T:T,A36,Principal!Q:Q)</f>
        <v>-39743554.31</v>
      </c>
      <c r="C36" s="18">
        <f>SUMIFS(Principal!Q:Q,Principal!T:T,A36,Principal!R:R,"Subiu")</f>
        <v>0</v>
      </c>
      <c r="D36" s="18"/>
    </row>
    <row r="37" ht="15.75" customHeight="1">
      <c r="A37" s="4" t="str">
        <f>IFERROR(__xludf.DUMMYFUNCTION("""COMPUTED_VALUE"""),"Seguros")</f>
        <v>Seguros</v>
      </c>
      <c r="B37" s="11">
        <f>SUMIF(Principal!T:T,A37,Principal!Q:Q)</f>
        <v>-21765343.02</v>
      </c>
      <c r="C37" s="11">
        <f>SUMIFS(Principal!Q:Q,Principal!T:T,A37,Principal!R:R,"Subiu")</f>
        <v>0</v>
      </c>
      <c r="D37" s="11"/>
    </row>
    <row r="38" ht="15.75" customHeight="1">
      <c r="A38" s="4" t="str">
        <f>IFERROR(__xludf.DUMMYFUNCTION("""COMPUTED_VALUE"""),"Diversificado")</f>
        <v>Diversificado</v>
      </c>
      <c r="B38" s="18">
        <f>SUMIF(Principal!T:T,A38,Principal!Q:Q)</f>
        <v>-44345269.97</v>
      </c>
      <c r="C38" s="18">
        <f>SUMIFS(Principal!Q:Q,Principal!T:T,A38,Principal!R:R,"Subiu")</f>
        <v>0</v>
      </c>
      <c r="D38" s="18"/>
    </row>
    <row r="39" ht="15.75" customHeight="1">
      <c r="A39" s="4" t="str">
        <f>IFERROR(__xludf.DUMMYFUNCTION("""COMPUTED_VALUE"""),"Aeroespacial")</f>
        <v>Aeroespacial</v>
      </c>
      <c r="B39" s="11">
        <f>SUMIF(Principal!T:T,A39,Principal!Q:Q)</f>
        <v>-233651943.5</v>
      </c>
      <c r="C39" s="11">
        <f>SUMIFS(Principal!Q:Q,Principal!T:T,A39,Principal!R:R,"Subiu")</f>
        <v>0</v>
      </c>
      <c r="D39" s="11"/>
    </row>
    <row r="40" ht="15.75" customHeight="1">
      <c r="A40" s="4" t="str">
        <f>IFERROR(__xludf.DUMMYFUNCTION("""COMPUTED_VALUE"""),"Cosméticos")</f>
        <v>Cosméticos</v>
      </c>
      <c r="B40" s="18">
        <f>SUMIF(Principal!T:T,A40,Principal!Q:Q)</f>
        <v>-193280001.2</v>
      </c>
      <c r="C40" s="18">
        <f>SUMIFS(Principal!Q:Q,Principal!T:T,A40,Principal!R:R,"Subiu")</f>
        <v>0</v>
      </c>
      <c r="D40" s="18"/>
    </row>
    <row r="41" ht="15.75" customHeight="1">
      <c r="A41" s="4" t="str">
        <f>IFERROR(__xludf.DUMMYFUNCTION("""COMPUTED_VALUE"""),"Farmacêutico")</f>
        <v>Farmacêutico</v>
      </c>
      <c r="B41" s="11">
        <f>SUMIF(Principal!T:T,A41,Principal!Q:Q)</f>
        <v>-208257014.2</v>
      </c>
      <c r="C41" s="11">
        <f>SUMIFS(Principal!Q:Q,Principal!T:T,A41,Principal!R:R,"Subiu")</f>
        <v>0</v>
      </c>
      <c r="D41" s="11"/>
    </row>
    <row r="42" ht="15.75" customHeight="1">
      <c r="A42" s="4" t="str">
        <f>IFERROR(__xludf.DUMMYFUNCTION("""COMPUTED_VALUE"""),"Agricultura")</f>
        <v>Agricultura</v>
      </c>
      <c r="B42" s="18">
        <f>SUMIF(Principal!T:T,A42,Principal!Q:Q)</f>
        <v>-79432785.74</v>
      </c>
      <c r="C42" s="18">
        <f>SUMIFS(Principal!Q:Q,Principal!T:T,A42,Principal!R:R,"Subiu")</f>
        <v>0</v>
      </c>
      <c r="D42" s="18"/>
    </row>
    <row r="43" ht="15.75" customHeight="1">
      <c r="A43" s="4" t="str">
        <f>IFERROR(__xludf.DUMMYFUNCTION("""COMPUTED_VALUE"""),"Aluguel de Carros")</f>
        <v>Aluguel de Carros</v>
      </c>
      <c r="B43" s="11">
        <f>SUMIF(Principal!T:T,A43,Principal!Q:Q)</f>
        <v>-1807432634</v>
      </c>
      <c r="C43" s="11">
        <f>SUMIFS(Principal!Q:Q,Principal!T:T,A43,Principal!R:R,"Subiu")</f>
        <v>0</v>
      </c>
      <c r="D43" s="11"/>
    </row>
    <row r="44" ht="15.75" customHeight="1">
      <c r="A44" s="4" t="str">
        <f>IFERROR(__xludf.DUMMYFUNCTION("""COMPUTED_VALUE"""),"Turismo")</f>
        <v>Turismo</v>
      </c>
      <c r="B44" s="18">
        <f>SUMIF(Principal!T:T,A44,Principal!Q:Q)</f>
        <v>-73557408.06</v>
      </c>
      <c r="C44" s="18">
        <f>SUMIFS(Principal!Q:Q,Principal!T:T,A44,Principal!R:R,"Subiu")</f>
        <v>0</v>
      </c>
      <c r="D44" s="18"/>
    </row>
    <row r="45" ht="15.75" customHeight="1">
      <c r="A45" s="33"/>
    </row>
    <row r="46" ht="15.75" customHeight="1"/>
    <row r="47" ht="15.75" customHeight="1">
      <c r="A47" s="32" t="str">
        <f>IFERROR(__xludf.DUMMYFUNCTION("UNIQUE(Principal!R:R)"),"Resultado")</f>
        <v>Resultado</v>
      </c>
      <c r="B47" s="26" t="s">
        <v>190</v>
      </c>
      <c r="C47" s="33" t="s">
        <v>193</v>
      </c>
    </row>
    <row r="48" ht="15.75" customHeight="1">
      <c r="A48" s="4" t="str">
        <f>IFERROR(__xludf.DUMMYFUNCTION("""COMPUTED_VALUE"""),"Subiu")</f>
        <v>Subiu</v>
      </c>
      <c r="B48" s="11">
        <f>SUMIF(Principal!R:R,A48,Principal!Q:Q)</f>
        <v>19719227010</v>
      </c>
      <c r="C48" s="34"/>
    </row>
    <row r="49" ht="15.75" customHeight="1">
      <c r="A49" s="4" t="str">
        <f>IFERROR(__xludf.DUMMYFUNCTION("""COMPUTED_VALUE"""),"Não variou")</f>
        <v>Não variou</v>
      </c>
      <c r="B49" s="18">
        <f>SUMIF(Principal!R:R,A49,Principal!Q:Q)</f>
        <v>0</v>
      </c>
      <c r="C49" s="34"/>
    </row>
    <row r="50" ht="15.75" customHeight="1">
      <c r="A50" s="4" t="str">
        <f>IFERROR(__xludf.DUMMYFUNCTION("""COMPUTED_VALUE"""),"Desceu")</f>
        <v>Desceu</v>
      </c>
      <c r="B50" s="11">
        <f>SUMIF(Principal!R:R,A50,Principal!Q:Q)</f>
        <v>-6338819961</v>
      </c>
      <c r="C50" s="34"/>
    </row>
    <row r="51" ht="15.75" customHeight="1">
      <c r="A51" s="33"/>
      <c r="B51" s="22">
        <f>SUM(B48:B50)</f>
        <v>13380407049</v>
      </c>
    </row>
    <row r="52" ht="15.75" customHeight="1">
      <c r="A52" s="35"/>
    </row>
    <row r="53" ht="15.75" customHeight="1">
      <c r="A53" s="32" t="s">
        <v>194</v>
      </c>
      <c r="B53" s="26" t="s">
        <v>190</v>
      </c>
      <c r="C53" s="26" t="s">
        <v>195</v>
      </c>
    </row>
    <row r="54" ht="15.75" customHeight="1">
      <c r="A54" s="4" t="str">
        <f>IFERROR(__xludf.DUMMYFUNCTION("UNIQUE(Principal!V2:V82)"),"Entre 50 e 100 anos")</f>
        <v>Entre 50 e 100 anos</v>
      </c>
      <c r="B54" s="11">
        <f>SUMIF(Principal!V:V,A54,Principal!Q:Q)</f>
        <v>10000122051</v>
      </c>
      <c r="C54" s="10">
        <f>COUNTIF(Principal!V:V,A54)</f>
        <v>37</v>
      </c>
    </row>
    <row r="55" ht="15.75" customHeight="1">
      <c r="A55" s="4" t="str">
        <f>IFERROR(__xludf.DUMMYFUNCTION("""COMPUTED_VALUE"""),"Menor de 50 anos")</f>
        <v>Menor de 50 anos</v>
      </c>
      <c r="B55" s="18">
        <f>SUMIF(Principal!V:V,A55,Principal!Q:Q)</f>
        <v>2526935199</v>
      </c>
      <c r="C55" s="17">
        <f>COUNTIF(Principal!V:V,A55)</f>
        <v>38</v>
      </c>
    </row>
    <row r="56" ht="15.75" customHeight="1">
      <c r="A56" s="4" t="str">
        <f>IFERROR(__xludf.DUMMYFUNCTION("""COMPUTED_VALUE"""),"Mais de 100 anos")</f>
        <v>Mais de 100 anos</v>
      </c>
      <c r="B56" s="11">
        <f>SUMIF(Principal!V:V,A56,Principal!Q:Q)</f>
        <v>853349798.5</v>
      </c>
      <c r="C56" s="10">
        <f>COUNTIF(Principal!V:V,A56)</f>
        <v>6</v>
      </c>
    </row>
    <row r="57" ht="15.75" customHeight="1">
      <c r="A57" s="35"/>
    </row>
    <row r="58" ht="15.75" customHeight="1">
      <c r="A58" s="35"/>
    </row>
    <row r="59" ht="15.75" customHeight="1">
      <c r="A59" s="35"/>
    </row>
    <row r="60" ht="15.75" customHeight="1">
      <c r="A60" s="35"/>
    </row>
    <row r="61" ht="15.75" customHeight="1">
      <c r="A61" s="35"/>
    </row>
    <row r="62" ht="15.75" customHeight="1">
      <c r="A62" s="35"/>
    </row>
    <row r="63" ht="15.75" customHeight="1">
      <c r="A63" s="35"/>
    </row>
    <row r="64" ht="15.75" customHeight="1">
      <c r="A64" s="35"/>
    </row>
    <row r="65" ht="15.75" customHeight="1">
      <c r="A65" s="35"/>
    </row>
    <row r="66" ht="15.75" customHeight="1">
      <c r="A66" s="35"/>
    </row>
    <row r="67" ht="15.75" customHeight="1">
      <c r="A67" s="35"/>
    </row>
    <row r="68" ht="15.75" customHeight="1">
      <c r="A68" s="35"/>
    </row>
    <row r="69" ht="15.75" customHeight="1">
      <c r="A69" s="35"/>
    </row>
    <row r="70" ht="15.75" customHeight="1">
      <c r="A70" s="35"/>
    </row>
    <row r="71" ht="15.75" customHeight="1">
      <c r="A71" s="35"/>
    </row>
    <row r="72" ht="15.75" customHeight="1">
      <c r="A72" s="35"/>
    </row>
    <row r="73" ht="15.75" customHeight="1">
      <c r="A73" s="35"/>
    </row>
    <row r="74" ht="15.75" customHeight="1">
      <c r="A74" s="35"/>
    </row>
    <row r="75" ht="15.75" customHeight="1">
      <c r="A75" s="35"/>
    </row>
    <row r="76" ht="15.75" customHeight="1">
      <c r="A76" s="35"/>
    </row>
    <row r="77" ht="15.75" customHeight="1">
      <c r="A77" s="35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D5"/>
    <mergeCell ref="A9:D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36" t="s">
        <v>196</v>
      </c>
      <c r="B1" s="36" t="s">
        <v>197</v>
      </c>
    </row>
    <row r="2" ht="15.75" customHeight="1">
      <c r="A2" s="37" t="s">
        <v>48</v>
      </c>
      <c r="B2" s="38">
        <v>2.35665566E8</v>
      </c>
    </row>
    <row r="3" ht="15.75" customHeight="1">
      <c r="A3" s="37" t="s">
        <v>130</v>
      </c>
      <c r="B3" s="38">
        <v>5.32616595E8</v>
      </c>
    </row>
    <row r="4" ht="15.75" customHeight="1">
      <c r="A4" s="37" t="s">
        <v>153</v>
      </c>
      <c r="B4" s="38">
        <v>1.76733968E8</v>
      </c>
    </row>
    <row r="5" ht="15.75" customHeight="1">
      <c r="A5" s="37" t="s">
        <v>112</v>
      </c>
      <c r="B5" s="38">
        <v>4.394245879E9</v>
      </c>
    </row>
    <row r="6" ht="15.75" customHeight="1">
      <c r="A6" s="37" t="s">
        <v>60</v>
      </c>
      <c r="B6" s="38">
        <v>6.2305891E7</v>
      </c>
    </row>
    <row r="7" ht="15.75" customHeight="1">
      <c r="A7" s="37" t="s">
        <v>161</v>
      </c>
      <c r="B7" s="38">
        <v>1.349217892E9</v>
      </c>
    </row>
    <row r="8" ht="15.75" customHeight="1">
      <c r="A8" s="37" t="s">
        <v>46</v>
      </c>
      <c r="B8" s="38">
        <v>3.27593725E8</v>
      </c>
    </row>
    <row r="9" ht="15.75" customHeight="1">
      <c r="A9" s="37" t="s">
        <v>163</v>
      </c>
      <c r="B9" s="38">
        <v>5.60279011E9</v>
      </c>
    </row>
    <row r="10" ht="15.75" customHeight="1">
      <c r="A10" s="37" t="s">
        <v>114</v>
      </c>
      <c r="B10" s="38">
        <v>6.71750768E8</v>
      </c>
    </row>
    <row r="11" ht="15.75" customHeight="1">
      <c r="A11" s="37" t="s">
        <v>100</v>
      </c>
      <c r="B11" s="38">
        <v>1.500728902E9</v>
      </c>
    </row>
    <row r="12" ht="15.75" customHeight="1">
      <c r="A12" s="37" t="s">
        <v>62</v>
      </c>
      <c r="B12" s="38">
        <v>5.146576868E9</v>
      </c>
    </row>
    <row r="13" ht="15.75" customHeight="1">
      <c r="A13" s="37" t="s">
        <v>80</v>
      </c>
      <c r="B13" s="38">
        <v>2.51003438E8</v>
      </c>
    </row>
    <row r="14" ht="15.75" customHeight="1">
      <c r="A14" s="37" t="s">
        <v>88</v>
      </c>
      <c r="B14" s="38">
        <v>1.420949112E9</v>
      </c>
    </row>
    <row r="15" ht="15.75" customHeight="1">
      <c r="A15" s="37" t="s">
        <v>44</v>
      </c>
      <c r="B15" s="38">
        <v>2.65877867E8</v>
      </c>
    </row>
    <row r="16" ht="15.75" customHeight="1">
      <c r="A16" s="37" t="s">
        <v>68</v>
      </c>
      <c r="B16" s="38">
        <v>1.677525446E9</v>
      </c>
    </row>
    <row r="17" ht="15.75" customHeight="1">
      <c r="A17" s="37" t="s">
        <v>198</v>
      </c>
      <c r="B17" s="38">
        <v>1.150645866E9</v>
      </c>
    </row>
    <row r="18" ht="15.75" customHeight="1">
      <c r="A18" s="37" t="s">
        <v>173</v>
      </c>
      <c r="B18" s="38">
        <v>5.33990587E8</v>
      </c>
    </row>
    <row r="19" ht="15.75" customHeight="1">
      <c r="A19" s="37" t="s">
        <v>175</v>
      </c>
      <c r="B19" s="38">
        <v>9.4843047E7</v>
      </c>
    </row>
    <row r="20" ht="15.75" customHeight="1">
      <c r="A20" s="37" t="s">
        <v>132</v>
      </c>
      <c r="B20" s="38">
        <v>9.95335937E8</v>
      </c>
    </row>
    <row r="21" ht="15.75" customHeight="1">
      <c r="A21" s="37" t="s">
        <v>120</v>
      </c>
      <c r="B21" s="38">
        <v>1.437415777E9</v>
      </c>
    </row>
    <row r="22" ht="15.75" customHeight="1">
      <c r="A22" s="37" t="s">
        <v>74</v>
      </c>
      <c r="B22" s="38">
        <v>1.095462329E9</v>
      </c>
    </row>
    <row r="23" ht="15.75" customHeight="1">
      <c r="A23" s="37" t="s">
        <v>134</v>
      </c>
      <c r="B23" s="38">
        <v>1.81492098E9</v>
      </c>
    </row>
    <row r="24" ht="15.75" customHeight="1">
      <c r="A24" s="37" t="s">
        <v>106</v>
      </c>
      <c r="B24" s="38">
        <v>1.67933529E9</v>
      </c>
    </row>
    <row r="25" ht="15.75" customHeight="1">
      <c r="A25" s="37" t="s">
        <v>94</v>
      </c>
      <c r="B25" s="38">
        <v>1.168097881E9</v>
      </c>
    </row>
    <row r="26" ht="15.75" customHeight="1">
      <c r="A26" s="37" t="s">
        <v>30</v>
      </c>
      <c r="B26" s="38">
        <v>1.87732538E8</v>
      </c>
    </row>
    <row r="27" ht="15.75" customHeight="1">
      <c r="A27" s="37" t="s">
        <v>24</v>
      </c>
      <c r="B27" s="38">
        <v>1.110559345E9</v>
      </c>
    </row>
    <row r="28" ht="15.75" customHeight="1">
      <c r="A28" s="37" t="s">
        <v>179</v>
      </c>
      <c r="B28" s="38">
        <v>5.25582771E8</v>
      </c>
    </row>
    <row r="29" ht="15.75" customHeight="1">
      <c r="A29" s="37" t="s">
        <v>155</v>
      </c>
      <c r="B29" s="38">
        <v>2.65784616E8</v>
      </c>
    </row>
    <row r="30" ht="15.75" customHeight="1">
      <c r="A30" s="37" t="s">
        <v>76</v>
      </c>
      <c r="B30" s="38">
        <v>3.0276824E8</v>
      </c>
    </row>
    <row r="31" ht="15.75" customHeight="1">
      <c r="A31" s="37" t="s">
        <v>144</v>
      </c>
      <c r="B31" s="38">
        <v>1.980568384E9</v>
      </c>
    </row>
    <row r="32" ht="15.75" customHeight="1">
      <c r="A32" s="37" t="s">
        <v>122</v>
      </c>
      <c r="B32" s="38">
        <v>2.68544014E8</v>
      </c>
    </row>
    <row r="33" ht="15.75" customHeight="1">
      <c r="A33" s="37" t="s">
        <v>157</v>
      </c>
      <c r="B33" s="38">
        <v>7.34632705E8</v>
      </c>
    </row>
    <row r="34" ht="15.75" customHeight="1">
      <c r="A34" s="37" t="s">
        <v>199</v>
      </c>
      <c r="B34" s="38">
        <v>2.90386402E8</v>
      </c>
    </row>
    <row r="35" ht="15.75" customHeight="1">
      <c r="A35" s="37" t="s">
        <v>124</v>
      </c>
      <c r="B35" s="38">
        <v>1.579130168E9</v>
      </c>
    </row>
    <row r="36" ht="15.75" customHeight="1">
      <c r="A36" s="37" t="s">
        <v>138</v>
      </c>
      <c r="B36" s="38">
        <v>2.55236961E8</v>
      </c>
    </row>
    <row r="37" ht="15.75" customHeight="1">
      <c r="A37" s="37" t="s">
        <v>50</v>
      </c>
      <c r="B37" s="38">
        <v>1.095587251E9</v>
      </c>
    </row>
    <row r="38" ht="15.75" customHeight="1">
      <c r="A38" s="37" t="s">
        <v>148</v>
      </c>
      <c r="B38" s="38">
        <v>9.1514307E7</v>
      </c>
    </row>
    <row r="39" ht="15.75" customHeight="1">
      <c r="A39" s="37" t="s">
        <v>150</v>
      </c>
      <c r="B39" s="38">
        <v>2.40822651E8</v>
      </c>
    </row>
    <row r="40" ht="15.75" customHeight="1">
      <c r="A40" s="37" t="s">
        <v>102</v>
      </c>
      <c r="B40" s="38">
        <v>1.118525506E9</v>
      </c>
    </row>
    <row r="41" ht="15.75" customHeight="1">
      <c r="A41" s="37" t="s">
        <v>92</v>
      </c>
      <c r="B41" s="38">
        <v>6.60411219E8</v>
      </c>
    </row>
    <row r="42" ht="15.75" customHeight="1">
      <c r="A42" s="37" t="s">
        <v>181</v>
      </c>
      <c r="B42" s="38">
        <v>1.98184909E8</v>
      </c>
    </row>
    <row r="43" ht="15.75" customHeight="1">
      <c r="A43" s="37" t="s">
        <v>159</v>
      </c>
      <c r="B43" s="38">
        <v>8.46244302E8</v>
      </c>
    </row>
    <row r="44" ht="15.75" customHeight="1">
      <c r="A44" s="37" t="s">
        <v>151</v>
      </c>
      <c r="B44" s="38">
        <v>4.96029967E8</v>
      </c>
    </row>
    <row r="45" ht="15.75" customHeight="1">
      <c r="A45" s="37" t="s">
        <v>169</v>
      </c>
      <c r="B45" s="38">
        <v>4.394332306E9</v>
      </c>
    </row>
    <row r="46" ht="15.75" customHeight="1">
      <c r="A46" s="37" t="s">
        <v>165</v>
      </c>
      <c r="B46" s="38">
        <v>4.09490388E8</v>
      </c>
    </row>
    <row r="47" ht="15.75" customHeight="1">
      <c r="A47" s="37" t="s">
        <v>200</v>
      </c>
      <c r="B47" s="38">
        <v>2.17622138E8</v>
      </c>
    </row>
    <row r="48" ht="15.75" customHeight="1">
      <c r="A48" s="37" t="s">
        <v>142</v>
      </c>
      <c r="B48" s="38">
        <v>8.1838843E7</v>
      </c>
    </row>
    <row r="49" ht="15.75" customHeight="1">
      <c r="A49" s="37" t="s">
        <v>86</v>
      </c>
      <c r="B49" s="38">
        <v>5.372783971E9</v>
      </c>
    </row>
    <row r="50" ht="15.75" customHeight="1">
      <c r="A50" s="37" t="s">
        <v>40</v>
      </c>
      <c r="B50" s="38">
        <v>4.801593832E9</v>
      </c>
    </row>
    <row r="51" ht="15.75" customHeight="1">
      <c r="A51" s="37" t="s">
        <v>96</v>
      </c>
      <c r="B51" s="38">
        <v>1.134986472E9</v>
      </c>
    </row>
    <row r="52" ht="15.75" customHeight="1">
      <c r="A52" s="37" t="s">
        <v>201</v>
      </c>
      <c r="B52" s="38">
        <v>7.06747385E8</v>
      </c>
    </row>
    <row r="53" ht="15.75" customHeight="1">
      <c r="A53" s="37" t="s">
        <v>177</v>
      </c>
      <c r="B53" s="38">
        <v>8.53202347E8</v>
      </c>
    </row>
    <row r="54" ht="15.75" customHeight="1">
      <c r="A54" s="37" t="s">
        <v>171</v>
      </c>
      <c r="B54" s="38">
        <v>9.5132977E8</v>
      </c>
    </row>
    <row r="55" ht="15.75" customHeight="1">
      <c r="A55" s="37" t="s">
        <v>82</v>
      </c>
      <c r="B55" s="38">
        <v>3.93173139E8</v>
      </c>
    </row>
    <row r="56" ht="15.75" customHeight="1">
      <c r="A56" s="37" t="s">
        <v>98</v>
      </c>
      <c r="B56" s="38">
        <v>2.867627068E9</v>
      </c>
    </row>
    <row r="57" ht="15.75" customHeight="1">
      <c r="A57" s="37" t="s">
        <v>110</v>
      </c>
      <c r="B57" s="38">
        <v>3.31799687E8</v>
      </c>
    </row>
    <row r="58" ht="15.75" customHeight="1">
      <c r="A58" s="37" t="s">
        <v>64</v>
      </c>
      <c r="B58" s="38">
        <v>2.61036182E8</v>
      </c>
    </row>
    <row r="59" ht="15.75" customHeight="1">
      <c r="A59" s="37" t="s">
        <v>58</v>
      </c>
      <c r="B59" s="38">
        <v>3.76187582E8</v>
      </c>
    </row>
    <row r="60" ht="15.75" customHeight="1">
      <c r="A60" s="37" t="s">
        <v>38</v>
      </c>
      <c r="B60" s="38">
        <v>2.68505432E8</v>
      </c>
    </row>
    <row r="61" ht="15.75" customHeight="1">
      <c r="A61" s="37" t="s">
        <v>66</v>
      </c>
      <c r="B61" s="38">
        <v>1.59430826E8</v>
      </c>
    </row>
    <row r="62" ht="15.75" customHeight="1">
      <c r="A62" s="37" t="s">
        <v>26</v>
      </c>
      <c r="B62" s="38">
        <v>2.379877655E9</v>
      </c>
    </row>
    <row r="63" ht="15.75" customHeight="1">
      <c r="A63" s="37" t="s">
        <v>34</v>
      </c>
      <c r="B63" s="38">
        <v>4.566445852E9</v>
      </c>
    </row>
    <row r="64" ht="15.75" customHeight="1">
      <c r="A64" s="37" t="s">
        <v>84</v>
      </c>
      <c r="B64" s="38">
        <v>2.75005663E8</v>
      </c>
    </row>
    <row r="65" ht="15.75" customHeight="1">
      <c r="A65" s="37" t="s">
        <v>32</v>
      </c>
      <c r="B65" s="38">
        <v>8.00010734E8</v>
      </c>
    </row>
    <row r="66" ht="15.75" customHeight="1">
      <c r="A66" s="37" t="s">
        <v>146</v>
      </c>
      <c r="B66" s="38">
        <v>3.09729428E8</v>
      </c>
    </row>
    <row r="67" ht="15.75" customHeight="1">
      <c r="A67" s="37" t="s">
        <v>90</v>
      </c>
      <c r="B67" s="38">
        <v>1.275798515E9</v>
      </c>
    </row>
    <row r="68" ht="15.75" customHeight="1">
      <c r="A68" s="37" t="s">
        <v>104</v>
      </c>
      <c r="B68" s="38">
        <v>1.193047233E9</v>
      </c>
    </row>
    <row r="69" ht="15.75" customHeight="1">
      <c r="A69" s="37" t="s">
        <v>42</v>
      </c>
      <c r="B69" s="38">
        <v>1.168230366E9</v>
      </c>
    </row>
    <row r="70" ht="15.75" customHeight="1">
      <c r="A70" s="37" t="s">
        <v>72</v>
      </c>
      <c r="B70" s="38">
        <v>1.218352541E9</v>
      </c>
    </row>
    <row r="71" ht="15.75" customHeight="1">
      <c r="A71" s="37" t="s">
        <v>116</v>
      </c>
      <c r="B71" s="38">
        <v>3.40001799E8</v>
      </c>
    </row>
    <row r="72" ht="15.75" customHeight="1">
      <c r="A72" s="37" t="s">
        <v>202</v>
      </c>
      <c r="B72" s="38">
        <v>3.42918449E8</v>
      </c>
    </row>
    <row r="73" ht="15.75" customHeight="1">
      <c r="A73" s="37" t="s">
        <v>167</v>
      </c>
      <c r="B73" s="38">
        <v>1.4237733E8</v>
      </c>
    </row>
    <row r="74" ht="15.75" customHeight="1">
      <c r="A74" s="37" t="s">
        <v>52</v>
      </c>
      <c r="B74" s="38">
        <v>6.00865451E8</v>
      </c>
    </row>
    <row r="75" ht="15.75" customHeight="1">
      <c r="A75" s="37" t="s">
        <v>128</v>
      </c>
      <c r="B75" s="38">
        <v>1.9575113E8</v>
      </c>
    </row>
    <row r="76" ht="15.75" customHeight="1">
      <c r="A76" s="37" t="s">
        <v>28</v>
      </c>
      <c r="B76" s="38">
        <v>6.83452836E8</v>
      </c>
    </row>
    <row r="77" ht="15.75" customHeight="1">
      <c r="A77" s="37" t="s">
        <v>203</v>
      </c>
      <c r="B77" s="38">
        <v>2.18568234E8</v>
      </c>
    </row>
    <row r="78" ht="15.75" customHeight="1">
      <c r="A78" s="37" t="s">
        <v>70</v>
      </c>
      <c r="B78" s="38">
        <v>4.23091712E8</v>
      </c>
    </row>
    <row r="79" ht="15.75" customHeight="1">
      <c r="A79" s="37" t="s">
        <v>78</v>
      </c>
      <c r="B79" s="38">
        <v>8.07896814E8</v>
      </c>
    </row>
    <row r="80" ht="15.75" customHeight="1">
      <c r="A80" s="37" t="s">
        <v>118</v>
      </c>
      <c r="B80" s="38">
        <v>5.14122351E8</v>
      </c>
    </row>
    <row r="81" ht="15.75" customHeight="1">
      <c r="A81" s="37" t="s">
        <v>136</v>
      </c>
      <c r="B81" s="38">
        <v>3.95801044E8</v>
      </c>
    </row>
    <row r="82" ht="15.75" customHeight="1">
      <c r="A82" s="37" t="s">
        <v>56</v>
      </c>
      <c r="B82" s="38">
        <v>1.086411192E9</v>
      </c>
    </row>
    <row r="83" ht="15.75" customHeight="1">
      <c r="A83" s="37" t="s">
        <v>22</v>
      </c>
      <c r="B83" s="38">
        <v>5.15117391E8</v>
      </c>
    </row>
    <row r="84" ht="15.75" customHeight="1">
      <c r="A84" s="37" t="s">
        <v>36</v>
      </c>
      <c r="B84" s="38">
        <v>4.196924316E9</v>
      </c>
    </row>
    <row r="85" ht="15.75" customHeight="1">
      <c r="A85" s="37" t="s">
        <v>108</v>
      </c>
      <c r="B85" s="38">
        <v>4.2138333E8</v>
      </c>
    </row>
    <row r="86" ht="15.75" customHeight="1">
      <c r="A86" s="37" t="s">
        <v>140</v>
      </c>
      <c r="B86" s="38">
        <v>1.114412532E9</v>
      </c>
    </row>
    <row r="87" ht="15.75" customHeight="1">
      <c r="A87" s="37" t="s">
        <v>126</v>
      </c>
      <c r="B87" s="38">
        <v>1.481593024E9</v>
      </c>
    </row>
    <row r="88" ht="15.75" customHeight="1">
      <c r="A88" s="37" t="s">
        <v>54</v>
      </c>
      <c r="B88" s="38">
        <v>2.89347914E8</v>
      </c>
    </row>
    <row r="89" ht="15.75" customHeight="1">
      <c r="A89" s="37" t="s">
        <v>204</v>
      </c>
      <c r="B89" s="38">
        <v>9.6372098181E10</v>
      </c>
    </row>
    <row r="90" ht="15.75" customHeight="1">
      <c r="A90" s="37" t="s">
        <v>205</v>
      </c>
      <c r="B90" s="39">
        <v>1.70478507866643E7</v>
      </c>
    </row>
    <row r="91" ht="15.75" customHeight="1">
      <c r="A91" s="40"/>
      <c r="B91" s="40"/>
    </row>
    <row r="92" ht="15.75" customHeight="1">
      <c r="A92" s="40"/>
      <c r="B92" s="40"/>
    </row>
    <row r="93" ht="15.75" customHeight="1">
      <c r="A93" s="40"/>
      <c r="B93" s="40"/>
    </row>
    <row r="94" ht="15.75" customHeight="1">
      <c r="A94" s="40"/>
      <c r="B94" s="40"/>
    </row>
    <row r="95" ht="15.75" customHeight="1">
      <c r="A95" s="40"/>
      <c r="B95" s="40"/>
    </row>
    <row r="96" ht="15.75" customHeight="1">
      <c r="A96" s="40"/>
      <c r="B96" s="40"/>
    </row>
    <row r="97" ht="15.75" customHeight="1">
      <c r="A97" s="40"/>
      <c r="B97" s="40"/>
    </row>
    <row r="98" ht="15.75" customHeight="1">
      <c r="A98" s="40"/>
      <c r="B98" s="40"/>
    </row>
    <row r="99" ht="15.75" customHeight="1">
      <c r="A99" s="40"/>
      <c r="B99" s="40"/>
    </row>
    <row r="100" ht="15.75" customHeight="1">
      <c r="A100" s="40"/>
      <c r="B100" s="40"/>
    </row>
    <row r="101" ht="15.75" customHeight="1">
      <c r="A101" s="40"/>
      <c r="B101" s="40"/>
    </row>
    <row r="102" ht="15.75" customHeight="1">
      <c r="A102" s="40"/>
      <c r="B102" s="40"/>
    </row>
    <row r="103" ht="15.75" customHeight="1">
      <c r="A103" s="40"/>
      <c r="B103" s="40"/>
    </row>
    <row r="104" ht="15.75" customHeight="1">
      <c r="A104" s="40"/>
      <c r="B104" s="40"/>
    </row>
    <row r="105" ht="15.75" customHeight="1">
      <c r="A105" s="40"/>
      <c r="B105" s="40"/>
    </row>
    <row r="106" ht="15.75" customHeight="1">
      <c r="A106" s="40"/>
      <c r="B106" s="40"/>
    </row>
    <row r="107" ht="15.75" customHeight="1">
      <c r="A107" s="40"/>
      <c r="B107" s="40"/>
    </row>
    <row r="108" ht="15.75" customHeight="1">
      <c r="A108" s="40"/>
      <c r="B108" s="40"/>
    </row>
    <row r="109" ht="15.75" customHeight="1">
      <c r="A109" s="40"/>
      <c r="B109" s="40"/>
    </row>
    <row r="110" ht="15.75" customHeight="1">
      <c r="A110" s="40"/>
      <c r="B110" s="40"/>
    </row>
    <row r="111" ht="15.75" customHeight="1">
      <c r="A111" s="40"/>
      <c r="B111" s="40"/>
    </row>
    <row r="112" ht="15.75" customHeight="1">
      <c r="A112" s="40"/>
      <c r="B112" s="40"/>
    </row>
    <row r="113" ht="15.75" customHeight="1">
      <c r="A113" s="40"/>
      <c r="B113" s="40"/>
    </row>
    <row r="114" ht="15.75" customHeight="1">
      <c r="A114" s="40"/>
      <c r="B114" s="40"/>
    </row>
    <row r="115" ht="15.75" customHeight="1">
      <c r="A115" s="40"/>
      <c r="B115" s="40"/>
    </row>
    <row r="116" ht="15.75" customHeight="1">
      <c r="A116" s="40"/>
      <c r="B116" s="40"/>
    </row>
    <row r="117" ht="15.75" customHeight="1">
      <c r="A117" s="40"/>
      <c r="B117" s="40"/>
    </row>
    <row r="118" ht="15.75" customHeight="1">
      <c r="A118" s="40"/>
      <c r="B118" s="40"/>
    </row>
    <row r="119" ht="15.75" customHeight="1">
      <c r="A119" s="40"/>
      <c r="B119" s="40"/>
    </row>
    <row r="120" ht="15.75" customHeight="1">
      <c r="A120" s="40"/>
      <c r="B120" s="40"/>
    </row>
    <row r="121" ht="15.75" customHeight="1">
      <c r="A121" s="40"/>
      <c r="B121" s="40"/>
    </row>
    <row r="122" ht="15.75" customHeight="1">
      <c r="A122" s="40"/>
      <c r="B122" s="40"/>
    </row>
    <row r="123" ht="15.75" customHeight="1">
      <c r="A123" s="40"/>
      <c r="B123" s="40"/>
    </row>
    <row r="124" ht="15.75" customHeight="1">
      <c r="A124" s="40"/>
      <c r="B124" s="40"/>
    </row>
    <row r="125" ht="15.75" customHeight="1">
      <c r="A125" s="40"/>
      <c r="B125" s="40"/>
    </row>
    <row r="126" ht="15.75" customHeight="1">
      <c r="A126" s="40"/>
      <c r="B126" s="40"/>
    </row>
    <row r="127" ht="15.75" customHeight="1">
      <c r="A127" s="40"/>
      <c r="B127" s="40"/>
    </row>
    <row r="128" ht="15.75" customHeight="1">
      <c r="A128" s="40"/>
      <c r="B128" s="40"/>
    </row>
    <row r="129" ht="15.75" customHeight="1">
      <c r="A129" s="40"/>
      <c r="B129" s="40"/>
    </row>
    <row r="130" ht="15.75" customHeight="1">
      <c r="A130" s="40"/>
      <c r="B130" s="40"/>
    </row>
    <row r="131" ht="15.75" customHeight="1">
      <c r="A131" s="40"/>
      <c r="B131" s="40"/>
    </row>
    <row r="132" ht="15.75" customHeight="1">
      <c r="A132" s="40"/>
      <c r="B132" s="40"/>
    </row>
    <row r="133" ht="15.75" customHeight="1">
      <c r="A133" s="40"/>
      <c r="B133" s="40"/>
    </row>
    <row r="134" ht="15.75" customHeight="1">
      <c r="A134" s="40"/>
      <c r="B134" s="40"/>
    </row>
    <row r="135" ht="15.75" customHeight="1">
      <c r="A135" s="40"/>
      <c r="B135" s="40"/>
    </row>
    <row r="136" ht="15.75" customHeight="1">
      <c r="A136" s="40"/>
      <c r="B136" s="40"/>
    </row>
    <row r="137" ht="15.75" customHeight="1">
      <c r="A137" s="40"/>
      <c r="B137" s="40"/>
    </row>
    <row r="138" ht="15.75" customHeight="1">
      <c r="A138" s="40"/>
      <c r="B138" s="40"/>
    </row>
    <row r="139" ht="15.75" customHeight="1">
      <c r="A139" s="40"/>
      <c r="B139" s="40"/>
    </row>
    <row r="140" ht="15.75" customHeight="1">
      <c r="A140" s="40"/>
      <c r="B140" s="40"/>
    </row>
    <row r="141" ht="15.75" customHeight="1">
      <c r="A141" s="40"/>
      <c r="B141" s="40"/>
    </row>
    <row r="142" ht="15.75" customHeight="1">
      <c r="A142" s="40"/>
      <c r="B142" s="40"/>
    </row>
    <row r="143" ht="15.75" customHeight="1">
      <c r="A143" s="40"/>
      <c r="B143" s="40"/>
    </row>
    <row r="144" ht="15.75" customHeight="1">
      <c r="A144" s="40"/>
      <c r="B144" s="40"/>
    </row>
    <row r="145" ht="15.75" customHeight="1">
      <c r="A145" s="40"/>
      <c r="B145" s="40"/>
    </row>
    <row r="146" ht="15.75" customHeight="1">
      <c r="A146" s="40"/>
      <c r="B146" s="40"/>
    </row>
    <row r="147" ht="15.75" customHeight="1">
      <c r="A147" s="40"/>
      <c r="B147" s="40"/>
    </row>
    <row r="148" ht="15.75" customHeight="1">
      <c r="A148" s="40"/>
      <c r="B148" s="40"/>
    </row>
    <row r="149" ht="15.75" customHeight="1">
      <c r="A149" s="40"/>
      <c r="B149" s="40"/>
    </row>
    <row r="150" ht="15.75" customHeight="1">
      <c r="A150" s="40"/>
      <c r="B150" s="40"/>
    </row>
    <row r="151" ht="15.75" customHeight="1">
      <c r="A151" s="40"/>
      <c r="B151" s="40"/>
    </row>
    <row r="152" ht="15.75" customHeight="1">
      <c r="A152" s="40"/>
      <c r="B152" s="40"/>
    </row>
    <row r="153" ht="15.75" customHeight="1">
      <c r="A153" s="40"/>
      <c r="B153" s="40"/>
    </row>
    <row r="154" ht="15.75" customHeight="1">
      <c r="A154" s="40"/>
      <c r="B154" s="40"/>
    </row>
    <row r="155" ht="15.75" customHeight="1">
      <c r="A155" s="40"/>
      <c r="B155" s="40"/>
    </row>
    <row r="156" ht="15.75" customHeight="1">
      <c r="A156" s="40"/>
      <c r="B156" s="40"/>
    </row>
    <row r="157" ht="15.75" customHeight="1">
      <c r="A157" s="40"/>
      <c r="B157" s="40"/>
    </row>
    <row r="158" ht="15.75" customHeight="1">
      <c r="A158" s="40"/>
      <c r="B158" s="40"/>
    </row>
    <row r="159" ht="15.75" customHeight="1">
      <c r="A159" s="40"/>
      <c r="B159" s="40"/>
    </row>
    <row r="160" ht="15.75" customHeight="1">
      <c r="A160" s="40"/>
      <c r="B160" s="40"/>
    </row>
    <row r="161" ht="15.75" customHeight="1">
      <c r="A161" s="40"/>
      <c r="B161" s="40"/>
    </row>
    <row r="162" ht="15.75" customHeight="1">
      <c r="A162" s="40"/>
      <c r="B162" s="40"/>
    </row>
    <row r="163" ht="15.75" customHeight="1">
      <c r="A163" s="40"/>
      <c r="B163" s="40"/>
    </row>
    <row r="164" ht="15.75" customHeight="1">
      <c r="A164" s="40"/>
      <c r="B164" s="40"/>
    </row>
    <row r="165" ht="15.75" customHeight="1">
      <c r="A165" s="40"/>
      <c r="B165" s="40"/>
    </row>
    <row r="166" ht="15.75" customHeight="1">
      <c r="A166" s="40"/>
      <c r="B166" s="40"/>
    </row>
    <row r="167" ht="15.75" customHeight="1">
      <c r="A167" s="40"/>
      <c r="B167" s="40"/>
    </row>
    <row r="168" ht="15.75" customHeight="1">
      <c r="A168" s="40"/>
      <c r="B168" s="40"/>
    </row>
    <row r="169" ht="15.75" customHeight="1">
      <c r="A169" s="40"/>
      <c r="B169" s="40"/>
    </row>
    <row r="170" ht="15.75" customHeight="1">
      <c r="A170" s="40"/>
      <c r="B170" s="40"/>
    </row>
    <row r="171" ht="15.75" customHeight="1">
      <c r="A171" s="40"/>
      <c r="B171" s="40"/>
    </row>
    <row r="172" ht="15.75" customHeight="1">
      <c r="A172" s="40"/>
      <c r="B172" s="40"/>
    </row>
    <row r="173" ht="15.75" customHeight="1">
      <c r="A173" s="40"/>
      <c r="B173" s="40"/>
    </row>
    <row r="174" ht="15.75" customHeight="1">
      <c r="A174" s="40"/>
      <c r="B174" s="40"/>
    </row>
    <row r="175" ht="15.75" customHeight="1">
      <c r="A175" s="40"/>
      <c r="B175" s="40"/>
    </row>
    <row r="176" ht="15.75" customHeight="1">
      <c r="A176" s="40"/>
      <c r="B176" s="40"/>
    </row>
    <row r="177" ht="15.75" customHeight="1">
      <c r="A177" s="40"/>
      <c r="B177" s="40"/>
    </row>
    <row r="178" ht="15.75" customHeight="1">
      <c r="A178" s="40"/>
      <c r="B178" s="40"/>
    </row>
    <row r="179" ht="15.75" customHeight="1">
      <c r="A179" s="40"/>
      <c r="B179" s="40"/>
    </row>
    <row r="180" ht="15.75" customHeight="1">
      <c r="A180" s="40"/>
      <c r="B180" s="40"/>
    </row>
    <row r="181" ht="15.75" customHeight="1">
      <c r="A181" s="40"/>
      <c r="B181" s="40"/>
    </row>
    <row r="182" ht="15.75" customHeight="1">
      <c r="A182" s="40"/>
      <c r="B182" s="40"/>
    </row>
    <row r="183" ht="15.75" customHeight="1">
      <c r="A183" s="40"/>
      <c r="B183" s="40"/>
    </row>
    <row r="184" ht="15.75" customHeight="1">
      <c r="A184" s="40"/>
      <c r="B184" s="40"/>
    </row>
    <row r="185" ht="15.75" customHeight="1">
      <c r="A185" s="40"/>
      <c r="B185" s="40"/>
    </row>
    <row r="186" ht="15.75" customHeight="1">
      <c r="A186" s="40"/>
      <c r="B186" s="40"/>
    </row>
    <row r="187" ht="15.75" customHeight="1">
      <c r="A187" s="40"/>
      <c r="B187" s="40"/>
    </row>
    <row r="188" ht="15.75" customHeight="1">
      <c r="A188" s="40"/>
      <c r="B188" s="40"/>
    </row>
    <row r="189" ht="15.75" customHeight="1">
      <c r="A189" s="40"/>
      <c r="B189" s="40"/>
    </row>
    <row r="190" ht="15.75" customHeight="1">
      <c r="A190" s="40"/>
      <c r="B190" s="40"/>
    </row>
    <row r="191" ht="15.75" customHeight="1">
      <c r="A191" s="40"/>
      <c r="B191" s="40"/>
    </row>
    <row r="192" ht="15.75" customHeight="1">
      <c r="A192" s="40"/>
      <c r="B192" s="40"/>
    </row>
    <row r="193" ht="15.75" customHeight="1">
      <c r="A193" s="40"/>
      <c r="B193" s="40"/>
    </row>
    <row r="194" ht="15.75" customHeight="1">
      <c r="A194" s="40"/>
      <c r="B194" s="40"/>
    </row>
    <row r="195" ht="15.75" customHeight="1">
      <c r="A195" s="40"/>
      <c r="B195" s="40"/>
    </row>
    <row r="196" ht="15.75" customHeight="1">
      <c r="A196" s="40"/>
      <c r="B196" s="40"/>
    </row>
    <row r="197" ht="15.75" customHeight="1">
      <c r="A197" s="40"/>
      <c r="B197" s="40"/>
    </row>
    <row r="198" ht="15.75" customHeight="1">
      <c r="A198" s="40"/>
      <c r="B198" s="40"/>
    </row>
    <row r="199" ht="15.75" customHeight="1">
      <c r="A199" s="40"/>
      <c r="B199" s="40"/>
    </row>
    <row r="200" ht="15.75" customHeight="1">
      <c r="A200" s="40"/>
      <c r="B200" s="40"/>
    </row>
    <row r="201" ht="15.75" customHeight="1">
      <c r="A201" s="40"/>
      <c r="B201" s="40"/>
    </row>
    <row r="202" ht="15.75" customHeight="1">
      <c r="A202" s="40"/>
      <c r="B202" s="40"/>
    </row>
    <row r="203" ht="15.75" customHeight="1">
      <c r="A203" s="40"/>
      <c r="B203" s="40"/>
    </row>
    <row r="204" ht="15.75" customHeight="1">
      <c r="A204" s="40"/>
      <c r="B204" s="40"/>
    </row>
    <row r="205" ht="15.75" customHeight="1">
      <c r="A205" s="40"/>
      <c r="B205" s="40"/>
    </row>
    <row r="206" ht="15.75" customHeight="1">
      <c r="A206" s="40"/>
      <c r="B206" s="40"/>
    </row>
    <row r="207" ht="15.75" customHeight="1">
      <c r="A207" s="40"/>
      <c r="B207" s="40"/>
    </row>
    <row r="208" ht="15.75" customHeight="1">
      <c r="A208" s="40"/>
      <c r="B208" s="40"/>
    </row>
    <row r="209" ht="15.75" customHeight="1">
      <c r="A209" s="40"/>
      <c r="B209" s="40"/>
    </row>
    <row r="210" ht="15.75" customHeight="1">
      <c r="A210" s="40"/>
      <c r="B210" s="40"/>
    </row>
    <row r="211" ht="15.75" customHeight="1">
      <c r="A211" s="40"/>
      <c r="B211" s="40"/>
    </row>
    <row r="212" ht="15.75" customHeight="1">
      <c r="A212" s="40"/>
      <c r="B212" s="40"/>
    </row>
    <row r="213" ht="15.75" customHeight="1">
      <c r="A213" s="40"/>
      <c r="B213" s="40"/>
    </row>
    <row r="214" ht="15.75" customHeight="1">
      <c r="A214" s="40"/>
      <c r="B214" s="40"/>
    </row>
    <row r="215" ht="15.75" customHeight="1">
      <c r="A215" s="40"/>
      <c r="B215" s="40"/>
    </row>
    <row r="216" ht="15.75" customHeight="1">
      <c r="A216" s="40"/>
      <c r="B216" s="40"/>
    </row>
    <row r="217" ht="15.75" customHeight="1">
      <c r="A217" s="40"/>
      <c r="B217" s="40"/>
    </row>
    <row r="218" ht="15.75" customHeight="1">
      <c r="A218" s="40"/>
      <c r="B218" s="40"/>
    </row>
    <row r="219" ht="15.75" customHeight="1">
      <c r="A219" s="40"/>
      <c r="B219" s="40"/>
    </row>
    <row r="220" ht="15.75" customHeight="1">
      <c r="A220" s="40"/>
      <c r="B220" s="40"/>
    </row>
    <row r="221" ht="15.75" customHeight="1">
      <c r="A221" s="40"/>
      <c r="B221" s="40"/>
    </row>
    <row r="222" ht="15.75" customHeight="1">
      <c r="A222" s="40"/>
      <c r="B222" s="40"/>
    </row>
    <row r="223" ht="15.75" customHeight="1">
      <c r="A223" s="40"/>
      <c r="B223" s="40"/>
    </row>
    <row r="224" ht="15.75" customHeight="1">
      <c r="A224" s="40"/>
      <c r="B224" s="40"/>
    </row>
    <row r="225" ht="15.75" customHeight="1">
      <c r="A225" s="40"/>
      <c r="B225" s="40"/>
    </row>
    <row r="226" ht="15.75" customHeight="1">
      <c r="A226" s="40"/>
      <c r="B226" s="40"/>
    </row>
    <row r="227" ht="15.75" customHeight="1">
      <c r="A227" s="40"/>
      <c r="B227" s="40"/>
    </row>
    <row r="228" ht="15.75" customHeight="1">
      <c r="A228" s="40"/>
      <c r="B228" s="40"/>
    </row>
    <row r="229" ht="15.75" customHeight="1">
      <c r="A229" s="40"/>
      <c r="B229" s="40"/>
    </row>
    <row r="230" ht="15.75" customHeight="1">
      <c r="A230" s="40"/>
      <c r="B230" s="40"/>
    </row>
    <row r="231" ht="15.75" customHeight="1">
      <c r="A231" s="40"/>
      <c r="B231" s="40"/>
    </row>
    <row r="232" ht="15.75" customHeight="1">
      <c r="A232" s="40"/>
      <c r="B232" s="40"/>
    </row>
    <row r="233" ht="15.75" customHeight="1">
      <c r="A233" s="40"/>
      <c r="B233" s="40"/>
    </row>
    <row r="234" ht="15.75" customHeight="1">
      <c r="A234" s="40"/>
      <c r="B234" s="40"/>
    </row>
    <row r="235" ht="15.75" customHeight="1">
      <c r="A235" s="40"/>
      <c r="B235" s="40"/>
    </row>
    <row r="236" ht="15.75" customHeight="1">
      <c r="A236" s="40"/>
      <c r="B236" s="40"/>
    </row>
    <row r="237" ht="15.75" customHeight="1">
      <c r="A237" s="40"/>
      <c r="B237" s="40"/>
    </row>
    <row r="238" ht="15.75" customHeight="1">
      <c r="A238" s="40"/>
      <c r="B238" s="40"/>
    </row>
    <row r="239" ht="15.75" customHeight="1">
      <c r="A239" s="40"/>
      <c r="B239" s="40"/>
    </row>
    <row r="240" ht="15.75" customHeight="1">
      <c r="A240" s="40"/>
      <c r="B240" s="40"/>
    </row>
    <row r="241" ht="15.75" customHeight="1">
      <c r="A241" s="40"/>
      <c r="B241" s="40"/>
    </row>
    <row r="242" ht="15.75" customHeight="1">
      <c r="A242" s="40"/>
      <c r="B242" s="40"/>
    </row>
    <row r="243" ht="15.75" customHeight="1">
      <c r="A243" s="40"/>
      <c r="B243" s="40"/>
    </row>
    <row r="244" ht="15.75" customHeight="1">
      <c r="A244" s="40"/>
      <c r="B244" s="40"/>
    </row>
    <row r="245" ht="15.75" customHeight="1">
      <c r="A245" s="40"/>
      <c r="B245" s="40"/>
    </row>
    <row r="246" ht="15.75" customHeight="1">
      <c r="A246" s="40"/>
      <c r="B246" s="40"/>
    </row>
    <row r="247" ht="15.75" customHeight="1">
      <c r="A247" s="40"/>
      <c r="B247" s="40"/>
    </row>
    <row r="248" ht="15.75" customHeight="1">
      <c r="A248" s="40"/>
      <c r="B248" s="40"/>
    </row>
    <row r="249" ht="15.75" customHeight="1">
      <c r="A249" s="40"/>
      <c r="B249" s="40"/>
    </row>
    <row r="250" ht="15.75" customHeight="1">
      <c r="A250" s="40"/>
      <c r="B250" s="40"/>
    </row>
    <row r="251" ht="15.75" customHeight="1">
      <c r="A251" s="40"/>
      <c r="B251" s="40"/>
    </row>
    <row r="252" ht="15.75" customHeight="1">
      <c r="A252" s="40"/>
      <c r="B252" s="40"/>
    </row>
    <row r="253" ht="15.75" customHeight="1">
      <c r="A253" s="40"/>
      <c r="B253" s="40"/>
    </row>
    <row r="254" ht="15.75" customHeight="1">
      <c r="A254" s="40"/>
      <c r="B254" s="40"/>
    </row>
    <row r="255" ht="15.75" customHeight="1">
      <c r="A255" s="40"/>
      <c r="B255" s="40"/>
    </row>
    <row r="256" ht="15.75" customHeight="1">
      <c r="A256" s="40"/>
      <c r="B256" s="40"/>
    </row>
    <row r="257" ht="15.75" customHeight="1">
      <c r="A257" s="40"/>
      <c r="B257" s="40"/>
    </row>
    <row r="258" ht="15.75" customHeight="1">
      <c r="A258" s="40"/>
      <c r="B258" s="40"/>
    </row>
    <row r="259" ht="15.75" customHeight="1">
      <c r="A259" s="40"/>
      <c r="B259" s="40"/>
    </row>
    <row r="260" ht="15.75" customHeight="1">
      <c r="A260" s="40"/>
      <c r="B260" s="40"/>
    </row>
    <row r="261" ht="15.75" customHeight="1">
      <c r="A261" s="40"/>
      <c r="B261" s="40"/>
    </row>
    <row r="262" ht="15.75" customHeight="1">
      <c r="A262" s="40"/>
      <c r="B262" s="40"/>
    </row>
    <row r="263" ht="15.75" customHeight="1">
      <c r="A263" s="40"/>
      <c r="B263" s="40"/>
    </row>
    <row r="264" ht="15.75" customHeight="1">
      <c r="A264" s="40"/>
      <c r="B264" s="40"/>
    </row>
    <row r="265" ht="15.75" customHeight="1">
      <c r="A265" s="40"/>
      <c r="B265" s="40"/>
    </row>
    <row r="266" ht="15.75" customHeight="1">
      <c r="A266" s="40"/>
      <c r="B266" s="40"/>
    </row>
    <row r="267" ht="15.75" customHeight="1">
      <c r="A267" s="40"/>
      <c r="B267" s="40"/>
    </row>
    <row r="268" ht="15.75" customHeight="1">
      <c r="A268" s="40"/>
      <c r="B268" s="40"/>
    </row>
    <row r="269" ht="15.75" customHeight="1">
      <c r="A269" s="40"/>
      <c r="B269" s="40"/>
    </row>
    <row r="270" ht="15.75" customHeight="1">
      <c r="A270" s="40"/>
      <c r="B270" s="40"/>
    </row>
    <row r="271" ht="15.75" customHeight="1">
      <c r="A271" s="40"/>
      <c r="B271" s="40"/>
    </row>
    <row r="272" ht="15.75" customHeight="1">
      <c r="A272" s="40"/>
      <c r="B272" s="40"/>
    </row>
    <row r="273" ht="15.75" customHeight="1">
      <c r="A273" s="40"/>
      <c r="B273" s="40"/>
    </row>
    <row r="274" ht="15.75" customHeight="1">
      <c r="A274" s="40"/>
      <c r="B274" s="40"/>
    </row>
    <row r="275" ht="15.75" customHeight="1">
      <c r="A275" s="40"/>
      <c r="B275" s="40"/>
    </row>
    <row r="276" ht="15.75" customHeight="1">
      <c r="A276" s="40"/>
      <c r="B276" s="40"/>
    </row>
    <row r="277" ht="15.75" customHeight="1">
      <c r="A277" s="40"/>
      <c r="B277" s="40"/>
    </row>
    <row r="278" ht="15.75" customHeight="1">
      <c r="A278" s="40"/>
      <c r="B278" s="40"/>
    </row>
    <row r="279" ht="15.75" customHeight="1">
      <c r="A279" s="40"/>
      <c r="B279" s="40"/>
    </row>
    <row r="280" ht="15.75" customHeight="1">
      <c r="A280" s="40"/>
      <c r="B280" s="40"/>
    </row>
    <row r="281" ht="15.75" customHeight="1">
      <c r="A281" s="40"/>
      <c r="B281" s="40"/>
    </row>
    <row r="282" ht="15.75" customHeight="1">
      <c r="A282" s="40"/>
      <c r="B282" s="40"/>
    </row>
    <row r="283" ht="15.75" customHeight="1">
      <c r="A283" s="40"/>
      <c r="B283" s="40"/>
    </row>
    <row r="284" ht="15.75" customHeight="1">
      <c r="A284" s="40"/>
      <c r="B284" s="40"/>
    </row>
    <row r="285" ht="15.75" customHeight="1">
      <c r="A285" s="40"/>
      <c r="B285" s="40"/>
    </row>
    <row r="286" ht="15.75" customHeight="1">
      <c r="A286" s="40"/>
      <c r="B286" s="40"/>
    </row>
    <row r="287" ht="15.75" customHeight="1">
      <c r="A287" s="40"/>
      <c r="B287" s="40"/>
    </row>
    <row r="288" ht="15.75" customHeight="1">
      <c r="A288" s="40"/>
      <c r="B288" s="40"/>
    </row>
    <row r="289" ht="15.75" customHeight="1">
      <c r="A289" s="40"/>
      <c r="B289" s="40"/>
    </row>
    <row r="290" ht="15.75" customHeight="1">
      <c r="A290" s="40"/>
      <c r="B290" s="40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41" t="s">
        <v>206</v>
      </c>
      <c r="B1" s="41" t="s">
        <v>207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5" t="s">
        <v>98</v>
      </c>
      <c r="B2" s="5" t="s">
        <v>208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12" t="s">
        <v>169</v>
      </c>
      <c r="B3" s="12" t="s">
        <v>209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5" t="s">
        <v>34</v>
      </c>
      <c r="B4" s="5" t="s">
        <v>210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12" t="s">
        <v>163</v>
      </c>
      <c r="B5" s="12" t="s">
        <v>211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5" t="s">
        <v>22</v>
      </c>
      <c r="B6" s="5" t="s">
        <v>212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12" t="s">
        <v>179</v>
      </c>
      <c r="B7" s="12" t="s">
        <v>213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5" t="s">
        <v>74</v>
      </c>
      <c r="B8" s="5" t="s">
        <v>214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12" t="s">
        <v>36</v>
      </c>
      <c r="B9" s="12" t="s">
        <v>215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5" t="s">
        <v>181</v>
      </c>
      <c r="B10" s="5" t="s">
        <v>216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12" t="s">
        <v>62</v>
      </c>
      <c r="B11" s="12" t="s">
        <v>217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5" t="s">
        <v>46</v>
      </c>
      <c r="B12" s="5" t="s">
        <v>218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12" t="s">
        <v>134</v>
      </c>
      <c r="B13" s="12" t="s">
        <v>219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5" t="s">
        <v>86</v>
      </c>
      <c r="B14" s="5" t="s">
        <v>220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12" t="s">
        <v>40</v>
      </c>
      <c r="B15" s="12" t="s">
        <v>221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5" t="s">
        <v>146</v>
      </c>
      <c r="B16" s="5" t="s">
        <v>222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12" t="s">
        <v>58</v>
      </c>
      <c r="B17" s="12" t="s">
        <v>223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5" t="s">
        <v>159</v>
      </c>
      <c r="B18" s="5" t="s">
        <v>224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12" t="s">
        <v>171</v>
      </c>
      <c r="B19" s="12" t="s">
        <v>225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5" t="s">
        <v>50</v>
      </c>
      <c r="B20" s="5" t="s">
        <v>226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12" t="s">
        <v>177</v>
      </c>
      <c r="B21" s="12" t="s">
        <v>227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5" t="s">
        <v>228</v>
      </c>
      <c r="B22" s="5" t="s">
        <v>229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12" t="s">
        <v>230</v>
      </c>
      <c r="B23" s="12" t="s">
        <v>231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5" t="s">
        <v>26</v>
      </c>
      <c r="B24" s="5" t="s">
        <v>210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12" t="s">
        <v>82</v>
      </c>
      <c r="B25" s="12" t="s">
        <v>232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5" t="s">
        <v>106</v>
      </c>
      <c r="B26" s="5" t="s">
        <v>233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12" t="s">
        <v>234</v>
      </c>
      <c r="B27" s="12" t="s">
        <v>235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5" t="s">
        <v>151</v>
      </c>
      <c r="B28" s="5" t="s">
        <v>236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12" t="s">
        <v>88</v>
      </c>
      <c r="B29" s="12" t="s">
        <v>237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5" t="s">
        <v>238</v>
      </c>
      <c r="B30" s="5" t="s">
        <v>239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12" t="s">
        <v>72</v>
      </c>
      <c r="B31" s="12" t="s">
        <v>240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5" t="s">
        <v>32</v>
      </c>
      <c r="B32" s="5" t="s">
        <v>241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12" t="s">
        <v>242</v>
      </c>
      <c r="B33" s="12" t="s">
        <v>233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5" t="s">
        <v>68</v>
      </c>
      <c r="B34" s="5" t="s">
        <v>243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12" t="s">
        <v>112</v>
      </c>
      <c r="B35" s="12" t="s">
        <v>244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5" t="s">
        <v>245</v>
      </c>
      <c r="B36" s="5" t="s">
        <v>246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12" t="s">
        <v>247</v>
      </c>
      <c r="B37" s="12" t="s">
        <v>248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5" t="s">
        <v>249</v>
      </c>
      <c r="B38" s="5" t="s">
        <v>250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12" t="s">
        <v>52</v>
      </c>
      <c r="B39" s="12" t="s">
        <v>251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5" t="s">
        <v>64</v>
      </c>
      <c r="B40" s="5" t="s">
        <v>252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12" t="s">
        <v>161</v>
      </c>
      <c r="B41" s="12" t="s">
        <v>253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5" t="s">
        <v>120</v>
      </c>
      <c r="B42" s="5" t="s">
        <v>254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12" t="s">
        <v>255</v>
      </c>
      <c r="B43" s="12" t="s">
        <v>256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5" t="s">
        <v>104</v>
      </c>
      <c r="B44" s="5" t="s">
        <v>257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12" t="s">
        <v>66</v>
      </c>
      <c r="B45" s="12" t="s">
        <v>258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5" t="s">
        <v>108</v>
      </c>
      <c r="B46" s="5" t="s">
        <v>259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12" t="s">
        <v>102</v>
      </c>
      <c r="B47" s="12" t="s">
        <v>260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5" t="s">
        <v>261</v>
      </c>
      <c r="B48" s="5" t="s">
        <v>262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12" t="s">
        <v>24</v>
      </c>
      <c r="B49" s="12" t="s">
        <v>263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5" t="s">
        <v>264</v>
      </c>
      <c r="B50" s="5" t="s">
        <v>265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12" t="s">
        <v>266</v>
      </c>
      <c r="B51" s="12" t="s">
        <v>267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5" t="s">
        <v>155</v>
      </c>
      <c r="B52" s="5" t="s">
        <v>268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12" t="s">
        <v>269</v>
      </c>
      <c r="B53" s="12" t="s">
        <v>270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5" t="s">
        <v>271</v>
      </c>
      <c r="B54" s="5" t="s">
        <v>248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12" t="s">
        <v>110</v>
      </c>
      <c r="B55" s="12" t="s">
        <v>272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5" t="s">
        <v>273</v>
      </c>
      <c r="B56" s="5" t="s">
        <v>274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12" t="s">
        <v>90</v>
      </c>
      <c r="B57" s="12" t="s">
        <v>275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5" t="s">
        <v>126</v>
      </c>
      <c r="B58" s="5" t="s">
        <v>276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12" t="s">
        <v>56</v>
      </c>
      <c r="B59" s="12" t="s">
        <v>277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5" t="s">
        <v>38</v>
      </c>
      <c r="B60" s="5" t="s">
        <v>278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12" t="s">
        <v>92</v>
      </c>
      <c r="B61" s="12" t="s">
        <v>279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5" t="s">
        <v>78</v>
      </c>
      <c r="B62" s="5" t="s">
        <v>280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12" t="s">
        <v>281</v>
      </c>
      <c r="B63" s="12" t="s">
        <v>282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5" t="s">
        <v>173</v>
      </c>
      <c r="B64" s="5" t="s">
        <v>283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12" t="s">
        <v>60</v>
      </c>
      <c r="B65" s="12" t="s">
        <v>284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5" t="s">
        <v>285</v>
      </c>
      <c r="B66" s="5" t="s">
        <v>286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12" t="s">
        <v>165</v>
      </c>
      <c r="B67" s="12" t="s">
        <v>287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5" t="s">
        <v>288</v>
      </c>
      <c r="B68" s="5" t="s">
        <v>289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12" t="s">
        <v>100</v>
      </c>
      <c r="B69" s="12" t="s">
        <v>217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5" t="s">
        <v>54</v>
      </c>
      <c r="B70" s="5" t="s">
        <v>290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12" t="s">
        <v>291</v>
      </c>
      <c r="B71" s="12" t="s">
        <v>292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5" t="s">
        <v>175</v>
      </c>
      <c r="B72" s="5" t="s">
        <v>293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12" t="s">
        <v>28</v>
      </c>
      <c r="B73" s="12" t="s">
        <v>294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5" t="s">
        <v>295</v>
      </c>
      <c r="B74" s="5" t="s">
        <v>296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12" t="s">
        <v>80</v>
      </c>
      <c r="B75" s="12" t="s">
        <v>297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5" t="s">
        <v>298</v>
      </c>
      <c r="B76" s="5" t="s">
        <v>299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12" t="s">
        <v>114</v>
      </c>
      <c r="B77" s="12" t="s">
        <v>300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5" t="s">
        <v>301</v>
      </c>
      <c r="B78" s="5" t="s">
        <v>302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12" t="s">
        <v>303</v>
      </c>
      <c r="B79" s="12" t="s">
        <v>304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5" t="s">
        <v>305</v>
      </c>
      <c r="B80" s="43" t="s">
        <v>306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12" t="s">
        <v>307</v>
      </c>
      <c r="B81" s="12" t="s">
        <v>308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5" t="s">
        <v>76</v>
      </c>
      <c r="B82" s="5" t="s">
        <v>309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12" t="s">
        <v>48</v>
      </c>
      <c r="B83" s="12" t="s">
        <v>310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5" t="s">
        <v>157</v>
      </c>
      <c r="B84" s="5" t="s">
        <v>311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12" t="s">
        <v>144</v>
      </c>
      <c r="B85" s="12" t="s">
        <v>312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5" t="s">
        <v>42</v>
      </c>
      <c r="B86" s="5" t="s">
        <v>313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12" t="s">
        <v>167</v>
      </c>
      <c r="B87" s="12" t="s">
        <v>314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5" t="s">
        <v>315</v>
      </c>
      <c r="B88" s="5" t="s">
        <v>316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12" t="s">
        <v>317</v>
      </c>
      <c r="B89" s="12" t="s">
        <v>318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5" t="s">
        <v>140</v>
      </c>
      <c r="B90" s="5" t="s">
        <v>319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12" t="s">
        <v>320</v>
      </c>
      <c r="B91" s="12" t="s">
        <v>321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5" t="s">
        <v>124</v>
      </c>
      <c r="B92" s="5" t="s">
        <v>322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12" t="s">
        <v>84</v>
      </c>
      <c r="B93" s="12" t="s">
        <v>323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5" t="s">
        <v>324</v>
      </c>
      <c r="B94" s="5" t="s">
        <v>325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12" t="s">
        <v>132</v>
      </c>
      <c r="B95" s="12" t="s">
        <v>326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5" t="s">
        <v>94</v>
      </c>
      <c r="B96" s="5" t="s">
        <v>327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12" t="s">
        <v>44</v>
      </c>
      <c r="B97" s="12" t="s">
        <v>328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5" t="s">
        <v>329</v>
      </c>
      <c r="B98" s="5" t="s">
        <v>330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12" t="s">
        <v>150</v>
      </c>
      <c r="B99" s="12" t="s">
        <v>331</v>
      </c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5" t="s">
        <v>332</v>
      </c>
      <c r="B100" s="5" t="s">
        <v>333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12" t="s">
        <v>334</v>
      </c>
      <c r="B101" s="12" t="s">
        <v>335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5" t="s">
        <v>30</v>
      </c>
      <c r="B102" s="5" t="s">
        <v>336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12" t="s">
        <v>337</v>
      </c>
      <c r="B103" s="12" t="s">
        <v>338</v>
      </c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5" t="s">
        <v>339</v>
      </c>
      <c r="B104" s="5" t="s">
        <v>212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12" t="s">
        <v>142</v>
      </c>
      <c r="B105" s="12" t="s">
        <v>340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5" t="s">
        <v>341</v>
      </c>
      <c r="B106" s="5" t="s">
        <v>342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12" t="s">
        <v>343</v>
      </c>
      <c r="B107" s="12" t="s">
        <v>344</v>
      </c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5" t="s">
        <v>96</v>
      </c>
      <c r="B108" s="5" t="s">
        <v>345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12" t="s">
        <v>116</v>
      </c>
      <c r="B109" s="12" t="s">
        <v>346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5" t="s">
        <v>347</v>
      </c>
      <c r="B110" s="5" t="s">
        <v>348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12" t="s">
        <v>153</v>
      </c>
      <c r="B111" s="12" t="s">
        <v>349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5" t="s">
        <v>128</v>
      </c>
      <c r="B112" s="5" t="s">
        <v>350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12" t="s">
        <v>351</v>
      </c>
      <c r="B113" s="12" t="s">
        <v>352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5" t="s">
        <v>353</v>
      </c>
      <c r="B114" s="5" t="s">
        <v>354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12" t="s">
        <v>130</v>
      </c>
      <c r="B115" s="12" t="s">
        <v>130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5" t="s">
        <v>148</v>
      </c>
      <c r="B116" s="5" t="s">
        <v>355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12" t="s">
        <v>118</v>
      </c>
      <c r="B117" s="12" t="s">
        <v>356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5" t="s">
        <v>357</v>
      </c>
      <c r="B118" s="5" t="s">
        <v>358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12" t="s">
        <v>359</v>
      </c>
      <c r="B119" s="12" t="s">
        <v>360</v>
      </c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5" t="s">
        <v>361</v>
      </c>
      <c r="B120" s="5" t="s">
        <v>362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12" t="s">
        <v>70</v>
      </c>
      <c r="B121" s="12" t="s">
        <v>363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5" t="s">
        <v>364</v>
      </c>
      <c r="B122" s="5" t="s">
        <v>365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12" t="s">
        <v>366</v>
      </c>
      <c r="B123" s="12" t="s">
        <v>367</v>
      </c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5" t="s">
        <v>368</v>
      </c>
      <c r="B124" s="5" t="s">
        <v>369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12" t="s">
        <v>370</v>
      </c>
      <c r="B125" s="12" t="s">
        <v>371</v>
      </c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5" t="s">
        <v>372</v>
      </c>
      <c r="B126" s="5" t="s">
        <v>373</v>
      </c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12" t="s">
        <v>374</v>
      </c>
      <c r="B127" s="12" t="s">
        <v>375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5" t="s">
        <v>376</v>
      </c>
      <c r="B128" s="5" t="s">
        <v>377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12" t="s">
        <v>378</v>
      </c>
      <c r="B129" s="12" t="s">
        <v>379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5" t="s">
        <v>136</v>
      </c>
      <c r="B130" s="5" t="s">
        <v>380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12" t="s">
        <v>138</v>
      </c>
      <c r="B131" s="12" t="s">
        <v>381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5" t="s">
        <v>382</v>
      </c>
      <c r="B132" s="5" t="s">
        <v>383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12" t="s">
        <v>384</v>
      </c>
      <c r="B133" s="12" t="s">
        <v>385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5" t="s">
        <v>386</v>
      </c>
      <c r="B134" s="5" t="s">
        <v>387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12" t="s">
        <v>388</v>
      </c>
      <c r="B135" s="12" t="s">
        <v>389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5" t="s">
        <v>390</v>
      </c>
      <c r="B136" s="5" t="s">
        <v>391</v>
      </c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12" t="s">
        <v>392</v>
      </c>
      <c r="B137" s="12" t="s">
        <v>393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5" t="s">
        <v>394</v>
      </c>
      <c r="B138" s="5" t="s">
        <v>395</v>
      </c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12" t="s">
        <v>396</v>
      </c>
      <c r="B139" s="12" t="s">
        <v>397</v>
      </c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5" t="s">
        <v>398</v>
      </c>
      <c r="B140" s="5" t="s">
        <v>399</v>
      </c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12" t="s">
        <v>400</v>
      </c>
      <c r="B141" s="12" t="s">
        <v>401</v>
      </c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5" t="s">
        <v>402</v>
      </c>
      <c r="B142" s="5" t="s">
        <v>403</v>
      </c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12" t="s">
        <v>404</v>
      </c>
      <c r="B143" s="12" t="s">
        <v>405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5" t="s">
        <v>406</v>
      </c>
      <c r="B144" s="5" t="s">
        <v>407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12" t="s">
        <v>408</v>
      </c>
      <c r="B145" s="12" t="s">
        <v>408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5" t="s">
        <v>409</v>
      </c>
      <c r="B146" s="5" t="s">
        <v>410</v>
      </c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12" t="s">
        <v>411</v>
      </c>
      <c r="B147" s="12" t="s">
        <v>412</v>
      </c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5" t="s">
        <v>413</v>
      </c>
      <c r="B148" s="5" t="s">
        <v>414</v>
      </c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12" t="s">
        <v>415</v>
      </c>
      <c r="B149" s="12" t="s">
        <v>221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5" t="s">
        <v>416</v>
      </c>
      <c r="B150" s="5" t="s">
        <v>417</v>
      </c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12" t="s">
        <v>418</v>
      </c>
      <c r="B151" s="12" t="s">
        <v>419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5" t="s">
        <v>420</v>
      </c>
      <c r="B152" s="5" t="s">
        <v>421</v>
      </c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12" t="s">
        <v>422</v>
      </c>
      <c r="B153" s="12" t="s">
        <v>423</v>
      </c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5" t="s">
        <v>424</v>
      </c>
      <c r="B154" s="5" t="s">
        <v>425</v>
      </c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12" t="s">
        <v>426</v>
      </c>
      <c r="B155" s="12" t="s">
        <v>427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5" t="s">
        <v>428</v>
      </c>
      <c r="B156" s="5" t="s">
        <v>429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12" t="s">
        <v>430</v>
      </c>
      <c r="B157" s="12" t="s">
        <v>431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5" t="s">
        <v>432</v>
      </c>
      <c r="B158" s="5" t="s">
        <v>433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12" t="s">
        <v>434</v>
      </c>
      <c r="B159" s="12" t="s">
        <v>435</v>
      </c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5" t="s">
        <v>436</v>
      </c>
      <c r="B160" s="5" t="s">
        <v>437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12" t="s">
        <v>438</v>
      </c>
      <c r="B161" s="12" t="s">
        <v>439</v>
      </c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5" t="s">
        <v>440</v>
      </c>
      <c r="B162" s="5" t="s">
        <v>441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12" t="s">
        <v>442</v>
      </c>
      <c r="B163" s="12" t="s">
        <v>443</v>
      </c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5" t="s">
        <v>444</v>
      </c>
      <c r="B164" s="5" t="s">
        <v>445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12" t="s">
        <v>446</v>
      </c>
      <c r="B165" s="12" t="s">
        <v>447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5" t="s">
        <v>448</v>
      </c>
      <c r="B166" s="5" t="s">
        <v>449</v>
      </c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12" t="s">
        <v>450</v>
      </c>
      <c r="B167" s="12" t="s">
        <v>451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5" t="s">
        <v>452</v>
      </c>
      <c r="B168" s="5" t="s">
        <v>453</v>
      </c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12" t="s">
        <v>454</v>
      </c>
      <c r="B169" s="12" t="s">
        <v>455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5" t="s">
        <v>456</v>
      </c>
      <c r="B170" s="5" t="s">
        <v>457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12" t="s">
        <v>458</v>
      </c>
      <c r="B171" s="12" t="s">
        <v>459</v>
      </c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5" t="s">
        <v>460</v>
      </c>
      <c r="B172" s="5" t="s">
        <v>254</v>
      </c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12" t="s">
        <v>122</v>
      </c>
      <c r="B173" s="12" t="s">
        <v>312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5" t="s">
        <v>461</v>
      </c>
      <c r="B174" s="5" t="s">
        <v>462</v>
      </c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12" t="s">
        <v>463</v>
      </c>
      <c r="B175" s="12" t="s">
        <v>464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5" t="s">
        <v>465</v>
      </c>
      <c r="B176" s="5" t="s">
        <v>466</v>
      </c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12" t="s">
        <v>467</v>
      </c>
      <c r="B177" s="12" t="s">
        <v>468</v>
      </c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5" t="s">
        <v>469</v>
      </c>
      <c r="B178" s="5" t="s">
        <v>470</v>
      </c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12" t="s">
        <v>471</v>
      </c>
      <c r="B179" s="12" t="s">
        <v>472</v>
      </c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5" t="s">
        <v>473</v>
      </c>
      <c r="B180" s="5" t="s">
        <v>348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12" t="s">
        <v>474</v>
      </c>
      <c r="B181" s="12" t="s">
        <v>475</v>
      </c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5" t="s">
        <v>476</v>
      </c>
      <c r="B182" s="5" t="s">
        <v>477</v>
      </c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12" t="s">
        <v>478</v>
      </c>
      <c r="B183" s="12" t="s">
        <v>479</v>
      </c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5" t="s">
        <v>480</v>
      </c>
      <c r="B184" s="5" t="s">
        <v>481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12" t="s">
        <v>482</v>
      </c>
      <c r="B185" s="12" t="s">
        <v>483</v>
      </c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5" t="s">
        <v>484</v>
      </c>
      <c r="B186" s="5" t="s">
        <v>485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12" t="s">
        <v>486</v>
      </c>
      <c r="B187" s="12" t="s">
        <v>487</v>
      </c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5" t="s">
        <v>488</v>
      </c>
      <c r="B188" s="5" t="s">
        <v>489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12" t="s">
        <v>490</v>
      </c>
      <c r="B189" s="12" t="s">
        <v>491</v>
      </c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5" t="s">
        <v>492</v>
      </c>
      <c r="B190" s="5" t="s">
        <v>493</v>
      </c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12" t="s">
        <v>494</v>
      </c>
      <c r="B191" s="12" t="s">
        <v>371</v>
      </c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5" t="s">
        <v>495</v>
      </c>
      <c r="B192" s="5" t="s">
        <v>405</v>
      </c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12" t="s">
        <v>496</v>
      </c>
      <c r="B193" s="12" t="s">
        <v>497</v>
      </c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5" t="s">
        <v>498</v>
      </c>
      <c r="B194" s="5" t="s">
        <v>499</v>
      </c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12" t="s">
        <v>500</v>
      </c>
      <c r="B195" s="12" t="s">
        <v>501</v>
      </c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5" t="s">
        <v>502</v>
      </c>
      <c r="B196" s="5" t="s">
        <v>503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12" t="s">
        <v>504</v>
      </c>
      <c r="B197" s="12" t="s">
        <v>505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5" t="s">
        <v>506</v>
      </c>
      <c r="B198" s="5" t="s">
        <v>507</v>
      </c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12" t="s">
        <v>508</v>
      </c>
      <c r="B199" s="12" t="s">
        <v>509</v>
      </c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5" t="s">
        <v>510</v>
      </c>
      <c r="B200" s="5" t="s">
        <v>511</v>
      </c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12" t="s">
        <v>512</v>
      </c>
      <c r="B201" s="12" t="s">
        <v>513</v>
      </c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5" t="s">
        <v>514</v>
      </c>
      <c r="B202" s="5" t="s">
        <v>515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12" t="s">
        <v>516</v>
      </c>
      <c r="B203" s="12" t="s">
        <v>517</v>
      </c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5" t="s">
        <v>518</v>
      </c>
      <c r="B204" s="5" t="s">
        <v>519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12" t="s">
        <v>520</v>
      </c>
      <c r="B205" s="12" t="s">
        <v>521</v>
      </c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5" t="s">
        <v>522</v>
      </c>
      <c r="B206" s="5" t="s">
        <v>523</v>
      </c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12" t="s">
        <v>524</v>
      </c>
      <c r="B207" s="12" t="s">
        <v>525</v>
      </c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5" t="s">
        <v>526</v>
      </c>
      <c r="B208" s="5" t="s">
        <v>229</v>
      </c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12" t="s">
        <v>527</v>
      </c>
      <c r="B209" s="12" t="s">
        <v>528</v>
      </c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5" t="s">
        <v>529</v>
      </c>
      <c r="B210" s="5" t="s">
        <v>530</v>
      </c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12" t="s">
        <v>531</v>
      </c>
      <c r="B211" s="12" t="s">
        <v>532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5" t="s">
        <v>533</v>
      </c>
      <c r="B212" s="5" t="s">
        <v>534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12" t="s">
        <v>535</v>
      </c>
      <c r="B213" s="12" t="s">
        <v>536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5" t="s">
        <v>537</v>
      </c>
      <c r="B214" s="5" t="s">
        <v>538</v>
      </c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12" t="s">
        <v>539</v>
      </c>
      <c r="B215" s="12" t="s">
        <v>262</v>
      </c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5" t="s">
        <v>540</v>
      </c>
      <c r="B216" s="5" t="s">
        <v>541</v>
      </c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12" t="s">
        <v>542</v>
      </c>
      <c r="B217" s="12" t="s">
        <v>543</v>
      </c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5" t="s">
        <v>544</v>
      </c>
      <c r="B218" s="5" t="s">
        <v>545</v>
      </c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12" t="s">
        <v>546</v>
      </c>
      <c r="B219" s="12" t="s">
        <v>220</v>
      </c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5" t="s">
        <v>547</v>
      </c>
      <c r="B220" s="5" t="s">
        <v>548</v>
      </c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12" t="s">
        <v>549</v>
      </c>
      <c r="B221" s="12" t="s">
        <v>550</v>
      </c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5" t="s">
        <v>549</v>
      </c>
      <c r="B222" s="5" t="s">
        <v>551</v>
      </c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12" t="s">
        <v>552</v>
      </c>
      <c r="B223" s="12" t="s">
        <v>553</v>
      </c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5" t="s">
        <v>554</v>
      </c>
      <c r="B224" s="5" t="s">
        <v>555</v>
      </c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12" t="s">
        <v>556</v>
      </c>
      <c r="B225" s="12" t="s">
        <v>557</v>
      </c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5" t="s">
        <v>558</v>
      </c>
      <c r="B226" s="5" t="s">
        <v>559</v>
      </c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12" t="s">
        <v>560</v>
      </c>
      <c r="B227" s="12" t="s">
        <v>561</v>
      </c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5" t="s">
        <v>562</v>
      </c>
      <c r="B228" s="5" t="s">
        <v>563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12" t="s">
        <v>564</v>
      </c>
      <c r="B229" s="12" t="s">
        <v>565</v>
      </c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5" t="s">
        <v>566</v>
      </c>
      <c r="B230" s="5" t="s">
        <v>563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12" t="s">
        <v>567</v>
      </c>
      <c r="B231" s="12" t="s">
        <v>568</v>
      </c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5" t="s">
        <v>569</v>
      </c>
      <c r="B232" s="5" t="s">
        <v>570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12" t="s">
        <v>571</v>
      </c>
      <c r="B233" s="12" t="s">
        <v>572</v>
      </c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5" t="s">
        <v>573</v>
      </c>
      <c r="B234" s="5" t="s">
        <v>574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12" t="s">
        <v>575</v>
      </c>
      <c r="B235" s="12" t="s">
        <v>536</v>
      </c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5" t="s">
        <v>576</v>
      </c>
      <c r="B236" s="5" t="s">
        <v>577</v>
      </c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12" t="s">
        <v>578</v>
      </c>
      <c r="B237" s="12" t="s">
        <v>579</v>
      </c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5" t="s">
        <v>580</v>
      </c>
      <c r="B238" s="5" t="s">
        <v>260</v>
      </c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12" t="s">
        <v>581</v>
      </c>
      <c r="B239" s="12" t="s">
        <v>582</v>
      </c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5" t="s">
        <v>583</v>
      </c>
      <c r="B240" s="5" t="s">
        <v>553</v>
      </c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12" t="s">
        <v>584</v>
      </c>
      <c r="B241" s="12" t="s">
        <v>585</v>
      </c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5" t="s">
        <v>586</v>
      </c>
      <c r="B242" s="5" t="s">
        <v>587</v>
      </c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12" t="s">
        <v>588</v>
      </c>
      <c r="B243" s="12" t="s">
        <v>589</v>
      </c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5" t="s">
        <v>590</v>
      </c>
      <c r="B244" s="5" t="s">
        <v>279</v>
      </c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12" t="s">
        <v>591</v>
      </c>
      <c r="B245" s="12" t="s">
        <v>592</v>
      </c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5" t="s">
        <v>593</v>
      </c>
      <c r="B246" s="5" t="s">
        <v>507</v>
      </c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12" t="s">
        <v>594</v>
      </c>
      <c r="B247" s="12" t="s">
        <v>595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5" t="s">
        <v>596</v>
      </c>
      <c r="B248" s="5" t="s">
        <v>597</v>
      </c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12" t="s">
        <v>598</v>
      </c>
      <c r="B249" s="12" t="s">
        <v>599</v>
      </c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5" t="s">
        <v>600</v>
      </c>
      <c r="B250" s="5" t="s">
        <v>601</v>
      </c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12" t="s">
        <v>602</v>
      </c>
      <c r="B251" s="12" t="s">
        <v>603</v>
      </c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5" t="s">
        <v>604</v>
      </c>
      <c r="B252" s="5" t="s">
        <v>354</v>
      </c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12" t="s">
        <v>605</v>
      </c>
      <c r="B253" s="12" t="s">
        <v>606</v>
      </c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5" t="s">
        <v>607</v>
      </c>
      <c r="B254" s="5" t="s">
        <v>608</v>
      </c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12" t="s">
        <v>609</v>
      </c>
      <c r="B255" s="12" t="s">
        <v>610</v>
      </c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5" t="s">
        <v>611</v>
      </c>
      <c r="B256" s="5" t="s">
        <v>297</v>
      </c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12" t="s">
        <v>612</v>
      </c>
      <c r="B257" s="12" t="s">
        <v>328</v>
      </c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5" t="s">
        <v>613</v>
      </c>
      <c r="B258" s="5" t="s">
        <v>614</v>
      </c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12" t="s">
        <v>615</v>
      </c>
      <c r="B259" s="12" t="s">
        <v>616</v>
      </c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5" t="s">
        <v>617</v>
      </c>
      <c r="B260" s="5" t="s">
        <v>608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12" t="s">
        <v>618</v>
      </c>
      <c r="B261" s="12" t="s">
        <v>619</v>
      </c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5" t="s">
        <v>620</v>
      </c>
      <c r="B262" s="5" t="s">
        <v>621</v>
      </c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12" t="s">
        <v>622</v>
      </c>
      <c r="B263" s="12" t="s">
        <v>623</v>
      </c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5" t="s">
        <v>624</v>
      </c>
      <c r="B264" s="5" t="s">
        <v>625</v>
      </c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12" t="s">
        <v>626</v>
      </c>
      <c r="B265" s="12" t="s">
        <v>627</v>
      </c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5" t="s">
        <v>628</v>
      </c>
      <c r="B266" s="5" t="s">
        <v>629</v>
      </c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12" t="s">
        <v>630</v>
      </c>
      <c r="B267" s="12" t="s">
        <v>631</v>
      </c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5" t="s">
        <v>632</v>
      </c>
      <c r="B268" s="5" t="s">
        <v>532</v>
      </c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12" t="s">
        <v>633</v>
      </c>
      <c r="B269" s="12" t="s">
        <v>634</v>
      </c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5" t="s">
        <v>635</v>
      </c>
      <c r="B270" s="5" t="s">
        <v>634</v>
      </c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12" t="s">
        <v>636</v>
      </c>
      <c r="B271" s="12" t="s">
        <v>637</v>
      </c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5" t="s">
        <v>638</v>
      </c>
      <c r="B272" s="5" t="s">
        <v>639</v>
      </c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12" t="s">
        <v>640</v>
      </c>
      <c r="B273" s="12" t="s">
        <v>641</v>
      </c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5" t="s">
        <v>642</v>
      </c>
      <c r="B274" s="5" t="s">
        <v>643</v>
      </c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12" t="s">
        <v>644</v>
      </c>
      <c r="B275" s="12" t="s">
        <v>645</v>
      </c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5" t="s">
        <v>646</v>
      </c>
      <c r="B276" s="5" t="s">
        <v>647</v>
      </c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12" t="s">
        <v>648</v>
      </c>
      <c r="B277" s="12" t="s">
        <v>649</v>
      </c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5" t="s">
        <v>650</v>
      </c>
      <c r="B278" s="5" t="s">
        <v>651</v>
      </c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12" t="s">
        <v>652</v>
      </c>
      <c r="B279" s="12" t="s">
        <v>649</v>
      </c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5" t="s">
        <v>653</v>
      </c>
      <c r="B280" s="5" t="s">
        <v>513</v>
      </c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12" t="s">
        <v>654</v>
      </c>
      <c r="B281" s="12" t="s">
        <v>655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5" t="s">
        <v>656</v>
      </c>
      <c r="B282" s="5" t="s">
        <v>649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12" t="s">
        <v>657</v>
      </c>
      <c r="B283" s="12" t="s">
        <v>658</v>
      </c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5" t="s">
        <v>659</v>
      </c>
      <c r="B284" s="5" t="s">
        <v>391</v>
      </c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12" t="s">
        <v>660</v>
      </c>
      <c r="B285" s="12" t="s">
        <v>661</v>
      </c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5" t="s">
        <v>662</v>
      </c>
      <c r="B286" s="5" t="s">
        <v>623</v>
      </c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12" t="s">
        <v>663</v>
      </c>
      <c r="B287" s="12" t="s">
        <v>599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5" t="s">
        <v>664</v>
      </c>
      <c r="B288" s="5" t="s">
        <v>665</v>
      </c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12" t="s">
        <v>666</v>
      </c>
      <c r="B289" s="12" t="s">
        <v>667</v>
      </c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5" t="s">
        <v>668</v>
      </c>
      <c r="B290" s="5" t="s">
        <v>669</v>
      </c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12" t="s">
        <v>670</v>
      </c>
      <c r="B291" s="12" t="s">
        <v>671</v>
      </c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5" t="s">
        <v>672</v>
      </c>
      <c r="B292" s="5" t="s">
        <v>673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12" t="s">
        <v>674</v>
      </c>
      <c r="B293" s="12" t="s">
        <v>675</v>
      </c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5" t="s">
        <v>676</v>
      </c>
      <c r="B294" s="5" t="s">
        <v>677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12" t="s">
        <v>678</v>
      </c>
      <c r="B295" s="12" t="s">
        <v>679</v>
      </c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5" t="s">
        <v>680</v>
      </c>
      <c r="B296" s="5" t="s">
        <v>681</v>
      </c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12" t="s">
        <v>682</v>
      </c>
      <c r="B297" s="12" t="s">
        <v>683</v>
      </c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5" t="s">
        <v>684</v>
      </c>
      <c r="B298" s="5" t="s">
        <v>685</v>
      </c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12" t="s">
        <v>686</v>
      </c>
      <c r="B299" s="12" t="s">
        <v>687</v>
      </c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5" t="s">
        <v>688</v>
      </c>
      <c r="B300" s="5" t="s">
        <v>689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12" t="s">
        <v>690</v>
      </c>
      <c r="B301" s="12" t="s">
        <v>691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5" t="s">
        <v>692</v>
      </c>
      <c r="B302" s="5" t="s">
        <v>693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12" t="s">
        <v>694</v>
      </c>
      <c r="B303" s="12" t="s">
        <v>380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5" t="s">
        <v>695</v>
      </c>
      <c r="B304" s="5" t="s">
        <v>696</v>
      </c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12" t="s">
        <v>697</v>
      </c>
      <c r="B305" s="12" t="s">
        <v>698</v>
      </c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5" t="s">
        <v>699</v>
      </c>
      <c r="B306" s="5" t="s">
        <v>700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12" t="s">
        <v>701</v>
      </c>
      <c r="B307" s="12" t="s">
        <v>702</v>
      </c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5" t="s">
        <v>703</v>
      </c>
      <c r="B308" s="5" t="s">
        <v>704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12" t="s">
        <v>705</v>
      </c>
      <c r="B309" s="12" t="s">
        <v>421</v>
      </c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5" t="s">
        <v>706</v>
      </c>
      <c r="B310" s="5" t="s">
        <v>707</v>
      </c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12" t="s">
        <v>708</v>
      </c>
      <c r="B311" s="12" t="s">
        <v>665</v>
      </c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5" t="s">
        <v>709</v>
      </c>
      <c r="B312" s="5" t="s">
        <v>710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12" t="s">
        <v>711</v>
      </c>
      <c r="B313" s="12" t="s">
        <v>671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5" t="s">
        <v>712</v>
      </c>
      <c r="B314" s="5" t="s">
        <v>614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12" t="s">
        <v>713</v>
      </c>
      <c r="B315" s="12" t="s">
        <v>714</v>
      </c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5" t="s">
        <v>715</v>
      </c>
      <c r="B316" s="5" t="s">
        <v>716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12" t="s">
        <v>717</v>
      </c>
      <c r="B317" s="12" t="s">
        <v>718</v>
      </c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5" t="s">
        <v>719</v>
      </c>
      <c r="B318" s="5" t="s">
        <v>720</v>
      </c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12" t="s">
        <v>721</v>
      </c>
      <c r="B319" s="12" t="s">
        <v>722</v>
      </c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5" t="s">
        <v>723</v>
      </c>
      <c r="B320" s="5" t="s">
        <v>724</v>
      </c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12" t="s">
        <v>725</v>
      </c>
      <c r="B321" s="12" t="s">
        <v>658</v>
      </c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5" t="s">
        <v>726</v>
      </c>
      <c r="B322" s="5" t="s">
        <v>727</v>
      </c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12" t="s">
        <v>728</v>
      </c>
      <c r="B323" s="12" t="s">
        <v>729</v>
      </c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5" t="s">
        <v>730</v>
      </c>
      <c r="B324" s="5" t="s">
        <v>731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12" t="s">
        <v>732</v>
      </c>
      <c r="B325" s="12" t="s">
        <v>733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5" t="s">
        <v>734</v>
      </c>
      <c r="B326" s="5" t="s">
        <v>679</v>
      </c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12" t="s">
        <v>735</v>
      </c>
      <c r="B327" s="12" t="s">
        <v>437</v>
      </c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5" t="s">
        <v>736</v>
      </c>
      <c r="B328" s="5" t="s">
        <v>737</v>
      </c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12" t="s">
        <v>738</v>
      </c>
      <c r="B329" s="12" t="s">
        <v>639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5" t="s">
        <v>739</v>
      </c>
      <c r="B330" s="5" t="s">
        <v>740</v>
      </c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12" t="s">
        <v>741</v>
      </c>
      <c r="B331" s="12" t="s">
        <v>742</v>
      </c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5" t="s">
        <v>743</v>
      </c>
      <c r="B332" s="5" t="s">
        <v>744</v>
      </c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12" t="s">
        <v>745</v>
      </c>
      <c r="B333" s="12" t="s">
        <v>746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5" t="s">
        <v>747</v>
      </c>
      <c r="B334" s="5" t="s">
        <v>748</v>
      </c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12" t="s">
        <v>749</v>
      </c>
      <c r="B335" s="12" t="s">
        <v>641</v>
      </c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5" t="s">
        <v>750</v>
      </c>
      <c r="B336" s="5" t="s">
        <v>751</v>
      </c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12" t="s">
        <v>752</v>
      </c>
      <c r="B337" s="12" t="s">
        <v>667</v>
      </c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5" t="s">
        <v>753</v>
      </c>
      <c r="B338" s="5" t="s">
        <v>754</v>
      </c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12" t="s">
        <v>755</v>
      </c>
      <c r="B339" s="12" t="s">
        <v>756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5" t="s">
        <v>757</v>
      </c>
      <c r="B340" s="5" t="s">
        <v>758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12" t="s">
        <v>759</v>
      </c>
      <c r="B341" s="12" t="s">
        <v>727</v>
      </c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5" t="s">
        <v>760</v>
      </c>
      <c r="B342" s="5" t="s">
        <v>595</v>
      </c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12" t="s">
        <v>761</v>
      </c>
      <c r="B343" s="12" t="s">
        <v>698</v>
      </c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5" t="s">
        <v>762</v>
      </c>
      <c r="B344" s="5" t="s">
        <v>754</v>
      </c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12" t="s">
        <v>763</v>
      </c>
      <c r="B345" s="12" t="s">
        <v>764</v>
      </c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5" t="s">
        <v>765</v>
      </c>
      <c r="B346" s="5" t="s">
        <v>766</v>
      </c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12" t="s">
        <v>767</v>
      </c>
      <c r="B347" s="12" t="s">
        <v>768</v>
      </c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5" t="s">
        <v>769</v>
      </c>
      <c r="B348" s="5" t="s">
        <v>643</v>
      </c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12" t="s">
        <v>770</v>
      </c>
      <c r="B349" s="12" t="s">
        <v>714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5" t="s">
        <v>771</v>
      </c>
      <c r="B350" s="5" t="s">
        <v>748</v>
      </c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12" t="s">
        <v>772</v>
      </c>
      <c r="B351" s="12" t="s">
        <v>773</v>
      </c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5" t="s">
        <v>774</v>
      </c>
      <c r="B352" s="5" t="s">
        <v>775</v>
      </c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12" t="s">
        <v>776</v>
      </c>
      <c r="B353" s="12" t="s">
        <v>233</v>
      </c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5" t="s">
        <v>777</v>
      </c>
      <c r="B354" s="5" t="s">
        <v>740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12" t="s">
        <v>778</v>
      </c>
      <c r="B355" s="12" t="s">
        <v>572</v>
      </c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5" t="s">
        <v>779</v>
      </c>
      <c r="B356" s="5" t="s">
        <v>545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12" t="s">
        <v>780</v>
      </c>
      <c r="B357" s="12" t="s">
        <v>349</v>
      </c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5" t="s">
        <v>781</v>
      </c>
      <c r="B358" s="5" t="s">
        <v>782</v>
      </c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12" t="s">
        <v>783</v>
      </c>
      <c r="B359" s="12" t="s">
        <v>784</v>
      </c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5" t="s">
        <v>785</v>
      </c>
      <c r="B360" s="5" t="s">
        <v>786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12" t="s">
        <v>787</v>
      </c>
      <c r="B361" s="12" t="s">
        <v>788</v>
      </c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5" t="s">
        <v>789</v>
      </c>
      <c r="B362" s="5" t="s">
        <v>733</v>
      </c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12" t="s">
        <v>790</v>
      </c>
      <c r="B363" s="12" t="s">
        <v>700</v>
      </c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5" t="s">
        <v>791</v>
      </c>
      <c r="B364" s="5" t="s">
        <v>683</v>
      </c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12" t="s">
        <v>792</v>
      </c>
      <c r="B365" s="12" t="s">
        <v>793</v>
      </c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5" t="s">
        <v>794</v>
      </c>
      <c r="B366" s="5" t="s">
        <v>768</v>
      </c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12" t="s">
        <v>795</v>
      </c>
      <c r="B367" s="12" t="s">
        <v>796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5" t="s">
        <v>797</v>
      </c>
      <c r="B368" s="5" t="s">
        <v>798</v>
      </c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12" t="s">
        <v>799</v>
      </c>
      <c r="B369" s="12" t="s">
        <v>800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5" t="s">
        <v>801</v>
      </c>
      <c r="B370" s="5" t="s">
        <v>802</v>
      </c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12" t="s">
        <v>803</v>
      </c>
      <c r="B371" s="12" t="s">
        <v>796</v>
      </c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5" t="s">
        <v>804</v>
      </c>
      <c r="B372" s="5" t="s">
        <v>805</v>
      </c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12" t="s">
        <v>806</v>
      </c>
      <c r="B373" s="12" t="s">
        <v>704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5" t="s">
        <v>807</v>
      </c>
      <c r="B374" s="5" t="s">
        <v>808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12" t="s">
        <v>809</v>
      </c>
      <c r="B375" s="12" t="s">
        <v>810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5" t="s">
        <v>811</v>
      </c>
      <c r="B376" s="5" t="s">
        <v>812</v>
      </c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12" t="s">
        <v>813</v>
      </c>
      <c r="B377" s="12" t="s">
        <v>810</v>
      </c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5" t="s">
        <v>814</v>
      </c>
      <c r="B378" s="5" t="s">
        <v>815</v>
      </c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12" t="s">
        <v>816</v>
      </c>
      <c r="B379" s="12" t="s">
        <v>532</v>
      </c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5" t="s">
        <v>817</v>
      </c>
      <c r="B380" s="5" t="s">
        <v>707</v>
      </c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12" t="s">
        <v>818</v>
      </c>
      <c r="B381" s="12" t="s">
        <v>819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5" t="s">
        <v>820</v>
      </c>
      <c r="B382" s="5" t="s">
        <v>821</v>
      </c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12" t="s">
        <v>822</v>
      </c>
      <c r="B383" s="12" t="s">
        <v>768</v>
      </c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5" t="s">
        <v>823</v>
      </c>
      <c r="B384" s="5" t="s">
        <v>551</v>
      </c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12" t="s">
        <v>823</v>
      </c>
      <c r="B385" s="12" t="s">
        <v>550</v>
      </c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5" t="s">
        <v>824</v>
      </c>
      <c r="B386" s="5" t="s">
        <v>825</v>
      </c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12" t="s">
        <v>826</v>
      </c>
      <c r="B387" s="12" t="s">
        <v>775</v>
      </c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5" t="s">
        <v>827</v>
      </c>
      <c r="B388" s="5" t="s">
        <v>683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12" t="s">
        <v>828</v>
      </c>
      <c r="B389" s="12" t="s">
        <v>829</v>
      </c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5" t="s">
        <v>830</v>
      </c>
      <c r="B390" s="5" t="s">
        <v>831</v>
      </c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12" t="s">
        <v>832</v>
      </c>
      <c r="B391" s="12" t="s">
        <v>681</v>
      </c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5" t="s">
        <v>833</v>
      </c>
      <c r="B392" s="5" t="s">
        <v>802</v>
      </c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12" t="s">
        <v>834</v>
      </c>
      <c r="B393" s="12" t="s">
        <v>681</v>
      </c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5" t="s">
        <v>835</v>
      </c>
      <c r="B394" s="5" t="s">
        <v>836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12" t="s">
        <v>837</v>
      </c>
      <c r="B395" s="12" t="s">
        <v>764</v>
      </c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5" t="s">
        <v>838</v>
      </c>
      <c r="B396" s="5" t="s">
        <v>839</v>
      </c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12" t="s">
        <v>840</v>
      </c>
      <c r="B397" s="12" t="s">
        <v>841</v>
      </c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5" t="s">
        <v>842</v>
      </c>
      <c r="B398" s="5" t="s">
        <v>802</v>
      </c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12" t="s">
        <v>843</v>
      </c>
      <c r="B399" s="12" t="s">
        <v>831</v>
      </c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5" t="s">
        <v>844</v>
      </c>
      <c r="B400" s="5" t="s">
        <v>681</v>
      </c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12" t="s">
        <v>845</v>
      </c>
      <c r="B401" s="12" t="s">
        <v>812</v>
      </c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5" t="s">
        <v>846</v>
      </c>
      <c r="B402" s="5" t="s">
        <v>847</v>
      </c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12" t="s">
        <v>848</v>
      </c>
      <c r="B403" s="12" t="s">
        <v>737</v>
      </c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5" t="s">
        <v>849</v>
      </c>
      <c r="B404" s="5" t="s">
        <v>825</v>
      </c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12" t="s">
        <v>850</v>
      </c>
      <c r="B405" s="12" t="s">
        <v>851</v>
      </c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5" t="s">
        <v>852</v>
      </c>
      <c r="B406" s="5" t="s">
        <v>853</v>
      </c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12" t="s">
        <v>854</v>
      </c>
      <c r="B407" s="12" t="s">
        <v>312</v>
      </c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5" t="s">
        <v>855</v>
      </c>
      <c r="B408" s="5" t="s">
        <v>768</v>
      </c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12" t="s">
        <v>856</v>
      </c>
      <c r="B409" s="12" t="s">
        <v>851</v>
      </c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5" t="s">
        <v>857</v>
      </c>
      <c r="B410" s="5" t="s">
        <v>851</v>
      </c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12" t="s">
        <v>858</v>
      </c>
      <c r="B411" s="12" t="s">
        <v>328</v>
      </c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5" t="s">
        <v>859</v>
      </c>
      <c r="B412" s="5" t="s">
        <v>212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12" t="s">
        <v>860</v>
      </c>
      <c r="B413" s="12" t="s">
        <v>861</v>
      </c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5" t="s">
        <v>862</v>
      </c>
      <c r="B414" s="5" t="s">
        <v>863</v>
      </c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12" t="s">
        <v>864</v>
      </c>
      <c r="B415" s="12" t="s">
        <v>731</v>
      </c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5" t="s">
        <v>865</v>
      </c>
      <c r="B416" s="5" t="s">
        <v>693</v>
      </c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12" t="s">
        <v>866</v>
      </c>
      <c r="B417" s="12" t="s">
        <v>744</v>
      </c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5" t="s">
        <v>867</v>
      </c>
      <c r="B418" s="5" t="s">
        <v>863</v>
      </c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12" t="s">
        <v>868</v>
      </c>
      <c r="B419" s="12" t="s">
        <v>869</v>
      </c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5" t="s">
        <v>870</v>
      </c>
      <c r="B420" s="5" t="s">
        <v>391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12" t="s">
        <v>871</v>
      </c>
      <c r="B421" s="12" t="s">
        <v>853</v>
      </c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5" t="s">
        <v>872</v>
      </c>
      <c r="B422" s="5" t="s">
        <v>768</v>
      </c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12" t="s">
        <v>873</v>
      </c>
      <c r="B423" s="12" t="s">
        <v>874</v>
      </c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5" t="s">
        <v>875</v>
      </c>
      <c r="B424" s="5" t="s">
        <v>876</v>
      </c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12" t="s">
        <v>877</v>
      </c>
      <c r="B425" s="12" t="s">
        <v>876</v>
      </c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5" t="s">
        <v>878</v>
      </c>
      <c r="B426" s="5" t="s">
        <v>829</v>
      </c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12" t="s">
        <v>879</v>
      </c>
      <c r="B427" s="12" t="s">
        <v>667</v>
      </c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5" t="s">
        <v>880</v>
      </c>
      <c r="B428" s="5" t="s">
        <v>881</v>
      </c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12" t="s">
        <v>882</v>
      </c>
      <c r="B429" s="12" t="s">
        <v>883</v>
      </c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5" t="s">
        <v>884</v>
      </c>
      <c r="B430" s="5" t="s">
        <v>768</v>
      </c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12" t="s">
        <v>885</v>
      </c>
      <c r="B431" s="12" t="s">
        <v>886</v>
      </c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5" t="s">
        <v>887</v>
      </c>
      <c r="B432" s="5" t="s">
        <v>888</v>
      </c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12" t="s">
        <v>889</v>
      </c>
      <c r="B433" s="12" t="s">
        <v>768</v>
      </c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5" t="s">
        <v>890</v>
      </c>
      <c r="B434" s="5" t="s">
        <v>891</v>
      </c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12" t="s">
        <v>892</v>
      </c>
      <c r="B435" s="12" t="s">
        <v>893</v>
      </c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5" t="s">
        <v>894</v>
      </c>
      <c r="B436" s="5" t="s">
        <v>718</v>
      </c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12" t="s">
        <v>895</v>
      </c>
      <c r="B437" s="12" t="s">
        <v>896</v>
      </c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5" t="s">
        <v>897</v>
      </c>
      <c r="B438" s="5" t="s">
        <v>896</v>
      </c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12" t="s">
        <v>898</v>
      </c>
      <c r="B439" s="12" t="s">
        <v>829</v>
      </c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5" t="s">
        <v>899</v>
      </c>
      <c r="B440" s="5" t="s">
        <v>899</v>
      </c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12" t="s">
        <v>900</v>
      </c>
      <c r="B441" s="12" t="s">
        <v>841</v>
      </c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5" t="s">
        <v>901</v>
      </c>
      <c r="B442" s="5" t="s">
        <v>746</v>
      </c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12" t="s">
        <v>902</v>
      </c>
      <c r="B443" s="12" t="s">
        <v>903</v>
      </c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5" t="s">
        <v>904</v>
      </c>
      <c r="B444" s="5" t="s">
        <v>905</v>
      </c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12" t="s">
        <v>906</v>
      </c>
      <c r="B445" s="12" t="s">
        <v>675</v>
      </c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5" t="s">
        <v>907</v>
      </c>
      <c r="B446" s="5" t="s">
        <v>805</v>
      </c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12" t="s">
        <v>908</v>
      </c>
      <c r="B447" s="12" t="s">
        <v>909</v>
      </c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5" t="s">
        <v>910</v>
      </c>
      <c r="B448" s="5" t="s">
        <v>661</v>
      </c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12" t="s">
        <v>911</v>
      </c>
      <c r="B449" s="12" t="s">
        <v>912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5" t="s">
        <v>913</v>
      </c>
      <c r="B450" s="5" t="s">
        <v>913</v>
      </c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12" t="s">
        <v>914</v>
      </c>
      <c r="B451" s="12" t="s">
        <v>915</v>
      </c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5" t="s">
        <v>916</v>
      </c>
      <c r="B452" s="5" t="s">
        <v>917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12" t="s">
        <v>918</v>
      </c>
      <c r="B453" s="12" t="s">
        <v>919</v>
      </c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5" t="s">
        <v>920</v>
      </c>
      <c r="B454" s="5" t="s">
        <v>921</v>
      </c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12" t="s">
        <v>922</v>
      </c>
      <c r="B455" s="12" t="s">
        <v>923</v>
      </c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5" t="s">
        <v>924</v>
      </c>
      <c r="B456" s="5" t="s">
        <v>924</v>
      </c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12" t="s">
        <v>925</v>
      </c>
      <c r="B457" s="12" t="s">
        <v>925</v>
      </c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5" t="s">
        <v>926</v>
      </c>
      <c r="B458" s="5" t="s">
        <v>917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12" t="s">
        <v>927</v>
      </c>
      <c r="B459" s="12" t="s">
        <v>928</v>
      </c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5" t="s">
        <v>929</v>
      </c>
      <c r="B460" s="5" t="s">
        <v>930</v>
      </c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12" t="s">
        <v>931</v>
      </c>
      <c r="B461" s="12" t="s">
        <v>932</v>
      </c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5" t="s">
        <v>933</v>
      </c>
      <c r="B462" s="5" t="s">
        <v>932</v>
      </c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12" t="s">
        <v>934</v>
      </c>
      <c r="B463" s="12" t="s">
        <v>935</v>
      </c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5" t="s">
        <v>936</v>
      </c>
      <c r="B464" s="5" t="s">
        <v>935</v>
      </c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12" t="s">
        <v>937</v>
      </c>
      <c r="B465" s="12" t="s">
        <v>938</v>
      </c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5" t="s">
        <v>939</v>
      </c>
      <c r="B466" s="5" t="s">
        <v>940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12" t="s">
        <v>941</v>
      </c>
      <c r="B467" s="12" t="s">
        <v>940</v>
      </c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5" t="s">
        <v>942</v>
      </c>
      <c r="B468" s="5" t="s">
        <v>938</v>
      </c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12" t="s">
        <v>943</v>
      </c>
      <c r="B469" s="12" t="s">
        <v>943</v>
      </c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5" t="s">
        <v>944</v>
      </c>
      <c r="B470" s="5" t="s">
        <v>945</v>
      </c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12" t="s">
        <v>946</v>
      </c>
      <c r="B471" s="12" t="s">
        <v>947</v>
      </c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5" t="s">
        <v>948</v>
      </c>
      <c r="B472" s="5" t="s">
        <v>947</v>
      </c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12" t="s">
        <v>949</v>
      </c>
      <c r="B473" s="12" t="s">
        <v>909</v>
      </c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5" t="s">
        <v>950</v>
      </c>
      <c r="B474" s="5" t="s">
        <v>950</v>
      </c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12" t="s">
        <v>951</v>
      </c>
      <c r="B475" s="12" t="s">
        <v>489</v>
      </c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5" t="s">
        <v>952</v>
      </c>
      <c r="B476" s="5" t="s">
        <v>953</v>
      </c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12" t="s">
        <v>954</v>
      </c>
      <c r="B477" s="12" t="s">
        <v>954</v>
      </c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5" t="s">
        <v>955</v>
      </c>
      <c r="B478" s="5" t="s">
        <v>773</v>
      </c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12" t="s">
        <v>956</v>
      </c>
      <c r="B479" s="12" t="s">
        <v>784</v>
      </c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5" t="s">
        <v>957</v>
      </c>
      <c r="B480" s="5" t="s">
        <v>958</v>
      </c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12" t="s">
        <v>959</v>
      </c>
      <c r="B481" s="12" t="s">
        <v>960</v>
      </c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5" t="s">
        <v>961</v>
      </c>
      <c r="B482" s="5" t="s">
        <v>960</v>
      </c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12" t="s">
        <v>962</v>
      </c>
      <c r="B483" s="12" t="s">
        <v>963</v>
      </c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5" t="s">
        <v>964</v>
      </c>
      <c r="B484" s="5" t="s">
        <v>963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12" t="s">
        <v>965</v>
      </c>
      <c r="B485" s="12" t="s">
        <v>965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5" t="s">
        <v>966</v>
      </c>
      <c r="B486" s="5" t="s">
        <v>863</v>
      </c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12" t="s">
        <v>967</v>
      </c>
      <c r="B487" s="12" t="s">
        <v>968</v>
      </c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5" t="s">
        <v>969</v>
      </c>
      <c r="B488" s="5" t="s">
        <v>968</v>
      </c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12" t="s">
        <v>970</v>
      </c>
      <c r="B489" s="12" t="s">
        <v>968</v>
      </c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5" t="s">
        <v>971</v>
      </c>
      <c r="B490" s="5" t="s">
        <v>972</v>
      </c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12" t="s">
        <v>973</v>
      </c>
      <c r="B491" s="12" t="s">
        <v>974</v>
      </c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5" t="s">
        <v>975</v>
      </c>
      <c r="B492" s="5" t="s">
        <v>976</v>
      </c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12" t="s">
        <v>977</v>
      </c>
      <c r="B493" s="12" t="s">
        <v>972</v>
      </c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5" t="s">
        <v>978</v>
      </c>
      <c r="B494" s="5" t="s">
        <v>979</v>
      </c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12" t="s">
        <v>980</v>
      </c>
      <c r="B495" s="12" t="s">
        <v>981</v>
      </c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5" t="s">
        <v>982</v>
      </c>
      <c r="B496" s="5" t="s">
        <v>981</v>
      </c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12" t="s">
        <v>983</v>
      </c>
      <c r="B497" s="12" t="s">
        <v>984</v>
      </c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5" t="s">
        <v>985</v>
      </c>
      <c r="B498" s="5" t="s">
        <v>985</v>
      </c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12" t="s">
        <v>986</v>
      </c>
      <c r="B499" s="12" t="s">
        <v>986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5" t="s">
        <v>987</v>
      </c>
      <c r="B500" s="5" t="s">
        <v>987</v>
      </c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12" t="s">
        <v>988</v>
      </c>
      <c r="B501" s="12" t="s">
        <v>988</v>
      </c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5" t="s">
        <v>989</v>
      </c>
      <c r="B502" s="5" t="s">
        <v>989</v>
      </c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12" t="s">
        <v>990</v>
      </c>
      <c r="B503" s="12" t="s">
        <v>991</v>
      </c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5" t="s">
        <v>992</v>
      </c>
      <c r="B504" s="5" t="s">
        <v>992</v>
      </c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12" t="s">
        <v>993</v>
      </c>
      <c r="B505" s="12" t="s">
        <v>993</v>
      </c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5" t="s">
        <v>994</v>
      </c>
      <c r="B506" s="5" t="s">
        <v>994</v>
      </c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12" t="s">
        <v>995</v>
      </c>
      <c r="B507" s="12" t="s">
        <v>487</v>
      </c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5" t="s">
        <v>996</v>
      </c>
      <c r="B508" s="5" t="s">
        <v>592</v>
      </c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12" t="s">
        <v>997</v>
      </c>
      <c r="B509" s="12" t="s">
        <v>997</v>
      </c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5" t="s">
        <v>998</v>
      </c>
      <c r="B510" s="5" t="s">
        <v>999</v>
      </c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12" t="s">
        <v>1000</v>
      </c>
      <c r="B511" s="12" t="s">
        <v>1000</v>
      </c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5" t="s">
        <v>1001</v>
      </c>
      <c r="B512" s="5" t="s">
        <v>1001</v>
      </c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12" t="s">
        <v>1002</v>
      </c>
      <c r="B513" s="12" t="s">
        <v>1002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5" t="s">
        <v>1003</v>
      </c>
      <c r="B514" s="5" t="s">
        <v>1004</v>
      </c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12" t="s">
        <v>1005</v>
      </c>
      <c r="B515" s="12" t="s">
        <v>1006</v>
      </c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5" t="s">
        <v>1007</v>
      </c>
      <c r="B516" s="5" t="s">
        <v>1008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12" t="s">
        <v>1009</v>
      </c>
      <c r="B517" s="12" t="s">
        <v>1009</v>
      </c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5" t="s">
        <v>1010</v>
      </c>
      <c r="B518" s="5" t="s">
        <v>1011</v>
      </c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12" t="s">
        <v>1012</v>
      </c>
      <c r="B519" s="12" t="s">
        <v>1011</v>
      </c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5" t="s">
        <v>1013</v>
      </c>
      <c r="B520" s="5" t="s">
        <v>1014</v>
      </c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12" t="s">
        <v>1015</v>
      </c>
      <c r="B521" s="12" t="s">
        <v>938</v>
      </c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5" t="s">
        <v>1016</v>
      </c>
      <c r="B522" s="5" t="s">
        <v>847</v>
      </c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12" t="s">
        <v>1017</v>
      </c>
      <c r="B523" s="12" t="s">
        <v>608</v>
      </c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5" t="s">
        <v>1018</v>
      </c>
      <c r="B524" s="5" t="s">
        <v>923</v>
      </c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12" t="s">
        <v>1019</v>
      </c>
      <c r="B525" s="12" t="s">
        <v>716</v>
      </c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5" t="s">
        <v>1020</v>
      </c>
      <c r="B526" s="5" t="s">
        <v>1021</v>
      </c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12" t="s">
        <v>1022</v>
      </c>
      <c r="B527" s="12" t="s">
        <v>1023</v>
      </c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5" t="s">
        <v>1024</v>
      </c>
      <c r="B528" s="5" t="s">
        <v>1025</v>
      </c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12" t="s">
        <v>1026</v>
      </c>
      <c r="B529" s="12" t="s">
        <v>945</v>
      </c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5" t="s">
        <v>1027</v>
      </c>
      <c r="B530" s="5" t="s">
        <v>953</v>
      </c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12" t="s">
        <v>1028</v>
      </c>
      <c r="B531" s="12" t="s">
        <v>836</v>
      </c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5" t="s">
        <v>1029</v>
      </c>
      <c r="B532" s="5" t="s">
        <v>798</v>
      </c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12" t="s">
        <v>1030</v>
      </c>
      <c r="B533" s="12" t="s">
        <v>675</v>
      </c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5" t="s">
        <v>1031</v>
      </c>
      <c r="B534" s="5" t="s">
        <v>766</v>
      </c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12" t="s">
        <v>1032</v>
      </c>
      <c r="B535" s="12" t="s">
        <v>599</v>
      </c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5" t="s">
        <v>1033</v>
      </c>
      <c r="B536" s="5" t="s">
        <v>1034</v>
      </c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37"/>
      <c r="B537" s="37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37"/>
      <c r="B538" s="37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37"/>
      <c r="B539" s="37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37"/>
      <c r="B540" s="37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37"/>
      <c r="B541" s="37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37"/>
      <c r="B542" s="37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37"/>
      <c r="B543" s="37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37"/>
      <c r="B544" s="37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37"/>
      <c r="B545" s="37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37"/>
      <c r="B546" s="37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37"/>
      <c r="B547" s="37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37"/>
      <c r="B548" s="37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37"/>
      <c r="B549" s="37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37"/>
      <c r="B550" s="37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37"/>
      <c r="B551" s="37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37"/>
      <c r="B552" s="37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37"/>
      <c r="B553" s="37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37"/>
      <c r="B554" s="37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37"/>
      <c r="B555" s="37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37"/>
      <c r="B556" s="37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37"/>
      <c r="B557" s="37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37"/>
      <c r="B558" s="37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37"/>
      <c r="B559" s="37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37"/>
      <c r="B560" s="37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37"/>
      <c r="B561" s="37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37"/>
      <c r="B562" s="37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37"/>
      <c r="B563" s="37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37"/>
      <c r="B564" s="37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37"/>
      <c r="B565" s="37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37"/>
      <c r="B566" s="37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37"/>
      <c r="B567" s="37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37"/>
      <c r="B568" s="37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37"/>
      <c r="B569" s="37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37"/>
      <c r="B570" s="37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37"/>
      <c r="B571" s="37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37"/>
      <c r="B572" s="37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37"/>
      <c r="B573" s="37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37"/>
      <c r="B574" s="37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37"/>
      <c r="B575" s="37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37"/>
      <c r="B576" s="37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37"/>
      <c r="B577" s="37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37"/>
      <c r="B578" s="37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37"/>
      <c r="B579" s="37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37"/>
      <c r="B580" s="37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37"/>
      <c r="B581" s="37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37"/>
      <c r="B582" s="37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37"/>
      <c r="B583" s="37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37"/>
      <c r="B584" s="37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37"/>
      <c r="B585" s="37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37"/>
      <c r="B586" s="37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37"/>
      <c r="B587" s="37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37"/>
      <c r="B588" s="37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37"/>
      <c r="B589" s="37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37"/>
      <c r="B590" s="37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37"/>
      <c r="B591" s="37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37"/>
      <c r="B592" s="37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37"/>
      <c r="B593" s="37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37"/>
      <c r="B594" s="37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37"/>
      <c r="B595" s="37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37"/>
      <c r="B596" s="37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37"/>
      <c r="B597" s="37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37"/>
      <c r="B598" s="37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37"/>
      <c r="B599" s="37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37"/>
      <c r="B600" s="37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37"/>
      <c r="B601" s="37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37"/>
      <c r="B602" s="37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37"/>
      <c r="B603" s="37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37"/>
      <c r="B604" s="37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37"/>
      <c r="B605" s="37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37"/>
      <c r="B606" s="37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37"/>
      <c r="B607" s="37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37"/>
      <c r="B608" s="37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37"/>
      <c r="B609" s="37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37"/>
      <c r="B610" s="37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37"/>
      <c r="B611" s="37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37"/>
      <c r="B612" s="37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37"/>
      <c r="B613" s="37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37"/>
      <c r="B614" s="37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37"/>
      <c r="B615" s="37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37"/>
      <c r="B616" s="37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37"/>
      <c r="B617" s="37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37"/>
      <c r="B618" s="37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37"/>
      <c r="B619" s="37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37"/>
      <c r="B620" s="37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37"/>
      <c r="B621" s="37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37"/>
      <c r="B622" s="37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37"/>
      <c r="B623" s="37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37"/>
      <c r="B624" s="37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37"/>
      <c r="B625" s="37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37"/>
      <c r="B626" s="37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37"/>
      <c r="B627" s="37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37"/>
      <c r="B628" s="37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37"/>
      <c r="B629" s="37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37"/>
      <c r="B630" s="37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37"/>
      <c r="B631" s="37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37"/>
      <c r="B632" s="37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37"/>
      <c r="B633" s="37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37"/>
      <c r="B634" s="37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37"/>
      <c r="B635" s="37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37"/>
      <c r="B636" s="37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37"/>
      <c r="B637" s="37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37"/>
      <c r="B638" s="37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37"/>
      <c r="B639" s="37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37"/>
      <c r="B640" s="37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37"/>
      <c r="B641" s="37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37"/>
      <c r="B642" s="37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37"/>
      <c r="B643" s="37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37"/>
      <c r="B644" s="37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37"/>
      <c r="B645" s="37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37"/>
      <c r="B646" s="37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37"/>
      <c r="B647" s="37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37"/>
      <c r="B648" s="37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37"/>
      <c r="B649" s="37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37"/>
      <c r="B650" s="37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37"/>
      <c r="B651" s="37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37"/>
      <c r="B652" s="37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37"/>
      <c r="B653" s="37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37"/>
      <c r="B654" s="37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37"/>
      <c r="B655" s="37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37"/>
      <c r="B656" s="37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37"/>
      <c r="B657" s="37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37"/>
      <c r="B658" s="37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37"/>
      <c r="B659" s="37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37"/>
      <c r="B660" s="37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37"/>
      <c r="B661" s="37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37"/>
      <c r="B662" s="37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37"/>
      <c r="B663" s="37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37"/>
      <c r="B664" s="37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37"/>
      <c r="B665" s="37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37"/>
      <c r="B666" s="37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37"/>
      <c r="B667" s="37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37"/>
      <c r="B668" s="37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37"/>
      <c r="B669" s="37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37"/>
      <c r="B670" s="37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37"/>
      <c r="B671" s="37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37"/>
      <c r="B672" s="37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37"/>
      <c r="B673" s="37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37"/>
      <c r="B674" s="37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37"/>
      <c r="B675" s="37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37"/>
      <c r="B676" s="37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37"/>
      <c r="B677" s="37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37"/>
      <c r="B678" s="37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37"/>
      <c r="B679" s="37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37"/>
      <c r="B680" s="37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37"/>
      <c r="B681" s="37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37"/>
      <c r="B682" s="37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37"/>
      <c r="B683" s="37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37"/>
      <c r="B684" s="37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37"/>
      <c r="B685" s="37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37"/>
      <c r="B686" s="37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37"/>
      <c r="B687" s="37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37"/>
      <c r="B688" s="37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37"/>
      <c r="B689" s="37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37"/>
      <c r="B690" s="37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37"/>
      <c r="B691" s="37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37"/>
      <c r="B692" s="37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37"/>
      <c r="B693" s="37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37"/>
      <c r="B694" s="37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37"/>
      <c r="B695" s="37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37"/>
      <c r="B696" s="37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37"/>
      <c r="B697" s="37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37"/>
      <c r="B698" s="37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37"/>
      <c r="B699" s="37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37"/>
      <c r="B700" s="37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37"/>
      <c r="B701" s="37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37"/>
      <c r="B702" s="37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37"/>
      <c r="B703" s="37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37"/>
      <c r="B704" s="37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37"/>
      <c r="B705" s="37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37"/>
      <c r="B706" s="37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37"/>
      <c r="B707" s="37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37"/>
      <c r="B708" s="37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37"/>
      <c r="B709" s="37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37"/>
      <c r="B710" s="37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37"/>
      <c r="B711" s="37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37"/>
      <c r="B712" s="37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37"/>
      <c r="B713" s="37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37"/>
      <c r="B714" s="37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37"/>
      <c r="B715" s="37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37"/>
      <c r="B716" s="37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37"/>
      <c r="B717" s="37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37"/>
      <c r="B718" s="37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37"/>
      <c r="B719" s="37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37"/>
      <c r="B720" s="37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37"/>
      <c r="B721" s="37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37"/>
      <c r="B722" s="37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37"/>
      <c r="B723" s="37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37"/>
      <c r="B724" s="37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37"/>
      <c r="B725" s="37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37"/>
      <c r="B726" s="37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37"/>
      <c r="B727" s="37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37"/>
      <c r="B728" s="37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37"/>
      <c r="B729" s="37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37"/>
      <c r="B730" s="37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37"/>
      <c r="B731" s="37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37"/>
      <c r="B732" s="37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37"/>
      <c r="B733" s="37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37"/>
      <c r="B734" s="37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37"/>
      <c r="B735" s="37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37"/>
      <c r="B736" s="37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3" t="s">
        <v>18</v>
      </c>
      <c r="B1" s="33" t="s">
        <v>19</v>
      </c>
      <c r="C1" s="33" t="s">
        <v>1035</v>
      </c>
      <c r="D1" s="44" t="str">
        <f>GPT('me gere um nome')</f>
        <v>#ERROR!</v>
      </c>
    </row>
    <row r="2" ht="15.75" customHeight="1">
      <c r="A2" s="33" t="s">
        <v>212</v>
      </c>
      <c r="B2" s="33" t="s">
        <v>1036</v>
      </c>
      <c r="C2" s="33">
        <v>60.0</v>
      </c>
    </row>
    <row r="3" ht="15.75" customHeight="1">
      <c r="A3" s="33" t="s">
        <v>263</v>
      </c>
      <c r="B3" s="33" t="s">
        <v>1037</v>
      </c>
      <c r="C3" s="33">
        <v>8.0</v>
      </c>
    </row>
    <row r="4" ht="15.75" customHeight="1">
      <c r="A4" s="33" t="s">
        <v>210</v>
      </c>
      <c r="B4" s="33" t="s">
        <v>1038</v>
      </c>
      <c r="C4" s="33">
        <v>69.0</v>
      </c>
    </row>
    <row r="5" ht="15.75" customHeight="1">
      <c r="A5" s="33" t="s">
        <v>294</v>
      </c>
      <c r="B5" s="33" t="s">
        <v>1039</v>
      </c>
      <c r="C5" s="33">
        <v>94.0</v>
      </c>
    </row>
    <row r="6" ht="15.75" customHeight="1">
      <c r="A6" s="33" t="s">
        <v>336</v>
      </c>
      <c r="B6" s="33" t="s">
        <v>1040</v>
      </c>
      <c r="C6" s="33">
        <v>109.0</v>
      </c>
    </row>
    <row r="7" ht="15.75" customHeight="1">
      <c r="A7" s="33" t="s">
        <v>241</v>
      </c>
      <c r="B7" s="33" t="s">
        <v>1038</v>
      </c>
      <c r="C7" s="33">
        <v>9.0</v>
      </c>
    </row>
    <row r="8" ht="15.75" customHeight="1">
      <c r="A8" s="33" t="s">
        <v>210</v>
      </c>
      <c r="B8" s="33" t="s">
        <v>1038</v>
      </c>
      <c r="C8" s="33">
        <v>69.0</v>
      </c>
    </row>
    <row r="9" ht="15.75" customHeight="1">
      <c r="A9" s="33" t="s">
        <v>215</v>
      </c>
      <c r="B9" s="33" t="s">
        <v>1037</v>
      </c>
      <c r="C9" s="33">
        <v>79.0</v>
      </c>
    </row>
    <row r="10" ht="15.75" customHeight="1">
      <c r="A10" s="33" t="s">
        <v>278</v>
      </c>
      <c r="B10" s="33" t="s">
        <v>1041</v>
      </c>
      <c r="C10" s="33">
        <v>48.0</v>
      </c>
    </row>
    <row r="11" ht="15.75" customHeight="1">
      <c r="A11" s="33" t="s">
        <v>221</v>
      </c>
      <c r="B11" s="33" t="s">
        <v>1042</v>
      </c>
      <c r="C11" s="33">
        <v>13.0</v>
      </c>
    </row>
    <row r="12" ht="15.75" customHeight="1">
      <c r="A12" s="33" t="s">
        <v>313</v>
      </c>
      <c r="B12" s="33" t="s">
        <v>1043</v>
      </c>
      <c r="C12" s="33">
        <v>48.0</v>
      </c>
    </row>
    <row r="13" ht="15.75" customHeight="1">
      <c r="A13" s="33" t="s">
        <v>328</v>
      </c>
      <c r="B13" s="33" t="s">
        <v>1044</v>
      </c>
      <c r="C13" s="33">
        <v>19.0</v>
      </c>
    </row>
    <row r="14" ht="15.75" customHeight="1">
      <c r="A14" s="33" t="s">
        <v>218</v>
      </c>
      <c r="B14" s="33" t="s">
        <v>1045</v>
      </c>
      <c r="C14" s="33">
        <v>13.0</v>
      </c>
    </row>
    <row r="15" ht="15.75" customHeight="1">
      <c r="A15" s="33" t="s">
        <v>310</v>
      </c>
      <c r="B15" s="33" t="s">
        <v>1038</v>
      </c>
      <c r="C15" s="33">
        <v>10.0</v>
      </c>
    </row>
    <row r="16" ht="15.75" customHeight="1">
      <c r="A16" s="33" t="s">
        <v>226</v>
      </c>
      <c r="B16" s="33" t="s">
        <v>1040</v>
      </c>
      <c r="C16" s="33">
        <v>23.0</v>
      </c>
    </row>
    <row r="17" ht="15.75" customHeight="1">
      <c r="A17" s="33" t="s">
        <v>251</v>
      </c>
      <c r="B17" s="33" t="s">
        <v>1036</v>
      </c>
      <c r="C17" s="33">
        <v>80.0</v>
      </c>
    </row>
    <row r="18" ht="15.75" customHeight="1">
      <c r="A18" s="33" t="s">
        <v>290</v>
      </c>
      <c r="B18" s="33" t="s">
        <v>1046</v>
      </c>
      <c r="C18" s="33">
        <v>59.0</v>
      </c>
    </row>
    <row r="19" ht="15.75" customHeight="1">
      <c r="A19" s="33" t="s">
        <v>277</v>
      </c>
      <c r="B19" s="33" t="s">
        <v>1038</v>
      </c>
      <c r="C19" s="33">
        <v>83.0</v>
      </c>
    </row>
    <row r="20" ht="15.75" customHeight="1">
      <c r="A20" s="33" t="s">
        <v>223</v>
      </c>
      <c r="B20" s="33" t="s">
        <v>1047</v>
      </c>
      <c r="C20" s="33">
        <v>41.0</v>
      </c>
    </row>
    <row r="21" ht="15.75" customHeight="1">
      <c r="A21" s="33" t="s">
        <v>284</v>
      </c>
      <c r="B21" s="33" t="s">
        <v>1048</v>
      </c>
      <c r="C21" s="33">
        <v>50.0</v>
      </c>
    </row>
    <row r="22" ht="15.75" customHeight="1">
      <c r="A22" s="33" t="s">
        <v>217</v>
      </c>
      <c r="B22" s="33" t="s">
        <v>1042</v>
      </c>
      <c r="C22" s="33">
        <v>78.0</v>
      </c>
    </row>
    <row r="23" ht="15.75" customHeight="1">
      <c r="A23" s="33" t="s">
        <v>252</v>
      </c>
      <c r="B23" s="33" t="s">
        <v>1049</v>
      </c>
      <c r="C23" s="33">
        <v>29.0</v>
      </c>
    </row>
    <row r="24" ht="15.75" customHeight="1">
      <c r="A24" s="33" t="s">
        <v>258</v>
      </c>
      <c r="B24" s="33" t="s">
        <v>1049</v>
      </c>
      <c r="C24" s="33">
        <v>72.0</v>
      </c>
    </row>
    <row r="25" ht="15.75" customHeight="1">
      <c r="A25" s="33" t="s">
        <v>243</v>
      </c>
      <c r="B25" s="33" t="s">
        <v>1049</v>
      </c>
      <c r="C25" s="33">
        <v>11.0</v>
      </c>
    </row>
    <row r="26" ht="15.75" customHeight="1">
      <c r="A26" s="33" t="s">
        <v>363</v>
      </c>
      <c r="B26" s="33" t="s">
        <v>1050</v>
      </c>
      <c r="C26" s="33">
        <v>18.0</v>
      </c>
    </row>
    <row r="27" ht="15.75" customHeight="1">
      <c r="A27" s="33" t="s">
        <v>240</v>
      </c>
      <c r="B27" s="33" t="s">
        <v>1045</v>
      </c>
      <c r="C27" s="33">
        <v>32.0</v>
      </c>
    </row>
    <row r="28" ht="15.75" customHeight="1">
      <c r="A28" s="33" t="s">
        <v>214</v>
      </c>
      <c r="B28" s="33" t="s">
        <v>1042</v>
      </c>
      <c r="C28" s="33">
        <v>24.0</v>
      </c>
    </row>
    <row r="29" ht="15.75" customHeight="1">
      <c r="A29" s="33" t="s">
        <v>309</v>
      </c>
      <c r="B29" s="33" t="s">
        <v>1051</v>
      </c>
      <c r="C29" s="33">
        <v>8.0</v>
      </c>
    </row>
    <row r="30" ht="15.75" customHeight="1">
      <c r="A30" s="33" t="s">
        <v>280</v>
      </c>
      <c r="B30" s="33" t="s">
        <v>1050</v>
      </c>
      <c r="C30" s="33">
        <v>25.0</v>
      </c>
    </row>
    <row r="31" ht="15.75" customHeight="1">
      <c r="A31" s="33" t="s">
        <v>297</v>
      </c>
      <c r="B31" s="33" t="s">
        <v>1042</v>
      </c>
      <c r="C31" s="33">
        <v>40.0</v>
      </c>
    </row>
    <row r="32" ht="15.75" customHeight="1">
      <c r="A32" s="33" t="s">
        <v>232</v>
      </c>
      <c r="B32" s="33" t="s">
        <v>1052</v>
      </c>
      <c r="C32" s="33">
        <v>24.0</v>
      </c>
    </row>
    <row r="33" ht="15.75" customHeight="1">
      <c r="A33" s="33" t="s">
        <v>323</v>
      </c>
      <c r="B33" s="33" t="s">
        <v>1038</v>
      </c>
      <c r="C33" s="33">
        <v>11.0</v>
      </c>
    </row>
    <row r="34" ht="15.75" customHeight="1">
      <c r="A34" s="33" t="s">
        <v>220</v>
      </c>
      <c r="B34" s="33" t="s">
        <v>1042</v>
      </c>
      <c r="C34" s="33">
        <v>54.0</v>
      </c>
    </row>
    <row r="35" ht="15.75" customHeight="1">
      <c r="A35" s="33" t="s">
        <v>237</v>
      </c>
      <c r="B35" s="33" t="s">
        <v>1042</v>
      </c>
      <c r="C35" s="33">
        <v>213.0</v>
      </c>
    </row>
    <row r="36" ht="15.75" customHeight="1">
      <c r="A36" s="33" t="s">
        <v>275</v>
      </c>
      <c r="B36" s="33" t="s">
        <v>1043</v>
      </c>
      <c r="C36" s="33">
        <v>117.0</v>
      </c>
    </row>
    <row r="37" ht="15.75" customHeight="1">
      <c r="A37" s="33" t="s">
        <v>279</v>
      </c>
      <c r="B37" s="33" t="s">
        <v>1036</v>
      </c>
      <c r="C37" s="33">
        <v>121.0</v>
      </c>
    </row>
    <row r="38" ht="15.75" customHeight="1">
      <c r="A38" s="33" t="s">
        <v>327</v>
      </c>
      <c r="B38" s="33" t="s">
        <v>1040</v>
      </c>
      <c r="C38" s="33">
        <v>84.0</v>
      </c>
    </row>
    <row r="39" ht="15.75" customHeight="1">
      <c r="A39" s="33" t="s">
        <v>345</v>
      </c>
      <c r="B39" s="33" t="s">
        <v>1049</v>
      </c>
      <c r="C39" s="33">
        <v>64.0</v>
      </c>
    </row>
    <row r="40" ht="15.75" customHeight="1">
      <c r="A40" s="33" t="s">
        <v>208</v>
      </c>
      <c r="B40" s="33" t="s">
        <v>1053</v>
      </c>
      <c r="C40" s="33">
        <v>64.0</v>
      </c>
    </row>
    <row r="41" ht="15.75" customHeight="1">
      <c r="A41" s="33" t="s">
        <v>260</v>
      </c>
      <c r="B41" s="33" t="s">
        <v>1036</v>
      </c>
      <c r="C41" s="33">
        <v>78.0</v>
      </c>
    </row>
    <row r="42" ht="15.75" customHeight="1">
      <c r="A42" s="33" t="s">
        <v>257</v>
      </c>
      <c r="B42" s="33" t="s">
        <v>1040</v>
      </c>
      <c r="C42" s="33">
        <v>121.0</v>
      </c>
    </row>
    <row r="43" ht="15.75" customHeight="1">
      <c r="A43" s="33" t="s">
        <v>233</v>
      </c>
      <c r="B43" s="33" t="s">
        <v>1040</v>
      </c>
      <c r="C43" s="33">
        <v>8.0</v>
      </c>
    </row>
    <row r="44" ht="15.75" customHeight="1">
      <c r="A44" s="33" t="s">
        <v>259</v>
      </c>
      <c r="B44" s="33" t="s">
        <v>1054</v>
      </c>
      <c r="C44" s="33">
        <v>67.0</v>
      </c>
    </row>
    <row r="45" ht="15.75" customHeight="1">
      <c r="A45" s="33" t="s">
        <v>272</v>
      </c>
      <c r="B45" s="33" t="s">
        <v>1049</v>
      </c>
      <c r="C45" s="33">
        <v>57.0</v>
      </c>
    </row>
    <row r="46" ht="15.75" customHeight="1">
      <c r="A46" s="33" t="s">
        <v>244</v>
      </c>
      <c r="B46" s="33" t="s">
        <v>1049</v>
      </c>
      <c r="C46" s="33">
        <v>16.0</v>
      </c>
    </row>
    <row r="47" ht="15.75" customHeight="1">
      <c r="A47" s="33" t="s">
        <v>300</v>
      </c>
      <c r="B47" s="33" t="s">
        <v>1042</v>
      </c>
      <c r="C47" s="33">
        <v>11.0</v>
      </c>
    </row>
    <row r="48" ht="15.75" customHeight="1">
      <c r="A48" s="33" t="s">
        <v>346</v>
      </c>
      <c r="B48" s="33" t="s">
        <v>1055</v>
      </c>
      <c r="C48" s="33">
        <v>47.0</v>
      </c>
    </row>
    <row r="49" ht="15.75" customHeight="1">
      <c r="A49" s="33" t="s">
        <v>356</v>
      </c>
      <c r="B49" s="33" t="s">
        <v>1052</v>
      </c>
      <c r="C49" s="33">
        <v>55.0</v>
      </c>
    </row>
    <row r="50" ht="15.75" customHeight="1">
      <c r="A50" s="33" t="s">
        <v>254</v>
      </c>
      <c r="B50" s="33" t="s">
        <v>1040</v>
      </c>
      <c r="C50" s="33">
        <v>69.0</v>
      </c>
    </row>
    <row r="51" ht="15.75" customHeight="1">
      <c r="A51" s="33" t="s">
        <v>312</v>
      </c>
      <c r="B51" s="33" t="s">
        <v>1040</v>
      </c>
      <c r="C51" s="33">
        <v>64.0</v>
      </c>
    </row>
    <row r="52" ht="15.75" customHeight="1">
      <c r="A52" s="33" t="s">
        <v>322</v>
      </c>
      <c r="B52" s="33" t="s">
        <v>1040</v>
      </c>
      <c r="C52" s="33">
        <v>17.0</v>
      </c>
    </row>
    <row r="53" ht="15.75" customHeight="1">
      <c r="A53" s="33" t="s">
        <v>276</v>
      </c>
      <c r="B53" s="33" t="s">
        <v>1052</v>
      </c>
      <c r="C53" s="33">
        <v>59.0</v>
      </c>
    </row>
    <row r="54" ht="15.75" customHeight="1">
      <c r="A54" s="33" t="s">
        <v>350</v>
      </c>
      <c r="B54" s="33" t="s">
        <v>1056</v>
      </c>
      <c r="C54" s="33">
        <v>46.0</v>
      </c>
    </row>
    <row r="55" ht="15.75" customHeight="1">
      <c r="A55" s="33" t="s">
        <v>130</v>
      </c>
      <c r="B55" s="33" t="s">
        <v>1040</v>
      </c>
      <c r="C55" s="33">
        <v>9.0</v>
      </c>
    </row>
    <row r="56" ht="15.75" customHeight="1">
      <c r="A56" s="33" t="s">
        <v>326</v>
      </c>
      <c r="B56" s="33" t="s">
        <v>1057</v>
      </c>
      <c r="C56" s="33">
        <v>23.0</v>
      </c>
    </row>
    <row r="57" ht="15.75" customHeight="1">
      <c r="A57" s="33" t="s">
        <v>219</v>
      </c>
      <c r="B57" s="33" t="s">
        <v>1046</v>
      </c>
      <c r="C57" s="33">
        <v>50.0</v>
      </c>
    </row>
    <row r="58" ht="15.75" customHeight="1">
      <c r="A58" s="33" t="s">
        <v>380</v>
      </c>
      <c r="B58" s="33" t="s">
        <v>1040</v>
      </c>
      <c r="C58" s="33">
        <v>23.0</v>
      </c>
    </row>
    <row r="59" ht="15.75" customHeight="1">
      <c r="A59" s="33" t="s">
        <v>381</v>
      </c>
      <c r="B59" s="33" t="s">
        <v>1040</v>
      </c>
      <c r="C59" s="33">
        <v>53.0</v>
      </c>
    </row>
    <row r="60" ht="15.75" customHeight="1">
      <c r="A60" s="33" t="s">
        <v>319</v>
      </c>
      <c r="B60" s="33" t="s">
        <v>1040</v>
      </c>
      <c r="C60" s="33">
        <v>8.0</v>
      </c>
    </row>
    <row r="61" ht="15.75" customHeight="1">
      <c r="A61" s="33" t="s">
        <v>340</v>
      </c>
      <c r="B61" s="33" t="s">
        <v>1058</v>
      </c>
      <c r="C61" s="33">
        <v>83.0</v>
      </c>
    </row>
    <row r="62" ht="15.75" customHeight="1">
      <c r="A62" s="33" t="s">
        <v>222</v>
      </c>
      <c r="B62" s="33" t="s">
        <v>1053</v>
      </c>
      <c r="C62" s="33">
        <v>64.0</v>
      </c>
    </row>
    <row r="63" ht="15.75" customHeight="1">
      <c r="A63" s="33" t="s">
        <v>355</v>
      </c>
      <c r="B63" s="33" t="s">
        <v>1047</v>
      </c>
      <c r="C63" s="33">
        <v>9.0</v>
      </c>
    </row>
    <row r="64" ht="15.75" customHeight="1">
      <c r="A64" s="33" t="s">
        <v>331</v>
      </c>
      <c r="B64" s="33" t="s">
        <v>1043</v>
      </c>
      <c r="C64" s="33">
        <v>42.0</v>
      </c>
    </row>
    <row r="65" ht="15.75" customHeight="1">
      <c r="A65" s="33" t="s">
        <v>236</v>
      </c>
      <c r="B65" s="33" t="s">
        <v>1059</v>
      </c>
      <c r="C65" s="33">
        <v>95.0</v>
      </c>
    </row>
    <row r="66" ht="15.75" customHeight="1">
      <c r="A66" s="33" t="s">
        <v>349</v>
      </c>
      <c r="B66" s="33" t="s">
        <v>1048</v>
      </c>
      <c r="C66" s="33">
        <v>17.0</v>
      </c>
    </row>
    <row r="67" ht="15.75" customHeight="1">
      <c r="A67" s="33" t="s">
        <v>268</v>
      </c>
      <c r="B67" s="33" t="s">
        <v>1047</v>
      </c>
      <c r="C67" s="33">
        <v>113.0</v>
      </c>
    </row>
    <row r="68" ht="15.75" customHeight="1">
      <c r="A68" s="33" t="s">
        <v>311</v>
      </c>
      <c r="B68" s="33" t="s">
        <v>1060</v>
      </c>
      <c r="C68" s="33">
        <v>58.0</v>
      </c>
    </row>
    <row r="69" ht="15.75" customHeight="1">
      <c r="A69" s="33" t="s">
        <v>224</v>
      </c>
      <c r="B69" s="33" t="s">
        <v>1061</v>
      </c>
      <c r="C69" s="33">
        <v>53.0</v>
      </c>
    </row>
    <row r="70" ht="15.75" customHeight="1">
      <c r="A70" s="33" t="s">
        <v>253</v>
      </c>
      <c r="B70" s="33" t="s">
        <v>1053</v>
      </c>
      <c r="C70" s="33">
        <v>54.0</v>
      </c>
    </row>
    <row r="71" ht="15.75" customHeight="1">
      <c r="A71" s="33" t="s">
        <v>211</v>
      </c>
      <c r="B71" s="33" t="s">
        <v>1042</v>
      </c>
      <c r="C71" s="33">
        <v>82.0</v>
      </c>
    </row>
    <row r="72" ht="15.75" customHeight="1">
      <c r="A72" s="33" t="s">
        <v>287</v>
      </c>
      <c r="B72" s="33" t="s">
        <v>1062</v>
      </c>
      <c r="C72" s="33">
        <v>45.0</v>
      </c>
    </row>
    <row r="73" ht="15.75" customHeight="1">
      <c r="A73" s="33" t="s">
        <v>314</v>
      </c>
      <c r="B73" s="33" t="s">
        <v>1063</v>
      </c>
      <c r="C73" s="33">
        <v>54.0</v>
      </c>
    </row>
    <row r="74" ht="15.75" customHeight="1">
      <c r="A74" s="33" t="s">
        <v>209</v>
      </c>
      <c r="B74" s="33" t="s">
        <v>1043</v>
      </c>
      <c r="C74" s="33">
        <v>37.0</v>
      </c>
    </row>
    <row r="75" ht="15.75" customHeight="1">
      <c r="A75" s="33" t="s">
        <v>225</v>
      </c>
      <c r="B75" s="33" t="s">
        <v>1053</v>
      </c>
      <c r="C75" s="33">
        <v>95.0</v>
      </c>
    </row>
    <row r="76" ht="15.75" customHeight="1">
      <c r="A76" s="33" t="s">
        <v>283</v>
      </c>
      <c r="B76" s="33" t="s">
        <v>1053</v>
      </c>
      <c r="C76" s="33">
        <v>49.0</v>
      </c>
    </row>
    <row r="77" ht="15.75" customHeight="1">
      <c r="A77" s="33" t="s">
        <v>293</v>
      </c>
      <c r="B77" s="33" t="s">
        <v>1053</v>
      </c>
      <c r="C77" s="33">
        <v>50.0</v>
      </c>
    </row>
    <row r="78" ht="15.75" customHeight="1">
      <c r="A78" s="33" t="s">
        <v>227</v>
      </c>
      <c r="B78" s="33" t="s">
        <v>1064</v>
      </c>
      <c r="C78" s="33">
        <v>20.0</v>
      </c>
    </row>
    <row r="79" ht="15.75" customHeight="1">
      <c r="A79" s="33" t="s">
        <v>213</v>
      </c>
      <c r="B79" s="33" t="s">
        <v>1065</v>
      </c>
      <c r="C79" s="33">
        <v>35.0</v>
      </c>
    </row>
    <row r="80" ht="15.75" customHeight="1">
      <c r="A80" s="33" t="s">
        <v>216</v>
      </c>
      <c r="B80" s="33" t="s">
        <v>1045</v>
      </c>
      <c r="C80" s="33">
        <v>64.0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