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\Documents\"/>
    </mc:Choice>
  </mc:AlternateContent>
  <bookViews>
    <workbookView xWindow="0" yWindow="0" windowWidth="20490" windowHeight="7530" tabRatio="784" activeTab="1" xr2:uid="{24146779-0081-4698-B5F8-FC907E55FBF0}"/>
  </bookViews>
  <sheets>
    <sheet name="Santa Marta" sheetId="1" r:id="rId1"/>
    <sheet name="Cajuru" sheetId="3" r:id="rId2"/>
    <sheet name="Casa Bairro Antigo" sheetId="5" r:id="rId3"/>
    <sheet name="Casa 1 Dorm" sheetId="6" r:id="rId4"/>
    <sheet name="Kitnet 2 Dorm" sheetId="7" r:id="rId5"/>
    <sheet name="Fluxo de Caixa" sheetId="4" r:id="rId6"/>
    <sheet name="Grafico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H8" i="7" l="1"/>
  <c r="J8" i="7" s="1"/>
  <c r="H8" i="6"/>
  <c r="L8" i="6" s="1"/>
  <c r="H8" i="5"/>
  <c r="I8" i="3"/>
  <c r="H8" i="1"/>
  <c r="L8" i="1" s="1"/>
  <c r="F4" i="4"/>
  <c r="L8" i="7"/>
  <c r="E23" i="7"/>
  <c r="E21" i="7"/>
  <c r="F23" i="7" s="1"/>
  <c r="B21" i="7"/>
  <c r="C23" i="7" s="1"/>
  <c r="E18" i="7"/>
  <c r="E16" i="7"/>
  <c r="F18" i="7" s="1"/>
  <c r="B16" i="7"/>
  <c r="C18" i="7" s="1"/>
  <c r="E23" i="6"/>
  <c r="C23" i="6"/>
  <c r="B23" i="6"/>
  <c r="E21" i="6"/>
  <c r="F23" i="6" s="1"/>
  <c r="B21" i="6"/>
  <c r="E18" i="6"/>
  <c r="E16" i="6"/>
  <c r="F18" i="6" s="1"/>
  <c r="B16" i="6"/>
  <c r="C18" i="6" s="1"/>
  <c r="L13" i="5"/>
  <c r="J13" i="5"/>
  <c r="L8" i="5"/>
  <c r="J8" i="5"/>
  <c r="E23" i="5"/>
  <c r="C23" i="5"/>
  <c r="B23" i="5"/>
  <c r="E21" i="5"/>
  <c r="F23" i="5" s="1"/>
  <c r="B21" i="5"/>
  <c r="E18" i="5"/>
  <c r="E16" i="5"/>
  <c r="F18" i="5" s="1"/>
  <c r="B16" i="5"/>
  <c r="C18" i="5" s="1"/>
  <c r="M13" i="3"/>
  <c r="K13" i="3"/>
  <c r="M8" i="3"/>
  <c r="K8" i="3"/>
  <c r="L13" i="1"/>
  <c r="J13" i="1"/>
  <c r="E21" i="1"/>
  <c r="E23" i="1" s="1"/>
  <c r="B21" i="1"/>
  <c r="E16" i="1"/>
  <c r="F18" i="1" s="1"/>
  <c r="B16" i="1"/>
  <c r="F23" i="1"/>
  <c r="C23" i="1"/>
  <c r="B23" i="1"/>
  <c r="J13" i="7" l="1"/>
  <c r="L13" i="7"/>
  <c r="L15" i="7" s="1"/>
  <c r="J13" i="6"/>
  <c r="L13" i="6"/>
  <c r="L15" i="6" s="1"/>
  <c r="J8" i="6"/>
  <c r="J8" i="1"/>
  <c r="B23" i="7"/>
  <c r="B18" i="7"/>
  <c r="B18" i="6"/>
  <c r="B18" i="5"/>
  <c r="E18" i="1"/>
  <c r="B18" i="1"/>
  <c r="C18" i="1"/>
  <c r="L15" i="5"/>
  <c r="L15" i="1"/>
  <c r="I8" i="7" l="1"/>
  <c r="H4" i="7"/>
  <c r="H4" i="6"/>
  <c r="H4" i="5"/>
  <c r="H4" i="1"/>
  <c r="I4" i="3"/>
  <c r="C14" i="4"/>
  <c r="C21" i="4"/>
  <c r="C20" i="4"/>
  <c r="C19" i="4"/>
  <c r="I8" i="4" l="1"/>
  <c r="H8" i="4"/>
  <c r="G8" i="4"/>
  <c r="E21" i="4"/>
  <c r="F8" i="4" s="1"/>
  <c r="I7" i="4"/>
  <c r="G7" i="4"/>
  <c r="H7" i="4"/>
  <c r="H6" i="4"/>
  <c r="G6" i="4"/>
  <c r="I6" i="4"/>
  <c r="L10" i="5"/>
  <c r="L10" i="6"/>
  <c r="J4" i="7"/>
  <c r="J10" i="7"/>
  <c r="L10" i="7"/>
  <c r="J15" i="7"/>
  <c r="J15" i="6"/>
  <c r="I8" i="6"/>
  <c r="J10" i="6"/>
  <c r="J4" i="6"/>
  <c r="J15" i="5"/>
  <c r="I8" i="5"/>
  <c r="J10" i="5"/>
  <c r="J4" i="5"/>
  <c r="J4" i="1"/>
  <c r="K4" i="3"/>
  <c r="E20" i="4"/>
  <c r="F7" i="4" s="1"/>
  <c r="E19" i="4"/>
  <c r="F6" i="4" s="1"/>
  <c r="D19" i="4"/>
  <c r="D21" i="4"/>
  <c r="D20" i="4"/>
  <c r="C12" i="7"/>
  <c r="E8" i="7"/>
  <c r="D12" i="7" s="1"/>
  <c r="E12" i="7" s="1"/>
  <c r="F4" i="7"/>
  <c r="C12" i="6"/>
  <c r="E8" i="6"/>
  <c r="F8" i="6" s="1"/>
  <c r="F4" i="6"/>
  <c r="C12" i="5"/>
  <c r="E8" i="5"/>
  <c r="D12" i="5" s="1"/>
  <c r="E12" i="5" s="1"/>
  <c r="F12" i="5" s="1"/>
  <c r="F4" i="5"/>
  <c r="F12" i="7" l="1"/>
  <c r="F8" i="7"/>
  <c r="D12" i="6"/>
  <c r="E12" i="6" s="1"/>
  <c r="F12" i="6" s="1"/>
  <c r="F8" i="5"/>
  <c r="F4" i="1"/>
  <c r="E8" i="1" l="1"/>
  <c r="F8" i="1" l="1"/>
  <c r="C12" i="3"/>
  <c r="F8" i="3"/>
  <c r="C12" i="1"/>
  <c r="B3" i="2" s="1"/>
  <c r="M15" i="3" l="1"/>
  <c r="B21" i="3"/>
  <c r="E16" i="3"/>
  <c r="E21" i="3"/>
  <c r="B16" i="3"/>
  <c r="B18" i="3" s="1"/>
  <c r="C3" i="2"/>
  <c r="L10" i="1"/>
  <c r="J15" i="1"/>
  <c r="I8" i="1"/>
  <c r="J10" i="1"/>
  <c r="M10" i="3"/>
  <c r="J8" i="3"/>
  <c r="C2" i="2"/>
  <c r="B2" i="2"/>
  <c r="C17" i="4"/>
  <c r="E17" i="4" s="1"/>
  <c r="C18" i="4"/>
  <c r="D12" i="1"/>
  <c r="E12" i="1" s="1"/>
  <c r="D12" i="3"/>
  <c r="E12" i="3" s="1"/>
  <c r="K15" i="3" l="1"/>
  <c r="K10" i="3"/>
  <c r="F23" i="3"/>
  <c r="E23" i="3"/>
  <c r="F18" i="3"/>
  <c r="E18" i="3"/>
  <c r="C23" i="3"/>
  <c r="B23" i="3"/>
  <c r="C18" i="3"/>
  <c r="E18" i="4"/>
  <c r="F5" i="4" s="1"/>
  <c r="I5" i="4"/>
  <c r="G5" i="4"/>
  <c r="H5" i="4"/>
  <c r="I4" i="4"/>
  <c r="H4" i="4"/>
  <c r="G4" i="4"/>
  <c r="D18" i="4"/>
  <c r="D17" i="4"/>
  <c r="F12" i="3"/>
  <c r="C5" i="2" s="1"/>
  <c r="C4" i="2"/>
  <c r="F12" i="1"/>
  <c r="B5" i="2" s="1"/>
  <c r="B4" i="2"/>
</calcChain>
</file>

<file path=xl/sharedStrings.xml><?xml version="1.0" encoding="utf-8"?>
<sst xmlns="http://schemas.openxmlformats.org/spreadsheetml/2006/main" count="262" uniqueCount="56">
  <si>
    <t>Construção</t>
  </si>
  <si>
    <t>Qtd Unds</t>
  </si>
  <si>
    <t>Qtd M²</t>
  </si>
  <si>
    <t>Val Terreno</t>
  </si>
  <si>
    <t>Val M²</t>
  </si>
  <si>
    <t>Balanço</t>
  </si>
  <si>
    <t>Custo Und</t>
  </si>
  <si>
    <t>Custo Total</t>
  </si>
  <si>
    <t>Custo</t>
  </si>
  <si>
    <t>Val Doc Und</t>
  </si>
  <si>
    <t>% Comissao</t>
  </si>
  <si>
    <t>% Imposto</t>
  </si>
  <si>
    <t>Faturamento</t>
  </si>
  <si>
    <t>Lucro Und</t>
  </si>
  <si>
    <t>Lucro</t>
  </si>
  <si>
    <t>% Retorno</t>
  </si>
  <si>
    <t>Val Venda</t>
  </si>
  <si>
    <t>% Lucro</t>
  </si>
  <si>
    <t>Santa Marta</t>
  </si>
  <si>
    <t>Cajuru</t>
  </si>
  <si>
    <t>Caixa</t>
  </si>
  <si>
    <t>Itau C/C</t>
  </si>
  <si>
    <t>Itau poupança</t>
  </si>
  <si>
    <t>Ativo Long</t>
  </si>
  <si>
    <t>Projetos</t>
  </si>
  <si>
    <t>Situação</t>
  </si>
  <si>
    <t>Total</t>
  </si>
  <si>
    <t>Remanecente</t>
  </si>
  <si>
    <t>Reserva 1</t>
  </si>
  <si>
    <t>Reserva 2</t>
  </si>
  <si>
    <t>K38</t>
  </si>
  <si>
    <t>Casa 2 I39</t>
  </si>
  <si>
    <t>Emprestimo Tia</t>
  </si>
  <si>
    <t>Val Lote Und</t>
  </si>
  <si>
    <t>Casa Martina</t>
  </si>
  <si>
    <t>Aluguel</t>
  </si>
  <si>
    <t>Qtd Und</t>
  </si>
  <si>
    <t>Valor Und</t>
  </si>
  <si>
    <t>Valor Investido</t>
  </si>
  <si>
    <t>Valor Sobrando</t>
  </si>
  <si>
    <t>Casa Bairro Antigo</t>
  </si>
  <si>
    <t>Casa 1 Dorm</t>
  </si>
  <si>
    <t>KitNet 2 Dorm</t>
  </si>
  <si>
    <t>Custo Vida</t>
  </si>
  <si>
    <t>Total Aluguel</t>
  </si>
  <si>
    <t>Com Todo Capital</t>
  </si>
  <si>
    <t>Com Casas Venda</t>
  </si>
  <si>
    <t>Com Casas Venda e Lotes</t>
  </si>
  <si>
    <t>Com todo Capital</t>
  </si>
  <si>
    <t>Com Casas a Venda</t>
  </si>
  <si>
    <t>QUANTIDADE POSSIVEL PARA VENDA</t>
  </si>
  <si>
    <t>Fluxo Atual</t>
  </si>
  <si>
    <t>Caixa Atual</t>
  </si>
  <si>
    <t>RESUMO PASSIVO/ATIVO</t>
  </si>
  <si>
    <t>Projeto</t>
  </si>
  <si>
    <t>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</si>
</sst>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1" xfId="0" applyNumberFormat="1" applyBorder="1"/>
    <xf numFmtId="10" fontId="0" fillId="0" borderId="1" xfId="0" applyNumberFormat="1" applyBorder="1"/>
    <xf numFmtId="0" fontId="2" fillId="3" borderId="1" xfId="0" applyFont="1" applyFill="1" applyBorder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44" fontId="5" fillId="0" borderId="1" xfId="1" applyFont="1" applyBorder="1"/>
    <xf numFmtId="44" fontId="5" fillId="0" borderId="1" xfId="1" applyFont="1" applyFill="1" applyBorder="1"/>
    <xf numFmtId="44" fontId="5" fillId="0" borderId="1" xfId="0" applyNumberFormat="1" applyFont="1" applyBorder="1"/>
    <xf numFmtId="0" fontId="4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0" fontId="2" fillId="0" borderId="1" xfId="0" applyFont="1" applyFill="1" applyBorder="1"/>
    <xf numFmtId="0" fontId="7" fillId="2" borderId="1" xfId="0" applyFont="1" applyFill="1" applyBorder="1"/>
    <xf numFmtId="0" fontId="8" fillId="0" borderId="0" xfId="0" applyFont="1"/>
    <xf numFmtId="0" fontId="8" fillId="3" borderId="1" xfId="0" applyFont="1" applyFill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8" fillId="0" borderId="1" xfId="2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12" xfId="0" applyFill="1" applyBorder="1" applyAlignment="1">
      <alignment horizontal="center"/>
    </xf>
    <xf numFmtId="44" fontId="0" fillId="6" borderId="12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0" fillId="5" borderId="15" xfId="0" applyFill="1" applyBorder="1" applyAlignment="1">
      <alignment horizontal="center"/>
    </xf>
    <xf numFmtId="44" fontId="0" fillId="0" borderId="16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4" fontId="0" fillId="0" borderId="19" xfId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8" fillId="6" borderId="0" xfId="0" applyFont="1" applyFill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44" fontId="8" fillId="0" borderId="10" xfId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44" fontId="8" fillId="0" borderId="15" xfId="1" applyFont="1" applyBorder="1" applyAlignment="1">
      <alignment horizontal="center"/>
    </xf>
    <xf numFmtId="44" fontId="8" fillId="0" borderId="19" xfId="1" applyFont="1" applyBorder="1" applyAlignment="1">
      <alignment horizontal="center"/>
    </xf>
    <xf numFmtId="44" fontId="8" fillId="0" borderId="16" xfId="1" applyFont="1" applyBorder="1" applyAlignment="1">
      <alignment horizontal="center"/>
    </xf>
    <xf numFmtId="10" fontId="8" fillId="0" borderId="17" xfId="2" applyNumberFormat="1" applyFont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0" borderId="0" xfId="0" applyFont="1" applyBorder="1"/>
    <xf numFmtId="0" fontId="8" fillId="5" borderId="15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0" borderId="11" xfId="0" applyFont="1" applyBorder="1"/>
    <xf numFmtId="44" fontId="8" fillId="6" borderId="12" xfId="1" applyFont="1" applyFill="1" applyBorder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9" fillId="3" borderId="10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44" fontId="9" fillId="0" borderId="10" xfId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44" fontId="9" fillId="0" borderId="19" xfId="1" applyFont="1" applyBorder="1" applyAlignment="1">
      <alignment horizontal="center"/>
    </xf>
    <xf numFmtId="44" fontId="9" fillId="0" borderId="16" xfId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44" fontId="9" fillId="0" borderId="26" xfId="1" applyFont="1" applyBorder="1" applyAlignment="1">
      <alignment horizontal="center"/>
    </xf>
    <xf numFmtId="0" fontId="9" fillId="5" borderId="27" xfId="0" applyFont="1" applyFill="1" applyBorder="1" applyAlignment="1">
      <alignment horizontal="center"/>
    </xf>
    <xf numFmtId="44" fontId="9" fillId="0" borderId="27" xfId="1" applyFont="1" applyBorder="1" applyAlignment="1">
      <alignment horizontal="center"/>
    </xf>
    <xf numFmtId="44" fontId="9" fillId="0" borderId="28" xfId="1" applyFont="1" applyBorder="1" applyAlignment="1">
      <alignment horizontal="center"/>
    </xf>
    <xf numFmtId="1" fontId="9" fillId="0" borderId="10" xfId="1" applyNumberFormat="1" applyFont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44" fontId="11" fillId="0" borderId="10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4" fontId="11" fillId="0" borderId="1" xfId="1" applyFont="1" applyBorder="1" applyAlignment="1">
      <alignment horizontal="center"/>
    </xf>
    <xf numFmtId="44" fontId="11" fillId="0" borderId="15" xfId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9" fontId="11" fillId="0" borderId="1" xfId="2" applyFont="1" applyBorder="1" applyAlignment="1">
      <alignment horizontal="center"/>
    </xf>
    <xf numFmtId="1" fontId="11" fillId="0" borderId="10" xfId="1" applyNumberFormat="1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44" fontId="11" fillId="0" borderId="0" xfId="1" applyFont="1" applyAlignment="1">
      <alignment horizontal="center"/>
    </xf>
    <xf numFmtId="0" fontId="11" fillId="6" borderId="12" xfId="0" applyFont="1" applyFill="1" applyBorder="1" applyAlignment="1">
      <alignment horizontal="center"/>
    </xf>
    <xf numFmtId="44" fontId="11" fillId="0" borderId="19" xfId="1" applyFont="1" applyBorder="1" applyAlignment="1">
      <alignment horizontal="center"/>
    </xf>
    <xf numFmtId="44" fontId="11" fillId="0" borderId="16" xfId="1" applyFont="1" applyBorder="1" applyAlignment="1">
      <alignment horizontal="center"/>
    </xf>
    <xf numFmtId="10" fontId="11" fillId="0" borderId="17" xfId="2" applyNumberFormat="1" applyFont="1" applyBorder="1" applyAlignment="1">
      <alignment horizontal="center"/>
    </xf>
    <xf numFmtId="44" fontId="11" fillId="6" borderId="12" xfId="1" applyFont="1" applyFill="1" applyBorder="1" applyAlignment="1">
      <alignment horizontal="center"/>
    </xf>
    <xf numFmtId="0" fontId="11" fillId="0" borderId="12" xfId="0" applyFont="1" applyBorder="1"/>
    <xf numFmtId="0" fontId="11" fillId="0" borderId="0" xfId="0" applyFont="1" applyBorder="1"/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11" fillId="0" borderId="14" xfId="0" applyFont="1" applyBorder="1" applyAlignment="1">
      <alignment horizontal="center"/>
    </xf>
    <xf numFmtId="44" fontId="11" fillId="0" borderId="17" xfId="1" applyFont="1" applyBorder="1" applyAlignment="1">
      <alignment horizontal="center"/>
    </xf>
    <xf numFmtId="0" fontId="11" fillId="0" borderId="0" xfId="0" applyFont="1"/>
    <xf numFmtId="0" fontId="11" fillId="5" borderId="10" xfId="0" applyFont="1" applyFill="1" applyBorder="1" applyAlignment="1">
      <alignment horizontal="center"/>
    </xf>
    <xf numFmtId="0" fontId="11" fillId="5" borderId="26" xfId="0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1" fillId="0" borderId="27" xfId="1" applyFont="1" applyBorder="1" applyAlignment="1">
      <alignment horizontal="center"/>
    </xf>
    <xf numFmtId="44" fontId="11" fillId="0" borderId="28" xfId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930446194225725E-2"/>
          <c:y val="0.21747703412073491"/>
          <c:w val="0.87437751531058616"/>
          <c:h val="0.698271726450860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Santa Marta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4D4-467F-BF80-9088364AD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Grafico!$B$2:$B$5</c:f>
              <c:numCache>
                <c:formatCode>_("R$"* #,##0.00_);_("R$"* \(#,##0.00\);_("R$"* "-"??_);_(@_)</c:formatCode>
                <c:ptCount val="4"/>
                <c:pt idx="0">
                  <c:v>273160</c:v>
                </c:pt>
                <c:pt idx="1">
                  <c:v>468000</c:v>
                </c:pt>
                <c:pt idx="2">
                  <c:v>194840</c:v>
                </c:pt>
                <c:pt idx="3" formatCode="0.00%">
                  <c:v>0.41632478632478631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4-467F-BF80-9088364AD5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5576360"/>
        <c:axId val="325577016"/>
      </c:barChart>
      <c:catAx>
        <c:axId val="325576360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577016"/>
        <c:crosses val="autoZero"/>
        <c:auto val="1"/>
        <c:lblAlgn val="ctr"/>
        <c:lblOffset val="100"/>
        <c:noMultiLvlLbl val="0"/>
      </c:catAx>
      <c:valAx>
        <c:axId val="325577016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5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520778652668416E-2"/>
          <c:y val="0.17171296296296298"/>
          <c:w val="0.829277777777777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Grafico!$C$1</c:f>
              <c:strCache>
                <c:ptCount val="1"/>
                <c:pt idx="0">
                  <c:v>Cajuru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Grafico!$C$2:$C$5</c:f>
              <c:numCache>
                <c:formatCode>_("R$"* #,##0.00_);_("R$"* \(#,##0.00\);_("R$"* "-"??_);_(@_)</c:formatCode>
                <c:ptCount val="4"/>
                <c:pt idx="0">
                  <c:v>253202</c:v>
                </c:pt>
                <c:pt idx="1">
                  <c:v>585000</c:v>
                </c:pt>
                <c:pt idx="2">
                  <c:v>331798</c:v>
                </c:pt>
                <c:pt idx="3" formatCode="0.00%">
                  <c:v>0.56717606837606838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5-4A82-8F51-BF2263D83F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2309576"/>
        <c:axId val="322309904"/>
      </c:barChart>
      <c:catAx>
        <c:axId val="3223095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09904"/>
        <c:crosses val="autoZero"/>
        <c:auto val="1"/>
        <c:lblAlgn val="ctr"/>
        <c:lblOffset val="100"/>
        <c:noMultiLvlLbl val="0"/>
      </c:catAx>
      <c:valAx>
        <c:axId val="322309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0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180975</xdr:rowOff>
    </xdr:from>
    <xdr:to>
      <xdr:col>6</xdr:col>
      <xdr:colOff>104775</xdr:colOff>
      <xdr:row>20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1E5482-F56F-4288-81E0-490E5F5B6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5</xdr:row>
      <xdr:rowOff>171450</xdr:rowOff>
    </xdr:from>
    <xdr:to>
      <xdr:col>14</xdr:col>
      <xdr:colOff>485775</xdr:colOff>
      <xdr:row>20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F8C751-9A6E-4D4C-82C7-53E57BF94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16</xdr:row>
      <xdr:rowOff>152400</xdr:rowOff>
    </xdr:from>
    <xdr:to>
      <xdr:col>7</xdr:col>
      <xdr:colOff>133350</xdr:colOff>
      <xdr:row>18</xdr:row>
      <xdr:rowOff>38100</xdr:rowOff>
    </xdr:to>
    <xdr:sp macro="" textlink="$A$2">
      <xdr:nvSpPr>
        <xdr:cNvPr id="6" name="CaixaDeTexto 5">
          <a:extLst>
            <a:ext uri="{FF2B5EF4-FFF2-40B4-BE49-F238E27FC236}">
              <a16:creationId xmlns:a16="http://schemas.microsoft.com/office/drawing/2014/main" id="{66D68CBD-7C04-4951-9C6E-CF323B32360A}"/>
            </a:ext>
          </a:extLst>
        </xdr:cNvPr>
        <xdr:cNvSpPr txBox="1"/>
      </xdr:nvSpPr>
      <xdr:spPr>
        <a:xfrm>
          <a:off x="4724400" y="3200400"/>
          <a:ext cx="581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9B66E1-963E-4F02-BF9A-7B8F8DE1123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Custo Total</a:t>
          </a:fld>
          <a:endParaRPr lang="pt-BR" sz="1100"/>
        </a:p>
      </xdr:txBody>
    </xdr:sp>
    <xdr:clientData/>
  </xdr:twoCellAnchor>
  <xdr:twoCellAnchor>
    <xdr:from>
      <xdr:col>6</xdr:col>
      <xdr:colOff>171450</xdr:colOff>
      <xdr:row>14</xdr:row>
      <xdr:rowOff>66675</xdr:rowOff>
    </xdr:from>
    <xdr:to>
      <xdr:col>7</xdr:col>
      <xdr:colOff>142875</xdr:colOff>
      <xdr:row>15</xdr:row>
      <xdr:rowOff>142875</xdr:rowOff>
    </xdr:to>
    <xdr:sp macro="" textlink="$A$3">
      <xdr:nvSpPr>
        <xdr:cNvPr id="7" name="CaixaDeTexto 6">
          <a:extLst>
            <a:ext uri="{FF2B5EF4-FFF2-40B4-BE49-F238E27FC236}">
              <a16:creationId xmlns:a16="http://schemas.microsoft.com/office/drawing/2014/main" id="{C1786730-AE9B-4F76-BAC8-DFED8A1A0329}"/>
            </a:ext>
          </a:extLst>
        </xdr:cNvPr>
        <xdr:cNvSpPr txBox="1"/>
      </xdr:nvSpPr>
      <xdr:spPr>
        <a:xfrm>
          <a:off x="4733925" y="2733675"/>
          <a:ext cx="581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58FF886-D4F0-402D-8880-D6BD27DC614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Faturamento</a:t>
          </a:fld>
          <a:endParaRPr lang="pt-BR" sz="1100"/>
        </a:p>
      </xdr:txBody>
    </xdr:sp>
    <xdr:clientData/>
  </xdr:twoCellAnchor>
  <xdr:twoCellAnchor>
    <xdr:from>
      <xdr:col>6</xdr:col>
      <xdr:colOff>180975</xdr:colOff>
      <xdr:row>11</xdr:row>
      <xdr:rowOff>133350</xdr:rowOff>
    </xdr:from>
    <xdr:to>
      <xdr:col>7</xdr:col>
      <xdr:colOff>152400</xdr:colOff>
      <xdr:row>13</xdr:row>
      <xdr:rowOff>19050</xdr:rowOff>
    </xdr:to>
    <xdr:sp macro="" textlink="$A$4">
      <xdr:nvSpPr>
        <xdr:cNvPr id="8" name="CaixaDeTexto 7">
          <a:extLst>
            <a:ext uri="{FF2B5EF4-FFF2-40B4-BE49-F238E27FC236}">
              <a16:creationId xmlns:a16="http://schemas.microsoft.com/office/drawing/2014/main" id="{7A06DEDA-DD70-4BE6-A0A3-641B9A716ACC}"/>
            </a:ext>
          </a:extLst>
        </xdr:cNvPr>
        <xdr:cNvSpPr txBox="1"/>
      </xdr:nvSpPr>
      <xdr:spPr>
        <a:xfrm>
          <a:off x="4743450" y="2228850"/>
          <a:ext cx="581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C312DA-037F-420F-B6E1-9B03A7C3A71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Lucro</a:t>
          </a:fld>
          <a:endParaRPr lang="pt-BR" sz="1100"/>
        </a:p>
      </xdr:txBody>
    </xdr:sp>
    <xdr:clientData/>
  </xdr:twoCellAnchor>
  <xdr:twoCellAnchor>
    <xdr:from>
      <xdr:col>6</xdr:col>
      <xdr:colOff>161925</xdr:colOff>
      <xdr:row>9</xdr:row>
      <xdr:rowOff>38100</xdr:rowOff>
    </xdr:from>
    <xdr:to>
      <xdr:col>7</xdr:col>
      <xdr:colOff>133350</xdr:colOff>
      <xdr:row>10</xdr:row>
      <xdr:rowOff>114300</xdr:rowOff>
    </xdr:to>
    <xdr:sp macro="" textlink="$A$5">
      <xdr:nvSpPr>
        <xdr:cNvPr id="9" name="CaixaDeTexto 8">
          <a:extLst>
            <a:ext uri="{FF2B5EF4-FFF2-40B4-BE49-F238E27FC236}">
              <a16:creationId xmlns:a16="http://schemas.microsoft.com/office/drawing/2014/main" id="{538A8221-9CDF-4FB4-8A5A-8E8D4B0037E2}"/>
            </a:ext>
          </a:extLst>
        </xdr:cNvPr>
        <xdr:cNvSpPr txBox="1"/>
      </xdr:nvSpPr>
      <xdr:spPr>
        <a:xfrm>
          <a:off x="4724400" y="1752600"/>
          <a:ext cx="581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7EACD45-2A2F-4043-AB37-F59CC6F7292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% Lucro</a:t>
          </a:fld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A8CE-C67C-4E7C-A568-D19A3178C9E6}">
  <sheetPr codeName="Planilha1"/>
  <dimension ref="B1:L23"/>
  <sheetViews>
    <sheetView showGridLines="0" showRowColHeaders="0" zoomScaleNormal="100" workbookViewId="0">
      <selection activeCell="H9" sqref="H9"/>
    </sheetView>
  </sheetViews>
  <sheetFormatPr defaultRowHeight="15" x14ac:dyDescent="0.25"/>
  <cols>
    <col min="1" max="1" width="9.140625" style="108"/>
    <col min="2" max="2" width="16.5703125" style="108" bestFit="1" customWidth="1"/>
    <col min="3" max="3" width="14.28515625" style="108" bestFit="1" customWidth="1"/>
    <col min="4" max="4" width="13.28515625" style="108" bestFit="1" customWidth="1"/>
    <col min="5" max="5" width="23.5703125" style="108" bestFit="1" customWidth="1"/>
    <col min="6" max="6" width="14.42578125" style="108" bestFit="1" customWidth="1"/>
    <col min="7" max="7" width="2.42578125" style="108" customWidth="1"/>
    <col min="8" max="8" width="20.7109375" style="108" bestFit="1" customWidth="1"/>
    <col min="9" max="9" width="14.7109375" style="108" bestFit="1" customWidth="1"/>
    <col min="10" max="10" width="23.85546875" style="108" bestFit="1" customWidth="1"/>
    <col min="11" max="11" width="3.42578125" style="108" customWidth="1"/>
    <col min="12" max="12" width="26.85546875" style="108" bestFit="1" customWidth="1"/>
    <col min="13" max="16384" width="9.140625" style="108"/>
  </cols>
  <sheetData>
    <row r="1" spans="2:12" ht="15.75" thickBot="1" x14ac:dyDescent="0.3"/>
    <row r="2" spans="2:12" ht="18.75" x14ac:dyDescent="0.3">
      <c r="B2" s="109" t="s">
        <v>0</v>
      </c>
      <c r="C2" s="110"/>
      <c r="D2" s="110"/>
      <c r="E2" s="110"/>
      <c r="F2" s="111"/>
      <c r="H2" s="112" t="s">
        <v>35</v>
      </c>
      <c r="I2" s="113"/>
      <c r="J2" s="113"/>
      <c r="K2" s="113"/>
      <c r="L2" s="114"/>
    </row>
    <row r="3" spans="2:12" x14ac:dyDescent="0.25">
      <c r="B3" s="115" t="s">
        <v>3</v>
      </c>
      <c r="C3" s="116" t="s">
        <v>1</v>
      </c>
      <c r="D3" s="116" t="s">
        <v>2</v>
      </c>
      <c r="E3" s="116" t="s">
        <v>4</v>
      </c>
      <c r="F3" s="117" t="s">
        <v>33</v>
      </c>
      <c r="H3" s="115" t="s">
        <v>36</v>
      </c>
      <c r="I3" s="116" t="s">
        <v>37</v>
      </c>
      <c r="J3" s="116" t="s">
        <v>26</v>
      </c>
      <c r="K3" s="118"/>
      <c r="L3" s="119"/>
    </row>
    <row r="4" spans="2:12" x14ac:dyDescent="0.25">
      <c r="B4" s="120">
        <v>95000</v>
      </c>
      <c r="C4" s="121">
        <v>4</v>
      </c>
      <c r="D4" s="121">
        <v>30</v>
      </c>
      <c r="E4" s="122">
        <v>900</v>
      </c>
      <c r="F4" s="123">
        <f>B4/C4</f>
        <v>23750</v>
      </c>
      <c r="H4" s="120">
        <f>C4</f>
        <v>4</v>
      </c>
      <c r="I4" s="122">
        <v>500</v>
      </c>
      <c r="J4" s="122">
        <f>H4*I4</f>
        <v>2000</v>
      </c>
      <c r="K4" s="118"/>
      <c r="L4" s="119"/>
    </row>
    <row r="5" spans="2:12" x14ac:dyDescent="0.25">
      <c r="B5" s="124"/>
      <c r="C5" s="118"/>
      <c r="D5" s="118"/>
      <c r="E5" s="118"/>
      <c r="F5" s="119"/>
      <c r="H5" s="124"/>
      <c r="I5" s="118"/>
      <c r="J5" s="118"/>
      <c r="K5" s="118"/>
      <c r="L5" s="119"/>
    </row>
    <row r="6" spans="2:12" x14ac:dyDescent="0.25">
      <c r="B6" s="125" t="s">
        <v>8</v>
      </c>
      <c r="C6" s="118"/>
      <c r="D6" s="118"/>
      <c r="E6" s="118"/>
      <c r="F6" s="119"/>
      <c r="H6" s="124"/>
      <c r="I6" s="118"/>
      <c r="J6" s="118"/>
      <c r="K6" s="118"/>
      <c r="L6" s="119"/>
    </row>
    <row r="7" spans="2:12" x14ac:dyDescent="0.25">
      <c r="B7" s="115" t="s">
        <v>9</v>
      </c>
      <c r="C7" s="116" t="s">
        <v>10</v>
      </c>
      <c r="D7" s="116" t="s">
        <v>11</v>
      </c>
      <c r="E7" s="116" t="s">
        <v>6</v>
      </c>
      <c r="F7" s="117" t="s">
        <v>7</v>
      </c>
      <c r="H7" s="115" t="s">
        <v>38</v>
      </c>
      <c r="I7" s="116" t="s">
        <v>39</v>
      </c>
      <c r="J7" s="116" t="s">
        <v>45</v>
      </c>
      <c r="K7" s="118"/>
      <c r="L7" s="117" t="s">
        <v>47</v>
      </c>
    </row>
    <row r="8" spans="2:12" x14ac:dyDescent="0.25">
      <c r="B8" s="120">
        <v>3500</v>
      </c>
      <c r="C8" s="126">
        <v>0.06</v>
      </c>
      <c r="D8" s="126">
        <v>0.06</v>
      </c>
      <c r="E8" s="122">
        <f>(B4/C4)+B8+(D4*E4)+(B12*C8)+(B12*D8)</f>
        <v>68290</v>
      </c>
      <c r="F8" s="123">
        <f>E8*C4</f>
        <v>273160</v>
      </c>
      <c r="H8" s="120">
        <f>F8-(F8*0.12)</f>
        <v>240380.79999999999</v>
      </c>
      <c r="I8" s="122">
        <f>'Fluxo de Caixa'!C14-'Fluxo de Caixa'!C12-H8-50000</f>
        <v>637119.19999999995</v>
      </c>
      <c r="J8" s="127">
        <f>TRUNC((SUM('Fluxo de Caixa'!C3:C12)-'Fluxo de Caixa'!C13)/$H$8)</f>
        <v>5</v>
      </c>
      <c r="K8" s="118"/>
      <c r="L8" s="127">
        <f>TRUNC((SUM('Fluxo de Caixa'!C3:C11)-'Fluxo de Caixa'!C13)/$H$8)</f>
        <v>3</v>
      </c>
    </row>
    <row r="9" spans="2:12" x14ac:dyDescent="0.25">
      <c r="B9" s="124"/>
      <c r="C9" s="118"/>
      <c r="D9" s="118"/>
      <c r="E9" s="118"/>
      <c r="F9" s="119"/>
      <c r="H9" s="124"/>
      <c r="I9" s="118"/>
      <c r="J9" s="128" t="s">
        <v>44</v>
      </c>
      <c r="K9" s="118"/>
      <c r="L9" s="129" t="s">
        <v>44</v>
      </c>
    </row>
    <row r="10" spans="2:12" x14ac:dyDescent="0.25">
      <c r="B10" s="125" t="s">
        <v>5</v>
      </c>
      <c r="C10" s="118"/>
      <c r="D10" s="118"/>
      <c r="E10" s="118"/>
      <c r="F10" s="119"/>
      <c r="H10" s="124"/>
      <c r="I10" s="118"/>
      <c r="J10" s="122">
        <f>($H$4*$I$4)*J8</f>
        <v>10000</v>
      </c>
      <c r="K10" s="118"/>
      <c r="L10" s="123">
        <f>($H$4*$I$4)*L8</f>
        <v>6000</v>
      </c>
    </row>
    <row r="11" spans="2:12" x14ac:dyDescent="0.25">
      <c r="B11" s="115" t="s">
        <v>16</v>
      </c>
      <c r="C11" s="116" t="s">
        <v>12</v>
      </c>
      <c r="D11" s="116" t="s">
        <v>13</v>
      </c>
      <c r="E11" s="116" t="s">
        <v>14</v>
      </c>
      <c r="F11" s="117" t="s">
        <v>15</v>
      </c>
      <c r="G11" s="130"/>
      <c r="H11" s="131"/>
      <c r="I11" s="118"/>
      <c r="J11" s="118"/>
      <c r="K11" s="118"/>
      <c r="L11" s="119"/>
    </row>
    <row r="12" spans="2:12" ht="15.75" thickBot="1" x14ac:dyDescent="0.3">
      <c r="B12" s="132">
        <v>117000</v>
      </c>
      <c r="C12" s="133">
        <f>C4*B12</f>
        <v>468000</v>
      </c>
      <c r="D12" s="133">
        <f>B12-E8</f>
        <v>48710</v>
      </c>
      <c r="E12" s="133">
        <f>D12*C4</f>
        <v>194840</v>
      </c>
      <c r="F12" s="134">
        <f>(E12/C12)</f>
        <v>0.41632478632478631</v>
      </c>
      <c r="H12" s="135"/>
      <c r="I12" s="118"/>
      <c r="J12" s="116" t="s">
        <v>46</v>
      </c>
      <c r="K12" s="118"/>
      <c r="L12" s="117" t="s">
        <v>51</v>
      </c>
    </row>
    <row r="13" spans="2:12" ht="15.75" thickBot="1" x14ac:dyDescent="0.3">
      <c r="H13" s="136"/>
      <c r="I13" s="137"/>
      <c r="J13" s="127">
        <f>TRUNC(('Fluxo de Caixa'!C3+'Fluxo de Caixa'!C4+'Fluxo de Caixa'!C5+'Fluxo de Caixa'!C6+'Fluxo de Caixa'!C9+'Fluxo de Caixa'!C10+'Fluxo de Caixa'!C11-'Fluxo de Caixa'!C13)/$H$8)</f>
        <v>3</v>
      </c>
      <c r="K13" s="118"/>
      <c r="L13" s="127">
        <f>TRUNC((SUM('Fluxo de Caixa'!C3,'Fluxo de Caixa'!C4,'Fluxo de Caixa'!C5,'Fluxo de Caixa'!C6-'Fluxo de Caixa'!C13)/$H$8))</f>
        <v>1</v>
      </c>
    </row>
    <row r="14" spans="2:12" ht="19.5" thickBot="1" x14ac:dyDescent="0.35">
      <c r="B14" s="138" t="s">
        <v>55</v>
      </c>
      <c r="C14" s="139"/>
      <c r="D14" s="139"/>
      <c r="E14" s="113"/>
      <c r="F14" s="140"/>
      <c r="H14" s="136"/>
      <c r="I14" s="137"/>
      <c r="J14" s="128" t="s">
        <v>44</v>
      </c>
      <c r="K14" s="118"/>
      <c r="L14" s="129" t="s">
        <v>44</v>
      </c>
    </row>
    <row r="15" spans="2:12" ht="15.75" thickBot="1" x14ac:dyDescent="0.3">
      <c r="B15" s="141" t="s">
        <v>45</v>
      </c>
      <c r="C15" s="118"/>
      <c r="D15" s="118"/>
      <c r="E15" s="116" t="s">
        <v>47</v>
      </c>
      <c r="F15" s="119"/>
      <c r="H15" s="142"/>
      <c r="I15" s="143"/>
      <c r="J15" s="133">
        <f>($H$4*$I$4)*J13</f>
        <v>6000</v>
      </c>
      <c r="K15" s="144"/>
      <c r="L15" s="145">
        <f>($H$4*$I$4)*L13</f>
        <v>2000</v>
      </c>
    </row>
    <row r="16" spans="2:12" x14ac:dyDescent="0.25">
      <c r="B16" s="127">
        <f>TRUNC((SUM('Fluxo de Caixa'!C3:C12)-'Fluxo de Caixa'!C13)/F8)</f>
        <v>4</v>
      </c>
      <c r="C16" s="118"/>
      <c r="D16" s="118"/>
      <c r="E16" s="127">
        <f>TRUNC((SUM('Fluxo de Caixa'!C3,'Fluxo de Caixa'!C4,'Fluxo de Caixa'!C5,'Fluxo de Caixa'!C6,'Fluxo de Caixa'!C7,'Fluxo de Caixa'!C8,'Fluxo de Caixa'!C9,'Fluxo de Caixa'!C10,'Fluxo de Caixa'!C11)-'Fluxo de Caixa'!C13)/F8)</f>
        <v>3</v>
      </c>
      <c r="F16" s="119"/>
      <c r="H16" s="146"/>
      <c r="I16" s="146"/>
      <c r="J16" s="146"/>
    </row>
    <row r="17" spans="2:9" x14ac:dyDescent="0.25">
      <c r="B17" s="147" t="s">
        <v>12</v>
      </c>
      <c r="C17" s="147" t="s">
        <v>14</v>
      </c>
      <c r="D17" s="118"/>
      <c r="E17" s="148" t="s">
        <v>44</v>
      </c>
      <c r="F17" s="149" t="s">
        <v>14</v>
      </c>
      <c r="H17" s="146"/>
      <c r="I17" s="146"/>
    </row>
    <row r="18" spans="2:9" x14ac:dyDescent="0.25">
      <c r="B18" s="120">
        <f>C12*B16</f>
        <v>1872000</v>
      </c>
      <c r="C18" s="120">
        <f>B16*E12</f>
        <v>779360</v>
      </c>
      <c r="D18" s="118"/>
      <c r="E18" s="150">
        <f>E16*C12</f>
        <v>1404000</v>
      </c>
      <c r="F18" s="151">
        <f>E16*E12</f>
        <v>584520</v>
      </c>
      <c r="H18" s="146"/>
      <c r="I18" s="146"/>
    </row>
    <row r="19" spans="2:9" x14ac:dyDescent="0.25">
      <c r="B19" s="124"/>
      <c r="C19" s="118"/>
      <c r="D19" s="118"/>
      <c r="E19" s="118"/>
      <c r="F19" s="119"/>
      <c r="H19" s="146"/>
      <c r="I19" s="146"/>
    </row>
    <row r="20" spans="2:9" x14ac:dyDescent="0.25">
      <c r="B20" s="115" t="s">
        <v>46</v>
      </c>
      <c r="C20" s="118"/>
      <c r="D20" s="118"/>
      <c r="E20" s="116" t="s">
        <v>51</v>
      </c>
      <c r="F20" s="119"/>
      <c r="H20" s="146"/>
      <c r="I20" s="146"/>
    </row>
    <row r="21" spans="2:9" x14ac:dyDescent="0.25">
      <c r="B21" s="127">
        <f>TRUNC((SUM('Fluxo de Caixa'!C3,'Fluxo de Caixa'!C4,'Fluxo de Caixa'!C6,'Fluxo de Caixa'!C9,'Fluxo de Caixa'!C10,'Fluxo de Caixa'!C11)-'Fluxo de Caixa'!C13)/F8)</f>
        <v>2</v>
      </c>
      <c r="C21" s="118"/>
      <c r="D21" s="118"/>
      <c r="E21" s="127">
        <f>TRUNC((SUM('Fluxo de Caixa'!C3,'Fluxo de Caixa'!C4,'Fluxo de Caixa'!C5,'Fluxo de Caixa'!C6,'Fluxo de Caixa'!C11)-'Fluxo de Caixa'!C13)/F8)</f>
        <v>1</v>
      </c>
      <c r="F21" s="119"/>
    </row>
    <row r="22" spans="2:9" x14ac:dyDescent="0.25">
      <c r="B22" s="147" t="s">
        <v>12</v>
      </c>
      <c r="C22" s="147" t="s">
        <v>35</v>
      </c>
      <c r="D22" s="118"/>
      <c r="E22" s="128" t="s">
        <v>44</v>
      </c>
      <c r="F22" s="149" t="s">
        <v>14</v>
      </c>
    </row>
    <row r="23" spans="2:9" ht="15.75" thickBot="1" x14ac:dyDescent="0.3">
      <c r="B23" s="132">
        <f>B21*C12</f>
        <v>936000</v>
      </c>
      <c r="C23" s="132">
        <f>B21*E12</f>
        <v>389680</v>
      </c>
      <c r="D23" s="144"/>
      <c r="E23" s="133">
        <f>E21*C12</f>
        <v>468000</v>
      </c>
      <c r="F23" s="152">
        <f>E21*E12</f>
        <v>194840</v>
      </c>
    </row>
  </sheetData>
  <mergeCells count="3">
    <mergeCell ref="B2:F2"/>
    <mergeCell ref="H2:L2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9F03-F515-4892-907E-614612EB1E11}">
  <sheetPr codeName="Planilha2"/>
  <dimension ref="B1:M23"/>
  <sheetViews>
    <sheetView showGridLines="0" tabSelected="1" zoomScaleNormal="100" workbookViewId="0">
      <selection activeCell="E9" sqref="E9"/>
    </sheetView>
  </sheetViews>
  <sheetFormatPr defaultRowHeight="15" x14ac:dyDescent="0.25"/>
  <cols>
    <col min="1" max="1" width="9.85546875" style="25" customWidth="1"/>
    <col min="2" max="2" width="16.5703125" style="25" bestFit="1" customWidth="1"/>
    <col min="3" max="3" width="15.85546875" style="25" bestFit="1" customWidth="1"/>
    <col min="4" max="4" width="13.28515625" style="25" bestFit="1" customWidth="1"/>
    <col min="5" max="5" width="23.5703125" style="25" bestFit="1" customWidth="1"/>
    <col min="6" max="6" width="14.28515625" style="25" bestFit="1" customWidth="1"/>
    <col min="7" max="7" width="2.5703125" style="54" customWidth="1"/>
    <col min="8" max="8" width="9.85546875" style="25" customWidth="1"/>
    <col min="9" max="9" width="14.5703125" style="25" bestFit="1" customWidth="1"/>
    <col min="10" max="10" width="14.7109375" style="25" bestFit="1" customWidth="1"/>
    <col min="11" max="11" width="16.5703125" style="25" bestFit="1" customWidth="1"/>
    <col min="12" max="12" width="1.28515625" style="25" customWidth="1"/>
    <col min="13" max="13" width="23.5703125" style="25" bestFit="1" customWidth="1"/>
    <col min="14" max="16384" width="9.140625" style="25"/>
  </cols>
  <sheetData>
    <row r="1" spans="2:13" ht="15.75" thickBot="1" x14ac:dyDescent="0.3"/>
    <row r="2" spans="2:13" x14ac:dyDescent="0.25">
      <c r="B2" s="68" t="s">
        <v>0</v>
      </c>
      <c r="C2" s="55"/>
      <c r="D2" s="55"/>
      <c r="E2" s="55"/>
      <c r="F2" s="56"/>
      <c r="I2" s="98" t="s">
        <v>35</v>
      </c>
      <c r="J2" s="99"/>
      <c r="K2" s="100"/>
      <c r="L2" s="55"/>
      <c r="M2" s="56"/>
    </row>
    <row r="3" spans="2:13" x14ac:dyDescent="0.25">
      <c r="B3" s="57" t="s">
        <v>3</v>
      </c>
      <c r="C3" s="26" t="s">
        <v>1</v>
      </c>
      <c r="D3" s="26" t="s">
        <v>2</v>
      </c>
      <c r="E3" s="26" t="s">
        <v>4</v>
      </c>
      <c r="F3" s="58"/>
      <c r="I3" s="57" t="s">
        <v>36</v>
      </c>
      <c r="J3" s="26" t="s">
        <v>37</v>
      </c>
      <c r="K3" s="26" t="s">
        <v>26</v>
      </c>
      <c r="L3" s="61"/>
      <c r="M3" s="58"/>
    </row>
    <row r="4" spans="2:13" x14ac:dyDescent="0.25">
      <c r="B4" s="59">
        <v>100000</v>
      </c>
      <c r="C4" s="28">
        <v>5</v>
      </c>
      <c r="D4" s="28">
        <v>30</v>
      </c>
      <c r="E4" s="27">
        <v>900</v>
      </c>
      <c r="F4" s="58"/>
      <c r="I4" s="59">
        <f>C4</f>
        <v>5</v>
      </c>
      <c r="J4" s="27">
        <v>500</v>
      </c>
      <c r="K4" s="27">
        <f>I4*J4</f>
        <v>2500</v>
      </c>
      <c r="L4" s="61"/>
      <c r="M4" s="58"/>
    </row>
    <row r="5" spans="2:13" x14ac:dyDescent="0.25">
      <c r="B5" s="60"/>
      <c r="C5" s="61"/>
      <c r="D5" s="61"/>
      <c r="E5" s="61"/>
      <c r="F5" s="58"/>
      <c r="I5" s="60"/>
      <c r="J5" s="61"/>
      <c r="K5" s="61"/>
      <c r="L5" s="61"/>
      <c r="M5" s="58"/>
    </row>
    <row r="6" spans="2:13" x14ac:dyDescent="0.25">
      <c r="B6" s="62" t="s">
        <v>8</v>
      </c>
      <c r="C6" s="61"/>
      <c r="D6" s="61"/>
      <c r="E6" s="61"/>
      <c r="F6" s="58"/>
      <c r="I6" s="60"/>
      <c r="J6" s="61"/>
      <c r="K6" s="61"/>
      <c r="L6" s="61"/>
      <c r="M6" s="58"/>
    </row>
    <row r="7" spans="2:13" x14ac:dyDescent="0.25">
      <c r="B7" s="57" t="s">
        <v>9</v>
      </c>
      <c r="C7" s="26" t="s">
        <v>10</v>
      </c>
      <c r="D7" s="26" t="s">
        <v>11</v>
      </c>
      <c r="E7" s="26" t="s">
        <v>6</v>
      </c>
      <c r="F7" s="63" t="s">
        <v>7</v>
      </c>
      <c r="I7" s="57" t="s">
        <v>38</v>
      </c>
      <c r="J7" s="26" t="s">
        <v>39</v>
      </c>
      <c r="K7" s="26" t="s">
        <v>45</v>
      </c>
      <c r="L7" s="69"/>
      <c r="M7" s="63" t="s">
        <v>47</v>
      </c>
    </row>
    <row r="8" spans="2:13" x14ac:dyDescent="0.25">
      <c r="B8" s="59">
        <v>3500</v>
      </c>
      <c r="C8" s="29">
        <v>0.06</v>
      </c>
      <c r="D8" s="29">
        <v>0.06</v>
      </c>
      <c r="E8" s="27">
        <f>(B4/C4)+B8+(D4*E4)+(B12*(C8/100)+(B12*(D8/100)))</f>
        <v>50640.4</v>
      </c>
      <c r="F8" s="64">
        <f>E8*C4</f>
        <v>253202</v>
      </c>
      <c r="I8" s="59">
        <f>F8-(F8*0.12)</f>
        <v>222817.76</v>
      </c>
      <c r="J8" s="27">
        <f>'Fluxo de Caixa'!C14-'Fluxo de Caixa'!C12-I8-50000</f>
        <v>654682.24</v>
      </c>
      <c r="K8" s="94">
        <f>TRUNC((SUM('Fluxo de Caixa'!C3:C12)-'Fluxo de Caixa'!C13)/$I$8)</f>
        <v>5</v>
      </c>
      <c r="L8" s="69"/>
      <c r="M8" s="94">
        <f>TRUNC((SUM('Fluxo de Caixa'!C3:C11)-'Fluxo de Caixa'!C13)/$I$8)</f>
        <v>4</v>
      </c>
    </row>
    <row r="9" spans="2:13" x14ac:dyDescent="0.25">
      <c r="B9" s="60"/>
      <c r="C9" s="61"/>
      <c r="D9" s="61"/>
      <c r="E9" s="61"/>
      <c r="F9" s="58"/>
      <c r="I9" s="60"/>
      <c r="J9" s="61"/>
      <c r="K9" s="30" t="s">
        <v>44</v>
      </c>
      <c r="L9" s="69"/>
      <c r="M9" s="70" t="s">
        <v>44</v>
      </c>
    </row>
    <row r="10" spans="2:13" x14ac:dyDescent="0.25">
      <c r="B10" s="62" t="s">
        <v>5</v>
      </c>
      <c r="C10" s="61"/>
      <c r="D10" s="61"/>
      <c r="E10" s="61"/>
      <c r="F10" s="58"/>
      <c r="I10" s="60"/>
      <c r="J10" s="61"/>
      <c r="K10" s="27">
        <f>($I$4*$J$4)*K8</f>
        <v>12500</v>
      </c>
      <c r="L10" s="69"/>
      <c r="M10" s="64">
        <f>($I$4*$J$4)*M8</f>
        <v>10000</v>
      </c>
    </row>
    <row r="11" spans="2:13" x14ac:dyDescent="0.25">
      <c r="B11" s="57" t="s">
        <v>16</v>
      </c>
      <c r="C11" s="26" t="s">
        <v>12</v>
      </c>
      <c r="D11" s="26" t="s">
        <v>13</v>
      </c>
      <c r="E11" s="26" t="s">
        <v>14</v>
      </c>
      <c r="F11" s="63" t="s">
        <v>15</v>
      </c>
      <c r="I11" s="71"/>
      <c r="J11" s="61"/>
      <c r="K11" s="61"/>
      <c r="L11" s="69"/>
      <c r="M11" s="72"/>
    </row>
    <row r="12" spans="2:13" ht="15.75" thickBot="1" x14ac:dyDescent="0.3">
      <c r="B12" s="65">
        <v>117000</v>
      </c>
      <c r="C12" s="66">
        <f>C4*B12</f>
        <v>585000</v>
      </c>
      <c r="D12" s="66">
        <f>B12-E8</f>
        <v>66359.600000000006</v>
      </c>
      <c r="E12" s="66">
        <f>D12*C4</f>
        <v>331798</v>
      </c>
      <c r="F12" s="67">
        <f>(E12/C12)</f>
        <v>0.56717606837606838</v>
      </c>
      <c r="I12" s="73"/>
      <c r="J12" s="61"/>
      <c r="K12" s="26" t="s">
        <v>46</v>
      </c>
      <c r="L12" s="69"/>
      <c r="M12" s="45" t="s">
        <v>51</v>
      </c>
    </row>
    <row r="13" spans="2:13" ht="15.75" thickBot="1" x14ac:dyDescent="0.3">
      <c r="I13" s="74"/>
      <c r="J13" s="69"/>
      <c r="K13" s="94">
        <f>TRUNC(('Fluxo de Caixa'!C3+'Fluxo de Caixa'!C4+'Fluxo de Caixa'!C5+'Fluxo de Caixa'!C6+'Fluxo de Caixa'!C9+'Fluxo de Caixa'!C10+'Fluxo de Caixa'!C11-'Fluxo de Caixa'!C13)/$I$8)</f>
        <v>3</v>
      </c>
      <c r="L13" s="69"/>
      <c r="M13" s="94">
        <f>TRUNC((SUM('Fluxo de Caixa'!C3,'Fluxo de Caixa'!C4,'Fluxo de Caixa'!C5,'Fluxo de Caixa'!C6-'Fluxo de Caixa'!C13)/$I$8))</f>
        <v>1</v>
      </c>
    </row>
    <row r="14" spans="2:13" ht="18.75" x14ac:dyDescent="0.3">
      <c r="B14" s="95" t="s">
        <v>55</v>
      </c>
      <c r="C14" s="96"/>
      <c r="D14" s="96"/>
      <c r="E14" s="96"/>
      <c r="F14" s="97"/>
      <c r="I14" s="74"/>
      <c r="J14" s="69"/>
      <c r="K14" s="30" t="s">
        <v>44</v>
      </c>
      <c r="L14" s="69"/>
      <c r="M14" s="47" t="s">
        <v>44</v>
      </c>
    </row>
    <row r="15" spans="2:13" ht="15.75" thickBot="1" x14ac:dyDescent="0.3">
      <c r="B15" s="88" t="s">
        <v>45</v>
      </c>
      <c r="C15" s="79"/>
      <c r="D15" s="79"/>
      <c r="E15" s="78" t="s">
        <v>47</v>
      </c>
      <c r="F15" s="80"/>
      <c r="I15" s="75"/>
      <c r="J15" s="76"/>
      <c r="K15" s="66">
        <f>($I$4*$J$4)*K13</f>
        <v>7500</v>
      </c>
      <c r="L15" s="76"/>
      <c r="M15" s="49">
        <f>($I$4*$J$4)*M13</f>
        <v>2500</v>
      </c>
    </row>
    <row r="16" spans="2:13" x14ac:dyDescent="0.25">
      <c r="B16" s="94">
        <f>TRUNC((SUM('Fluxo de Caixa'!C3:C12)-'Fluxo de Caixa'!C13)/F8)</f>
        <v>4</v>
      </c>
      <c r="C16" s="79"/>
      <c r="D16" s="79"/>
      <c r="E16" s="94">
        <f>TRUNC((SUM('Fluxo de Caixa'!C3,'Fluxo de Caixa'!C4,'Fluxo de Caixa'!C5,'Fluxo de Caixa'!C6,'Fluxo de Caixa'!C7,'Fluxo de Caixa'!C8,'Fluxo de Caixa'!C9,'Fluxo de Caixa'!C10,'Fluxo de Caixa'!C11)-'Fluxo de Caixa'!C13)/F8)</f>
        <v>3</v>
      </c>
      <c r="F16" s="80"/>
    </row>
    <row r="17" spans="2:6" x14ac:dyDescent="0.25">
      <c r="B17" s="87" t="s">
        <v>12</v>
      </c>
      <c r="C17" s="87" t="s">
        <v>14</v>
      </c>
      <c r="D17" s="79"/>
      <c r="E17" s="89" t="s">
        <v>44</v>
      </c>
      <c r="F17" s="91" t="s">
        <v>14</v>
      </c>
    </row>
    <row r="18" spans="2:6" x14ac:dyDescent="0.25">
      <c r="B18" s="81">
        <f>C12*B16</f>
        <v>2340000</v>
      </c>
      <c r="C18" s="81">
        <f>B16*E12</f>
        <v>1327192</v>
      </c>
      <c r="D18" s="79"/>
      <c r="E18" s="90">
        <f>E16*C12</f>
        <v>1755000</v>
      </c>
      <c r="F18" s="92">
        <f>E16*E12</f>
        <v>995394</v>
      </c>
    </row>
    <row r="19" spans="2:6" x14ac:dyDescent="0.25">
      <c r="B19" s="82"/>
      <c r="C19" s="79"/>
      <c r="D19" s="79"/>
      <c r="E19" s="79"/>
      <c r="F19" s="80"/>
    </row>
    <row r="20" spans="2:6" x14ac:dyDescent="0.25">
      <c r="B20" s="77" t="s">
        <v>46</v>
      </c>
      <c r="C20" s="79"/>
      <c r="D20" s="79"/>
      <c r="E20" s="78" t="s">
        <v>51</v>
      </c>
      <c r="F20" s="80"/>
    </row>
    <row r="21" spans="2:6" x14ac:dyDescent="0.25">
      <c r="B21" s="94">
        <f>TRUNC((SUM('Fluxo de Caixa'!C3,'Fluxo de Caixa'!C4,'Fluxo de Caixa'!C6,'Fluxo de Caixa'!C9,'Fluxo de Caixa'!C10,'Fluxo de Caixa'!C11)-'Fluxo de Caixa'!C13)/F8)</f>
        <v>2</v>
      </c>
      <c r="C21" s="79"/>
      <c r="D21" s="79"/>
      <c r="E21" s="94">
        <f>TRUNC((SUM('Fluxo de Caixa'!C3,'Fluxo de Caixa'!C4,'Fluxo de Caixa'!C5,'Fluxo de Caixa'!C6,'Fluxo de Caixa'!C11)-'Fluxo de Caixa'!C13)/F8)</f>
        <v>1</v>
      </c>
      <c r="F21" s="80"/>
    </row>
    <row r="22" spans="2:6" x14ac:dyDescent="0.25">
      <c r="B22" s="87" t="s">
        <v>12</v>
      </c>
      <c r="C22" s="87" t="s">
        <v>35</v>
      </c>
      <c r="D22" s="79"/>
      <c r="E22" s="83" t="s">
        <v>44</v>
      </c>
      <c r="F22" s="91" t="s">
        <v>14</v>
      </c>
    </row>
    <row r="23" spans="2:6" ht="15.75" thickBot="1" x14ac:dyDescent="0.3">
      <c r="B23" s="84">
        <f>B21*C12</f>
        <v>1170000</v>
      </c>
      <c r="C23" s="84">
        <f>B21*E12</f>
        <v>663596</v>
      </c>
      <c r="D23" s="86"/>
      <c r="E23" s="85">
        <f>E21*C12</f>
        <v>585000</v>
      </c>
      <c r="F23" s="93">
        <f>E21*E12</f>
        <v>331798</v>
      </c>
    </row>
  </sheetData>
  <mergeCells count="2">
    <mergeCell ref="I2:K2"/>
    <mergeCell ref="B14:F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BF7B-05BF-49C4-A968-4F234E5B14A3}">
  <sheetPr codeName="Planilha3"/>
  <dimension ref="B1:L23"/>
  <sheetViews>
    <sheetView showGridLines="0" zoomScaleNormal="100" workbookViewId="0">
      <selection activeCell="H9" sqref="H9"/>
    </sheetView>
  </sheetViews>
  <sheetFormatPr defaultRowHeight="15" x14ac:dyDescent="0.25"/>
  <cols>
    <col min="1" max="1" width="9.140625" style="3"/>
    <col min="2" max="2" width="16.5703125" style="3" bestFit="1" customWidth="1"/>
    <col min="3" max="3" width="14.28515625" style="3" bestFit="1" customWidth="1"/>
    <col min="4" max="4" width="13.28515625" style="3" bestFit="1" customWidth="1"/>
    <col min="5" max="5" width="23.5703125" style="3" bestFit="1" customWidth="1"/>
    <col min="6" max="6" width="15" style="3" bestFit="1" customWidth="1"/>
    <col min="7" max="7" width="4.42578125" style="3" customWidth="1"/>
    <col min="8" max="8" width="20.7109375" style="3" bestFit="1" customWidth="1"/>
    <col min="9" max="9" width="14.7109375" style="3" bestFit="1" customWidth="1"/>
    <col min="10" max="10" width="23.42578125" style="3" bestFit="1" customWidth="1"/>
    <col min="11" max="11" width="3.42578125" style="3" customWidth="1"/>
    <col min="12" max="12" width="23.5703125" style="3" bestFit="1" customWidth="1"/>
    <col min="13" max="16384" width="9.140625" style="3"/>
  </cols>
  <sheetData>
    <row r="1" spans="2:12" ht="15.75" thickBot="1" x14ac:dyDescent="0.3"/>
    <row r="2" spans="2:12" x14ac:dyDescent="0.25">
      <c r="B2" s="50" t="s">
        <v>0</v>
      </c>
      <c r="C2" s="33"/>
      <c r="D2" s="33"/>
      <c r="E2" s="33"/>
      <c r="F2" s="34"/>
      <c r="H2" s="101" t="s">
        <v>35</v>
      </c>
      <c r="I2" s="102"/>
      <c r="J2" s="103"/>
      <c r="K2" s="33"/>
      <c r="L2" s="34"/>
    </row>
    <row r="3" spans="2:12" x14ac:dyDescent="0.25">
      <c r="B3" s="35" t="s">
        <v>3</v>
      </c>
      <c r="C3" s="4" t="s">
        <v>1</v>
      </c>
      <c r="D3" s="4" t="s">
        <v>2</v>
      </c>
      <c r="E3" s="4" t="s">
        <v>4</v>
      </c>
      <c r="F3" s="45" t="s">
        <v>33</v>
      </c>
      <c r="H3" s="35" t="s">
        <v>36</v>
      </c>
      <c r="I3" s="4" t="s">
        <v>37</v>
      </c>
      <c r="J3" s="4" t="s">
        <v>26</v>
      </c>
      <c r="K3" s="20"/>
      <c r="L3" s="36"/>
    </row>
    <row r="4" spans="2:12" x14ac:dyDescent="0.25">
      <c r="B4" s="37">
        <v>180000</v>
      </c>
      <c r="C4" s="2">
        <v>3</v>
      </c>
      <c r="D4" s="2">
        <v>55</v>
      </c>
      <c r="E4" s="5">
        <v>900</v>
      </c>
      <c r="F4" s="46">
        <f>B4/C4</f>
        <v>60000</v>
      </c>
      <c r="H4" s="37">
        <f>C4</f>
        <v>3</v>
      </c>
      <c r="I4" s="5">
        <v>500</v>
      </c>
      <c r="J4" s="5">
        <f>H4*I4</f>
        <v>1500</v>
      </c>
      <c r="K4" s="20"/>
      <c r="L4" s="36"/>
    </row>
    <row r="5" spans="2:12" x14ac:dyDescent="0.25">
      <c r="B5" s="38"/>
      <c r="C5" s="20"/>
      <c r="D5" s="20"/>
      <c r="E5" s="20"/>
      <c r="F5" s="36"/>
      <c r="H5" s="38"/>
      <c r="I5" s="20"/>
      <c r="J5" s="20"/>
      <c r="K5" s="20"/>
      <c r="L5" s="36"/>
    </row>
    <row r="6" spans="2:12" x14ac:dyDescent="0.25">
      <c r="B6" s="51" t="s">
        <v>8</v>
      </c>
      <c r="C6" s="20"/>
      <c r="D6" s="20"/>
      <c r="E6" s="20"/>
      <c r="F6" s="36"/>
      <c r="H6" s="38"/>
      <c r="I6" s="20"/>
      <c r="J6" s="20"/>
      <c r="K6" s="20"/>
      <c r="L6" s="36"/>
    </row>
    <row r="7" spans="2:12" x14ac:dyDescent="0.25">
      <c r="B7" s="35" t="s">
        <v>9</v>
      </c>
      <c r="C7" s="4" t="s">
        <v>10</v>
      </c>
      <c r="D7" s="4" t="s">
        <v>11</v>
      </c>
      <c r="E7" s="4" t="s">
        <v>6</v>
      </c>
      <c r="F7" s="45" t="s">
        <v>7</v>
      </c>
      <c r="H7" s="35" t="s">
        <v>38</v>
      </c>
      <c r="I7" s="4" t="s">
        <v>39</v>
      </c>
      <c r="J7" s="4" t="s">
        <v>45</v>
      </c>
      <c r="K7" s="20"/>
      <c r="L7" s="45" t="s">
        <v>47</v>
      </c>
    </row>
    <row r="8" spans="2:12" x14ac:dyDescent="0.25">
      <c r="B8" s="37">
        <v>3500</v>
      </c>
      <c r="C8" s="6">
        <v>0.06</v>
      </c>
      <c r="D8" s="6">
        <v>0.06</v>
      </c>
      <c r="E8" s="5">
        <f>(B4/C4)+B8+(D4*E4)+(B12*C8)+(B12*D8)</f>
        <v>135800</v>
      </c>
      <c r="F8" s="46">
        <f>E8*C4</f>
        <v>407400</v>
      </c>
      <c r="H8" s="37">
        <f>F8-(F8*0.12)</f>
        <v>358512</v>
      </c>
      <c r="I8" s="5">
        <f>'Fluxo de Caixa'!C14-'Fluxo de Caixa'!C12-H8-50000</f>
        <v>518988</v>
      </c>
      <c r="J8" s="94">
        <f>TRUNC((SUM('Fluxo de Caixa'!C3:C12)-'Fluxo de Caixa'!C13)/$H$8)</f>
        <v>3</v>
      </c>
      <c r="K8" s="20"/>
      <c r="L8" s="94">
        <f>TRUNC((SUM('Fluxo de Caixa'!C3:C11)-'Fluxo de Caixa'!C13)/$H$8)</f>
        <v>2</v>
      </c>
    </row>
    <row r="9" spans="2:12" x14ac:dyDescent="0.25">
      <c r="B9" s="38"/>
      <c r="C9" s="20"/>
      <c r="D9" s="20"/>
      <c r="E9" s="20"/>
      <c r="F9" s="36"/>
      <c r="H9" s="38"/>
      <c r="I9" s="20"/>
      <c r="J9" s="19" t="s">
        <v>44</v>
      </c>
      <c r="K9" s="20"/>
      <c r="L9" s="47" t="s">
        <v>44</v>
      </c>
    </row>
    <row r="10" spans="2:12" x14ac:dyDescent="0.25">
      <c r="B10" s="51" t="s">
        <v>5</v>
      </c>
      <c r="C10" s="20"/>
      <c r="D10" s="20"/>
      <c r="E10" s="20"/>
      <c r="F10" s="36"/>
      <c r="H10" s="38"/>
      <c r="I10" s="20"/>
      <c r="J10" s="5">
        <f>($H$4*$I$4)*J8</f>
        <v>4500</v>
      </c>
      <c r="K10" s="20"/>
      <c r="L10" s="46">
        <f>($H$4*$I$4)*L8</f>
        <v>3000</v>
      </c>
    </row>
    <row r="11" spans="2:12" x14ac:dyDescent="0.25">
      <c r="B11" s="35" t="s">
        <v>16</v>
      </c>
      <c r="C11" s="4" t="s">
        <v>12</v>
      </c>
      <c r="D11" s="4" t="s">
        <v>13</v>
      </c>
      <c r="E11" s="4" t="s">
        <v>14</v>
      </c>
      <c r="F11" s="45" t="s">
        <v>15</v>
      </c>
      <c r="G11" s="7"/>
      <c r="H11" s="39"/>
      <c r="I11" s="20"/>
      <c r="J11" s="20"/>
      <c r="K11" s="20"/>
      <c r="L11" s="36"/>
    </row>
    <row r="12" spans="2:12" ht="15.75" thickBot="1" x14ac:dyDescent="0.3">
      <c r="B12" s="52">
        <v>190000</v>
      </c>
      <c r="C12" s="48">
        <f>C4*B12</f>
        <v>570000</v>
      </c>
      <c r="D12" s="48">
        <f>B12-E8</f>
        <v>54200</v>
      </c>
      <c r="E12" s="48">
        <f>D12*C4</f>
        <v>162600</v>
      </c>
      <c r="F12" s="53">
        <f>(E12/C12)</f>
        <v>0.28526315789473683</v>
      </c>
      <c r="H12" s="40"/>
      <c r="I12" s="20"/>
      <c r="J12" s="4" t="s">
        <v>46</v>
      </c>
      <c r="K12" s="20"/>
      <c r="L12" s="45" t="s">
        <v>51</v>
      </c>
    </row>
    <row r="13" spans="2:12" ht="15.75" thickBot="1" x14ac:dyDescent="0.3">
      <c r="H13" s="41"/>
      <c r="I13" s="21"/>
      <c r="J13" s="94">
        <f>TRUNC(('Fluxo de Caixa'!C3+'Fluxo de Caixa'!C4+'Fluxo de Caixa'!C5+'Fluxo de Caixa'!C6+'Fluxo de Caixa'!C9+'Fluxo de Caixa'!C10+'Fluxo de Caixa'!C11-'Fluxo de Caixa'!C13)/$H$8)</f>
        <v>2</v>
      </c>
      <c r="K13" s="20"/>
      <c r="L13" s="94">
        <f>TRUNC((SUM('Fluxo de Caixa'!C3,'Fluxo de Caixa'!C4,'Fluxo de Caixa'!C5,'Fluxo de Caixa'!C6-'Fluxo de Caixa'!C13)/$H$8))</f>
        <v>0</v>
      </c>
    </row>
    <row r="14" spans="2:12" ht="18.75" x14ac:dyDescent="0.3">
      <c r="B14" s="95" t="s">
        <v>55</v>
      </c>
      <c r="C14" s="96"/>
      <c r="D14" s="96"/>
      <c r="E14" s="96"/>
      <c r="F14" s="97"/>
      <c r="H14" s="41"/>
      <c r="I14" s="21"/>
      <c r="J14" s="19" t="s">
        <v>44</v>
      </c>
      <c r="K14" s="20"/>
      <c r="L14" s="47" t="s">
        <v>44</v>
      </c>
    </row>
    <row r="15" spans="2:12" ht="15.75" thickBot="1" x14ac:dyDescent="0.3">
      <c r="B15" s="88" t="s">
        <v>45</v>
      </c>
      <c r="C15" s="79"/>
      <c r="D15" s="79"/>
      <c r="E15" s="78" t="s">
        <v>47</v>
      </c>
      <c r="F15" s="80"/>
      <c r="H15" s="42"/>
      <c r="I15" s="43"/>
      <c r="J15" s="48">
        <f>($H$4*$I$4)*J13</f>
        <v>3000</v>
      </c>
      <c r="K15" s="44"/>
      <c r="L15" s="49">
        <f>($H$4*$I$4)*L13</f>
        <v>0</v>
      </c>
    </row>
    <row r="16" spans="2:12" x14ac:dyDescent="0.25">
      <c r="B16" s="94">
        <f>TRUNC((SUM('Fluxo de Caixa'!C3:C12)-'Fluxo de Caixa'!C13)/F8)</f>
        <v>3</v>
      </c>
      <c r="C16" s="79"/>
      <c r="D16" s="79"/>
      <c r="E16" s="94">
        <f>TRUNC((SUM('Fluxo de Caixa'!C3,'Fluxo de Caixa'!C4,'Fluxo de Caixa'!C5,'Fluxo de Caixa'!C6,'Fluxo de Caixa'!C7,'Fluxo de Caixa'!C8,'Fluxo de Caixa'!C9,'Fluxo de Caixa'!C10,'Fluxo de Caixa'!C11)-'Fluxo de Caixa'!C13)/F8)</f>
        <v>2</v>
      </c>
      <c r="F16" s="80"/>
      <c r="H16"/>
      <c r="I16"/>
      <c r="J16"/>
    </row>
    <row r="17" spans="2:9" x14ac:dyDescent="0.25">
      <c r="B17" s="87" t="s">
        <v>12</v>
      </c>
      <c r="C17" s="87" t="s">
        <v>14</v>
      </c>
      <c r="D17" s="79"/>
      <c r="E17" s="89" t="s">
        <v>44</v>
      </c>
      <c r="F17" s="91" t="s">
        <v>14</v>
      </c>
      <c r="H17"/>
      <c r="I17"/>
    </row>
    <row r="18" spans="2:9" x14ac:dyDescent="0.25">
      <c r="B18" s="81">
        <f>C12*B16</f>
        <v>1710000</v>
      </c>
      <c r="C18" s="81">
        <f>B16*E12</f>
        <v>487800</v>
      </c>
      <c r="D18" s="79"/>
      <c r="E18" s="90">
        <f>E16*C12</f>
        <v>1140000</v>
      </c>
      <c r="F18" s="92">
        <f>E16*E12</f>
        <v>325200</v>
      </c>
      <c r="H18"/>
      <c r="I18"/>
    </row>
    <row r="19" spans="2:9" x14ac:dyDescent="0.25">
      <c r="B19" s="82"/>
      <c r="C19" s="79"/>
      <c r="D19" s="79"/>
      <c r="E19" s="79"/>
      <c r="F19" s="80"/>
      <c r="H19"/>
      <c r="I19"/>
    </row>
    <row r="20" spans="2:9" x14ac:dyDescent="0.25">
      <c r="B20" s="77" t="s">
        <v>46</v>
      </c>
      <c r="C20" s="79"/>
      <c r="D20" s="79"/>
      <c r="E20" s="78" t="s">
        <v>51</v>
      </c>
      <c r="F20" s="80"/>
      <c r="H20"/>
      <c r="I20"/>
    </row>
    <row r="21" spans="2:9" x14ac:dyDescent="0.25">
      <c r="B21" s="94">
        <f>TRUNC((SUM('Fluxo de Caixa'!C3,'Fluxo de Caixa'!C4,'Fluxo de Caixa'!C6,'Fluxo de Caixa'!C9,'Fluxo de Caixa'!C10,'Fluxo de Caixa'!C11)-'Fluxo de Caixa'!C13)/F8)</f>
        <v>1</v>
      </c>
      <c r="C21" s="79"/>
      <c r="D21" s="79"/>
      <c r="E21" s="94">
        <f>TRUNC((SUM('Fluxo de Caixa'!C3,'Fluxo de Caixa'!C4,'Fluxo de Caixa'!C5,'Fluxo de Caixa'!C6,'Fluxo de Caixa'!C11)-'Fluxo de Caixa'!C13)/F8)</f>
        <v>0</v>
      </c>
      <c r="F21" s="80"/>
    </row>
    <row r="22" spans="2:9" x14ac:dyDescent="0.25">
      <c r="B22" s="87" t="s">
        <v>12</v>
      </c>
      <c r="C22" s="87" t="s">
        <v>35</v>
      </c>
      <c r="D22" s="79"/>
      <c r="E22" s="83" t="s">
        <v>44</v>
      </c>
      <c r="F22" s="91" t="s">
        <v>14</v>
      </c>
    </row>
    <row r="23" spans="2:9" ht="15.75" thickBot="1" x14ac:dyDescent="0.3">
      <c r="B23" s="84">
        <f>B21*C12</f>
        <v>570000</v>
      </c>
      <c r="C23" s="84">
        <f>B21*E12</f>
        <v>162600</v>
      </c>
      <c r="D23" s="86"/>
      <c r="E23" s="85">
        <f>E21*C12</f>
        <v>0</v>
      </c>
      <c r="F23" s="93">
        <f>E21*E12</f>
        <v>0</v>
      </c>
    </row>
  </sheetData>
  <mergeCells count="2">
    <mergeCell ref="H2:J2"/>
    <mergeCell ref="B14:F1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8B1C-963A-41A0-ABA9-BB37B05AEDB3}">
  <sheetPr codeName="Planilha4"/>
  <dimension ref="B1:L23"/>
  <sheetViews>
    <sheetView showGridLines="0" zoomScaleNormal="100" workbookViewId="0">
      <selection activeCell="H9" sqref="H9"/>
    </sheetView>
  </sheetViews>
  <sheetFormatPr defaultRowHeight="15" x14ac:dyDescent="0.25"/>
  <cols>
    <col min="1" max="1" width="9.140625" style="3"/>
    <col min="2" max="2" width="16.5703125" style="3" bestFit="1" customWidth="1"/>
    <col min="3" max="3" width="14.28515625" style="3" bestFit="1" customWidth="1"/>
    <col min="4" max="4" width="13.85546875" style="3" bestFit="1" customWidth="1"/>
    <col min="5" max="5" width="23.5703125" style="3" bestFit="1" customWidth="1"/>
    <col min="6" max="6" width="15" style="3" bestFit="1" customWidth="1"/>
    <col min="7" max="7" width="5.42578125" style="3" customWidth="1"/>
    <col min="8" max="8" width="20.7109375" style="3" bestFit="1" customWidth="1"/>
    <col min="9" max="9" width="14.7109375" style="3" bestFit="1" customWidth="1"/>
    <col min="10" max="10" width="23.42578125" style="3" bestFit="1" customWidth="1"/>
    <col min="11" max="11" width="2.140625" style="3" customWidth="1"/>
    <col min="12" max="12" width="23.5703125" style="3" bestFit="1" customWidth="1"/>
    <col min="13" max="16384" width="9.140625" style="3"/>
  </cols>
  <sheetData>
    <row r="1" spans="2:12" ht="15.75" thickBot="1" x14ac:dyDescent="0.3"/>
    <row r="2" spans="2:12" x14ac:dyDescent="0.25">
      <c r="B2" s="50" t="s">
        <v>0</v>
      </c>
      <c r="C2" s="33"/>
      <c r="D2" s="33"/>
      <c r="E2" s="33"/>
      <c r="F2" s="34"/>
      <c r="H2" s="101" t="s">
        <v>35</v>
      </c>
      <c r="I2" s="102"/>
      <c r="J2" s="103"/>
      <c r="K2" s="33"/>
      <c r="L2" s="34"/>
    </row>
    <row r="3" spans="2:12" x14ac:dyDescent="0.25">
      <c r="B3" s="35" t="s">
        <v>3</v>
      </c>
      <c r="C3" s="4" t="s">
        <v>1</v>
      </c>
      <c r="D3" s="4" t="s">
        <v>2</v>
      </c>
      <c r="E3" s="4" t="s">
        <v>4</v>
      </c>
      <c r="F3" s="45" t="s">
        <v>33</v>
      </c>
      <c r="H3" s="35" t="s">
        <v>36</v>
      </c>
      <c r="I3" s="4" t="s">
        <v>37</v>
      </c>
      <c r="J3" s="4" t="s">
        <v>26</v>
      </c>
      <c r="K3" s="20"/>
      <c r="L3" s="36"/>
    </row>
    <row r="4" spans="2:12" x14ac:dyDescent="0.25">
      <c r="B4" s="37">
        <v>70000</v>
      </c>
      <c r="C4" s="2">
        <v>2</v>
      </c>
      <c r="D4" s="2">
        <v>35</v>
      </c>
      <c r="E4" s="5">
        <v>900</v>
      </c>
      <c r="F4" s="46">
        <f>B4/C4</f>
        <v>35000</v>
      </c>
      <c r="H4" s="37">
        <f>C4</f>
        <v>2</v>
      </c>
      <c r="I4" s="5">
        <v>500</v>
      </c>
      <c r="J4" s="5">
        <f>H4*I4</f>
        <v>1000</v>
      </c>
      <c r="K4" s="20"/>
      <c r="L4" s="36"/>
    </row>
    <row r="5" spans="2:12" x14ac:dyDescent="0.25">
      <c r="B5" s="38"/>
      <c r="C5" s="20"/>
      <c r="D5" s="20"/>
      <c r="E5" s="20"/>
      <c r="F5" s="36"/>
      <c r="H5" s="38"/>
      <c r="I5" s="20"/>
      <c r="J5" s="20"/>
      <c r="K5" s="20"/>
      <c r="L5" s="36"/>
    </row>
    <row r="6" spans="2:12" x14ac:dyDescent="0.25">
      <c r="B6" s="51" t="s">
        <v>8</v>
      </c>
      <c r="C6" s="20"/>
      <c r="D6" s="20"/>
      <c r="E6" s="20"/>
      <c r="F6" s="36"/>
      <c r="H6" s="38"/>
      <c r="I6" s="20"/>
      <c r="J6" s="20"/>
      <c r="K6" s="20"/>
      <c r="L6" s="36"/>
    </row>
    <row r="7" spans="2:12" x14ac:dyDescent="0.25">
      <c r="B7" s="35" t="s">
        <v>9</v>
      </c>
      <c r="C7" s="4" t="s">
        <v>10</v>
      </c>
      <c r="D7" s="4" t="s">
        <v>11</v>
      </c>
      <c r="E7" s="4" t="s">
        <v>6</v>
      </c>
      <c r="F7" s="45" t="s">
        <v>7</v>
      </c>
      <c r="H7" s="35" t="s">
        <v>38</v>
      </c>
      <c r="I7" s="4" t="s">
        <v>39</v>
      </c>
      <c r="J7" s="4" t="s">
        <v>45</v>
      </c>
      <c r="K7" s="20"/>
      <c r="L7" s="45" t="s">
        <v>47</v>
      </c>
    </row>
    <row r="8" spans="2:12" x14ac:dyDescent="0.25">
      <c r="B8" s="37">
        <v>3500</v>
      </c>
      <c r="C8" s="6">
        <v>0.06</v>
      </c>
      <c r="D8" s="6">
        <v>0.06</v>
      </c>
      <c r="E8" s="5">
        <f>(B4/C4)+B8+(D4*E4)+(B12*C8)+(B12*D8)</f>
        <v>86200</v>
      </c>
      <c r="F8" s="46">
        <f>E8*C4</f>
        <v>172400</v>
      </c>
      <c r="H8" s="37">
        <f>F8-(F8*0.12)</f>
        <v>151712</v>
      </c>
      <c r="I8" s="5">
        <f>'Fluxo de Caixa'!C14-'Fluxo de Caixa'!C12-H8-50000</f>
        <v>725788</v>
      </c>
      <c r="J8" s="94">
        <f>TRUNC((SUM('Fluxo de Caixa'!C3:C12)-'Fluxo de Caixa'!C13)/$H$8)</f>
        <v>8</v>
      </c>
      <c r="K8" s="20"/>
      <c r="L8" s="94">
        <f>TRUNC((SUM('Fluxo de Caixa'!C3:C11)-'Fluxo de Caixa'!C13)/$H$8)</f>
        <v>5</v>
      </c>
    </row>
    <row r="9" spans="2:12" x14ac:dyDescent="0.25">
      <c r="B9" s="38"/>
      <c r="C9" s="20"/>
      <c r="D9" s="20"/>
      <c r="E9" s="20"/>
      <c r="F9" s="36"/>
      <c r="H9" s="38"/>
      <c r="I9" s="20"/>
      <c r="J9" s="19" t="s">
        <v>44</v>
      </c>
      <c r="K9" s="20"/>
      <c r="L9" s="47" t="s">
        <v>44</v>
      </c>
    </row>
    <row r="10" spans="2:12" x14ac:dyDescent="0.25">
      <c r="B10" s="51" t="s">
        <v>5</v>
      </c>
      <c r="C10" s="20"/>
      <c r="D10" s="20"/>
      <c r="E10" s="20"/>
      <c r="F10" s="36"/>
      <c r="H10" s="38"/>
      <c r="I10" s="20"/>
      <c r="J10" s="5">
        <f>($H$4*$I$4)*J8</f>
        <v>8000</v>
      </c>
      <c r="K10" s="20"/>
      <c r="L10" s="46">
        <f>($H$4*$I$4)*L8</f>
        <v>5000</v>
      </c>
    </row>
    <row r="11" spans="2:12" x14ac:dyDescent="0.25">
      <c r="B11" s="35" t="s">
        <v>16</v>
      </c>
      <c r="C11" s="4" t="s">
        <v>12</v>
      </c>
      <c r="D11" s="4" t="s">
        <v>13</v>
      </c>
      <c r="E11" s="4" t="s">
        <v>14</v>
      </c>
      <c r="F11" s="45" t="s">
        <v>15</v>
      </c>
      <c r="G11" s="7"/>
      <c r="H11" s="39"/>
      <c r="I11" s="20"/>
      <c r="J11" s="20"/>
      <c r="K11" s="20"/>
      <c r="L11" s="36"/>
    </row>
    <row r="12" spans="2:12" ht="15.75" thickBot="1" x14ac:dyDescent="0.3">
      <c r="B12" s="52">
        <v>135000</v>
      </c>
      <c r="C12" s="48">
        <f>C4*B12</f>
        <v>270000</v>
      </c>
      <c r="D12" s="48">
        <f>B12-E8</f>
        <v>48800</v>
      </c>
      <c r="E12" s="48">
        <f>D12*C4</f>
        <v>97600</v>
      </c>
      <c r="F12" s="53">
        <f>(E12/C12)</f>
        <v>0.36148148148148146</v>
      </c>
      <c r="H12" s="40"/>
      <c r="I12" s="20"/>
      <c r="J12" s="4" t="s">
        <v>46</v>
      </c>
      <c r="K12" s="20"/>
      <c r="L12" s="45" t="s">
        <v>51</v>
      </c>
    </row>
    <row r="13" spans="2:12" ht="15.75" thickBot="1" x14ac:dyDescent="0.3">
      <c r="H13" s="41"/>
      <c r="I13" s="21"/>
      <c r="J13" s="94">
        <f>TRUNC(('Fluxo de Caixa'!C3+'Fluxo de Caixa'!C4+'Fluxo de Caixa'!C5+'Fluxo de Caixa'!C6+'Fluxo de Caixa'!C9+'Fluxo de Caixa'!C10+'Fluxo de Caixa'!C11-'Fluxo de Caixa'!C13)/$H$8)</f>
        <v>4</v>
      </c>
      <c r="K13" s="20"/>
      <c r="L13" s="94">
        <f>TRUNC((SUM('Fluxo de Caixa'!C3,'Fluxo de Caixa'!C4,'Fluxo de Caixa'!C5,'Fluxo de Caixa'!C6-'Fluxo de Caixa'!C13)/$H$8))</f>
        <v>1</v>
      </c>
    </row>
    <row r="14" spans="2:12" ht="18.75" x14ac:dyDescent="0.3">
      <c r="B14" s="95" t="s">
        <v>55</v>
      </c>
      <c r="C14" s="96"/>
      <c r="D14" s="96"/>
      <c r="E14" s="96"/>
      <c r="F14" s="97"/>
      <c r="H14" s="41"/>
      <c r="I14" s="21"/>
      <c r="J14" s="19" t="s">
        <v>44</v>
      </c>
      <c r="K14" s="20"/>
      <c r="L14" s="47" t="s">
        <v>44</v>
      </c>
    </row>
    <row r="15" spans="2:12" ht="15.75" thickBot="1" x14ac:dyDescent="0.3">
      <c r="B15" s="88" t="s">
        <v>45</v>
      </c>
      <c r="C15" s="79"/>
      <c r="D15" s="79"/>
      <c r="E15" s="78" t="s">
        <v>47</v>
      </c>
      <c r="F15" s="80"/>
      <c r="H15" s="42"/>
      <c r="I15" s="43"/>
      <c r="J15" s="48">
        <f>($H$4*$I$4)*J13</f>
        <v>4000</v>
      </c>
      <c r="K15" s="44"/>
      <c r="L15" s="49">
        <f>($H$4*$I$4)*L13</f>
        <v>1000</v>
      </c>
    </row>
    <row r="16" spans="2:12" x14ac:dyDescent="0.25">
      <c r="B16" s="94">
        <f>TRUNC((SUM('Fluxo de Caixa'!C3:C12)-'Fluxo de Caixa'!C13)/F8)</f>
        <v>7</v>
      </c>
      <c r="C16" s="79"/>
      <c r="D16" s="79"/>
      <c r="E16" s="94">
        <f>TRUNC((SUM('Fluxo de Caixa'!C3,'Fluxo de Caixa'!C4,'Fluxo de Caixa'!C5,'Fluxo de Caixa'!C6,'Fluxo de Caixa'!C7,'Fluxo de Caixa'!C8,'Fluxo de Caixa'!C9,'Fluxo de Caixa'!C10,'Fluxo de Caixa'!C11)-'Fluxo de Caixa'!C13)/F8)</f>
        <v>5</v>
      </c>
      <c r="F16" s="80"/>
      <c r="H16"/>
      <c r="I16"/>
      <c r="J16"/>
    </row>
    <row r="17" spans="2:9" x14ac:dyDescent="0.25">
      <c r="B17" s="87" t="s">
        <v>12</v>
      </c>
      <c r="C17" s="87" t="s">
        <v>14</v>
      </c>
      <c r="D17" s="79"/>
      <c r="E17" s="89" t="s">
        <v>44</v>
      </c>
      <c r="F17" s="91" t="s">
        <v>14</v>
      </c>
      <c r="H17"/>
      <c r="I17"/>
    </row>
    <row r="18" spans="2:9" x14ac:dyDescent="0.25">
      <c r="B18" s="81">
        <f>C12*B16</f>
        <v>1890000</v>
      </c>
      <c r="C18" s="81">
        <f>B16*E12</f>
        <v>683200</v>
      </c>
      <c r="D18" s="79"/>
      <c r="E18" s="90">
        <f>E16*C12</f>
        <v>1350000</v>
      </c>
      <c r="F18" s="92">
        <f>E16*E12</f>
        <v>488000</v>
      </c>
      <c r="H18"/>
      <c r="I18"/>
    </row>
    <row r="19" spans="2:9" x14ac:dyDescent="0.25">
      <c r="B19" s="82"/>
      <c r="C19" s="79"/>
      <c r="D19" s="79"/>
      <c r="E19" s="79"/>
      <c r="F19" s="80"/>
      <c r="H19"/>
      <c r="I19"/>
    </row>
    <row r="20" spans="2:9" x14ac:dyDescent="0.25">
      <c r="B20" s="77" t="s">
        <v>46</v>
      </c>
      <c r="C20" s="79"/>
      <c r="D20" s="79"/>
      <c r="E20" s="78" t="s">
        <v>51</v>
      </c>
      <c r="F20" s="80"/>
      <c r="H20"/>
      <c r="I20"/>
    </row>
    <row r="21" spans="2:9" x14ac:dyDescent="0.25">
      <c r="B21" s="94">
        <f>TRUNC((SUM('Fluxo de Caixa'!C3,'Fluxo de Caixa'!C4,'Fluxo de Caixa'!C6,'Fluxo de Caixa'!C9,'Fluxo de Caixa'!C10,'Fluxo de Caixa'!C11)-'Fluxo de Caixa'!C13)/F8)</f>
        <v>4</v>
      </c>
      <c r="C21" s="79"/>
      <c r="D21" s="79"/>
      <c r="E21" s="94">
        <f>TRUNC((SUM('Fluxo de Caixa'!C3,'Fluxo de Caixa'!C4,'Fluxo de Caixa'!C5,'Fluxo de Caixa'!C6,'Fluxo de Caixa'!C11)-'Fluxo de Caixa'!C13)/F8)</f>
        <v>1</v>
      </c>
      <c r="F21" s="80"/>
    </row>
    <row r="22" spans="2:9" x14ac:dyDescent="0.25">
      <c r="B22" s="87" t="s">
        <v>12</v>
      </c>
      <c r="C22" s="87" t="s">
        <v>35</v>
      </c>
      <c r="D22" s="79"/>
      <c r="E22" s="83" t="s">
        <v>44</v>
      </c>
      <c r="F22" s="91" t="s">
        <v>14</v>
      </c>
    </row>
    <row r="23" spans="2:9" ht="15.75" thickBot="1" x14ac:dyDescent="0.3">
      <c r="B23" s="84">
        <f>B21*C12</f>
        <v>1080000</v>
      </c>
      <c r="C23" s="84">
        <f>B21*E12</f>
        <v>390400</v>
      </c>
      <c r="D23" s="86"/>
      <c r="E23" s="85">
        <f>E21*C12</f>
        <v>270000</v>
      </c>
      <c r="F23" s="93">
        <f>E21*E12</f>
        <v>97600</v>
      </c>
    </row>
  </sheetData>
  <mergeCells count="2">
    <mergeCell ref="H2:J2"/>
    <mergeCell ref="B14:F1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6BB0-96E0-4672-BE72-E60A33D75554}">
  <sheetPr codeName="Planilha5"/>
  <dimension ref="B1:L23"/>
  <sheetViews>
    <sheetView showGridLines="0" workbookViewId="0">
      <selection activeCell="H9" sqref="H9"/>
    </sheetView>
  </sheetViews>
  <sheetFormatPr defaultRowHeight="15" x14ac:dyDescent="0.25"/>
  <cols>
    <col min="1" max="1" width="9.140625" style="3"/>
    <col min="2" max="2" width="16.5703125" style="3" bestFit="1" customWidth="1"/>
    <col min="3" max="3" width="14.28515625" style="3" bestFit="1" customWidth="1"/>
    <col min="4" max="4" width="13.28515625" style="3" bestFit="1" customWidth="1"/>
    <col min="5" max="5" width="23.5703125" style="3" bestFit="1" customWidth="1"/>
    <col min="6" max="6" width="15" style="3" bestFit="1" customWidth="1"/>
    <col min="7" max="7" width="6.28515625" style="3" customWidth="1"/>
    <col min="8" max="8" width="14.5703125" style="3" bestFit="1" customWidth="1"/>
    <col min="9" max="9" width="14.7109375" style="3" bestFit="1" customWidth="1"/>
    <col min="10" max="10" width="23.42578125" style="3" bestFit="1" customWidth="1"/>
    <col min="11" max="11" width="1.42578125" style="3" customWidth="1"/>
    <col min="12" max="12" width="23.5703125" style="3" bestFit="1" customWidth="1"/>
    <col min="13" max="16384" width="9.140625" style="3"/>
  </cols>
  <sheetData>
    <row r="1" spans="2:12" ht="15.75" thickBot="1" x14ac:dyDescent="0.3"/>
    <row r="2" spans="2:12" x14ac:dyDescent="0.25">
      <c r="B2" s="50" t="s">
        <v>0</v>
      </c>
      <c r="C2" s="33"/>
      <c r="D2" s="33"/>
      <c r="E2" s="33"/>
      <c r="F2" s="34"/>
      <c r="H2" s="101" t="s">
        <v>35</v>
      </c>
      <c r="I2" s="102"/>
      <c r="J2" s="103"/>
      <c r="K2" s="33"/>
      <c r="L2" s="34"/>
    </row>
    <row r="3" spans="2:12" x14ac:dyDescent="0.25">
      <c r="B3" s="35" t="s">
        <v>3</v>
      </c>
      <c r="C3" s="4" t="s">
        <v>1</v>
      </c>
      <c r="D3" s="4" t="s">
        <v>2</v>
      </c>
      <c r="E3" s="4" t="s">
        <v>4</v>
      </c>
      <c r="F3" s="45" t="s">
        <v>33</v>
      </c>
      <c r="H3" s="35" t="s">
        <v>36</v>
      </c>
      <c r="I3" s="4" t="s">
        <v>37</v>
      </c>
      <c r="J3" s="4" t="s">
        <v>26</v>
      </c>
      <c r="K3" s="20"/>
      <c r="L3" s="36"/>
    </row>
    <row r="4" spans="2:12" x14ac:dyDescent="0.25">
      <c r="B4" s="37">
        <v>130000</v>
      </c>
      <c r="C4" s="2">
        <v>4</v>
      </c>
      <c r="D4" s="2">
        <v>35</v>
      </c>
      <c r="E4" s="5">
        <v>900</v>
      </c>
      <c r="F4" s="46">
        <f>B4/C4</f>
        <v>32500</v>
      </c>
      <c r="H4" s="37">
        <f>C4</f>
        <v>4</v>
      </c>
      <c r="I4" s="5">
        <v>500</v>
      </c>
      <c r="J4" s="5">
        <f>H4*I4</f>
        <v>2000</v>
      </c>
      <c r="K4" s="20"/>
      <c r="L4" s="36"/>
    </row>
    <row r="5" spans="2:12" x14ac:dyDescent="0.25">
      <c r="B5" s="38"/>
      <c r="C5" s="20"/>
      <c r="D5" s="20"/>
      <c r="E5" s="20"/>
      <c r="F5" s="36"/>
      <c r="H5" s="38"/>
      <c r="I5" s="20"/>
      <c r="J5" s="20"/>
      <c r="K5" s="20"/>
      <c r="L5" s="36"/>
    </row>
    <row r="6" spans="2:12" x14ac:dyDescent="0.25">
      <c r="B6" s="51" t="s">
        <v>8</v>
      </c>
      <c r="C6" s="20"/>
      <c r="D6" s="20"/>
      <c r="E6" s="20"/>
      <c r="F6" s="36"/>
      <c r="H6" s="38"/>
      <c r="I6" s="20"/>
      <c r="J6" s="20"/>
      <c r="K6" s="20"/>
      <c r="L6" s="36"/>
    </row>
    <row r="7" spans="2:12" x14ac:dyDescent="0.25">
      <c r="B7" s="35" t="s">
        <v>9</v>
      </c>
      <c r="C7" s="4" t="s">
        <v>10</v>
      </c>
      <c r="D7" s="4" t="s">
        <v>11</v>
      </c>
      <c r="E7" s="4" t="s">
        <v>6</v>
      </c>
      <c r="F7" s="45" t="s">
        <v>7</v>
      </c>
      <c r="H7" s="35" t="s">
        <v>38</v>
      </c>
      <c r="I7" s="4" t="s">
        <v>39</v>
      </c>
      <c r="J7" s="4" t="s">
        <v>45</v>
      </c>
      <c r="K7" s="20"/>
      <c r="L7" s="45" t="s">
        <v>47</v>
      </c>
    </row>
    <row r="8" spans="2:12" x14ac:dyDescent="0.25">
      <c r="B8" s="37">
        <v>3500</v>
      </c>
      <c r="C8" s="6">
        <v>0.06</v>
      </c>
      <c r="D8" s="6">
        <v>0.06</v>
      </c>
      <c r="E8" s="5">
        <f>(B4/C4)+B8+(D4*E4)+(B12*C8)+(B12*D8)</f>
        <v>82500</v>
      </c>
      <c r="F8" s="46">
        <f>E8*C4</f>
        <v>330000</v>
      </c>
      <c r="H8" s="37">
        <f>F8-(F8*0.12)</f>
        <v>290400</v>
      </c>
      <c r="I8" s="5">
        <f>'Fluxo de Caixa'!C14-'Fluxo de Caixa'!C12-H8-50000</f>
        <v>587100</v>
      </c>
      <c r="J8" s="94">
        <f>TRUNC((SUM('Fluxo de Caixa'!C3:C12)-'Fluxo de Caixa'!C13)/$H$8)</f>
        <v>4</v>
      </c>
      <c r="K8" s="20"/>
      <c r="L8" s="94">
        <f>TRUNC((SUM('Fluxo de Caixa'!C3:C11)-'Fluxo de Caixa'!C13)/$H$8)</f>
        <v>3</v>
      </c>
    </row>
    <row r="9" spans="2:12" x14ac:dyDescent="0.25">
      <c r="B9" s="38"/>
      <c r="C9" s="20"/>
      <c r="D9" s="20"/>
      <c r="E9" s="20"/>
      <c r="F9" s="36"/>
      <c r="H9" s="38"/>
      <c r="I9" s="20"/>
      <c r="J9" s="19" t="s">
        <v>44</v>
      </c>
      <c r="K9" s="20"/>
      <c r="L9" s="47" t="s">
        <v>44</v>
      </c>
    </row>
    <row r="10" spans="2:12" x14ac:dyDescent="0.25">
      <c r="B10" s="51" t="s">
        <v>5</v>
      </c>
      <c r="C10" s="20"/>
      <c r="D10" s="20"/>
      <c r="E10" s="20"/>
      <c r="F10" s="36"/>
      <c r="H10" s="38"/>
      <c r="I10" s="20"/>
      <c r="J10" s="5">
        <f>($H$4*$I$4)*J8</f>
        <v>8000</v>
      </c>
      <c r="K10" s="20"/>
      <c r="L10" s="46">
        <f>($H$4*$I$4)*L8</f>
        <v>6000</v>
      </c>
    </row>
    <row r="11" spans="2:12" x14ac:dyDescent="0.25">
      <c r="B11" s="35" t="s">
        <v>16</v>
      </c>
      <c r="C11" s="4" t="s">
        <v>12</v>
      </c>
      <c r="D11" s="4" t="s">
        <v>13</v>
      </c>
      <c r="E11" s="4" t="s">
        <v>14</v>
      </c>
      <c r="F11" s="45" t="s">
        <v>15</v>
      </c>
      <c r="G11" s="7"/>
      <c r="H11" s="39"/>
      <c r="I11" s="20"/>
      <c r="J11" s="20"/>
      <c r="K11" s="20"/>
      <c r="L11" s="36"/>
    </row>
    <row r="12" spans="2:12" ht="15.75" thickBot="1" x14ac:dyDescent="0.3">
      <c r="B12" s="52">
        <v>125000</v>
      </c>
      <c r="C12" s="48">
        <f>C4*B12</f>
        <v>500000</v>
      </c>
      <c r="D12" s="48">
        <f>B12-E8</f>
        <v>42500</v>
      </c>
      <c r="E12" s="48">
        <f>D12*C4</f>
        <v>170000</v>
      </c>
      <c r="F12" s="53">
        <f>(E12/C12)</f>
        <v>0.34</v>
      </c>
      <c r="H12" s="40"/>
      <c r="I12" s="20"/>
      <c r="J12" s="4" t="s">
        <v>46</v>
      </c>
      <c r="K12" s="20"/>
      <c r="L12" s="45" t="s">
        <v>51</v>
      </c>
    </row>
    <row r="13" spans="2:12" ht="15.75" thickBot="1" x14ac:dyDescent="0.3">
      <c r="H13" s="41"/>
      <c r="I13" s="21"/>
      <c r="J13" s="94">
        <f>TRUNC(('Fluxo de Caixa'!C3+'Fluxo de Caixa'!C4+'Fluxo de Caixa'!C5+'Fluxo de Caixa'!C6+'Fluxo de Caixa'!C9+'Fluxo de Caixa'!C10+'Fluxo de Caixa'!C11-'Fluxo de Caixa'!C13)/$H$8)</f>
        <v>2</v>
      </c>
      <c r="K13" s="20"/>
      <c r="L13" s="94">
        <f>TRUNC((SUM('Fluxo de Caixa'!C3,'Fluxo de Caixa'!C4,'Fluxo de Caixa'!C5,'Fluxo de Caixa'!C6-'Fluxo de Caixa'!C13)/$H$8))</f>
        <v>0</v>
      </c>
    </row>
    <row r="14" spans="2:12" ht="18.75" x14ac:dyDescent="0.3">
      <c r="B14" s="95" t="s">
        <v>55</v>
      </c>
      <c r="C14" s="96"/>
      <c r="D14" s="96"/>
      <c r="E14" s="96"/>
      <c r="F14" s="97"/>
      <c r="H14" s="41"/>
      <c r="I14" s="21"/>
      <c r="J14" s="19" t="s">
        <v>44</v>
      </c>
      <c r="K14" s="20"/>
      <c r="L14" s="47" t="s">
        <v>44</v>
      </c>
    </row>
    <row r="15" spans="2:12" ht="15.75" thickBot="1" x14ac:dyDescent="0.3">
      <c r="B15" s="88" t="s">
        <v>45</v>
      </c>
      <c r="C15" s="79"/>
      <c r="D15" s="79"/>
      <c r="E15" s="78" t="s">
        <v>47</v>
      </c>
      <c r="F15" s="80"/>
      <c r="H15" s="42"/>
      <c r="I15" s="43"/>
      <c r="J15" s="48">
        <f>($H$4*$I$4)*J13</f>
        <v>4000</v>
      </c>
      <c r="K15" s="44"/>
      <c r="L15" s="49">
        <f>($H$4*$I$4)*L13</f>
        <v>0</v>
      </c>
    </row>
    <row r="16" spans="2:12" x14ac:dyDescent="0.25">
      <c r="B16" s="94">
        <f>TRUNC((SUM('Fluxo de Caixa'!C3:C12)-'Fluxo de Caixa'!C13)/F8)</f>
        <v>3</v>
      </c>
      <c r="C16" s="79"/>
      <c r="D16" s="79"/>
      <c r="E16" s="94">
        <f>TRUNC((SUM('Fluxo de Caixa'!C3,'Fluxo de Caixa'!C4,'Fluxo de Caixa'!C5,'Fluxo de Caixa'!C6,'Fluxo de Caixa'!C7,'Fluxo de Caixa'!C8,'Fluxo de Caixa'!C9,'Fluxo de Caixa'!C10,'Fluxo de Caixa'!C11)-'Fluxo de Caixa'!C13)/F8)</f>
        <v>2</v>
      </c>
      <c r="F16" s="80"/>
      <c r="H16"/>
      <c r="I16"/>
      <c r="J16"/>
    </row>
    <row r="17" spans="2:9" x14ac:dyDescent="0.25">
      <c r="B17" s="87" t="s">
        <v>12</v>
      </c>
      <c r="C17" s="87" t="s">
        <v>14</v>
      </c>
      <c r="D17" s="79"/>
      <c r="E17" s="89" t="s">
        <v>44</v>
      </c>
      <c r="F17" s="91" t="s">
        <v>14</v>
      </c>
      <c r="H17"/>
      <c r="I17"/>
    </row>
    <row r="18" spans="2:9" x14ac:dyDescent="0.25">
      <c r="B18" s="81">
        <f>C12*B16</f>
        <v>1500000</v>
      </c>
      <c r="C18" s="81">
        <f>B16*E12</f>
        <v>510000</v>
      </c>
      <c r="D18" s="79"/>
      <c r="E18" s="90">
        <f>E16*C12</f>
        <v>1000000</v>
      </c>
      <c r="F18" s="92">
        <f>E16*E12</f>
        <v>340000</v>
      </c>
      <c r="H18"/>
      <c r="I18"/>
    </row>
    <row r="19" spans="2:9" x14ac:dyDescent="0.25">
      <c r="B19" s="82"/>
      <c r="C19" s="79"/>
      <c r="D19" s="79"/>
      <c r="E19" s="79"/>
      <c r="F19" s="80"/>
      <c r="H19"/>
      <c r="I19"/>
    </row>
    <row r="20" spans="2:9" x14ac:dyDescent="0.25">
      <c r="B20" s="77" t="s">
        <v>46</v>
      </c>
      <c r="C20" s="79"/>
      <c r="D20" s="79"/>
      <c r="E20" s="78" t="s">
        <v>51</v>
      </c>
      <c r="F20" s="80"/>
      <c r="H20"/>
      <c r="I20"/>
    </row>
    <row r="21" spans="2:9" x14ac:dyDescent="0.25">
      <c r="B21" s="94">
        <f>TRUNC((SUM('Fluxo de Caixa'!C3,'Fluxo de Caixa'!C4,'Fluxo de Caixa'!C6,'Fluxo de Caixa'!C9,'Fluxo de Caixa'!C10,'Fluxo de Caixa'!C11)-'Fluxo de Caixa'!C13)/F8)</f>
        <v>2</v>
      </c>
      <c r="C21" s="79"/>
      <c r="D21" s="79"/>
      <c r="E21" s="94">
        <f>TRUNC((SUM('Fluxo de Caixa'!C3,'Fluxo de Caixa'!C4,'Fluxo de Caixa'!C5,'Fluxo de Caixa'!C6,'Fluxo de Caixa'!C11)-'Fluxo de Caixa'!C13)/F8)</f>
        <v>0</v>
      </c>
      <c r="F21" s="80"/>
    </row>
    <row r="22" spans="2:9" x14ac:dyDescent="0.25">
      <c r="B22" s="87" t="s">
        <v>12</v>
      </c>
      <c r="C22" s="87" t="s">
        <v>35</v>
      </c>
      <c r="D22" s="79"/>
      <c r="E22" s="83" t="s">
        <v>44</v>
      </c>
      <c r="F22" s="91" t="s">
        <v>14</v>
      </c>
    </row>
    <row r="23" spans="2:9" ht="15.75" thickBot="1" x14ac:dyDescent="0.3">
      <c r="B23" s="84">
        <f>B21*C12</f>
        <v>1000000</v>
      </c>
      <c r="C23" s="84">
        <f>B21*E12</f>
        <v>340000</v>
      </c>
      <c r="D23" s="86"/>
      <c r="E23" s="85">
        <f>E21*C12</f>
        <v>0</v>
      </c>
      <c r="F23" s="93">
        <f>E21*E12</f>
        <v>0</v>
      </c>
    </row>
  </sheetData>
  <mergeCells count="2">
    <mergeCell ref="H2:J2"/>
    <mergeCell ref="B14:F1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CCB7-8E40-4CB0-871C-F855544318F1}">
  <sheetPr codeName="Planilha6"/>
  <dimension ref="B2:I21"/>
  <sheetViews>
    <sheetView showGridLines="0" workbookViewId="0">
      <selection activeCell="B29" sqref="B29"/>
    </sheetView>
  </sheetViews>
  <sheetFormatPr defaultRowHeight="15" x14ac:dyDescent="0.25"/>
  <cols>
    <col min="1" max="1" width="9.140625" style="12"/>
    <col min="2" max="2" width="17.28515625" style="12" bestFit="1" customWidth="1"/>
    <col min="3" max="3" width="16.85546875" style="12" bestFit="1" customWidth="1"/>
    <col min="4" max="5" width="20.42578125" style="12" bestFit="1" customWidth="1"/>
    <col min="6" max="6" width="23.7109375" style="12" bestFit="1" customWidth="1"/>
    <col min="7" max="8" width="27.85546875" style="12" bestFit="1" customWidth="1"/>
    <col min="9" max="9" width="12.140625" style="12" bestFit="1" customWidth="1"/>
    <col min="10" max="16384" width="9.140625" style="12"/>
  </cols>
  <sheetData>
    <row r="2" spans="2:9" ht="15.75" x14ac:dyDescent="0.25">
      <c r="B2" s="107" t="s">
        <v>53</v>
      </c>
      <c r="C2" s="107"/>
      <c r="E2" s="104" t="s">
        <v>50</v>
      </c>
      <c r="F2" s="105"/>
      <c r="G2" s="105"/>
      <c r="H2" s="105"/>
      <c r="I2" s="32"/>
    </row>
    <row r="3" spans="2:9" x14ac:dyDescent="0.25">
      <c r="B3" s="22" t="s">
        <v>20</v>
      </c>
      <c r="C3" s="14">
        <v>155000</v>
      </c>
      <c r="E3" s="31" t="s">
        <v>54</v>
      </c>
      <c r="F3" s="31" t="s">
        <v>48</v>
      </c>
      <c r="G3" s="31" t="s">
        <v>49</v>
      </c>
      <c r="H3" s="31" t="s">
        <v>47</v>
      </c>
      <c r="I3" s="31" t="s">
        <v>52</v>
      </c>
    </row>
    <row r="4" spans="2:9" x14ac:dyDescent="0.25">
      <c r="B4" s="22" t="s">
        <v>21</v>
      </c>
      <c r="C4" s="14">
        <v>2500</v>
      </c>
      <c r="E4" s="13" t="s">
        <v>18</v>
      </c>
      <c r="F4" s="18">
        <f>TRUNC((E17/C17)+1)</f>
        <v>3</v>
      </c>
      <c r="G4" s="18">
        <f>(SUM($C$3,$C$4,$C$5,$C$6,$C$9,$C$10,$C$11)-$C$13)/$C17</f>
        <v>2.7218480011714745</v>
      </c>
      <c r="H4" s="18">
        <f>(SUM($C$3:$C$11)-$C$13)/$C17</f>
        <v>3.3075852979938496</v>
      </c>
      <c r="I4" s="18">
        <f>(SUM($C$3:$C$6,$C$11)-$C$13)/$C17</f>
        <v>1.1293747254356421</v>
      </c>
    </row>
    <row r="5" spans="2:9" x14ac:dyDescent="0.25">
      <c r="B5" s="22" t="s">
        <v>22</v>
      </c>
      <c r="C5" s="14">
        <v>0</v>
      </c>
      <c r="E5" s="13" t="s">
        <v>19</v>
      </c>
      <c r="F5" s="18">
        <f>E18/C18</f>
        <v>2.5682972488368971</v>
      </c>
      <c r="G5" s="18">
        <f>(SUM($C$3,$C$4,$C$5,$C$6,$C$9,$C$10,$C$11)-$C$13)/$C18</f>
        <v>2.9363907078143141</v>
      </c>
      <c r="H5" s="18">
        <f>(SUM($C$3:$C$11)-$C$13)/$C18</f>
        <v>3.5682972488368971</v>
      </c>
      <c r="I5" s="18">
        <f>(SUM($C$3:$C$6,$C$11)-$C$13)/$C18</f>
        <v>1.2183947994091673</v>
      </c>
    </row>
    <row r="6" spans="2:9" x14ac:dyDescent="0.25">
      <c r="B6" s="22" t="s">
        <v>23</v>
      </c>
      <c r="C6" s="14">
        <v>155000</v>
      </c>
      <c r="E6" s="13" t="s">
        <v>40</v>
      </c>
      <c r="F6" s="18">
        <f>E19/C19</f>
        <v>1.2177221404025527</v>
      </c>
      <c r="G6" s="18">
        <f>(SUM($C$3,$C$4,$C$5,$C$6,$C$9,$C$10,$C$11)-$C$13)/$C19</f>
        <v>1.8249877270495827</v>
      </c>
      <c r="H6" s="18">
        <f>(SUM($C$3:$C$11)-$C$13)/$C19</f>
        <v>2.2177221404025529</v>
      </c>
      <c r="I6" s="18">
        <f>(SUM($C$3:$C$6,$C$11)-$C$13)/$C19</f>
        <v>0.75724104074619536</v>
      </c>
    </row>
    <row r="7" spans="2:9" x14ac:dyDescent="0.25">
      <c r="B7" s="23" t="s">
        <v>28</v>
      </c>
      <c r="C7" s="15">
        <v>85000</v>
      </c>
      <c r="E7" s="13" t="s">
        <v>41</v>
      </c>
      <c r="F7" s="18">
        <f>E20/C20</f>
        <v>4.2407192575406034</v>
      </c>
      <c r="G7" s="18">
        <f>(SUM($C$3,$C$4,$C$5,$C$6,$C$9,$C$10,$C$11)-$C$13)/$C20</f>
        <v>4.3126450116009281</v>
      </c>
      <c r="H7" s="18">
        <f>(SUM($C$3:$C$11)-$C$13)/$C20</f>
        <v>5.2407192575406034</v>
      </c>
      <c r="I7" s="18">
        <f>(SUM($C$3:$C$6,$C$11)-$C$13)/$C20</f>
        <v>1.7894431554524362</v>
      </c>
    </row>
    <row r="8" spans="2:9" x14ac:dyDescent="0.25">
      <c r="B8" s="23" t="s">
        <v>29</v>
      </c>
      <c r="C8" s="15">
        <v>75000</v>
      </c>
      <c r="E8" s="13" t="s">
        <v>42</v>
      </c>
      <c r="F8" s="18">
        <f>E21/C21</f>
        <v>1.7378787878787878</v>
      </c>
      <c r="G8" s="18">
        <f>(SUM($C$3,$C$4,$C$5,$C$6,$C$9,$C$10,$C$11)-$C$13)/$C21</f>
        <v>2.2530303030303029</v>
      </c>
      <c r="H8" s="18">
        <f>(SUM($C$3:$C$11)-$C$13)/$C21</f>
        <v>2.7378787878787878</v>
      </c>
      <c r="I8" s="18">
        <f>(SUM($C$3:$C$6,$C$11)-$C$13)/$C21</f>
        <v>0.93484848484848482</v>
      </c>
    </row>
    <row r="9" spans="2:9" x14ac:dyDescent="0.25">
      <c r="B9" s="23" t="s">
        <v>30</v>
      </c>
      <c r="C9" s="15">
        <v>290000</v>
      </c>
      <c r="E9" s="106"/>
      <c r="F9" s="106"/>
      <c r="G9" s="106"/>
      <c r="H9" s="106"/>
      <c r="I9" s="106"/>
    </row>
    <row r="10" spans="2:9" x14ac:dyDescent="0.25">
      <c r="B10" s="23" t="s">
        <v>31</v>
      </c>
      <c r="C10" s="15">
        <v>145000</v>
      </c>
    </row>
    <row r="11" spans="2:9" x14ac:dyDescent="0.25">
      <c r="B11" s="23" t="s">
        <v>32</v>
      </c>
      <c r="C11" s="15">
        <v>20000</v>
      </c>
    </row>
    <row r="12" spans="2:9" x14ac:dyDescent="0.25">
      <c r="B12" s="23" t="s">
        <v>34</v>
      </c>
      <c r="C12" s="15">
        <v>320000</v>
      </c>
    </row>
    <row r="13" spans="2:9" x14ac:dyDescent="0.25">
      <c r="B13" s="22" t="s">
        <v>43</v>
      </c>
      <c r="C13" s="13">
        <v>24000</v>
      </c>
    </row>
    <row r="14" spans="2:9" x14ac:dyDescent="0.25">
      <c r="B14" s="23" t="s">
        <v>26</v>
      </c>
      <c r="C14" s="16">
        <f>SUM(C3:C13)-C13</f>
        <v>1247500</v>
      </c>
    </row>
    <row r="16" spans="2:9" ht="15.75" x14ac:dyDescent="0.25">
      <c r="B16" s="107" t="s">
        <v>24</v>
      </c>
      <c r="C16" s="107"/>
      <c r="D16" s="24" t="s">
        <v>25</v>
      </c>
      <c r="E16" s="24" t="s">
        <v>27</v>
      </c>
    </row>
    <row r="17" spans="2:5" x14ac:dyDescent="0.25">
      <c r="B17" s="13" t="s">
        <v>18</v>
      </c>
      <c r="C17" s="16">
        <f>'Santa Marta'!F8</f>
        <v>273160</v>
      </c>
      <c r="D17" s="17" t="str">
        <f>IF(C17&lt;=C$14,"Dentro do Orçamento","Fora do Orçamento")</f>
        <v>Dentro do Orçamento</v>
      </c>
      <c r="E17" s="16">
        <f>C$14-C17-C13-C12</f>
        <v>630340</v>
      </c>
    </row>
    <row r="18" spans="2:5" x14ac:dyDescent="0.25">
      <c r="B18" s="13" t="s">
        <v>19</v>
      </c>
      <c r="C18" s="16">
        <f>Cajuru!F8</f>
        <v>253202</v>
      </c>
      <c r="D18" s="17" t="str">
        <f>IF(C18&lt;=C$14,"Dentro do Orçamento","Fora do Orçamento")</f>
        <v>Dentro do Orçamento</v>
      </c>
      <c r="E18" s="16">
        <f>C$14-C18-C$13-C$12</f>
        <v>650298</v>
      </c>
    </row>
    <row r="19" spans="2:5" x14ac:dyDescent="0.25">
      <c r="B19" s="13" t="s">
        <v>40</v>
      </c>
      <c r="C19" s="16">
        <f>'Casa Bairro Antigo'!F8</f>
        <v>407400</v>
      </c>
      <c r="D19" s="17" t="str">
        <f t="shared" ref="D19:D21" si="0">IF(C19&lt;=C$14,"Dentro do Orçamento","Fora do Orçamento")</f>
        <v>Dentro do Orçamento</v>
      </c>
      <c r="E19" s="16">
        <f t="shared" ref="E19:E21" si="1">C$14-C19-C$13-C$12</f>
        <v>496100</v>
      </c>
    </row>
    <row r="20" spans="2:5" x14ac:dyDescent="0.25">
      <c r="B20" s="13" t="s">
        <v>41</v>
      </c>
      <c r="C20" s="16">
        <f>'Casa 1 Dorm'!F8</f>
        <v>172400</v>
      </c>
      <c r="D20" s="17" t="str">
        <f t="shared" si="0"/>
        <v>Dentro do Orçamento</v>
      </c>
      <c r="E20" s="16">
        <f t="shared" si="1"/>
        <v>731100</v>
      </c>
    </row>
    <row r="21" spans="2:5" x14ac:dyDescent="0.25">
      <c r="B21" s="13" t="s">
        <v>42</v>
      </c>
      <c r="C21" s="16">
        <f>'Kitnet 2 Dorm'!F8</f>
        <v>330000</v>
      </c>
      <c r="D21" s="17" t="str">
        <f t="shared" si="0"/>
        <v>Dentro do Orçamento</v>
      </c>
      <c r="E21" s="16">
        <f t="shared" si="1"/>
        <v>573500</v>
      </c>
    </row>
  </sheetData>
  <mergeCells count="4">
    <mergeCell ref="E2:H2"/>
    <mergeCell ref="E9:I9"/>
    <mergeCell ref="B16:C16"/>
    <mergeCell ref="B2:C2"/>
  </mergeCells>
  <conditionalFormatting sqref="D17:D21">
    <cfRule type="cellIs" dxfId="2" priority="3" operator="equal">
      <formula>"Dentro do Orçamento"</formula>
    </cfRule>
    <cfRule type="cellIs" dxfId="1" priority="4" operator="equal">
      <formula>"""Dentro do Orçamento"""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1">
    <cfRule type="cellIs" dxfId="0" priority="1" operator="equal">
      <formula>"Fora do Orçamento"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769B-C844-4F4A-9689-E992F012F9D0}">
  <sheetPr codeName="Planilha7"/>
  <dimension ref="A1:H5"/>
  <sheetViews>
    <sheetView showGridLines="0" workbookViewId="0">
      <selection activeCell="F23" sqref="F23"/>
    </sheetView>
  </sheetViews>
  <sheetFormatPr defaultRowHeight="15" x14ac:dyDescent="0.25"/>
  <cols>
    <col min="1" max="1" width="12.42578125" bestFit="1" customWidth="1"/>
    <col min="2" max="3" width="14.28515625" bestFit="1" customWidth="1"/>
  </cols>
  <sheetData>
    <row r="1" spans="1:8" x14ac:dyDescent="0.25">
      <c r="A1" s="1"/>
      <c r="B1" s="10" t="s">
        <v>18</v>
      </c>
      <c r="C1" s="10" t="s">
        <v>19</v>
      </c>
    </row>
    <row r="2" spans="1:8" x14ac:dyDescent="0.25">
      <c r="A2" s="10" t="s">
        <v>7</v>
      </c>
      <c r="B2" s="8">
        <f>'Santa Marta'!F8</f>
        <v>273160</v>
      </c>
      <c r="C2" s="8">
        <f>Cajuru!F8</f>
        <v>253202</v>
      </c>
    </row>
    <row r="3" spans="1:8" x14ac:dyDescent="0.25">
      <c r="A3" s="10" t="s">
        <v>12</v>
      </c>
      <c r="B3" s="8">
        <f>'Santa Marta'!C12</f>
        <v>468000</v>
      </c>
      <c r="C3" s="8">
        <f>Cajuru!C12</f>
        <v>585000</v>
      </c>
      <c r="H3" s="11"/>
    </row>
    <row r="4" spans="1:8" x14ac:dyDescent="0.25">
      <c r="A4" s="10" t="s">
        <v>14</v>
      </c>
      <c r="B4" s="8">
        <f>'Santa Marta'!E12</f>
        <v>194840</v>
      </c>
      <c r="C4" s="8">
        <f>Cajuru!E12</f>
        <v>331798</v>
      </c>
    </row>
    <row r="5" spans="1:8" x14ac:dyDescent="0.25">
      <c r="A5" s="10" t="s">
        <v>17</v>
      </c>
      <c r="B5" s="9">
        <f>'Santa Marta'!F12</f>
        <v>0.41632478632478631</v>
      </c>
      <c r="C5" s="9">
        <f>Cajuru!F12</f>
        <v>0.56717606837606838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Santa Marta</vt:lpstr>
      <vt:lpstr>Cajuru</vt:lpstr>
      <vt:lpstr>Casa Bairro Antigo</vt:lpstr>
      <vt:lpstr>Casa 1 Dorm</vt:lpstr>
      <vt:lpstr>Kitnet 2 Dorm</vt:lpstr>
      <vt:lpstr>Fluxo de Caixa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2017-09-28T12:08:50Z</dcterms:created>
  <dcterms:modified xsi:type="dcterms:W3CDTF">2017-10-18T20:29:03Z</dcterms:modified>
</cp:coreProperties>
</file>