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yau\Documents\website addin\assets\workbooks\"/>
    </mc:Choice>
  </mc:AlternateContent>
  <xr:revisionPtr revIDLastSave="0" documentId="13_ncr:1_{136A46E9-55CB-4DF9-8F87-6A68D140669C}" xr6:coauthVersionLast="47" xr6:coauthVersionMax="47" xr10:uidLastSave="{00000000-0000-0000-0000-000000000000}"/>
  <bookViews>
    <workbookView xWindow="-108" yWindow="-108" windowWidth="23256" windowHeight="12456" activeTab="2" xr2:uid="{FF301219-F2C0-4040-9DBA-23E8E2F8303E}"/>
  </bookViews>
  <sheets>
    <sheet name="User guide" sheetId="6" r:id="rId1"/>
    <sheet name="Annuity factor" sheetId="3" r:id="rId2"/>
    <sheet name="Annuitants" sheetId="1" r:id="rId3"/>
    <sheet name="Settings" sheetId="5" r:id="rId4"/>
    <sheet name="Lists" sheetId="4" r:id="rId5"/>
    <sheet name="Transfo" sheetId="2" r:id="rId6"/>
  </sheets>
  <externalReferences>
    <externalReference r:id="rId7"/>
  </externalReferences>
  <definedNames>
    <definedName name="_cia_indexation_available">Transfo!$B$26</definedName>
    <definedName name="_cia_indexation_warning">Transfo!$B$31</definedName>
    <definedName name="_cia_interest_available">Transfo!$B$19</definedName>
    <definedName name="_cia_loading">Transfo!$B$75</definedName>
    <definedName name="_cia_qx_all_valid">Transfo!$E$77</definedName>
    <definedName name="_cia_scale">Transfo!$B$73</definedName>
    <definedName name="_cia_shift_age">Transfo!$B$74</definedName>
    <definedName name="_cia_table">Transfo!$B$72</definedName>
    <definedName name="_cia_warning">Transfo!$C$30</definedName>
    <definedName name="_cia_year">Transfo!$B$76</definedName>
    <definedName name="_colAge1">Annuitants!$C$4</definedName>
    <definedName name="_colAge2">Annuitants!$E$4</definedName>
    <definedName name="_colDtBirth1">Annuitants!$G$4</definedName>
    <definedName name="_colDtBirth2">Annuitants!$H$4</definedName>
    <definedName name="_colDtCalc">Annuitants!$I$4</definedName>
    <definedName name="_colName">Annuitants!$B$4</definedName>
    <definedName name="_colSex1">Annuitants!$D$4</definedName>
    <definedName name="_colSex2">Annuitants!$F$4</definedName>
    <definedName name="_d_age1">Transfo!$B$5</definedName>
    <definedName name="_d_age2">Transfo!$B$7</definedName>
    <definedName name="_d_dtBirth1">Transfo!$B$8</definedName>
    <definedName name="_d_dtBirth2">Transfo!$B$9</definedName>
    <definedName name="_d_dtCalc">Transfo!$B$10</definedName>
    <definedName name="_d_name">Transfo!$B$3</definedName>
    <definedName name="_d_sex1">Transfo!$B$4</definedName>
    <definedName name="_d_sex2">Transfo!$B$6</definedName>
    <definedName name="_e_error1">'Annuity factor'!$C$4</definedName>
    <definedName name="_e_error2">'Annuity factor'!$C$8</definedName>
    <definedName name="_e_error3">'Annuity factor'!$J$20</definedName>
    <definedName name="_e_error4">'Annuity factor'!$L$5</definedName>
    <definedName name="_e_error5">'Annuity factor'!$L$9</definedName>
    <definedName name="_f_dec2">Settings!$B$7</definedName>
    <definedName name="_f_dtCia">Settings!$B$9</definedName>
    <definedName name="_f_dtCiaShort">Settings!$B$10</definedName>
    <definedName name="_f_language">Settings!$B$6</definedName>
    <definedName name="_f_perc2">Settings!$B$8</definedName>
    <definedName name="_flag_cia_date">Transfo!$B$64</definedName>
    <definedName name="_hideQxDefaultLoading">Transfo!$D$47</definedName>
    <definedName name="_hideQxDefaultScale">Transfo!$D$42</definedName>
    <definedName name="_hideQxDefaultSex">Transfo!$D$39</definedName>
    <definedName name="_hideQxDefaultShiftAge">Transfo!$D$46</definedName>
    <definedName name="_hideQxDefaultTable">Transfo!$D$40</definedName>
    <definedName name="_hideQxDefaultYearVln">Transfo!$D$43</definedName>
    <definedName name="_i_ageIndexation">'Annuity factor'!$F$11</definedName>
    <definedName name="_i_cia_indexation_asked">'Annuity factor'!$F$9</definedName>
    <definedName name="_i_cia_interest_asked">'Annuity factor'!$F$5</definedName>
    <definedName name="_i_deferred">'Annuity factor'!$B$14</definedName>
    <definedName name="_i_due">'Annuity factor'!$B$17</definedName>
    <definedName name="_i_fracFirstIndexation">'Annuity factor'!$F$12</definedName>
    <definedName name="_i_frequency">'Annuity factor'!$B$16</definedName>
    <definedName name="_i_guarantee">'Annuity factor'!$B$12</definedName>
    <definedName name="_i_indexation_fraction">'Annuity factor'!$F$15</definedName>
    <definedName name="_i_indexation_max">'Annuity factor'!$F$16</definedName>
    <definedName name="_i_indexation_offset">'Annuity factor'!$F$14</definedName>
    <definedName name="_i_indexationPeriod1">'Annuity factor'!$H$9</definedName>
    <definedName name="_i_indexationPeriod2">'Annuity factor'!$J$9</definedName>
    <definedName name="_i_indexationRate1">'Annuity factor'!$G$9</definedName>
    <definedName name="_i_indexationRate2">'Annuity factor'!$I$9</definedName>
    <definedName name="_i_indexationRate3">'Annuity factor'!$K$9</definedName>
    <definedName name="_i_indexationVector2">'Annuity factor'!$G$9:$I$9</definedName>
    <definedName name="_i_indexationVector3">'Annuity factor'!$G$9:$K$9</definedName>
    <definedName name="_i_interestPeriod1">'Annuity factor'!$H$5</definedName>
    <definedName name="_i_interestPeriod2">'Annuity factor'!$J$5</definedName>
    <definedName name="_i_interestRate1">'Annuity factor'!$G$5</definedName>
    <definedName name="_i_interestRate2">'Annuity factor'!$I$5</definedName>
    <definedName name="_i_interestRate3">'Annuity factor'!$K$5</definedName>
    <definedName name="_i_interestVector2">'Annuity factor'!$G$5:$I$5</definedName>
    <definedName name="_i_interestVector3">'Annuity factor'!$G$5:$K$5</definedName>
    <definedName name="_i_qxLoading1">'Annuity factor'!$F$22</definedName>
    <definedName name="_i_qxLoading2">'Annuity factor'!$G$22</definedName>
    <definedName name="_i_qxPre">'Annuity factor'!$B$18</definedName>
    <definedName name="_i_qxScale1">'Annuity factor'!$F$23</definedName>
    <definedName name="_i_qxScale2">'Annuity factor'!$G$23</definedName>
    <definedName name="_i_qxShitAge1">'Annuity factor'!$F$21</definedName>
    <definedName name="_i_qxShitAge2">'Annuity factor'!$G$21</definedName>
    <definedName name="_i_qxTable1">'Annuity factor'!$F$20</definedName>
    <definedName name="_i_qxTable2">'Annuity factor'!$G$20</definedName>
    <definedName name="_i_qxValuationYear1">'Annuity factor'!$F$25</definedName>
    <definedName name="_i_qxValuationYear2">'Annuity factor'!$G$25</definedName>
    <definedName name="_i_reversion">'Annuity factor'!$B$13</definedName>
    <definedName name="_i_sex1">'Annuity factor'!$F$19</definedName>
    <definedName name="_i_sex2">'Annuity factor'!$G$19</definedName>
    <definedName name="_i_yearsPaid">'Annuity factor'!$B$15</definedName>
    <definedName name="_ic_qxAgeValuation1">'Annuity factor'!$F$26</definedName>
    <definedName name="_ic_qxAgeValuation2">'Annuity factor'!$G$26</definedName>
    <definedName name="_ic_qxTableBaseYear1">'Annuity factor'!$F$24</definedName>
    <definedName name="_ic_qxTableBaseYear2">'Annuity factor'!$G$24</definedName>
    <definedName name="_id">'Annuity factor'!$B$3</definedName>
    <definedName name="_listBoolean">Lists!$G$3:$G$4</definedName>
    <definedName name="_listCountry">Lists!$A$3:$A$4</definedName>
    <definedName name="_listFrequency">Lists!$F$3:$F$7</definedName>
    <definedName name="_listId">Annuitants!$A:$A</definedName>
    <definedName name="_listLanguages">Lists!$C$3:$C$4</definedName>
    <definedName name="_listQxScale">IF(_s_country="United States",_listQxScale_US,_listQxScale_CAN)</definedName>
    <definedName name="_listQxScale_CAN">Lists!$K$3:$K$11</definedName>
    <definedName name="_listQxScale_US">Lists!$O$3:$O$10</definedName>
    <definedName name="_listQxTable">IF(_s_country="United States",_listQxTable_US,_listQxTable_CAN)</definedName>
    <definedName name="_listQxTable_CAN">Lists!$H$3:$H$21</definedName>
    <definedName name="_listQxTable_US">Lists!$L$3:$L$51</definedName>
    <definedName name="_listReversion">Lists!$E$3:$E$8</definedName>
    <definedName name="_listSex">Lists!$D$3:$D$4</definedName>
    <definedName name="_r_annuityFactor">'Annuity factor'!$B$27</definedName>
    <definedName name="_s_country">Settings!$B$15</definedName>
    <definedName name="_s_error1">Settings!$B$5</definedName>
    <definedName name="_s_error2">Settings!$B$14</definedName>
    <definedName name="_settings_invalid">Settings!$B$18</definedName>
    <definedName name="_show_results">Transfo!$B$32</definedName>
    <definedName name="_showAnnuitant2">Transfo!$B$33</definedName>
    <definedName name="_t_age1">Transfo!$C$8</definedName>
    <definedName name="_t_age2">Transfo!$C$9</definedName>
    <definedName name="_t_ageFirstIndexMin">Transfo!$B$35</definedName>
    <definedName name="_t_cia_indexation">Transfo!$B$68:$D$68</definedName>
    <definedName name="_t_cia_indexation_asked">Transfo!$B$24</definedName>
    <definedName name="_t_cia_indexation_conflict">Transfo!$B$25</definedName>
    <definedName name="_t_cia_indexation_show">Transfo!$B$27</definedName>
    <definedName name="_t_cia_interest">Transfo!$B$66:$D$66</definedName>
    <definedName name="_t_cia_interest_asked">Transfo!$B$17</definedName>
    <definedName name="_t_cia_interest_conflict">Transfo!$B$18</definedName>
    <definedName name="_t_cia_interest_show">Transfo!$B$20</definedName>
    <definedName name="_t_country">Transfo!$B$2</definedName>
    <definedName name="_t_deferred">Transfo!$B$51</definedName>
    <definedName name="_t_dtCIA">Transfo!$B$60</definedName>
    <definedName name="_t_due">Transfo!$B$53</definedName>
    <definedName name="_t_duplicateID">Transfo!$C$12</definedName>
    <definedName name="_t_errorPerson">Transfo!$B$12</definedName>
    <definedName name="_t_errorSomewhere">Transfo!$B$30</definedName>
    <definedName name="_t_fracFirstIndexation">Transfo!$B$36</definedName>
    <definedName name="_t_frequency">Transfo!$B$52</definedName>
    <definedName name="_t_guarantee">Transfo!$B$49</definedName>
    <definedName name="_t_hasReversion">Transfo!$B$14</definedName>
    <definedName name="_t_indexation_fraction">Transfo!$B$62</definedName>
    <definedName name="_t_indexation_max">Transfo!$B$63</definedName>
    <definedName name="_t_indexationRate1">Transfo!$B$79</definedName>
    <definedName name="_t_indexationVector">IF(_t_cia_indexation_show,_t_cia_indexation,IF(_i_indexationRate3&gt;0,_i_indexationVector3,IF(_i_indexationRate2&gt;0,_i_indexationVector2,_t_indexationRate1)))</definedName>
    <definedName name="_t_interestRate1">Transfo!$B$79</definedName>
    <definedName name="_t_interestVector">IF(_t_cia_interest_show,_t_cia_interest,IF(_i_interestRate3&gt;0,_i_interestVector3,IF(_i_interestRate2&gt;0,_i_interestVector2,_i_interestRate1)))</definedName>
    <definedName name="_t_isIndexed">Transfo!$B$15</definedName>
    <definedName name="_t_qxAgeValuation1">Transfo!$B$44</definedName>
    <definedName name="_t_qxAgeValuation2">Transfo!$C$44</definedName>
    <definedName name="_t_qxPre">Transfo!$B$54</definedName>
    <definedName name="_t_qxProjection1">Transfo!$B$41</definedName>
    <definedName name="_t_qxProjection2">Transfo!$C$41</definedName>
    <definedName name="_t_qxScale1">Transfo!$B$42</definedName>
    <definedName name="_t_qxScale2">Transfo!$C$42</definedName>
    <definedName name="_t_qxTable1">Transfo!$B$40</definedName>
    <definedName name="_t_qxTable1Descr">Transfo!$B$45</definedName>
    <definedName name="_t_qxTable2">Transfo!$C$40</definedName>
    <definedName name="_t_qxTable2Descr">Transfo!$C$45</definedName>
    <definedName name="_t_qxValuationYear1">Transfo!$B$43</definedName>
    <definedName name="_t_qxValuationYear2">Transfo!$C$43</definedName>
    <definedName name="_t_reversion">Transfo!$B$50</definedName>
    <definedName name="_t_sex1">Transfo!$B$39</definedName>
    <definedName name="_t_sex2">Transfo!$C$39</definedName>
    <definedName name="_t_sex2_temp">Transfo!$C$6</definedName>
    <definedName name="_t_today">Transfo!$B$57</definedName>
    <definedName name="_tabCountry">Lists!$A$3:$B$4</definedName>
    <definedName name="_tabFormat">Settings!$D$6:$E$18</definedName>
    <definedName name="_tabFormatOffset">Settings!$C$6</definedName>
    <definedName name="_tabPersons">Annuitants!$A:$I</definedName>
    <definedName name="_tabQxTable">IF(_s_country="United States",_tabQxTable_US,_tabQxTable_CAN)</definedName>
    <definedName name="_tabQxTable_CAN">Lists!$H$4:$J$21</definedName>
    <definedName name="_tabQxTable_US">Lists!$L$4:$N$51</definedName>
    <definedName name="_z_idMax">MAX(Annuitants!$A:$A)</definedName>
    <definedName name="_z_idMin">MIN(Annuitants!$A:$A)</definedName>
    <definedName name="_z_tabQxTable">IF(OR(_t_country="CAN",_t_cia_interest_show),_tabQxTable_CAN,_tabQxTable_US)</definedName>
    <definedName name="date_cia_latest">Transfo!$B$59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2" l="1"/>
  <c r="D39" i="2"/>
  <c r="D40" i="2"/>
  <c r="D46" i="2"/>
  <c r="H21" i="3" s="1"/>
  <c r="D47" i="2"/>
  <c r="H22" i="3" s="1"/>
  <c r="D42" i="2"/>
  <c r="D43" i="2"/>
  <c r="B2" i="2"/>
  <c r="B5" i="5"/>
  <c r="B14" i="5"/>
  <c r="B57" i="2"/>
  <c r="I8" i="1" s="1"/>
  <c r="E10" i="5"/>
  <c r="E9" i="5"/>
  <c r="D10" i="5"/>
  <c r="D9" i="5"/>
  <c r="C3" i="3" a="1"/>
  <c r="C3" i="3" s="1"/>
  <c r="E8" i="5"/>
  <c r="D8" i="5"/>
  <c r="C6" i="5"/>
  <c r="B7" i="5" s="1"/>
  <c r="E7" i="5"/>
  <c r="D7" i="5"/>
  <c r="B79" i="2"/>
  <c r="B61" i="2"/>
  <c r="B62" i="2"/>
  <c r="B63" i="2"/>
  <c r="D75" i="2"/>
  <c r="D74" i="2"/>
  <c r="C74" i="2"/>
  <c r="C75" i="2"/>
  <c r="D73" i="2"/>
  <c r="C73" i="2"/>
  <c r="D72" i="2"/>
  <c r="C72" i="2"/>
  <c r="B24" i="2"/>
  <c r="B17" i="2"/>
  <c r="B25" i="2"/>
  <c r="B18" i="2"/>
  <c r="B50" i="2"/>
  <c r="B30" i="3" a="1"/>
  <c r="B30" i="3" l="1"/>
  <c r="I10" i="1"/>
  <c r="B10" i="2" s="1"/>
  <c r="B18" i="5"/>
  <c r="B8" i="5"/>
  <c r="G16" i="3" s="1"/>
  <c r="B9" i="5"/>
  <c r="B10" i="5"/>
  <c r="I9" i="1"/>
  <c r="I7" i="1"/>
  <c r="E74" i="2"/>
  <c r="G12" i="3"/>
  <c r="E72" i="2"/>
  <c r="E75" i="2"/>
  <c r="E73" i="2"/>
  <c r="B53" i="2"/>
  <c r="C17" i="3" s="1"/>
  <c r="B52" i="2"/>
  <c r="C16" i="3" s="1"/>
  <c r="B51" i="2"/>
  <c r="C14" i="3" s="1"/>
  <c r="B49" i="2"/>
  <c r="C12" i="3" s="1"/>
  <c r="C15" i="3"/>
  <c r="B54" i="2"/>
  <c r="C18" i="3" s="1"/>
  <c r="B36" i="2"/>
  <c r="B14" i="2"/>
  <c r="B7" i="2"/>
  <c r="B1" i="2"/>
  <c r="B15" i="2"/>
  <c r="E6" i="4"/>
  <c r="B9" i="2"/>
  <c r="B8" i="2"/>
  <c r="B6" i="2"/>
  <c r="B4" i="2"/>
  <c r="B3" i="2"/>
  <c r="B4" i="3" s="1"/>
  <c r="C4" i="1"/>
  <c r="B5" i="2" s="1"/>
  <c r="D4" i="1"/>
  <c r="E4" i="1"/>
  <c r="F4" i="1"/>
  <c r="G4" i="1"/>
  <c r="H4" i="1"/>
  <c r="I4" i="1"/>
  <c r="B4" i="1"/>
  <c r="B58" i="2" a="1"/>
  <c r="G14" i="3" l="1"/>
  <c r="C13" i="3"/>
  <c r="G15" i="3"/>
  <c r="B58" i="2"/>
  <c r="B26" i="2"/>
  <c r="B19" i="2"/>
  <c r="L5" i="3"/>
  <c r="B76" i="2"/>
  <c r="D76" i="2" s="1"/>
  <c r="E12" i="2"/>
  <c r="I12" i="2"/>
  <c r="B5" i="3"/>
  <c r="D12" i="2"/>
  <c r="H12" i="2"/>
  <c r="G12" i="2"/>
  <c r="B9" i="3"/>
  <c r="F12" i="2"/>
  <c r="B39" i="2"/>
  <c r="C8" i="2"/>
  <c r="C9" i="2"/>
  <c r="B6" i="3" l="1"/>
  <c r="B21" i="3"/>
  <c r="C6" i="2"/>
  <c r="C39" i="2" s="1"/>
  <c r="H19" i="3" s="1"/>
  <c r="C76" i="2"/>
  <c r="B27" i="2"/>
  <c r="B20" i="2"/>
  <c r="B12" i="2"/>
  <c r="C4" i="3" s="1"/>
  <c r="B35" i="2"/>
  <c r="G11" i="3" s="1" a="1"/>
  <c r="G11" i="3" s="1"/>
  <c r="B8" i="3"/>
  <c r="C8" i="3" s="1"/>
  <c r="C40" i="2" l="1"/>
  <c r="B40" i="2"/>
  <c r="C43" i="2"/>
  <c r="B43" i="2"/>
  <c r="B7" i="3" a="1"/>
  <c r="B7" i="3" s="1"/>
  <c r="B31" i="2"/>
  <c r="L9" i="3" s="1"/>
  <c r="E18" i="3"/>
  <c r="E76" i="2"/>
  <c r="E77" i="2" s="1"/>
  <c r="C42" i="2"/>
  <c r="C41" i="2"/>
  <c r="B42" i="2"/>
  <c r="H23" i="3" s="1"/>
  <c r="B41" i="2"/>
  <c r="H25" i="3" l="1"/>
  <c r="H20" i="3"/>
  <c r="E29" i="3"/>
  <c r="G24" i="3"/>
  <c r="E30" i="3"/>
  <c r="F24" i="3"/>
  <c r="B45" i="2"/>
  <c r="F29" i="3" s="1"/>
  <c r="C45" i="2"/>
  <c r="F30" i="3" s="1"/>
  <c r="J20" i="3"/>
  <c r="B32" i="2" s="1"/>
  <c r="G26" i="3"/>
  <c r="C44" i="2" s="1"/>
  <c r="F26" i="3"/>
  <c r="B44" i="2" s="1"/>
  <c r="B22" i="3" a="1"/>
  <c r="B22" i="3" l="1"/>
  <c r="B23" i="3" s="1"/>
  <c r="B33" i="2"/>
  <c r="C30" i="2"/>
  <c r="B30" i="2"/>
  <c r="C21" i="3" l="1"/>
  <c r="C20" i="3"/>
  <c r="C27" i="3"/>
  <c r="C22" i="3" a="1"/>
  <c r="C22" i="3" l="1"/>
  <c r="C23" i="3" s="1"/>
  <c r="F10" i="3"/>
  <c r="G10" i="3" l="1" a="1"/>
  <c r="G10" i="3" s="1"/>
  <c r="B27" i="3" l="1" a="1"/>
  <c r="B27" i="3" l="1"/>
  <c r="G6" i="3" a="1"/>
  <c r="G6" i="3" s="1"/>
  <c r="B59" i="2" l="1" a="1"/>
  <c r="B59" i="2" s="1"/>
  <c r="B60" i="2" l="1"/>
  <c r="B64" i="2"/>
  <c r="D66" i="2" a="1"/>
  <c r="B67" i="2" a="1"/>
  <c r="C66" i="2" a="1"/>
  <c r="B66" i="2" a="1"/>
  <c r="D67" i="2" a="1"/>
  <c r="D67" i="2" l="1"/>
  <c r="D68" i="2" s="1"/>
  <c r="B66" i="2"/>
  <c r="C66" i="2"/>
  <c r="C68" i="2" s="1"/>
  <c r="B67" i="2"/>
  <c r="B68" i="2" s="1"/>
  <c r="D66" i="2"/>
  <c r="F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Guy Aubin</author>
  </authors>
  <commentList>
    <comment ref="H19" authorId="0" shapeId="0" xr:uid="{24040AAA-3A55-43EF-85B3-02F21EC40256}">
      <text>
        <r>
          <rPr>
            <sz val="9"/>
            <color indexed="81"/>
            <rFont val="Tahoma"/>
            <family val="2"/>
          </rPr>
          <t>Default value based on annuitants' data.</t>
        </r>
      </text>
    </comment>
    <comment ref="H25" authorId="0" shapeId="0" xr:uid="{576AD1BC-24DB-4CD9-9B16-FEAA79D7628E}">
      <text>
        <r>
          <rPr>
            <sz val="9"/>
            <color indexed="81"/>
            <rFont val="Tahoma"/>
            <family val="2"/>
          </rPr>
          <t xml:space="preserve">Default value based on 'Dt Calc', or, if unavailable, on current year.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<sst xmlns="http://schemas.openxmlformats.org/spreadsheetml/2006/main" count="353" uniqueCount="298">
  <si>
    <t>ID</t>
  </si>
  <si>
    <t>Name</t>
  </si>
  <si>
    <t>Sex</t>
  </si>
  <si>
    <t>DtCalc</t>
  </si>
  <si>
    <t>Sex 1</t>
  </si>
  <si>
    <t>Age 1</t>
  </si>
  <si>
    <t>Sex 2</t>
  </si>
  <si>
    <t>Age 2</t>
  </si>
  <si>
    <t>DtBirth 1</t>
  </si>
  <si>
    <t>DtBirth 2</t>
  </si>
  <si>
    <t>Dt Birth 1</t>
  </si>
  <si>
    <t>Dt Birth 2</t>
  </si>
  <si>
    <t>Dt Calc</t>
  </si>
  <si>
    <t>Annuity characteristics</t>
  </si>
  <si>
    <t>Guarantee (years)</t>
  </si>
  <si>
    <t>Reversion (%)</t>
  </si>
  <si>
    <t>Deferred (years)</t>
  </si>
  <si>
    <t>Frequency</t>
  </si>
  <si>
    <t>Due</t>
  </si>
  <si>
    <t>Mortality during deferment</t>
  </si>
  <si>
    <t>Reversion</t>
  </si>
  <si>
    <t>Boolean</t>
  </si>
  <si>
    <t>Age of first indexation</t>
  </si>
  <si>
    <t>Temporary payment  (years)</t>
  </si>
  <si>
    <t>Fraction applied on first indexation</t>
  </si>
  <si>
    <t>Age min at first indexation</t>
  </si>
  <si>
    <t>Qx Table</t>
  </si>
  <si>
    <t>Qx Scale</t>
  </si>
  <si>
    <t>CPM2014</t>
  </si>
  <si>
    <t>UP94</t>
  </si>
  <si>
    <t>GAM83</t>
  </si>
  <si>
    <t>GAM71</t>
  </si>
  <si>
    <t>Annuitant 1</t>
  </si>
  <si>
    <t>Annuitant 2</t>
  </si>
  <si>
    <t>Mortality table</t>
  </si>
  <si>
    <t>Loading of mortality rates</t>
  </si>
  <si>
    <t>Shift in age</t>
  </si>
  <si>
    <t>Projection scale</t>
  </si>
  <si>
    <t>Mortality table base year</t>
  </si>
  <si>
    <t>Year of valuation</t>
  </si>
  <si>
    <t>Age at valuation</t>
  </si>
  <si>
    <t>ECH_MI2017</t>
  </si>
  <si>
    <t>Base year</t>
  </si>
  <si>
    <t>Annuity factor</t>
  </si>
  <si>
    <t>Projection</t>
  </si>
  <si>
    <t>Has reversion ?</t>
  </si>
  <si>
    <t>ECH_CPM_B</t>
  </si>
  <si>
    <t>ECH_CPM_A</t>
  </si>
  <si>
    <t>ECH_MP2014</t>
  </si>
  <si>
    <t>ECH_MP2018</t>
  </si>
  <si>
    <t>ECH_A1</t>
  </si>
  <si>
    <t>ECH_H</t>
  </si>
  <si>
    <t>ECH_AA</t>
  </si>
  <si>
    <t>ECH_BB</t>
  </si>
  <si>
    <t>ECH_CPMB1D2014</t>
  </si>
  <si>
    <t>Each ID must be unique</t>
  </si>
  <si>
    <t>period 1 (years)</t>
  </si>
  <si>
    <t>period 2 (years)</t>
  </si>
  <si>
    <t>annual rate 1</t>
  </si>
  <si>
    <t>annual rate 2</t>
  </si>
  <si>
    <t>annual rate ultimate</t>
  </si>
  <si>
    <r>
      <t xml:space="preserve">period 1 </t>
    </r>
    <r>
      <rPr>
        <b/>
        <i/>
        <sz val="6"/>
        <color theme="1"/>
        <rFont val="Calibri Light"/>
        <family val="2"/>
        <scheme val="major"/>
      </rPr>
      <t>(years)</t>
    </r>
  </si>
  <si>
    <t>Optional</t>
  </si>
  <si>
    <t>Required</t>
  </si>
  <si>
    <t>sex1</t>
  </si>
  <si>
    <t>sex2</t>
  </si>
  <si>
    <t>age2</t>
  </si>
  <si>
    <t>age1</t>
  </si>
  <si>
    <t>dtCalc (1)</t>
  </si>
  <si>
    <t>dtCalc (2)</t>
  </si>
  <si>
    <t>Error</t>
  </si>
  <si>
    <t>Error in input</t>
  </si>
  <si>
    <t>USA17</t>
  </si>
  <si>
    <t>USA19</t>
  </si>
  <si>
    <t>CANADA19</t>
  </si>
  <si>
    <t>CANADA18</t>
  </si>
  <si>
    <t>CANADA17</t>
  </si>
  <si>
    <t>ONTARIO19</t>
  </si>
  <si>
    <t>ONTARIO18</t>
  </si>
  <si>
    <t>ONTARIO17</t>
  </si>
  <si>
    <t>QUEBEC19</t>
  </si>
  <si>
    <t>QUEBEC18</t>
  </si>
  <si>
    <t>QUEBEC17</t>
  </si>
  <si>
    <t>RP2014E</t>
  </si>
  <si>
    <t>RP2014E_WHITE</t>
  </si>
  <si>
    <t>RP2014E_BLUE</t>
  </si>
  <si>
    <t>RP2014A</t>
  </si>
  <si>
    <t>RP2014A_BLUE</t>
  </si>
  <si>
    <t>RP2014A_WHITE</t>
  </si>
  <si>
    <t>RP2014D</t>
  </si>
  <si>
    <t>ECH_MP2019</t>
  </si>
  <si>
    <t>ECH_MP2020</t>
  </si>
  <si>
    <t>Error person</t>
  </si>
  <si>
    <t>UP94ICA</t>
  </si>
  <si>
    <t>GAM83ITA</t>
  </si>
  <si>
    <t>Is indexed ?</t>
  </si>
  <si>
    <t>CIA and interest conflict</t>
  </si>
  <si>
    <t>CIA and indexation conflict</t>
  </si>
  <si>
    <t>CIA</t>
  </si>
  <si>
    <t>interest</t>
  </si>
  <si>
    <t>indexation</t>
  </si>
  <si>
    <t>CIA interest available ?</t>
  </si>
  <si>
    <t>CIA indexation available ?</t>
  </si>
  <si>
    <t>CIA indexation asked ?</t>
  </si>
  <si>
    <t>CIA indexation show ?</t>
  </si>
  <si>
    <t>CIA interest show ?</t>
  </si>
  <si>
    <t>CIA interest asked?</t>
  </si>
  <si>
    <t>Vector Interest</t>
  </si>
  <si>
    <t>Interest</t>
  </si>
  <si>
    <t>Rates (vector)</t>
  </si>
  <si>
    <t>Indexation</t>
  </si>
  <si>
    <t>Vector Indexation</t>
  </si>
  <si>
    <t>Annuitant's ID</t>
  </si>
  <si>
    <t>Annuitant's ID:</t>
  </si>
  <si>
    <t>Doe, John</t>
  </si>
  <si>
    <t>Doe, Jane</t>
  </si>
  <si>
    <t>Validation CIA</t>
  </si>
  <si>
    <t>annuitant 1</t>
  </si>
  <si>
    <t>annuitant 2</t>
  </si>
  <si>
    <t>Both</t>
  </si>
  <si>
    <t>All valid ?</t>
  </si>
  <si>
    <t>CIA 3500 ?</t>
  </si>
  <si>
    <t>CIA indexation rates adjustment</t>
  </si>
  <si>
    <t>Offset</t>
  </si>
  <si>
    <t>Percentage</t>
  </si>
  <si>
    <t>Maximum</t>
  </si>
  <si>
    <t>maximum indexation</t>
  </si>
  <si>
    <t>percentage of indexation</t>
  </si>
  <si>
    <t>_f_dec2</t>
  </si>
  <si>
    <t>Language</t>
  </si>
  <si>
    <t>Adapt the Excel format to your Windows regional settings</t>
  </si>
  <si>
    <t>_f_perc2</t>
  </si>
  <si>
    <t>Set the 'text_format' argument of the Excel 'TEXT' function.</t>
  </si>
  <si>
    <t>Version prior to 4.5.3 does not accept "" as indexation</t>
  </si>
  <si>
    <r>
      <t xml:space="preserve">Either enter Age 1, Age 2 </t>
    </r>
    <r>
      <rPr>
        <b/>
        <sz val="16"/>
        <color rgb="FFFF0000"/>
        <rFont val="Calibri Light"/>
        <family val="2"/>
        <scheme val="major"/>
      </rPr>
      <t>OR</t>
    </r>
    <r>
      <rPr>
        <sz val="16"/>
        <color theme="1"/>
        <rFont val="Calibri Light"/>
        <family val="2"/>
        <scheme val="major"/>
      </rPr>
      <t xml:space="preserve"> DtBirth 1, DtBirth2 and DtCalc</t>
    </r>
  </si>
  <si>
    <t>English</t>
  </si>
  <si>
    <t>Français</t>
  </si>
  <si>
    <t>Wilson, Patrick</t>
  </si>
  <si>
    <t>Actuarial Excel Addin:</t>
  </si>
  <si>
    <t>WARNING - CIA indexation not used</t>
  </si>
  <si>
    <t>Wilson, Jennifer</t>
  </si>
  <si>
    <t>Show results</t>
  </si>
  <si>
    <t>date_cia</t>
  </si>
  <si>
    <t>_f_dtCia</t>
  </si>
  <si>
    <t>_f_dtCiaShort</t>
  </si>
  <si>
    <t>CIA date flagged ?</t>
  </si>
  <si>
    <t>date_cia_latest</t>
  </si>
  <si>
    <t>date_cia_calc</t>
  </si>
  <si>
    <t>_t_today</t>
  </si>
  <si>
    <t>flag date CIA ?</t>
  </si>
  <si>
    <t>Workbook:</t>
  </si>
  <si>
    <t>Regional settings</t>
  </si>
  <si>
    <t>Country</t>
  </si>
  <si>
    <t>Canada</t>
  </si>
  <si>
    <t>United States</t>
  </si>
  <si>
    <t>Invalid settings</t>
  </si>
  <si>
    <t>Description</t>
  </si>
  <si>
    <t>ECH_MP2017</t>
  </si>
  <si>
    <t>ECH_MP2016</t>
  </si>
  <si>
    <t>ECH_MP2015</t>
  </si>
  <si>
    <t>RP-2014 Rates-Employee</t>
  </si>
  <si>
    <t>RP-2014 Rates-Healthy annuitant</t>
  </si>
  <si>
    <t>RP-2014 Rates-Disabled annuitant</t>
  </si>
  <si>
    <t>RP2014A_TOP</t>
  </si>
  <si>
    <t>RP2014A_BOTTOM</t>
  </si>
  <si>
    <t>RP2014E_TOP</t>
  </si>
  <si>
    <t>RP2014E_BOTTOM</t>
  </si>
  <si>
    <t>Period Life Table, 2019 (population mortality)</t>
  </si>
  <si>
    <t>Period Life Table, 2017 (population mortality)</t>
  </si>
  <si>
    <t>Table description</t>
  </si>
  <si>
    <t>t_country</t>
  </si>
  <si>
    <t>CAN</t>
  </si>
  <si>
    <t>USA</t>
  </si>
  <si>
    <t>1971 Group Annuity Mortality (GAM) Table</t>
  </si>
  <si>
    <t>1983 Group Annuity Mortality (GAM) Table</t>
  </si>
  <si>
    <t>GAM83 (1983 GAM), unisex, 40% male + 40% female</t>
  </si>
  <si>
    <t>1994 Uninsured Pensioner (UP-94), formerly 1994 GAM Basic</t>
  </si>
  <si>
    <t>Canadian Pensioners’ Mortality (CPM) 2014, composite of Public and Private Sector</t>
  </si>
  <si>
    <t>CPM2014PUBL</t>
  </si>
  <si>
    <t>CPM2014PRIV</t>
  </si>
  <si>
    <t>Canadian Pensioners’ Mortality (CPM) 2014, Public Sector</t>
  </si>
  <si>
    <t>Canadian Pensioners’ Mortality (CPM) 2014, Prtivate Sector</t>
  </si>
  <si>
    <t>UP94 projected to 2015 with scale AA</t>
  </si>
  <si>
    <t>UP94 projected to 2020 with scale AA</t>
  </si>
  <si>
    <t>ICA2020</t>
  </si>
  <si>
    <t>Settings for the Annuity-Factors-Calculator</t>
  </si>
  <si>
    <r>
      <t xml:space="preserve">Complete the information in the </t>
    </r>
    <r>
      <rPr>
        <b/>
        <sz val="16"/>
        <color rgb="FFFFFF00"/>
        <rFont val="Calibri Light"/>
        <family val="2"/>
        <scheme val="major"/>
      </rPr>
      <t>yellow cells</t>
    </r>
  </si>
  <si>
    <t>Select a set of mortality tables and projection scales</t>
  </si>
  <si>
    <t>In the 'Annuitants' worksheet, enter the information of the annuitants.  Enter either the age(s) or date(s) of birth.  If you enter the date(s) of birth, enter also the date of calculation.</t>
  </si>
  <si>
    <t>a)</t>
  </si>
  <si>
    <t>b)</t>
  </si>
  <si>
    <t>c)</t>
  </si>
  <si>
    <t>The resulting annuity factor will appear on cell B27.</t>
  </si>
  <si>
    <t>In the 'Annuity factor' worksheet, complete the information for:</t>
  </si>
  <si>
    <t>In the 'Settings' worksheet, select the appropriate options for your regional settings and set of mortality tables.</t>
  </si>
  <si>
    <r>
      <t xml:space="preserve">The </t>
    </r>
    <r>
      <rPr>
        <b/>
        <sz val="14"/>
        <color theme="1"/>
        <rFont val="Calibri Light"/>
        <family val="2"/>
        <scheme val="major"/>
      </rPr>
      <t>annuity characteristics</t>
    </r>
    <r>
      <rPr>
        <sz val="14"/>
        <color theme="1"/>
        <rFont val="Calibri Light"/>
        <family val="2"/>
        <scheme val="major"/>
      </rPr>
      <t>: guarantee, % of reversion to co-annuitant, …</t>
    </r>
  </si>
  <si>
    <r>
      <t xml:space="preserve">The </t>
    </r>
    <r>
      <rPr>
        <b/>
        <sz val="14"/>
        <color theme="1"/>
        <rFont val="Calibri Light"/>
        <family val="2"/>
        <scheme val="major"/>
      </rPr>
      <t>interest rate(s)</t>
    </r>
    <r>
      <rPr>
        <sz val="14"/>
        <color theme="1"/>
        <rFont val="Calibri Light"/>
        <family val="2"/>
        <scheme val="major"/>
      </rPr>
      <t>.  Either CIA 3500 or a vector of interest rate(s) (1, 3, 5 terms vector for 1, 2 and 3 interest rates respectively)</t>
    </r>
  </si>
  <si>
    <r>
      <t xml:space="preserve">The </t>
    </r>
    <r>
      <rPr>
        <b/>
        <sz val="14"/>
        <color theme="1"/>
        <rFont val="Calibri Light"/>
        <family val="2"/>
        <scheme val="major"/>
      </rPr>
      <t>indexation rate(s)</t>
    </r>
    <r>
      <rPr>
        <sz val="14"/>
        <color theme="1"/>
        <rFont val="Calibri Light"/>
        <family val="2"/>
        <scheme val="major"/>
      </rPr>
      <t>.  Either CIA 3500 or a vector of indexation rate(s) (1, 3, 5 terms vector for 1, 2 and 3 interest rates respectively)</t>
    </r>
  </si>
  <si>
    <t>d)</t>
  </si>
  <si>
    <r>
      <t xml:space="preserve">The </t>
    </r>
    <r>
      <rPr>
        <b/>
        <sz val="14"/>
        <color theme="1"/>
        <rFont val="Calibri Light"/>
        <family val="2"/>
        <scheme val="major"/>
      </rPr>
      <t>mortality assumptions</t>
    </r>
    <r>
      <rPr>
        <sz val="14"/>
        <color theme="1"/>
        <rFont val="Calibri Light"/>
        <family val="2"/>
        <scheme val="major"/>
      </rPr>
      <t>.  CIA 3500 assumptions will be used if interest rates have been set to CIA 3500.</t>
    </r>
  </si>
  <si>
    <t>Life Table, Canada population, 2016/2018</t>
  </si>
  <si>
    <t>Life Table, Canada population, 2017/2019</t>
  </si>
  <si>
    <t>Life Table, Canada population, 2015/2017</t>
  </si>
  <si>
    <t>Life Table, Ontario population, 2017/2019</t>
  </si>
  <si>
    <t>Life Table, Ontario population, 2016/2018</t>
  </si>
  <si>
    <t>Life Table, Ontario population, 2015/2017</t>
  </si>
  <si>
    <t>Life Table, Québec population, 2017/2019</t>
  </si>
  <si>
    <t>Life Table, Québec population, 2016/2018</t>
  </si>
  <si>
    <t>Life Table, Québec population, 2015/2017</t>
  </si>
  <si>
    <t>RP-2014 Rates-Healthy annuitant, Blue Collar</t>
  </si>
  <si>
    <t>RP-2014 Rates-Healthy annuitant, White Collar</t>
  </si>
  <si>
    <t>RP-2014 Rates-Healthy annuitant, Top quartile (benefit)</t>
  </si>
  <si>
    <t>RP-2014 Rates-Healthy annuitant, Bottom quartile (benefit)</t>
  </si>
  <si>
    <t>RP-2014 Rates-Employee, Blue Collar</t>
  </si>
  <si>
    <t>RP-2014 Rates-Employee, White Collar</t>
  </si>
  <si>
    <t>RP-2014 Rates-Employee, Top quartile (salary)</t>
  </si>
  <si>
    <t>RP-2014 Rates-Employee, Bottom quartile (salary)</t>
  </si>
  <si>
    <t>RPH2014A</t>
  </si>
  <si>
    <t>RPH-2014 Rates-Healthy annuitant (Headcount weighted)</t>
  </si>
  <si>
    <t>RPH2014A_BLUE</t>
  </si>
  <si>
    <t>RPH-2014 Rates-Healthy annuitant, Blue Collar (Headcount weighted)</t>
  </si>
  <si>
    <t>RPH2014A_WHITE</t>
  </si>
  <si>
    <t>RPH-2014 Rates-Healthy annuitant, White Collar (Headcount weighted)</t>
  </si>
  <si>
    <t>RPH2014D</t>
  </si>
  <si>
    <t>RPH-2014 Rates-Disabled annuitant (Headcount weighted)</t>
  </si>
  <si>
    <t>RPH2014E</t>
  </si>
  <si>
    <t>RPH-2014 Rates-Employee (Headcount weighted)</t>
  </si>
  <si>
    <t>RPH2014E_BLUE</t>
  </si>
  <si>
    <t>RPH-2014 Rates-Employee, Blue Collar (Headcount weighted)</t>
  </si>
  <si>
    <t>RPH2014E_WHITE</t>
  </si>
  <si>
    <t>RPH-2014 Rates-Employee, White Collar (Headcount weighted)</t>
  </si>
  <si>
    <t>IRC417_2022</t>
  </si>
  <si>
    <t>IRC Section 417(e)(3) Unisex rates for distributions, annuity starting in 2022</t>
  </si>
  <si>
    <t>IRC430_2022A</t>
  </si>
  <si>
    <t>IRC Section 430(h)(3)(A) Rates for valuation dates in 2022, Annuitant</t>
  </si>
  <si>
    <t>IRC430_2022NA</t>
  </si>
  <si>
    <t>IRC Section 430(h)(3)(A) Rates for valuation dates in 2022, Non Annuitant</t>
  </si>
  <si>
    <t>IRC430_2022C</t>
  </si>
  <si>
    <t>IRC Section 430(h)(3)(A) Rates for valuation dates in 2022, Combined</t>
  </si>
  <si>
    <t>IRC417_2021</t>
  </si>
  <si>
    <t>IRC Section 417(e)(3) Unisex rates for distributions, annuity starting in 2021</t>
  </si>
  <si>
    <t>IRC430_2021A</t>
  </si>
  <si>
    <t>IRC Section 430(h)(3)(A) Rates for valuation dates in 2021, Annuitant</t>
  </si>
  <si>
    <t>IRC430_2021NA</t>
  </si>
  <si>
    <t>IRC Section 430(h)(3)(A) Rates for valuation dates in 2021, Non Annuitant</t>
  </si>
  <si>
    <t>IRC430_2021C</t>
  </si>
  <si>
    <t>IRC Section 430(h)(3)(A) Rates for valuation dates in 2021, Combined</t>
  </si>
  <si>
    <t>IRC417_2020</t>
  </si>
  <si>
    <t>IRC Section 417(e)(3) Unisex rates for distributions, annuity starting in 2020</t>
  </si>
  <si>
    <t>IRC430_2020A</t>
  </si>
  <si>
    <t>IRC Section 430(h)(3)(A) Rates for valuation dates in 2020, Annuitant</t>
  </si>
  <si>
    <t>IRC430_2020NA</t>
  </si>
  <si>
    <t>IRC Section 430(h)(3)(A) Rates for valuation dates in 2020, Non Annuitant</t>
  </si>
  <si>
    <t>IRC430_2020C</t>
  </si>
  <si>
    <t>IRC Section 430(h)(3)(A) Rates for valuation dates in 2020, Combined</t>
  </si>
  <si>
    <t>IRC417_2019</t>
  </si>
  <si>
    <t>IRC Section 417(e)(3) Unisex rates for distributions, annuity starting in 2019</t>
  </si>
  <si>
    <t>IRC430_2019A</t>
  </si>
  <si>
    <t>IRC Section 430(h)(3)(A) Rates for valuation dates in 2019, Annuitant</t>
  </si>
  <si>
    <t>IRC430_2019NA</t>
  </si>
  <si>
    <t>IRC Section 430(h)(3)(A) Rates for valuation dates in 2019, Non Annuitant</t>
  </si>
  <si>
    <t>IRC430_2019C</t>
  </si>
  <si>
    <t>IRC Section 430(h)(3)(A) Rates for valuation dates in 2019, Combined</t>
  </si>
  <si>
    <t>IRC417_2018</t>
  </si>
  <si>
    <t>IRC Section 417(e)(3) Unisex rates for distributions, annuity starting in 2018</t>
  </si>
  <si>
    <t>IRC430_2018A</t>
  </si>
  <si>
    <t>IRC Section 430(h)(3)(A) Rates for valuation dates in 2018, Annuitant</t>
  </si>
  <si>
    <t>IRC430_2018NA</t>
  </si>
  <si>
    <t>IRC Section 430(h)(3)(A) Rates for valuation dates in 2018, Non Annuitant</t>
  </si>
  <si>
    <t>IRC430_2018C</t>
  </si>
  <si>
    <t>IRC Section 430(h)(3)(A) Rates for valuation dates in 2018, Combined</t>
  </si>
  <si>
    <t>IRC417_2017</t>
  </si>
  <si>
    <t>IRC Section 417(e)(3) Unisex rates for distributions, annuity starting in 2017</t>
  </si>
  <si>
    <t>IRC430_2017A</t>
  </si>
  <si>
    <t>IRC Section 430(h)(3)(A) Rates for valuation dates in 2017, Annuitant</t>
  </si>
  <si>
    <t>IRC430_2017NA</t>
  </si>
  <si>
    <t>IRC Section 430(h)(3)(A) Rates for valuation dates in 2017, Non Annuitant</t>
  </si>
  <si>
    <t>IRC430_2017C</t>
  </si>
  <si>
    <t>IRC Section 430(h)(3)(A) Rates for valuation dates in 2017, Combined</t>
  </si>
  <si>
    <t>IRC417_2016</t>
  </si>
  <si>
    <t>IRC Section 417(e)(3) Unisex rates for distributions, annuity starting in 2016</t>
  </si>
  <si>
    <t>IRC430_2016A</t>
  </si>
  <si>
    <t>IRC Section 430(h)(3)(A) Rates for valuation dates in 2016, Annuitant</t>
  </si>
  <si>
    <t>IRC430_2016NA</t>
  </si>
  <si>
    <t>IRC Section 430(h)(3)(A) Rates for valuation dates in 2016, Non Annuitant</t>
  </si>
  <si>
    <t>IRC430_2016C</t>
  </si>
  <si>
    <t>IRC Section 430(h)(3)(A) Rates for valuation dates in 2016, Combined</t>
  </si>
  <si>
    <t>Annuity Factors Calculator - User guide</t>
  </si>
  <si>
    <t>Life expectancy</t>
  </si>
  <si>
    <t>Age</t>
  </si>
  <si>
    <t>Expected age at death</t>
  </si>
  <si>
    <t>Show annuitant2</t>
  </si>
  <si>
    <t>me</t>
  </si>
  <si>
    <t>Show default ?</t>
  </si>
  <si>
    <t>Shift Age</t>
  </si>
  <si>
    <t>Loading</t>
  </si>
  <si>
    <t>duplicate ID</t>
  </si>
  <si>
    <t>v.04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</si>
</sst>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0%"/>
    <numFmt numFmtId="166" formatCode="0.000%"/>
    <numFmt numFmtId="167" formatCode="0.00000"/>
    <numFmt numFmtId="168" formatCode="yyyy/mmm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b/>
      <sz val="8"/>
      <color rgb="FFFF0000"/>
      <name val="Calibri Light"/>
      <family val="2"/>
      <scheme val="major"/>
    </font>
    <font>
      <sz val="8"/>
      <name val="Calibri"/>
      <family val="2"/>
      <scheme val="minor"/>
    </font>
    <font>
      <b/>
      <i/>
      <sz val="9"/>
      <color theme="1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b/>
      <i/>
      <sz val="8"/>
      <color theme="1"/>
      <name val="Calibri Light"/>
      <family val="2"/>
      <scheme val="major"/>
    </font>
    <font>
      <b/>
      <sz val="11"/>
      <color theme="9" tint="-0.499984740745262"/>
      <name val="Calibri Light"/>
      <family val="2"/>
      <scheme val="major"/>
    </font>
    <font>
      <sz val="16"/>
      <color rgb="FFFF0000"/>
      <name val="Calibri Light"/>
      <family val="2"/>
      <scheme val="major"/>
    </font>
    <font>
      <b/>
      <sz val="16"/>
      <color rgb="FFFF0000"/>
      <name val="Calibri Light"/>
      <family val="2"/>
      <scheme val="major"/>
    </font>
    <font>
      <sz val="9"/>
      <color indexed="81"/>
      <name val="Tahoma"/>
      <family val="2"/>
    </font>
    <font>
      <b/>
      <i/>
      <sz val="6"/>
      <color theme="1"/>
      <name val="Calibri Light"/>
      <family val="2"/>
      <scheme val="major"/>
    </font>
    <font>
      <b/>
      <sz val="14"/>
      <color rgb="FFFF0000"/>
      <name val="Calibri Light"/>
      <family val="2"/>
      <scheme val="major"/>
    </font>
    <font>
      <b/>
      <sz val="14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sz val="18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sz val="16"/>
      <color rgb="FFFFFF00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24"/>
      <color theme="9" tint="0.79998168889431442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1" applyNumberFormat="1" applyFont="1" applyAlignment="1">
      <alignment horizontal="right"/>
    </xf>
    <xf numFmtId="0" fontId="12" fillId="0" borderId="0" xfId="0" applyFont="1" applyFill="1" applyBorder="1" applyAlignment="1">
      <alignment horizontal="left" shrinkToFit="1"/>
    </xf>
    <xf numFmtId="0" fontId="2" fillId="0" borderId="0" xfId="0" applyFont="1" applyProtection="1"/>
    <xf numFmtId="0" fontId="3" fillId="0" borderId="0" xfId="0" applyFont="1" applyProtection="1"/>
    <xf numFmtId="0" fontId="11" fillId="7" borderId="4" xfId="0" applyFont="1" applyFill="1" applyBorder="1" applyAlignment="1">
      <alignment horizontal="center" shrinkToFit="1"/>
    </xf>
    <xf numFmtId="0" fontId="11" fillId="7" borderId="5" xfId="0" applyFont="1" applyFill="1" applyBorder="1" applyAlignment="1">
      <alignment horizontal="center" shrinkToFit="1"/>
    </xf>
    <xf numFmtId="164" fontId="2" fillId="0" borderId="0" xfId="0" applyNumberFormat="1" applyFont="1" applyAlignment="1">
      <alignment horizontal="right"/>
    </xf>
    <xf numFmtId="0" fontId="7" fillId="7" borderId="4" xfId="0" applyFont="1" applyFill="1" applyBorder="1" applyAlignment="1">
      <alignment horizontal="center" shrinkToFit="1"/>
    </xf>
    <xf numFmtId="0" fontId="3" fillId="0" borderId="0" xfId="0" applyFont="1" applyAlignment="1">
      <alignment horizontal="right" shrinkToFit="1"/>
    </xf>
    <xf numFmtId="0" fontId="2" fillId="0" borderId="0" xfId="0" applyFont="1" applyAlignment="1">
      <alignment horizontal="right" shrinkToFit="1"/>
    </xf>
    <xf numFmtId="0" fontId="2" fillId="0" borderId="0" xfId="0" applyFont="1" applyAlignment="1">
      <alignment shrinkToFit="1"/>
    </xf>
    <xf numFmtId="2" fontId="2" fillId="0" borderId="0" xfId="0" applyNumberFormat="1" applyFont="1" applyAlignment="1">
      <alignment horizontal="right" shrinkToFit="1"/>
    </xf>
    <xf numFmtId="14" fontId="2" fillId="0" borderId="0" xfId="0" applyNumberFormat="1" applyFont="1" applyAlignment="1">
      <alignment horizontal="right" shrinkToFit="1"/>
    </xf>
    <xf numFmtId="0" fontId="3" fillId="4" borderId="0" xfId="0" applyFont="1" applyFill="1" applyAlignment="1">
      <alignment horizontal="right" shrinkToFit="1"/>
    </xf>
    <xf numFmtId="14" fontId="4" fillId="4" borderId="0" xfId="0" applyNumberFormat="1" applyFont="1" applyFill="1" applyAlignment="1">
      <alignment horizontal="right" shrinkToFit="1"/>
    </xf>
    <xf numFmtId="0" fontId="2" fillId="4" borderId="0" xfId="0" applyFont="1" applyFill="1" applyAlignment="1">
      <alignment horizontal="center" shrinkToFit="1"/>
    </xf>
    <xf numFmtId="0" fontId="8" fillId="4" borderId="0" xfId="0" applyFont="1" applyFill="1" applyAlignment="1">
      <alignment horizontal="right" shrinkToFit="1"/>
    </xf>
    <xf numFmtId="0" fontId="4" fillId="0" borderId="0" xfId="0" applyFont="1" applyAlignment="1">
      <alignment horizontal="right" shrinkToFit="1"/>
    </xf>
    <xf numFmtId="0" fontId="2" fillId="4" borderId="0" xfId="0" applyFont="1" applyFill="1" applyAlignment="1">
      <alignment horizontal="right" shrinkToFit="1"/>
    </xf>
    <xf numFmtId="0" fontId="7" fillId="0" borderId="0" xfId="0" applyFont="1" applyAlignment="1">
      <alignment horizontal="right" shrinkToFit="1"/>
    </xf>
    <xf numFmtId="0" fontId="3" fillId="0" borderId="0" xfId="0" applyFont="1" applyFill="1" applyAlignment="1">
      <alignment horizontal="right" shrinkToFit="1"/>
    </xf>
    <xf numFmtId="0" fontId="5" fillId="0" borderId="0" xfId="0" applyFont="1" applyAlignment="1">
      <alignment horizontal="right" shrinkToFit="1"/>
    </xf>
    <xf numFmtId="0" fontId="5" fillId="0" borderId="0" xfId="0" applyFont="1" applyAlignment="1">
      <alignment shrinkToFit="1"/>
    </xf>
    <xf numFmtId="164" fontId="2" fillId="0" borderId="0" xfId="1" applyNumberFormat="1" applyFont="1" applyAlignment="1">
      <alignment horizontal="right" shrinkToFit="1"/>
    </xf>
    <xf numFmtId="166" fontId="2" fillId="0" borderId="0" xfId="1" applyNumberFormat="1" applyFont="1" applyAlignment="1">
      <alignment horizontal="right" shrinkToFit="1"/>
    </xf>
    <xf numFmtId="0" fontId="3" fillId="9" borderId="0" xfId="0" applyFont="1" applyFill="1" applyAlignment="1">
      <alignment horizontal="right" shrinkToFit="1"/>
    </xf>
    <xf numFmtId="0" fontId="2" fillId="9" borderId="0" xfId="0" applyFont="1" applyFill="1" applyAlignment="1">
      <alignment horizontal="right" shrinkToFit="1"/>
    </xf>
    <xf numFmtId="0" fontId="3" fillId="9" borderId="0" xfId="0" applyFont="1" applyFill="1" applyAlignment="1">
      <alignment horizontal="center" shrinkToFit="1"/>
    </xf>
    <xf numFmtId="0" fontId="2" fillId="9" borderId="0" xfId="0" applyFont="1" applyFill="1" applyAlignment="1">
      <alignment shrinkToFit="1"/>
    </xf>
    <xf numFmtId="9" fontId="12" fillId="8" borderId="0" xfId="1" applyFont="1" applyFill="1" applyBorder="1" applyAlignment="1">
      <alignment horizontal="left" shrinkToFit="1"/>
    </xf>
    <xf numFmtId="9" fontId="12" fillId="8" borderId="7" xfId="1" applyFont="1" applyFill="1" applyBorder="1" applyAlignment="1">
      <alignment horizontal="left" shrinkToFit="1"/>
    </xf>
    <xf numFmtId="10" fontId="2" fillId="0" borderId="0" xfId="1" applyNumberFormat="1" applyFont="1" applyAlignment="1">
      <alignment horizontal="right" shrinkToFit="1"/>
    </xf>
    <xf numFmtId="166" fontId="2" fillId="0" borderId="0" xfId="0" applyNumberFormat="1" applyFont="1" applyAlignment="1">
      <alignment shrinkToFit="1"/>
    </xf>
    <xf numFmtId="0" fontId="3" fillId="7" borderId="0" xfId="0" applyFont="1" applyFill="1" applyAlignment="1">
      <alignment horizontal="right"/>
    </xf>
    <xf numFmtId="0" fontId="12" fillId="8" borderId="0" xfId="0" applyFont="1" applyFill="1" applyBorder="1" applyAlignment="1">
      <alignment horizontal="left" shrinkToFit="1"/>
    </xf>
    <xf numFmtId="0" fontId="3" fillId="0" borderId="0" xfId="0" applyFont="1" applyAlignment="1">
      <alignment shrinkToFit="1"/>
    </xf>
    <xf numFmtId="0" fontId="3" fillId="0" borderId="0" xfId="0" applyFont="1" applyAlignment="1">
      <alignment horizontal="center" shrinkToFit="1"/>
    </xf>
    <xf numFmtId="0" fontId="5" fillId="0" borderId="0" xfId="0" applyFont="1" applyAlignment="1">
      <alignment horizontal="center" shrinkToFit="1"/>
    </xf>
    <xf numFmtId="0" fontId="2" fillId="0" borderId="0" xfId="0" applyFont="1" applyAlignment="1">
      <alignment horizontal="center" shrinkToFit="1"/>
    </xf>
    <xf numFmtId="0" fontId="3" fillId="0" borderId="0" xfId="0" applyFont="1" applyAlignment="1">
      <alignment horizontal="left" shrinkToFit="1"/>
    </xf>
    <xf numFmtId="0" fontId="3" fillId="0" borderId="0" xfId="0" applyFont="1" applyAlignment="1">
      <alignment horizontal="right"/>
    </xf>
    <xf numFmtId="2" fontId="2" fillId="9" borderId="0" xfId="0" applyNumberFormat="1" applyFont="1" applyFill="1" applyAlignment="1">
      <alignment horizontal="right" shrinkToFit="1"/>
    </xf>
    <xf numFmtId="164" fontId="3" fillId="7" borderId="0" xfId="0" applyNumberFormat="1" applyFont="1" applyFill="1" applyAlignment="1">
      <alignment horizontal="right"/>
    </xf>
    <xf numFmtId="0" fontId="5" fillId="0" borderId="0" xfId="0" applyFont="1" applyFill="1" applyAlignment="1">
      <alignment shrinkToFit="1"/>
    </xf>
    <xf numFmtId="0" fontId="2" fillId="0" borderId="0" xfId="0" applyFont="1" applyFill="1" applyAlignment="1">
      <alignment shrinkToFit="1"/>
    </xf>
    <xf numFmtId="167" fontId="10" fillId="7" borderId="0" xfId="0" applyNumberFormat="1" applyFont="1" applyFill="1" applyAlignment="1">
      <alignment horizontal="center" vertical="center" shrinkToFit="1"/>
    </xf>
    <xf numFmtId="0" fontId="4" fillId="5" borderId="2" xfId="0" applyFont="1" applyFill="1" applyBorder="1" applyAlignment="1">
      <alignment horizontal="left" vertical="center" shrinkToFit="1"/>
    </xf>
    <xf numFmtId="168" fontId="2" fillId="0" borderId="0" xfId="0" applyNumberFormat="1" applyFont="1" applyAlignment="1">
      <alignment horizontal="right" shrinkToFit="1"/>
    </xf>
    <xf numFmtId="0" fontId="17" fillId="2" borderId="0" xfId="0" applyFont="1" applyFill="1" applyAlignment="1">
      <alignment horizontal="center" shrinkToFit="1"/>
    </xf>
    <xf numFmtId="0" fontId="18" fillId="6" borderId="0" xfId="0" applyFont="1" applyFill="1" applyAlignment="1">
      <alignment horizontal="center" shrinkToFit="1"/>
    </xf>
    <xf numFmtId="0" fontId="3" fillId="7" borderId="0" xfId="0" applyFont="1" applyFill="1" applyAlignment="1">
      <alignment horizontal="right" shrinkToFit="1"/>
    </xf>
    <xf numFmtId="0" fontId="4" fillId="2" borderId="0" xfId="0" applyFont="1" applyFill="1" applyAlignment="1" applyProtection="1">
      <alignment horizontal="center" shrinkToFit="1"/>
      <protection locked="0"/>
    </xf>
    <xf numFmtId="0" fontId="2" fillId="7" borderId="0" xfId="0" applyFont="1" applyFill="1" applyAlignment="1">
      <alignment horizontal="right" shrinkToFit="1"/>
    </xf>
    <xf numFmtId="0" fontId="2" fillId="7" borderId="0" xfId="0" applyFont="1" applyFill="1" applyAlignment="1">
      <alignment horizontal="center" shrinkToFit="1"/>
    </xf>
    <xf numFmtId="0" fontId="3" fillId="7" borderId="3" xfId="0" applyFont="1" applyFill="1" applyBorder="1" applyAlignment="1">
      <alignment horizontal="right" shrinkToFit="1"/>
    </xf>
    <xf numFmtId="0" fontId="2" fillId="7" borderId="9" xfId="0" applyFont="1" applyFill="1" applyBorder="1" applyAlignment="1">
      <alignment horizontal="right" shrinkToFit="1"/>
    </xf>
    <xf numFmtId="2" fontId="4" fillId="2" borderId="0" xfId="1" applyNumberFormat="1" applyFont="1" applyFill="1" applyBorder="1" applyAlignment="1" applyProtection="1">
      <alignment horizontal="center" shrinkToFit="1"/>
      <protection locked="0"/>
    </xf>
    <xf numFmtId="10" fontId="4" fillId="2" borderId="0" xfId="1" applyNumberFormat="1" applyFont="1" applyFill="1" applyBorder="1" applyAlignment="1" applyProtection="1">
      <alignment horizontal="center" shrinkToFit="1"/>
      <protection locked="0"/>
    </xf>
    <xf numFmtId="2" fontId="2" fillId="6" borderId="0" xfId="1" applyNumberFormat="1" applyFont="1" applyFill="1" applyBorder="1" applyAlignment="1" applyProtection="1">
      <alignment horizontal="center" shrinkToFit="1"/>
      <protection locked="0"/>
    </xf>
    <xf numFmtId="10" fontId="2" fillId="6" borderId="0" xfId="1" applyNumberFormat="1" applyFont="1" applyFill="1" applyBorder="1" applyAlignment="1" applyProtection="1">
      <alignment horizontal="center" shrinkToFit="1"/>
      <protection locked="0"/>
    </xf>
    <xf numFmtId="10" fontId="2" fillId="6" borderId="10" xfId="1" applyNumberFormat="1" applyFont="1" applyFill="1" applyBorder="1" applyAlignment="1" applyProtection="1">
      <alignment horizontal="center" shrinkToFit="1"/>
      <protection locked="0"/>
    </xf>
    <xf numFmtId="0" fontId="4" fillId="5" borderId="2" xfId="0" applyFont="1" applyFill="1" applyBorder="1" applyAlignment="1">
      <alignment vertical="center" shrinkToFit="1"/>
    </xf>
    <xf numFmtId="2" fontId="2" fillId="7" borderId="0" xfId="0" applyNumberFormat="1" applyFont="1" applyFill="1" applyAlignment="1">
      <alignment horizontal="center" shrinkToFit="1"/>
    </xf>
    <xf numFmtId="0" fontId="2" fillId="7" borderId="6" xfId="0" applyFont="1" applyFill="1" applyBorder="1" applyAlignment="1">
      <alignment horizontal="right" shrinkToFit="1"/>
    </xf>
    <xf numFmtId="164" fontId="2" fillId="7" borderId="7" xfId="1" applyNumberFormat="1" applyFont="1" applyFill="1" applyBorder="1" applyAlignment="1">
      <alignment horizontal="center" shrinkToFit="1"/>
    </xf>
    <xf numFmtId="0" fontId="2" fillId="7" borderId="7" xfId="0" applyFont="1" applyFill="1" applyBorder="1" applyAlignment="1">
      <alignment horizontal="center" shrinkToFit="1"/>
    </xf>
    <xf numFmtId="0" fontId="2" fillId="7" borderId="7" xfId="0" applyFont="1" applyFill="1" applyBorder="1" applyAlignment="1">
      <alignment shrinkToFit="1"/>
    </xf>
    <xf numFmtId="0" fontId="2" fillId="7" borderId="8" xfId="0" applyFont="1" applyFill="1" applyBorder="1" applyAlignment="1">
      <alignment shrinkToFit="1"/>
    </xf>
    <xf numFmtId="0" fontId="4" fillId="0" borderId="0" xfId="0" applyFont="1" applyFill="1" applyBorder="1" applyAlignment="1">
      <alignment shrinkToFit="1"/>
    </xf>
    <xf numFmtId="0" fontId="4" fillId="5" borderId="1" xfId="0" applyFont="1" applyFill="1" applyBorder="1" applyAlignment="1">
      <alignment vertical="center" shrinkToFit="1"/>
    </xf>
    <xf numFmtId="14" fontId="2" fillId="7" borderId="0" xfId="0" applyNumberFormat="1" applyFont="1" applyFill="1" applyAlignment="1">
      <alignment horizontal="center" shrinkToFit="1"/>
    </xf>
    <xf numFmtId="165" fontId="2" fillId="7" borderId="0" xfId="1" applyNumberFormat="1" applyFont="1" applyFill="1" applyBorder="1" applyAlignment="1">
      <alignment horizontal="center" shrinkToFit="1"/>
    </xf>
    <xf numFmtId="0" fontId="2" fillId="7" borderId="0" xfId="0" applyFont="1" applyFill="1" applyBorder="1" applyAlignment="1">
      <alignment horizontal="center" shrinkToFit="1"/>
    </xf>
    <xf numFmtId="0" fontId="2" fillId="7" borderId="0" xfId="0" applyFont="1" applyFill="1" applyBorder="1" applyAlignment="1">
      <alignment shrinkToFit="1"/>
    </xf>
    <xf numFmtId="0" fontId="2" fillId="7" borderId="10" xfId="0" applyFont="1" applyFill="1" applyBorder="1" applyAlignment="1">
      <alignment shrinkToFit="1"/>
    </xf>
    <xf numFmtId="2" fontId="2" fillId="6" borderId="0" xfId="0" applyNumberFormat="1" applyFont="1" applyFill="1" applyBorder="1" applyAlignment="1" applyProtection="1">
      <alignment horizontal="center" shrinkToFit="1"/>
      <protection locked="0"/>
    </xf>
    <xf numFmtId="2" fontId="2" fillId="6" borderId="0" xfId="0" applyNumberFormat="1" applyFont="1" applyFill="1" applyAlignment="1" applyProtection="1">
      <alignment horizontal="center" shrinkToFit="1"/>
      <protection locked="0"/>
    </xf>
    <xf numFmtId="164" fontId="2" fillId="6" borderId="0" xfId="1" applyNumberFormat="1" applyFont="1" applyFill="1" applyAlignment="1" applyProtection="1">
      <alignment horizontal="center" shrinkToFit="1"/>
      <protection locked="0"/>
    </xf>
    <xf numFmtId="0" fontId="19" fillId="7" borderId="9" xfId="0" applyFont="1" applyFill="1" applyBorder="1" applyAlignment="1">
      <alignment horizontal="right" shrinkToFit="1"/>
    </xf>
    <xf numFmtId="0" fontId="2" fillId="7" borderId="0" xfId="0" applyFont="1" applyFill="1" applyBorder="1" applyAlignment="1">
      <alignment horizontal="right" shrinkToFit="1"/>
    </xf>
    <xf numFmtId="0" fontId="2" fillId="6" borderId="0" xfId="0" applyFont="1" applyFill="1" applyAlignment="1" applyProtection="1">
      <alignment horizontal="center" shrinkToFit="1"/>
      <protection locked="0"/>
    </xf>
    <xf numFmtId="10" fontId="2" fillId="6" borderId="7" xfId="1" applyNumberFormat="1" applyFont="1" applyFill="1" applyBorder="1" applyAlignment="1" applyProtection="1">
      <alignment horizontal="center" shrinkToFit="1"/>
      <protection locked="0"/>
    </xf>
    <xf numFmtId="0" fontId="2" fillId="0" borderId="0" xfId="0" applyFont="1" applyBorder="1" applyAlignment="1">
      <alignment shrinkToFit="1"/>
    </xf>
    <xf numFmtId="0" fontId="2" fillId="7" borderId="4" xfId="0" applyFont="1" applyFill="1" applyBorder="1" applyAlignment="1">
      <alignment shrinkToFit="1"/>
    </xf>
    <xf numFmtId="0" fontId="2" fillId="7" borderId="5" xfId="0" applyFont="1" applyFill="1" applyBorder="1" applyAlignment="1">
      <alignment shrinkToFit="1"/>
    </xf>
    <xf numFmtId="0" fontId="2" fillId="6" borderId="0" xfId="0" applyFont="1" applyFill="1" applyBorder="1" applyAlignment="1" applyProtection="1">
      <alignment horizontal="center" shrinkToFit="1"/>
      <protection locked="0"/>
    </xf>
    <xf numFmtId="165" fontId="2" fillId="0" borderId="0" xfId="1" applyNumberFormat="1" applyFont="1" applyFill="1" applyAlignment="1">
      <alignment shrinkToFit="1"/>
    </xf>
    <xf numFmtId="9" fontId="2" fillId="6" borderId="0" xfId="1" applyFont="1" applyFill="1" applyBorder="1" applyAlignment="1" applyProtection="1">
      <alignment horizontal="center" shrinkToFit="1"/>
      <protection locked="0"/>
    </xf>
    <xf numFmtId="0" fontId="9" fillId="7" borderId="0" xfId="0" applyFont="1" applyFill="1" applyAlignment="1">
      <alignment horizontal="right" vertical="center" shrinkToFit="1"/>
    </xf>
    <xf numFmtId="0" fontId="4" fillId="5" borderId="1" xfId="0" applyFont="1" applyFill="1" applyBorder="1" applyAlignment="1">
      <alignment horizontal="center" vertical="center" shrinkToFit="1"/>
    </xf>
    <xf numFmtId="2" fontId="2" fillId="7" borderId="7" xfId="0" applyNumberFormat="1" applyFont="1" applyFill="1" applyBorder="1" applyAlignment="1">
      <alignment horizontal="center" shrinkToFit="1"/>
    </xf>
    <xf numFmtId="9" fontId="2" fillId="0" borderId="0" xfId="1" applyFont="1" applyAlignment="1">
      <alignment horizontal="right" shrinkToFit="1"/>
    </xf>
    <xf numFmtId="10" fontId="2" fillId="4" borderId="0" xfId="1" applyNumberFormat="1" applyFont="1" applyFill="1" applyAlignment="1">
      <alignment horizontal="right" shrinkToFit="1"/>
    </xf>
    <xf numFmtId="0" fontId="2" fillId="2" borderId="0" xfId="0" applyFont="1" applyFill="1" applyAlignment="1" applyProtection="1">
      <alignment horizontal="center" shrinkToFit="1"/>
      <protection locked="0"/>
    </xf>
    <xf numFmtId="0" fontId="22" fillId="0" borderId="0" xfId="0" applyFont="1" applyFill="1" applyAlignment="1">
      <alignment horizontal="left" shrinkToFit="1"/>
    </xf>
    <xf numFmtId="0" fontId="4" fillId="5" borderId="1" xfId="0" applyFont="1" applyFill="1" applyBorder="1" applyAlignment="1">
      <alignment horizontal="center" shrinkToFit="1"/>
    </xf>
    <xf numFmtId="0" fontId="4" fillId="3" borderId="0" xfId="0" applyFont="1" applyFill="1" applyAlignment="1">
      <alignment horizontal="left"/>
    </xf>
    <xf numFmtId="0" fontId="8" fillId="7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4" fillId="7" borderId="0" xfId="0" applyFont="1" applyFill="1" applyAlignment="1">
      <alignment horizontal="left"/>
    </xf>
    <xf numFmtId="0" fontId="2" fillId="7" borderId="0" xfId="0" applyFont="1" applyFill="1"/>
    <xf numFmtId="9" fontId="3" fillId="7" borderId="0" xfId="1" applyFont="1" applyFill="1" applyAlignment="1">
      <alignment horizontal="right" shrinkToFit="1"/>
    </xf>
    <xf numFmtId="0" fontId="2" fillId="7" borderId="0" xfId="0" applyFont="1" applyFill="1" applyAlignment="1">
      <alignment shrinkToFit="1"/>
    </xf>
    <xf numFmtId="0" fontId="3" fillId="7" borderId="0" xfId="0" applyFont="1" applyFill="1" applyAlignment="1">
      <alignment horizontal="left" shrinkToFit="1"/>
    </xf>
    <xf numFmtId="0" fontId="2" fillId="8" borderId="0" xfId="0" applyFont="1" applyFill="1" applyAlignment="1">
      <alignment shrinkToFit="1"/>
    </xf>
    <xf numFmtId="0" fontId="25" fillId="10" borderId="0" xfId="0" applyFont="1" applyFill="1" applyAlignment="1">
      <alignment vertical="top"/>
    </xf>
    <xf numFmtId="0" fontId="24" fillId="10" borderId="0" xfId="0" applyFont="1" applyFill="1" applyAlignment="1">
      <alignment horizontal="center" vertical="top"/>
    </xf>
    <xf numFmtId="0" fontId="25" fillId="10" borderId="0" xfId="0" applyFont="1" applyFill="1" applyAlignment="1">
      <alignment horizontal="left" vertical="top" wrapText="1"/>
    </xf>
    <xf numFmtId="0" fontId="24" fillId="10" borderId="0" xfId="0" applyFont="1" applyFill="1" applyAlignment="1">
      <alignment vertical="top"/>
    </xf>
    <xf numFmtId="0" fontId="4" fillId="3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7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2" fillId="6" borderId="0" xfId="0" applyFont="1" applyFill="1" applyAlignment="1" applyProtection="1">
      <alignment horizontal="center"/>
    </xf>
    <xf numFmtId="0" fontId="5" fillId="6" borderId="0" xfId="0" applyFont="1" applyFill="1" applyAlignment="1" applyProtection="1">
      <alignment horizontal="center"/>
    </xf>
    <xf numFmtId="3" fontId="2" fillId="6" borderId="0" xfId="0" applyNumberFormat="1" applyFont="1" applyFill="1" applyAlignment="1" applyProtection="1">
      <alignment horizontal="center"/>
      <protection locked="0"/>
    </xf>
    <xf numFmtId="0" fontId="2" fillId="6" borderId="0" xfId="0" applyFont="1" applyFill="1" applyAlignment="1" applyProtection="1">
      <alignment horizontal="center"/>
      <protection locked="0"/>
    </xf>
    <xf numFmtId="2" fontId="2" fillId="6" borderId="0" xfId="0" applyNumberFormat="1" applyFont="1" applyFill="1" applyAlignment="1" applyProtection="1">
      <alignment horizontal="center"/>
      <protection locked="0"/>
    </xf>
    <xf numFmtId="14" fontId="2" fillId="6" borderId="0" xfId="0" applyNumberFormat="1" applyFont="1" applyFill="1" applyAlignment="1" applyProtection="1">
      <alignment horizontal="center"/>
      <protection locked="0"/>
    </xf>
    <xf numFmtId="0" fontId="3" fillId="3" borderId="0" xfId="0" applyFont="1" applyFill="1" applyAlignment="1" applyProtection="1">
      <alignment horizontal="center"/>
    </xf>
    <xf numFmtId="2" fontId="3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left"/>
    </xf>
    <xf numFmtId="0" fontId="2" fillId="3" borderId="0" xfId="0" applyFont="1" applyFill="1" applyAlignment="1" applyProtection="1">
      <alignment horizontal="center"/>
    </xf>
    <xf numFmtId="2" fontId="2" fillId="3" borderId="0" xfId="0" applyNumberFormat="1" applyFont="1" applyFill="1" applyAlignment="1" applyProtection="1">
      <alignment horizontal="center"/>
    </xf>
    <xf numFmtId="14" fontId="2" fillId="3" borderId="0" xfId="0" applyNumberFormat="1" applyFont="1" applyFill="1" applyAlignment="1" applyProtection="1">
      <alignment horizontal="center"/>
    </xf>
    <xf numFmtId="0" fontId="13" fillId="3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center"/>
    </xf>
    <xf numFmtId="2" fontId="2" fillId="0" borderId="0" xfId="0" applyNumberFormat="1" applyFont="1" applyFill="1" applyAlignment="1" applyProtection="1">
      <alignment horizontal="center"/>
    </xf>
    <xf numFmtId="14" fontId="2" fillId="0" borderId="0" xfId="0" applyNumberFormat="1" applyFont="1" applyFill="1" applyAlignment="1" applyProtection="1">
      <alignment horizontal="center"/>
    </xf>
    <xf numFmtId="0" fontId="3" fillId="7" borderId="0" xfId="0" applyFont="1" applyFill="1" applyAlignment="1">
      <alignment horizontal="center" shrinkToFit="1"/>
    </xf>
    <xf numFmtId="0" fontId="3" fillId="7" borderId="0" xfId="0" applyFont="1" applyFill="1" applyBorder="1" applyAlignment="1">
      <alignment horizontal="center" shrinkToFit="1"/>
    </xf>
    <xf numFmtId="164" fontId="3" fillId="7" borderId="7" xfId="1" applyNumberFormat="1" applyFont="1" applyFill="1" applyBorder="1" applyAlignment="1">
      <alignment horizontal="center" shrinkToFit="1"/>
    </xf>
    <xf numFmtId="0" fontId="27" fillId="7" borderId="0" xfId="0" applyFont="1" applyFill="1" applyAlignment="1">
      <alignment horizontal="right" vertical="center" shrinkToFit="1"/>
    </xf>
    <xf numFmtId="0" fontId="3" fillId="7" borderId="0" xfId="0" applyFont="1" applyFill="1" applyAlignment="1">
      <alignment shrinkToFit="1"/>
    </xf>
    <xf numFmtId="2" fontId="21" fillId="7" borderId="0" xfId="0" applyNumberFormat="1" applyFont="1" applyFill="1" applyAlignment="1">
      <alignment horizontal="center" vertical="center" shrinkToFit="1"/>
    </xf>
    <xf numFmtId="2" fontId="21" fillId="7" borderId="11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shrinkToFit="1"/>
    </xf>
    <xf numFmtId="2" fontId="21" fillId="0" borderId="0" xfId="0" applyNumberFormat="1" applyFont="1" applyFill="1" applyBorder="1" applyAlignment="1">
      <alignment horizontal="center" vertical="center" shrinkToFit="1"/>
    </xf>
    <xf numFmtId="0" fontId="4" fillId="5" borderId="12" xfId="0" applyFont="1" applyFill="1" applyBorder="1" applyAlignment="1">
      <alignment horizontal="center" vertical="center" shrinkToFit="1"/>
    </xf>
    <xf numFmtId="0" fontId="25" fillId="10" borderId="0" xfId="0" applyFont="1" applyFill="1" applyAlignment="1">
      <alignment horizontal="justify" vertical="top" wrapText="1"/>
    </xf>
    <xf numFmtId="0" fontId="26" fillId="10" borderId="0" xfId="0" applyFont="1" applyFill="1" applyAlignment="1">
      <alignment horizontal="center" vertical="top"/>
    </xf>
    <xf numFmtId="0" fontId="25" fillId="10" borderId="0" xfId="0" applyFont="1" applyFill="1" applyAlignment="1">
      <alignment horizontal="left" vertical="top"/>
    </xf>
    <xf numFmtId="0" fontId="25" fillId="10" borderId="0" xfId="0" applyFont="1" applyFill="1" applyAlignment="1">
      <alignment horizontal="justify" vertical="top"/>
    </xf>
    <xf numFmtId="0" fontId="9" fillId="8" borderId="0" xfId="0" applyFont="1" applyFill="1" applyAlignment="1">
      <alignment horizontal="left" shrinkToFit="1"/>
    </xf>
    <xf numFmtId="0" fontId="4" fillId="5" borderId="13" xfId="0" applyFont="1" applyFill="1" applyBorder="1" applyAlignment="1">
      <alignment horizontal="center" vertical="center" shrinkToFit="1"/>
    </xf>
    <xf numFmtId="0" fontId="4" fillId="5" borderId="2" xfId="0" applyFont="1" applyFill="1" applyBorder="1" applyAlignment="1">
      <alignment horizontal="center" vertical="center" shrinkToFit="1"/>
    </xf>
    <xf numFmtId="0" fontId="12" fillId="8" borderId="0" xfId="0" applyFont="1" applyFill="1" applyBorder="1" applyAlignment="1">
      <alignment horizontal="left" shrinkToFit="1"/>
    </xf>
    <xf numFmtId="0" fontId="12" fillId="8" borderId="10" xfId="0" applyFont="1" applyFill="1" applyBorder="1" applyAlignment="1">
      <alignment horizontal="left" shrinkToFit="1"/>
    </xf>
    <xf numFmtId="0" fontId="2" fillId="7" borderId="0" xfId="0" applyFont="1" applyFill="1" applyAlignment="1">
      <alignment horizontal="left" shrinkToFit="1"/>
    </xf>
    <xf numFmtId="0" fontId="3" fillId="7" borderId="0" xfId="0" applyFont="1" applyFill="1" applyAlignment="1">
      <alignment horizontal="center" shrinkToFit="1"/>
    </xf>
    <xf numFmtId="0" fontId="21" fillId="7" borderId="0" xfId="0" applyFont="1" applyFill="1" applyAlignment="1">
      <alignment shrinkToFit="1"/>
    </xf>
    <xf numFmtId="0" fontId="22" fillId="7" borderId="0" xfId="0" applyFont="1" applyFill="1" applyAlignment="1">
      <alignment horizontal="left" shrinkToFit="1"/>
    </xf>
    <xf numFmtId="0" fontId="20" fillId="7" borderId="0" xfId="0" applyFont="1" applyFill="1" applyAlignment="1">
      <alignment shrinkToFit="1"/>
    </xf>
    <xf numFmtId="0" fontId="3" fillId="7" borderId="11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 shrinkToFit="1"/>
    </xf>
    <xf numFmtId="0" fontId="28" fillId="11" borderId="0" xfId="0" applyFont="1" applyFill="1" applyAlignment="1">
      <alignment horizontal="left" vertical="top" shrinkToFit="1"/>
    </xf>
    <xf numFmtId="0" fontId="24" fillId="3" borderId="0" xfId="0" applyFont="1" applyFill="1" applyAlignment="1">
      <alignment horizontal="center" vertical="top"/>
    </xf>
    <xf numFmtId="0" fontId="24" fillId="3" borderId="0" xfId="0" applyFont="1" applyFill="1" applyAlignment="1">
      <alignment horizontal="right" vertical="top"/>
    </xf>
  </cellXfs>
  <cellStyles count="2">
    <cellStyle name="Normal" xfId="0" builtinId="0"/>
    <cellStyle name="Percent" xfId="1" builtinId="5"/>
  </cellStyles>
  <dxfs count="16">
    <dxf>
      <fill>
        <patternFill>
          <bgColor theme="5" tint="0.79998168889431442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 patternType="none">
          <bgColor auto="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  <border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FFCC"/>
      <color rgb="FFFFCCCC"/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uyau/Documents/ActuarialAddinData/Aubin%20Sta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PPLimits"/>
      <sheetName val="ProxyStat"/>
      <sheetName val="QPPStat"/>
      <sheetName val="CPPStat"/>
      <sheetName val="OASStat"/>
      <sheetName val="AWEStat"/>
      <sheetName val="AWETNStat"/>
      <sheetName val="AWEIPEStat"/>
      <sheetName val="AWENEStat"/>
      <sheetName val="AWENBStat"/>
      <sheetName val="AWEQCStat"/>
      <sheetName val="AWEONStat"/>
      <sheetName val="AWEMAStat"/>
      <sheetName val="AWESAStat"/>
      <sheetName val="AWEALStat"/>
      <sheetName val="AWECBStat"/>
      <sheetName val="CIAStat"/>
      <sheetName val="CPIStat"/>
      <sheetName val="CPITNStat"/>
      <sheetName val="CPIIPEStat"/>
      <sheetName val="CPINEStat"/>
      <sheetName val="CPINBStat"/>
      <sheetName val="CPIQCStat"/>
      <sheetName val="CPIONStat"/>
      <sheetName val="CPIMAStat"/>
      <sheetName val="CPISAStat"/>
      <sheetName val="CPIALStat"/>
      <sheetName val="CPICBStat"/>
    </sheetNames>
    <definedNames>
      <definedName name="_lastDateCIAStat" refersTo="='CIAStat'!$K$1"/>
    </definedNames>
    <sheetDataSet>
      <sheetData sheetId="0"/>
      <sheetData sheetId="1">
        <row r="1">
          <cell r="K1">
            <v>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K1">
            <v>44593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EDE9-2FA2-4CC4-A941-F634377E6E7C}">
  <sheetPr>
    <tabColor theme="9" tint="0.39997558519241921"/>
  </sheetPr>
  <dimension ref="A1:K13"/>
  <sheetViews>
    <sheetView workbookViewId="0">
      <pane ySplit="1" topLeftCell="A2" activePane="bottomLeft" state="frozen"/>
      <selection pane="bottomLeft" activeCell="C9" sqref="C9:K9"/>
    </sheetView>
  </sheetViews>
  <sheetFormatPr defaultColWidth="8.77734375" defaultRowHeight="18" x14ac:dyDescent="0.3"/>
  <cols>
    <col min="1" max="1" width="8.77734375" style="112"/>
    <col min="2" max="2" width="4.5546875" style="109" customWidth="1"/>
    <col min="3" max="16384" width="8.77734375" style="109"/>
  </cols>
  <sheetData>
    <row r="1" spans="1:11" ht="31.2" x14ac:dyDescent="0.3">
      <c r="A1" s="163" t="s">
        <v>287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</row>
    <row r="3" spans="1:11" ht="37.950000000000003" customHeight="1" x14ac:dyDescent="0.3">
      <c r="A3" s="164">
        <v>1</v>
      </c>
      <c r="B3" s="146" t="s">
        <v>194</v>
      </c>
      <c r="C3" s="146"/>
      <c r="D3" s="146"/>
      <c r="E3" s="146"/>
      <c r="F3" s="146"/>
      <c r="G3" s="146"/>
      <c r="H3" s="146"/>
      <c r="I3" s="146"/>
      <c r="J3" s="146"/>
      <c r="K3" s="146"/>
    </row>
    <row r="4" spans="1:11" ht="15" customHeight="1" x14ac:dyDescent="0.3">
      <c r="A4" s="110"/>
      <c r="B4" s="111"/>
      <c r="C4" s="111"/>
      <c r="D4" s="111"/>
      <c r="E4" s="111"/>
      <c r="F4" s="111"/>
      <c r="G4" s="111"/>
      <c r="H4" s="111"/>
      <c r="I4" s="111"/>
      <c r="J4" s="111"/>
      <c r="K4" s="111"/>
    </row>
    <row r="5" spans="1:11" ht="57" customHeight="1" x14ac:dyDescent="0.3">
      <c r="A5" s="164">
        <v>2</v>
      </c>
      <c r="B5" s="146" t="s">
        <v>188</v>
      </c>
      <c r="C5" s="146"/>
      <c r="D5" s="146"/>
      <c r="E5" s="146"/>
      <c r="F5" s="146"/>
      <c r="G5" s="146"/>
      <c r="H5" s="146"/>
      <c r="I5" s="146"/>
      <c r="J5" s="146"/>
      <c r="K5" s="146"/>
    </row>
    <row r="6" spans="1:11" ht="15" customHeight="1" x14ac:dyDescent="0.3">
      <c r="A6" s="110"/>
      <c r="B6" s="111"/>
      <c r="C6" s="111"/>
      <c r="D6" s="111"/>
      <c r="E6" s="111"/>
      <c r="F6" s="111"/>
      <c r="G6" s="111"/>
      <c r="H6" s="111"/>
      <c r="I6" s="111"/>
      <c r="J6" s="111"/>
      <c r="K6" s="111"/>
    </row>
    <row r="7" spans="1:11" x14ac:dyDescent="0.3">
      <c r="A7" s="164">
        <v>3</v>
      </c>
      <c r="B7" s="148" t="s">
        <v>193</v>
      </c>
      <c r="C7" s="148"/>
      <c r="D7" s="148"/>
      <c r="E7" s="148"/>
      <c r="F7" s="148"/>
      <c r="G7" s="148"/>
      <c r="H7" s="148"/>
      <c r="I7" s="148"/>
      <c r="J7" s="148"/>
      <c r="K7" s="148"/>
    </row>
    <row r="8" spans="1:11" ht="19.05" customHeight="1" x14ac:dyDescent="0.3">
      <c r="A8" s="165" t="s">
        <v>189</v>
      </c>
      <c r="C8" s="149" t="s">
        <v>195</v>
      </c>
      <c r="D8" s="149"/>
      <c r="E8" s="149"/>
      <c r="F8" s="149"/>
      <c r="G8" s="149"/>
      <c r="H8" s="149"/>
      <c r="I8" s="149"/>
      <c r="J8" s="149"/>
      <c r="K8" s="149"/>
    </row>
    <row r="9" spans="1:11" ht="37.950000000000003" customHeight="1" x14ac:dyDescent="0.3">
      <c r="A9" s="165" t="s">
        <v>190</v>
      </c>
      <c r="C9" s="146" t="s">
        <v>196</v>
      </c>
      <c r="D9" s="146"/>
      <c r="E9" s="146"/>
      <c r="F9" s="146"/>
      <c r="G9" s="146"/>
      <c r="H9" s="146"/>
      <c r="I9" s="146"/>
      <c r="J9" s="146"/>
      <c r="K9" s="146"/>
    </row>
    <row r="10" spans="1:11" ht="37.950000000000003" customHeight="1" x14ac:dyDescent="0.3">
      <c r="A10" s="165" t="s">
        <v>191</v>
      </c>
      <c r="C10" s="146" t="s">
        <v>197</v>
      </c>
      <c r="D10" s="146"/>
      <c r="E10" s="146"/>
      <c r="F10" s="146"/>
      <c r="G10" s="146"/>
      <c r="H10" s="146"/>
      <c r="I10" s="146"/>
      <c r="J10" s="146"/>
      <c r="K10" s="146"/>
    </row>
    <row r="11" spans="1:11" ht="37.950000000000003" customHeight="1" x14ac:dyDescent="0.3">
      <c r="A11" s="165" t="s">
        <v>198</v>
      </c>
      <c r="C11" s="146" t="s">
        <v>199</v>
      </c>
      <c r="D11" s="146"/>
      <c r="E11" s="146"/>
      <c r="F11" s="146"/>
      <c r="G11" s="146"/>
      <c r="H11" s="146"/>
      <c r="I11" s="146"/>
      <c r="J11" s="146"/>
      <c r="K11" s="146"/>
    </row>
    <row r="13" spans="1:11" ht="25.8" x14ac:dyDescent="0.3">
      <c r="A13" s="147" t="s">
        <v>192</v>
      </c>
      <c r="B13" s="147"/>
      <c r="C13" s="147"/>
      <c r="D13" s="147"/>
      <c r="E13" s="147"/>
      <c r="F13" s="147"/>
      <c r="G13" s="147"/>
      <c r="H13" s="147"/>
      <c r="I13" s="147"/>
      <c r="J13" s="147"/>
      <c r="K13" s="147"/>
    </row>
  </sheetData>
  <sheetProtection algorithmName="SHA-512" hashValue="dG/0+dxJEWoFWr88Y9qPnE4zqtXd1qc6VGjnMssOpTiKgTdrzvb6s35m3Od15k0FMNbNJNWC0t22cElxqFpdsw==" saltValue="1lQt+NEp9VaXnwcDI6BYzg==" spinCount="100000" sheet="1" objects="1" scenarios="1" selectLockedCells="1" selectUnlockedCells="1"/>
  <mergeCells count="9">
    <mergeCell ref="C10:K10"/>
    <mergeCell ref="C11:K11"/>
    <mergeCell ref="A13:K13"/>
    <mergeCell ref="B3:K3"/>
    <mergeCell ref="A1:K1"/>
    <mergeCell ref="B5:K5"/>
    <mergeCell ref="B7:K7"/>
    <mergeCell ref="C8:K8"/>
    <mergeCell ref="C9:K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AFD9-149A-46AF-A4DC-CB5AE176F1CC}">
  <sheetPr codeName="Sheet1">
    <tabColor rgb="FFFFFF00"/>
    <pageSetUpPr fitToPage="1"/>
  </sheetPr>
  <dimension ref="A1:L30"/>
  <sheetViews>
    <sheetView zoomScale="85" zoomScaleNormal="85" workbookViewId="0">
      <pane ySplit="3" topLeftCell="A4" activePane="bottomLeft" state="frozen"/>
      <selection pane="bottomLeft" activeCell="F23" sqref="F23"/>
    </sheetView>
  </sheetViews>
  <sheetFormatPr defaultColWidth="8.77734375" defaultRowHeight="14.4" x14ac:dyDescent="0.3"/>
  <cols>
    <col min="1" max="1" width="23.88671875" style="38" bestFit="1" customWidth="1"/>
    <col min="2" max="2" width="15.6640625" style="41" customWidth="1"/>
    <col min="3" max="3" width="15.6640625" style="13" customWidth="1"/>
    <col min="4" max="4" width="4.77734375" style="47" customWidth="1"/>
    <col min="5" max="5" width="31.44140625" style="12" bestFit="1" customWidth="1"/>
    <col min="6" max="7" width="15.6640625" style="12" customWidth="1"/>
    <col min="8" max="10" width="15.6640625" style="13" customWidth="1"/>
    <col min="11" max="11" width="15.77734375" style="13" bestFit="1" customWidth="1"/>
    <col min="12" max="12" width="25.88671875" style="13" bestFit="1" customWidth="1"/>
    <col min="13" max="16384" width="8.77734375" style="13"/>
  </cols>
  <sheetData>
    <row r="1" spans="1:12" ht="21" x14ac:dyDescent="0.4">
      <c r="A1" s="150" t="s">
        <v>186</v>
      </c>
      <c r="B1" s="150"/>
      <c r="C1" s="150"/>
      <c r="D1" s="150"/>
      <c r="E1" s="51" t="s">
        <v>63</v>
      </c>
      <c r="F1" s="52" t="s">
        <v>62</v>
      </c>
      <c r="G1" s="108"/>
      <c r="H1" s="108"/>
      <c r="I1" s="108"/>
      <c r="J1" s="108"/>
      <c r="K1" s="108"/>
    </row>
    <row r="3" spans="1:12" ht="15" thickBot="1" x14ac:dyDescent="0.35">
      <c r="A3" s="53" t="s">
        <v>113</v>
      </c>
      <c r="B3" s="54">
        <v>1</v>
      </c>
      <c r="C3" s="37" t="str" cm="1">
        <f t="array" ref="C3">"&lt;-- "&amp;_z_idMin&amp;" ... "&amp;_z_idMax</f>
        <v>&lt;-- 1 ... 5</v>
      </c>
      <c r="D3" s="4"/>
    </row>
    <row r="4" spans="1:12" ht="15" thickBot="1" x14ac:dyDescent="0.35">
      <c r="A4" s="55" t="s">
        <v>1</v>
      </c>
      <c r="B4" s="56" t="str">
        <f>LEFT(_d_name,20)</f>
        <v>Doe, John</v>
      </c>
      <c r="C4" s="145" t="str">
        <f>IF(_t_duplicateID,"Duplicate ID",IF(_t_errorPerson,"Invalid data",""))</f>
        <v/>
      </c>
      <c r="E4" s="57" t="s">
        <v>108</v>
      </c>
      <c r="F4" s="7" t="s">
        <v>121</v>
      </c>
      <c r="G4" s="7" t="s">
        <v>58</v>
      </c>
      <c r="H4" s="7" t="s">
        <v>61</v>
      </c>
      <c r="I4" s="7" t="s">
        <v>59</v>
      </c>
      <c r="J4" s="7" t="s">
        <v>57</v>
      </c>
      <c r="K4" s="8" t="s">
        <v>60</v>
      </c>
    </row>
    <row r="5" spans="1:12" ht="15" thickBot="1" x14ac:dyDescent="0.35">
      <c r="A5" s="55" t="s">
        <v>4</v>
      </c>
      <c r="B5" s="56">
        <f>_d_sex1</f>
        <v>1</v>
      </c>
      <c r="E5" s="58" t="s">
        <v>109</v>
      </c>
      <c r="F5" s="59" t="b">
        <v>0</v>
      </c>
      <c r="G5" s="60">
        <v>0.03</v>
      </c>
      <c r="H5" s="61"/>
      <c r="I5" s="62"/>
      <c r="J5" s="61"/>
      <c r="K5" s="63"/>
      <c r="L5" s="64" t="str">
        <f>IF(_t_cia_interest_conflict,"CIA and interest conflict",IF(AND(_i_cia_interest_asked,_d_dtCalc=0),"Dt Calc missing",IF(AND(NOT(_t_cia_interest_asked),_i_interestRate1=""),"&lt;-- Rate 1 missing",IF(OR(AND(_i_interestPeriod1&gt;0,_i_interestRate2=""),AND(_i_interestPeriod2&gt;0,_i_interestRate3="")),"&lt;-- Invalid vector",""))))</f>
        <v/>
      </c>
    </row>
    <row r="6" spans="1:12" ht="15" thickBot="1" x14ac:dyDescent="0.35">
      <c r="A6" s="55" t="s">
        <v>5</v>
      </c>
      <c r="B6" s="65">
        <f>_t_age1</f>
        <v>63</v>
      </c>
      <c r="E6" s="66"/>
      <c r="F6" s="138" t="str">
        <f>IF(_t_cia_interest_show,"CIA "&amp;TEXT(_t_dtCIA,_f_dtCiaShort)&amp;"--&gt;","")</f>
        <v/>
      </c>
      <c r="G6" s="67" t="str" cm="1">
        <f t="array" ref="G6">IF(_t_cia_interest_show,_t_cia_interest,"")</f>
        <v/>
      </c>
      <c r="H6" s="68"/>
      <c r="I6" s="67"/>
      <c r="J6" s="69"/>
      <c r="K6" s="70"/>
    </row>
    <row r="7" spans="1:12" ht="15" thickBot="1" x14ac:dyDescent="0.35">
      <c r="A7" s="55" t="s">
        <v>6</v>
      </c>
      <c r="B7" s="56" cm="1">
        <f t="array" ref="B7">_t_sex2_temp</f>
        <v>2</v>
      </c>
      <c r="D7" s="71"/>
    </row>
    <row r="8" spans="1:12" ht="15" thickBot="1" x14ac:dyDescent="0.35">
      <c r="A8" s="55" t="s">
        <v>7</v>
      </c>
      <c r="B8" s="65">
        <f>_t_age2</f>
        <v>60</v>
      </c>
      <c r="C8" s="72" t="str">
        <f>IF(AND(_t_hasReversion,B8=""),"&lt;-- Missing","")</f>
        <v/>
      </c>
      <c r="D8" s="71"/>
      <c r="E8" s="57" t="s">
        <v>110</v>
      </c>
      <c r="F8" s="7" t="s">
        <v>121</v>
      </c>
      <c r="G8" s="7" t="s">
        <v>58</v>
      </c>
      <c r="H8" s="7" t="s">
        <v>56</v>
      </c>
      <c r="I8" s="7" t="s">
        <v>59</v>
      </c>
      <c r="J8" s="7" t="s">
        <v>57</v>
      </c>
      <c r="K8" s="8" t="s">
        <v>60</v>
      </c>
    </row>
    <row r="9" spans="1:12" ht="15" thickBot="1" x14ac:dyDescent="0.35">
      <c r="A9" s="55" t="s">
        <v>12</v>
      </c>
      <c r="B9" s="73">
        <f>IF(_d_dtCalc=0,"",_d_dtCalc)</f>
        <v>44505</v>
      </c>
      <c r="E9" s="58" t="s">
        <v>109</v>
      </c>
      <c r="F9" s="61" t="b">
        <v>0</v>
      </c>
      <c r="G9" s="62"/>
      <c r="H9" s="61"/>
      <c r="I9" s="62"/>
      <c r="J9" s="61"/>
      <c r="K9" s="63"/>
      <c r="L9" s="49" t="str">
        <f>IF(_cia_indexation_warning,"Warning - CIA assumptions not used",IF(_t_cia_indexation_conflict,"CIA and indexation conflict",IF(AND(_i_cia_indexation_asked,_d_dtCalc=0),"Dt Calc missing",IF(OR(AND(_i_indexationPeriod1&gt;0,_i_indexationRate2=""),AND(_i_indexationPeriod2&gt;0,_i_indexationRate3="")),"&lt;-- Invalid vector",""))))</f>
        <v/>
      </c>
    </row>
    <row r="10" spans="1:12" x14ac:dyDescent="0.3">
      <c r="E10" s="58"/>
      <c r="F10" s="137" t="str">
        <f>IF(AND(_i_cia_indexation_asked,_e_error5=""),"CIA "&amp;TEXT(_t_dtCIA,_f_dtCiaShort)&amp;"--&gt;","")</f>
        <v/>
      </c>
      <c r="G10" s="74" t="str" cm="1">
        <f t="array" ref="G10">IF(_t_cia_indexation_show,_t_cia_indexation,"")</f>
        <v/>
      </c>
      <c r="H10" s="75"/>
      <c r="I10" s="74"/>
      <c r="J10" s="76"/>
      <c r="K10" s="77"/>
    </row>
    <row r="11" spans="1:12" x14ac:dyDescent="0.3">
      <c r="A11" s="53" t="s">
        <v>13</v>
      </c>
      <c r="B11" s="56"/>
      <c r="C11" s="47"/>
      <c r="E11" s="58" t="s">
        <v>22</v>
      </c>
      <c r="F11" s="78"/>
      <c r="G11" s="37" t="str" cm="1">
        <f t="array" ref="G11">IF(_i_ageIndexation="","&lt;-- "&amp;TEXT(_t_ageFirstIndexMin+1,_f_dec2),"")</f>
        <v>&lt;-- 64.00</v>
      </c>
      <c r="H11" s="76"/>
      <c r="I11" s="76"/>
      <c r="J11" s="76"/>
      <c r="K11" s="77"/>
    </row>
    <row r="12" spans="1:12" x14ac:dyDescent="0.3">
      <c r="A12" s="55" t="s">
        <v>14</v>
      </c>
      <c r="B12" s="79"/>
      <c r="C12" s="37" t="str">
        <f>IF(_i_guarantee="","&lt;-- "&amp;TEXT(_t_guarantee,_f_dec2),"")</f>
        <v>&lt;-- 0.00</v>
      </c>
      <c r="E12" s="58" t="s">
        <v>24</v>
      </c>
      <c r="F12" s="78"/>
      <c r="G12" s="37" t="str">
        <f>IF(_i_fracFirstIndexation="","&lt;-- "&amp;TEXT(1,_f_dec2),"")</f>
        <v>&lt;-- 1.00</v>
      </c>
      <c r="H12" s="76"/>
      <c r="I12" s="76"/>
      <c r="J12" s="76"/>
      <c r="K12" s="77"/>
    </row>
    <row r="13" spans="1:12" x14ac:dyDescent="0.3">
      <c r="A13" s="55" t="s">
        <v>15</v>
      </c>
      <c r="B13" s="80"/>
      <c r="C13" s="37" t="str">
        <f>IF(_i_reversion="","&lt;-- "&amp;TEXT(_t_reversion,_f_perc2),"")</f>
        <v>&lt;-- 0.00%</v>
      </c>
      <c r="E13" s="81" t="s">
        <v>122</v>
      </c>
      <c r="F13" s="75"/>
      <c r="G13" s="82"/>
      <c r="H13" s="76"/>
      <c r="I13" s="76"/>
      <c r="J13" s="76"/>
      <c r="K13" s="77"/>
    </row>
    <row r="14" spans="1:12" x14ac:dyDescent="0.3">
      <c r="A14" s="55" t="s">
        <v>16</v>
      </c>
      <c r="B14" s="79"/>
      <c r="C14" s="37" t="str">
        <f>IF(_i_deferred="","&lt;-- "&amp;TEXT(_t_deferred,_f_dec2),"")</f>
        <v>&lt;-- 0.00</v>
      </c>
      <c r="E14" s="58" t="s">
        <v>123</v>
      </c>
      <c r="F14" s="62"/>
      <c r="G14" s="32" t="str">
        <f>IF(_i_indexation_offset="","&lt;-- "&amp;TEXT(0,_f_perc2),"")</f>
        <v>&lt;-- 0.00%</v>
      </c>
      <c r="H14" s="76"/>
      <c r="I14" s="76"/>
      <c r="J14" s="76"/>
      <c r="K14" s="77"/>
    </row>
    <row r="15" spans="1:12" x14ac:dyDescent="0.3">
      <c r="A15" s="55" t="s">
        <v>23</v>
      </c>
      <c r="B15" s="79"/>
      <c r="C15" s="37" t="str">
        <f>IF(_i_yearsPaid="","&lt;-- n/a","")</f>
        <v>&lt;-- n/a</v>
      </c>
      <c r="E15" s="58" t="s">
        <v>124</v>
      </c>
      <c r="F15" s="62"/>
      <c r="G15" s="32" t="str">
        <f>IF(_i_indexation_fraction="","&lt;-- "&amp;TEXT(1,_f_perc2),"")</f>
        <v>&lt;-- 100.00%</v>
      </c>
      <c r="H15" s="76"/>
      <c r="I15" s="76"/>
      <c r="J15" s="76"/>
      <c r="K15" s="77"/>
    </row>
    <row r="16" spans="1:12" ht="15" thickBot="1" x14ac:dyDescent="0.35">
      <c r="A16" s="55" t="s">
        <v>17</v>
      </c>
      <c r="B16" s="83"/>
      <c r="C16" s="37" t="str">
        <f>IF(_i_frequency="","&lt;-- "&amp;_t_frequency,"")</f>
        <v>&lt;-- 12</v>
      </c>
      <c r="E16" s="66" t="s">
        <v>125</v>
      </c>
      <c r="F16" s="84"/>
      <c r="G16" s="33" t="str">
        <f>IF(_i_indexation_max="","&lt;-- "&amp;TEXT(1,_f_perc2),"")</f>
        <v>&lt;-- 100.00%</v>
      </c>
      <c r="H16" s="69"/>
      <c r="I16" s="69"/>
      <c r="J16" s="69"/>
      <c r="K16" s="70"/>
      <c r="L16" s="85"/>
    </row>
    <row r="17" spans="1:11" ht="15" thickBot="1" x14ac:dyDescent="0.35">
      <c r="A17" s="55" t="s">
        <v>18</v>
      </c>
      <c r="B17" s="83"/>
      <c r="C17" s="37" t="str">
        <f>IF(_i_due="","&lt;-- "&amp;_t_due,"")</f>
        <v>&lt;-- TRUE</v>
      </c>
    </row>
    <row r="18" spans="1:11" x14ac:dyDescent="0.3">
      <c r="A18" s="55" t="s">
        <v>19</v>
      </c>
      <c r="B18" s="83"/>
      <c r="C18" s="37" t="str">
        <f>IF(_i_qxPre="","&lt;-- "&amp;_t_qxPre,"")</f>
        <v>&lt;-- TRUE</v>
      </c>
      <c r="E18" s="57" t="str">
        <f>"Mortality"&amp;IF(_t_cia_interest_show," (CIA 3500)","")</f>
        <v>Mortality</v>
      </c>
      <c r="F18" s="10" t="s">
        <v>32</v>
      </c>
      <c r="G18" s="10" t="s">
        <v>33</v>
      </c>
      <c r="H18" s="86"/>
      <c r="I18" s="87"/>
    </row>
    <row r="19" spans="1:11" ht="15" thickBot="1" x14ac:dyDescent="0.35">
      <c r="E19" s="58" t="s">
        <v>2</v>
      </c>
      <c r="F19" s="88"/>
      <c r="G19" s="88"/>
      <c r="H19" s="153" t="str">
        <f>IF(_hideQxDefaultSex,"","&lt;-- "&amp;TEXT(_t_sex1,_f_dec2)&amp;" / "&amp;TEXT(_t_sex2,_f_dec2))</f>
        <v>&lt;-- 1.00 / 2.00</v>
      </c>
      <c r="I19" s="154"/>
    </row>
    <row r="20" spans="1:11" ht="15" thickBot="1" x14ac:dyDescent="0.35">
      <c r="A20" s="140"/>
      <c r="B20" s="136" t="s">
        <v>32</v>
      </c>
      <c r="C20" s="143" t="str">
        <f>IF(_showAnnuitant2,"Annuitant 2","")</f>
        <v/>
      </c>
      <c r="E20" s="58" t="s">
        <v>34</v>
      </c>
      <c r="F20" s="88"/>
      <c r="G20" s="88"/>
      <c r="H20" s="153" t="str">
        <f>IF(_hideQxDefaultTable,"","&lt;-- "&amp;_t_qxTable1&amp;" / "&amp;IF(_i_reversion=0,"none",_t_qxTable2))</f>
        <v>&lt;-- CPM2014 / none</v>
      </c>
      <c r="I20" s="153"/>
      <c r="J20" s="151" t="str">
        <f>IF(_cia_qx_all_valid,"","Invalid under CIA 3500")</f>
        <v/>
      </c>
      <c r="K20" s="152"/>
    </row>
    <row r="21" spans="1:11" ht="15.6" x14ac:dyDescent="0.3">
      <c r="A21" s="139" t="s">
        <v>289</v>
      </c>
      <c r="B21" s="141">
        <f>_t_age1</f>
        <v>63</v>
      </c>
      <c r="C21" s="144" t="str">
        <f>IF(_showAnnuitant2,_t_age2,"")</f>
        <v/>
      </c>
      <c r="E21" s="58" t="s">
        <v>36</v>
      </c>
      <c r="F21" s="88"/>
      <c r="G21" s="88"/>
      <c r="H21" s="153" t="str">
        <f>IF(_hideQxDefaultShiftAge,"","&lt;-- "&amp;TEXT(_i_qxShitAge1,"0")&amp;" / "&amp;IF(_i_reversion=0,"none",TEXT(_i_qxShitAge2,"0")))</f>
        <v>&lt;-- 0 / none</v>
      </c>
      <c r="I21" s="154"/>
    </row>
    <row r="22" spans="1:11" ht="15.6" x14ac:dyDescent="0.3">
      <c r="A22" s="139" t="s">
        <v>288</v>
      </c>
      <c r="B22" s="142" cm="1">
        <f t="array" ref="B22">IF(_show_results,_xll.JS(_t_age1,_xll.LX_aea(_t_sex1,_t_qxTable1,_i_qxShitAge1,_i_qxLoading1,_t_qxProjection1,_t_qxScale1,_ic_qxTableBaseYear1,_t_qxValuationYear1,_t_qxAgeValuation1),0,,,,,,,,,365),"")</f>
        <v>22.500836608066262</v>
      </c>
      <c r="C22" s="144" t="str" cm="1">
        <f t="array" ref="C22">IF(_showAnnuitant2,_xll.JS(_t_age2,_xll.LX_aea(_t_sex2,_t_qxTable2,_i_qxShitAge2,_i_qxLoading2,_t_qxProjection2,_t_qxScale2,_ic_qxTableBaseYear2,_t_qxValuationYear2,_t_qxAgeValuation2),0,,,,,,,,,365),"")</f>
        <v/>
      </c>
      <c r="D22" s="89"/>
      <c r="E22" s="58" t="s">
        <v>35</v>
      </c>
      <c r="F22" s="90"/>
      <c r="G22" s="90"/>
      <c r="H22" s="153" t="str">
        <f>IF(_hideQxDefaultLoading,"","&lt;-- "&amp;TEXT(_i_qxLoading1,_f_perc2)&amp;" / "&amp;IF(_i_reversion=0,"none",TEXT(_i_qxLoading2,_f_perc2)))</f>
        <v>&lt;-- 0.00% / none</v>
      </c>
      <c r="I22" s="154"/>
    </row>
    <row r="23" spans="1:11" ht="15.6" x14ac:dyDescent="0.3">
      <c r="A23" s="139" t="s">
        <v>290</v>
      </c>
      <c r="B23" s="141">
        <f>IF(_show_results,B21+B22,"")</f>
        <v>85.500836608066265</v>
      </c>
      <c r="C23" s="144" t="str">
        <f>IF(_showAnnuitant2,C21+C22,"")</f>
        <v/>
      </c>
      <c r="E23" s="58" t="s">
        <v>37</v>
      </c>
      <c r="F23" s="88"/>
      <c r="G23" s="88"/>
      <c r="H23" s="153" t="str">
        <f>IF(_hideQxDefaultScale,"","&lt;-- "&amp;IF(_t_qxScale1="","none",_t_qxScale1)&amp;" / "&amp;IF(_i_reversion=0,"none",IF(_t_qxScale2="","none",_t_qxScale2)))</f>
        <v>&lt;-- none / none</v>
      </c>
      <c r="I23" s="154"/>
    </row>
    <row r="24" spans="1:11" x14ac:dyDescent="0.3">
      <c r="E24" s="58" t="s">
        <v>38</v>
      </c>
      <c r="F24" s="75" t="str">
        <f>IF(_t_qxProjection1,VLOOKUP(_t_qxTable1,_z_tabQxTable,2,FALSE),"")</f>
        <v/>
      </c>
      <c r="G24" s="75" t="str">
        <f>IF(AND(_t_hasReversion,_t_qxProjection2),VLOOKUP(_t_qxTable2,_z_tabQxTable,2,FALSE),"")</f>
        <v/>
      </c>
      <c r="H24" s="76"/>
      <c r="I24" s="77"/>
    </row>
    <row r="25" spans="1:11" x14ac:dyDescent="0.3">
      <c r="E25" s="58" t="s">
        <v>39</v>
      </c>
      <c r="F25" s="88"/>
      <c r="G25" s="88"/>
      <c r="H25" s="153" t="str">
        <f>IF(_hideQxDefaultYearVln,"",IF(OR(_t_qxProjection1,_t_qxProjection2),"&lt;-- "&amp;_t_qxValuationYear1&amp;" / "&amp;_t_qxValuationYear2,""))</f>
        <v/>
      </c>
      <c r="I25" s="154"/>
    </row>
    <row r="26" spans="1:11" ht="15" thickBot="1" x14ac:dyDescent="0.35">
      <c r="E26" s="66" t="s">
        <v>40</v>
      </c>
      <c r="F26" s="93" t="str">
        <f>IF(_t_qxProjection1,_t_age1,"")</f>
        <v/>
      </c>
      <c r="G26" s="93" t="str">
        <f>IF(AND(_t_hasReversion,_t_qxProjection2),_t_age2,"")</f>
        <v/>
      </c>
      <c r="H26" s="69"/>
      <c r="I26" s="70"/>
    </row>
    <row r="27" spans="1:11" ht="21.6" thickBot="1" x14ac:dyDescent="0.35">
      <c r="A27" s="91" t="s">
        <v>43</v>
      </c>
      <c r="B27" s="48" cm="1">
        <f t="array" ref="B27">IF(_show_results,IF(_t_hasReversion,_xll.JS(_t_age1,_xll.LX_aea(_t_sex1,_t_qxTable1,_i_qxShitAge1,_i_qxLoading1,_t_qxProjection1,_t_qxScale1,_ic_qxTableBaseYear1,_t_qxValuationYear1,_t_qxAgeValuation1),_t_interestVector,_t_age2,_xll.LX_aea(_t_sex2,_t_qxTable2,_i_qxShitAge2,_i_qxLoading2,_t_qxProjection2,_t_qxScale2,_ic_qxTableBaseYear2,_t_qxValuationYear2,_t_qxAgeValuation2),_t_reversion,_t_guarantee,_t_deferred,_i_yearsPaid,_t_indexationVector,_i_ageIndexation,_t_frequency,_t_due,_t_qxPre,,,_t_fracFirstIndexation),_xll.JS(_t_age1,_xll.LX_aea(_t_sex1,_t_qxTable1,_i_qxShitAge1,_i_qxLoading1,_t_qxProjection1,_t_qxScale1,_ic_qxTableBaseYear1,_t_qxValuationYear1,_t_qxAgeValuation1),_t_interestVector,,,,_t_guarantee,_t_deferred,_i_yearsPaid,_t_indexationVector,_i_ageIndexation,_t_frequency,_t_due,_t_qxPre,,,_t_fracFirstIndexation)),"")</f>
        <v>15.869607257140894</v>
      </c>
      <c r="C27" s="92" t="str">
        <f>IF(_settings_invalid,"Invalid settings",IF(_cia_warning,"Warning - CIA",IF(_t_errorSomewhere,"Invalid input","")))</f>
        <v/>
      </c>
      <c r="E27" s="94"/>
    </row>
    <row r="28" spans="1:11" x14ac:dyDescent="0.3">
      <c r="E28" s="105" t="s">
        <v>34</v>
      </c>
      <c r="F28" s="107" t="s">
        <v>156</v>
      </c>
      <c r="G28" s="55"/>
      <c r="H28" s="106"/>
      <c r="I28" s="106"/>
    </row>
    <row r="29" spans="1:11" x14ac:dyDescent="0.3">
      <c r="A29" s="53" t="s">
        <v>150</v>
      </c>
      <c r="B29" s="156" t="s">
        <v>297</v>
      </c>
      <c r="C29" s="156"/>
      <c r="E29" s="53" t="str">
        <f>_t_qxTable1</f>
        <v>CPM2014</v>
      </c>
      <c r="F29" s="155" t="str">
        <f>_t_qxTable1Descr</f>
        <v>Canadian Pensioners’ Mortality (CPM) 2014, composite of Public and Private Sector</v>
      </c>
      <c r="G29" s="155"/>
      <c r="H29" s="155"/>
      <c r="I29" s="155"/>
    </row>
    <row r="30" spans="1:11" x14ac:dyDescent="0.3">
      <c r="A30" s="53" t="s">
        <v>138</v>
      </c>
      <c r="B30" s="156" t="str" cm="1">
        <f t="array" ref="B30">"version "&amp;_xll.version_aea()</f>
        <v>version 4.5.5</v>
      </c>
      <c r="C30" s="156"/>
      <c r="E30" s="53" t="str">
        <f>IF(OR(_t_qxTable2="",_t_qxTable2=_t_qxTable1),"",_t_qxTable2)</f>
        <v/>
      </c>
      <c r="F30" s="155" t="str">
        <f>IF(OR(_t_qxTable2="",_t_qxTable2=_t_qxTable1),"",_t_qxTable2Descr)</f>
        <v/>
      </c>
      <c r="G30" s="155"/>
      <c r="H30" s="155"/>
      <c r="I30" s="155"/>
    </row>
  </sheetData>
  <sheetProtection algorithmName="SHA-512" hashValue="Zsuydyx9pGbJMXvJJ5nfG6DL5lIp6MZqfCB6pUCLhZOB/gHY4r3MvJ8ItF6yQdT98Cvd/nAA2ZgtkhBbxgQnPQ==" saltValue="KlR4t8J9YiygTpKQmJ9zhQ==" spinCount="100000" sheet="1" objects="1" scenarios="1" selectLockedCells="1"/>
  <mergeCells count="12">
    <mergeCell ref="F29:I29"/>
    <mergeCell ref="F30:I30"/>
    <mergeCell ref="H19:I19"/>
    <mergeCell ref="B30:C30"/>
    <mergeCell ref="H25:I25"/>
    <mergeCell ref="B29:C29"/>
    <mergeCell ref="A1:D1"/>
    <mergeCell ref="J20:K20"/>
    <mergeCell ref="H21:I21"/>
    <mergeCell ref="H23:I23"/>
    <mergeCell ref="H22:I22"/>
    <mergeCell ref="H20:I20"/>
  </mergeCells>
  <phoneticPr fontId="6" type="noConversion"/>
  <conditionalFormatting sqref="F10">
    <cfRule type="expression" dxfId="15" priority="15">
      <formula>_flag_cia_date</formula>
    </cfRule>
  </conditionalFormatting>
  <conditionalFormatting sqref="B9">
    <cfRule type="expression" dxfId="14" priority="14">
      <formula>_flag_cia_date</formula>
    </cfRule>
  </conditionalFormatting>
  <conditionalFormatting sqref="F6:I6">
    <cfRule type="expression" dxfId="13" priority="13">
      <formula>_t_cia_interest_show</formula>
    </cfRule>
  </conditionalFormatting>
  <conditionalFormatting sqref="F10:I10">
    <cfRule type="expression" dxfId="12" priority="12">
      <formula>_t_cia_indexation_show</formula>
    </cfRule>
  </conditionalFormatting>
  <conditionalFormatting sqref="E18">
    <cfRule type="expression" dxfId="11" priority="11">
      <formula>_t_cia_interest_show</formula>
    </cfRule>
  </conditionalFormatting>
  <conditionalFormatting sqref="C20:C21 C23">
    <cfRule type="expression" dxfId="10" priority="10">
      <formula>_showAnnuitant2</formula>
    </cfRule>
  </conditionalFormatting>
  <conditionalFormatting sqref="C22">
    <cfRule type="expression" dxfId="9" priority="9">
      <formula>_showAnnuitant2</formula>
    </cfRule>
  </conditionalFormatting>
  <conditionalFormatting sqref="H19:I19">
    <cfRule type="expression" dxfId="8" priority="8">
      <formula>_hideQxDefaultSex</formula>
    </cfRule>
  </conditionalFormatting>
  <conditionalFormatting sqref="H20:I20">
    <cfRule type="expression" dxfId="7" priority="7">
      <formula>_hideQxDefaultTable</formula>
    </cfRule>
  </conditionalFormatting>
  <conditionalFormatting sqref="H21:I21">
    <cfRule type="expression" dxfId="6" priority="6">
      <formula>_hideQxDefaultShiftAge</formula>
    </cfRule>
  </conditionalFormatting>
  <conditionalFormatting sqref="H22:I22">
    <cfRule type="expression" dxfId="5" priority="5">
      <formula>_hideQxDefaultLoading</formula>
    </cfRule>
  </conditionalFormatting>
  <conditionalFormatting sqref="H23:I23">
    <cfRule type="expression" dxfId="4" priority="4">
      <formula>_hideQxDefaultScale</formula>
    </cfRule>
  </conditionalFormatting>
  <conditionalFormatting sqref="H25:I25">
    <cfRule type="expression" dxfId="3" priority="3">
      <formula>_hideQxDefaultYearVln</formula>
    </cfRule>
  </conditionalFormatting>
  <conditionalFormatting sqref="G11:G16">
    <cfRule type="expression" dxfId="2" priority="2">
      <formula>$F11&lt;&gt;""</formula>
    </cfRule>
  </conditionalFormatting>
  <conditionalFormatting sqref="C12:C18">
    <cfRule type="expression" dxfId="1" priority="1">
      <formula>$B12&lt;&gt;""</formula>
    </cfRule>
  </conditionalFormatting>
  <dataValidations xWindow="271" yWindow="555" count="28">
    <dataValidation type="decimal" allowBlank="1" showInputMessage="1" showErrorMessage="1" error="Must be between 0 and 15" prompt="Guarantee remaining (from 0 to 15 years)." sqref="B12" xr:uid="{1254AC28-C6F8-4DC5-9414-6613E1A41AFF}">
      <formula1>0</formula1>
      <formula2>15</formula2>
    </dataValidation>
    <dataValidation type="list" allowBlank="1" showInputMessage="1" showErrorMessage="1" prompt="% of pension paid to Annuitant 2 after death of Annuitant 1" sqref="B13" xr:uid="{124DF217-ACAF-4F0C-A898-BF18454990E3}">
      <formula1>_listReversion</formula1>
    </dataValidation>
    <dataValidation type="decimal" allowBlank="1" showInputMessage="1" showErrorMessage="1" error="Must be between 0 and 50" prompt="Deferment period between Age 1 and start of pension payment" sqref="B14" xr:uid="{532B5B5B-9C47-4A4D-B721-DA877159A761}">
      <formula1>0</formula1>
      <formula2>50</formula2>
    </dataValidation>
    <dataValidation type="list" allowBlank="1" showInputMessage="1" showErrorMessage="1" prompt="Number of pension payments per year" sqref="B16" xr:uid="{DF58113E-CF4B-4F13-B2D3-EF268AA2AC37}">
      <formula1>_listFrequency</formula1>
    </dataValidation>
    <dataValidation type="list" allowBlank="1" showInputMessage="1" showErrorMessage="1" prompt="TRUE if payment at beginning of period.  FALSE if payment at end of period." sqref="B17" xr:uid="{6D0B54D9-5D3F-4BBA-815D-666543347135}">
      <formula1>_listBoolean</formula1>
    </dataValidation>
    <dataValidation type="list" allowBlank="1" showInputMessage="1" showErrorMessage="1" prompt="TRUE if mortality during deferred period for the first annuitant" sqref="B18" xr:uid="{9D5DBC49-7FA5-4731-A195-3DA9007F63EE}">
      <formula1>_listBoolean</formula1>
    </dataValidation>
    <dataValidation type="decimal" allowBlank="1" showInputMessage="1" showErrorMessage="1" error="Must be between 0% and 15%" prompt="Annual indexation rate from 0% to 15%" sqref="G9 I9 K9" xr:uid="{5C50925A-542B-47DC-A666-50602FA2D54A}">
      <formula1>0</formula1>
      <formula2>0.15</formula2>
    </dataValidation>
    <dataValidation type="decimal" allowBlank="1" showInputMessage="1" showErrorMessage="1" error="Must be between 0 and 1 (default is 1)." prompt="Multiplier adjustment of first indexation (for new annuitant).  Default is 1 (i.e. full indexation)." sqref="F12" xr:uid="{49572BF0-CF61-419C-A0B7-B0B9AD5F2490}">
      <formula1>0</formula1>
      <formula2>1</formula2>
    </dataValidation>
    <dataValidation type="decimal" allowBlank="1" showInputMessage="1" showErrorMessage="1" error="Must be at least Age 1 + Deferred (plus 1/Frequency if Due is FALSE)" prompt="Age of first indexation.  If empty, will be set at Age1 + 1 + Deferred (+ 1/Frequency if Due is FALSE)" sqref="F11" xr:uid="{FE01C157-12AE-47B7-A748-4821FDE892DA}">
      <formula1>_t_ageFirstIndexMin</formula1>
      <formula2>120</formula2>
    </dataValidation>
    <dataValidation type="list" allowBlank="1" showInputMessage="1" showErrorMessage="1" sqref="F20:G20" xr:uid="{D3AF34E7-A813-431E-80CB-CFA113CF66D8}">
      <formula1>_listQxTable</formula1>
    </dataValidation>
    <dataValidation type="list" allowBlank="1" showInputMessage="1" showErrorMessage="1" sqref="F23:G23" xr:uid="{2A9C0D3E-A9EB-4E9F-BDC1-4F510368C128}">
      <formula1>_listQxScale</formula1>
    </dataValidation>
    <dataValidation type="list" showDropDown="1" showInputMessage="1" showErrorMessage="1" error="ID is out of scope" prompt="Enter an ID listed in 'Annuitants' worksheet" sqref="B3" xr:uid="{49D0ECF7-86A7-4E92-93AB-BAB2D2E428DF}">
      <formula1>_listId</formula1>
    </dataValidation>
    <dataValidation allowBlank="1" showInputMessage="1" showErrorMessage="1" prompt="Temporary pension payment (leave empty if not applicable)" sqref="B15" xr:uid="{01CA1792-910D-4723-8960-9A8F235AA8C0}"/>
    <dataValidation type="decimal" showInputMessage="1" showErrorMessage="1" error="Must be between 0% and 15%" prompt="Annual interest rate from 0% to 15%" sqref="G5" xr:uid="{8FE175F0-E05E-4281-B92E-FA7568A043CE}">
      <formula1>0</formula1>
      <formula2>0.15</formula2>
    </dataValidation>
    <dataValidation type="decimal" allowBlank="1" showInputMessage="1" showErrorMessage="1" error="Must be between 0 and 120 years" prompt="Period of rate 1 (in years)." sqref="H5" xr:uid="{AED32B11-A672-4EBB-9EF2-DB5794BD7274}">
      <formula1>0</formula1>
      <formula2>120</formula2>
    </dataValidation>
    <dataValidation type="decimal" allowBlank="1" showInputMessage="1" showErrorMessage="1" error="Must be between 0 and 120 years." prompt="Period of rate 2 (in years)" sqref="J5" xr:uid="{1F6478F8-845D-4BFA-AB5D-3391B8995B3B}">
      <formula1>0</formula1>
      <formula2>120</formula2>
    </dataValidation>
    <dataValidation type="decimal" allowBlank="1" showInputMessage="1" showErrorMessage="1" error="Must be between 0% and 15%" prompt="Annual interest rate from 0% to 15%" sqref="I5 K5" xr:uid="{72C9A304-31D6-4EE0-9449-832538518236}">
      <formula1>0</formula1>
      <formula2>0.15</formula2>
    </dataValidation>
    <dataValidation type="whole" allowBlank="1" showInputMessage="1" showErrorMessage="1" error="Between -10 and +10" prompt="e.g.:_x000a_+3:  mortality rates 3 years older_x000a_-3: mortality rates 3 years younger" sqref="F21:G21" xr:uid="{A7D8878F-E033-4A33-961E-1402F725F7C9}">
      <formula1>-10</formula1>
      <formula2>10</formula2>
    </dataValidation>
    <dataValidation type="decimal" allowBlank="1" showInputMessage="1" showErrorMessage="1" error="Must be between 0 and 120 years" prompt="Period of rate 1 (in years)" sqref="H9" xr:uid="{2DDD784D-8316-444E-868F-3811AEEE5E31}">
      <formula1>0</formula1>
      <formula2>120</formula2>
    </dataValidation>
    <dataValidation type="decimal" allowBlank="1" showInputMessage="1" showErrorMessage="1" error="Must be between0 and 120" prompt="Period of rate 2 (in years)" sqref="J9" xr:uid="{24B34F36-4832-4064-B705-ACD1F8E63EFE}">
      <formula1>0</formula1>
      <formula2>120</formula2>
    </dataValidation>
    <dataValidation type="decimal" showInputMessage="1" showErrorMessage="1" error="Must be between 1 and 2" prompt="Sex assumptions.  Leave empty if same as Person's data._x000a__x000a_1.25: 75% male + 25% female_x000a_1.75:  75% female + 25% male_x000a_..." sqref="F19:G19" xr:uid="{F528F196-5D7F-4ED2-94C4-20A7B3F038EB}">
      <formula1>1</formula1>
      <formula2>2</formula2>
    </dataValidation>
    <dataValidation type="decimal" allowBlank="1" showInputMessage="1" showErrorMessage="1" error="Between -100% to +10000%" prompt="mortality rates loaded = rates * (1 + loading)._x000a__x000a_Loading must be between -100% to +1000%." sqref="F22:G22" xr:uid="{68C70E19-7840-439C-83D4-DEE26F230997}">
      <formula1>-1</formula1>
      <formula2>100</formula2>
    </dataValidation>
    <dataValidation type="whole" allowBlank="1" showInputMessage="1" showErrorMessage="1" error="Must be between 1980 and 2050" prompt="If 'Dt Calc' is not specified, you can specify the year of valuation.  If not specified, will assume current year." sqref="F25:G25" xr:uid="{5744F76B-1682-4F9B-BD26-A878D716C0BA}">
      <formula1>1980</formula1>
      <formula2>2050</formula2>
    </dataValidation>
    <dataValidation type="list" allowBlank="1" showInputMessage="1" showErrorMessage="1" prompt="TRUE if CIA section 3500 interest rates" sqref="F5" xr:uid="{48654AA0-017A-44FB-9519-79E324F44AB5}">
      <formula1>_listBoolean</formula1>
    </dataValidation>
    <dataValidation type="list" allowBlank="1" showInputMessage="1" showErrorMessage="1" prompt="TRUE if CIA section 3500 indexation rates" sqref="F9" xr:uid="{94C36D29-3E30-467B-AA0C-12FFD88354BD}">
      <formula1>_listBoolean</formula1>
    </dataValidation>
    <dataValidation type="decimal" allowBlank="1" showInputMessage="1" showErrorMessage="1" error="Must be between 0% and 1005" prompt="Maximum annual indexation (0% to 100%)" sqref="F16" xr:uid="{9511A910-88DA-4B3A-92DF-758C8C498BAE}">
      <formula1>0</formula1>
      <formula2>1</formula2>
    </dataValidation>
    <dataValidation type="decimal" allowBlank="1" showInputMessage="1" showErrorMessage="1" error="Must be between 0% and 100%" prompt="Percentage applied on: full  indexation minus offset.  (0% to 100%)" sqref="F15" xr:uid="{8549D081-B022-4B7A-9EDE-CB98099DA595}">
      <formula1>0</formula1>
      <formula2>1</formula2>
    </dataValidation>
    <dataValidation type="decimal" allowBlank="1" showInputMessage="1" showErrorMessage="1" error="Must be between 0% and 100%" prompt="Offset from full indexation (0% to 100%)" sqref="F14" xr:uid="{7F8E38B1-8708-422F-85B9-CB56B3374809}">
      <formula1>0</formula1>
      <formula2>1</formula2>
    </dataValidation>
  </dataValidations>
  <pageMargins left="0.23622047244094491" right="0.23622047244094491" top="0.74803149606299213" bottom="0.74803149606299213" header="0.31496062992125984" footer="0.31496062992125984"/>
  <pageSetup scale="63" orientation="landscape" r:id="rId1"/>
  <headerFooter>
    <oddFooter>&amp;L&amp;"+,Regular"&amp;10&amp;Z&amp;F (&amp;A)&amp;14
&amp;D (&amp;T)&amp;R&amp;"+,Bold"&amp;14Made possible by:
Actuarial Excel Addin&amp;"+,Regular"
www.actuarialexceladdin.com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EC3D-B72E-47B1-B0A7-90F271932891}">
  <sheetPr codeName="Sheet4">
    <tabColor rgb="FFFFFF00"/>
    <pageSetUpPr fitToPage="1"/>
  </sheetPr>
  <dimension ref="A1:J10"/>
  <sheetViews>
    <sheetView tabSelected="1" workbookViewId="0">
      <pane ySplit="5" topLeftCell="A6" activePane="bottomLeft" state="frozen"/>
      <selection activeCell="B29" sqref="B29"/>
      <selection pane="bottomLeft" activeCell="A6" sqref="A6"/>
    </sheetView>
  </sheetViews>
  <sheetFormatPr defaultColWidth="8.77734375" defaultRowHeight="14.4" x14ac:dyDescent="0.3"/>
  <cols>
    <col min="1" max="1" width="8.77734375" style="123"/>
    <col min="2" max="2" width="14.77734375" style="123" bestFit="1" customWidth="1"/>
    <col min="3" max="3" width="8.77734375" style="124"/>
    <col min="4" max="4" width="8.77734375" style="123"/>
    <col min="5" max="5" width="8.77734375" style="124"/>
    <col min="6" max="6" width="8.77734375" style="123"/>
    <col min="7" max="9" width="11.6640625" style="125" customWidth="1"/>
    <col min="10" max="16384" width="8.77734375" style="1"/>
  </cols>
  <sheetData>
    <row r="1" spans="1:10" s="5" customFormat="1" ht="21" x14ac:dyDescent="0.4">
      <c r="A1" s="128" t="s">
        <v>134</v>
      </c>
      <c r="B1" s="129"/>
      <c r="C1" s="130"/>
      <c r="D1" s="129"/>
      <c r="E1" s="130"/>
      <c r="F1" s="129"/>
      <c r="G1" s="131"/>
      <c r="H1" s="131"/>
      <c r="I1" s="131"/>
      <c r="J1" s="1"/>
    </row>
    <row r="2" spans="1:10" s="5" customFormat="1" ht="21" x14ac:dyDescent="0.4">
      <c r="A2" s="132" t="s">
        <v>55</v>
      </c>
      <c r="B2" s="129"/>
      <c r="C2" s="130"/>
      <c r="D2" s="129"/>
      <c r="E2" s="130"/>
      <c r="F2" s="129"/>
      <c r="G2" s="131"/>
      <c r="H2" s="131"/>
      <c r="I2" s="131"/>
      <c r="J2" s="1"/>
    </row>
    <row r="3" spans="1:10" s="5" customFormat="1" x14ac:dyDescent="0.3">
      <c r="A3" s="133"/>
      <c r="B3" s="133"/>
      <c r="C3" s="134"/>
      <c r="D3" s="133"/>
      <c r="E3" s="134"/>
      <c r="F3" s="133"/>
      <c r="G3" s="135"/>
      <c r="H3" s="135"/>
      <c r="I3" s="135"/>
      <c r="J3" s="1"/>
    </row>
    <row r="4" spans="1:10" s="5" customFormat="1" hidden="1" x14ac:dyDescent="0.3">
      <c r="A4" s="120"/>
      <c r="B4" s="121">
        <f>COLUMN()</f>
        <v>2</v>
      </c>
      <c r="C4" s="121">
        <f>COLUMN()</f>
        <v>3</v>
      </c>
      <c r="D4" s="121">
        <f>COLUMN()</f>
        <v>4</v>
      </c>
      <c r="E4" s="121">
        <f>COLUMN()</f>
        <v>5</v>
      </c>
      <c r="F4" s="121">
        <f>COLUMN()</f>
        <v>6</v>
      </c>
      <c r="G4" s="121">
        <f>COLUMN()</f>
        <v>7</v>
      </c>
      <c r="H4" s="121">
        <f>COLUMN()</f>
        <v>8</v>
      </c>
      <c r="I4" s="121">
        <f>COLUMN()</f>
        <v>9</v>
      </c>
      <c r="J4" s="1"/>
    </row>
    <row r="5" spans="1:10" s="6" customFormat="1" x14ac:dyDescent="0.3">
      <c r="A5" s="126" t="s">
        <v>0</v>
      </c>
      <c r="B5" s="126" t="s">
        <v>1</v>
      </c>
      <c r="C5" s="127" t="s">
        <v>5</v>
      </c>
      <c r="D5" s="127" t="s">
        <v>4</v>
      </c>
      <c r="E5" s="127" t="s">
        <v>7</v>
      </c>
      <c r="F5" s="127" t="s">
        <v>6</v>
      </c>
      <c r="G5" s="126" t="s">
        <v>8</v>
      </c>
      <c r="H5" s="126" t="s">
        <v>9</v>
      </c>
      <c r="I5" s="126" t="s">
        <v>3</v>
      </c>
      <c r="J5" s="1"/>
    </row>
    <row r="6" spans="1:10" x14ac:dyDescent="0.3">
      <c r="A6" s="122">
        <v>1</v>
      </c>
      <c r="B6" s="123" t="s">
        <v>114</v>
      </c>
      <c r="C6" s="122">
        <v>63</v>
      </c>
      <c r="D6" s="123">
        <v>1</v>
      </c>
      <c r="E6" s="124">
        <v>60</v>
      </c>
      <c r="F6" s="123">
        <v>2</v>
      </c>
      <c r="I6" s="125">
        <v>44505</v>
      </c>
    </row>
    <row r="7" spans="1:10" x14ac:dyDescent="0.3">
      <c r="A7" s="123">
        <v>2</v>
      </c>
      <c r="B7" s="123" t="s">
        <v>115</v>
      </c>
      <c r="C7" s="124">
        <v>60</v>
      </c>
      <c r="D7" s="123">
        <v>2</v>
      </c>
      <c r="E7" s="124">
        <v>63</v>
      </c>
      <c r="F7" s="123">
        <v>1</v>
      </c>
      <c r="I7" s="125">
        <f ca="1">_t_today</f>
        <v>44610</v>
      </c>
    </row>
    <row r="8" spans="1:10" x14ac:dyDescent="0.3">
      <c r="A8" s="123">
        <v>3</v>
      </c>
      <c r="B8" s="123" t="s">
        <v>137</v>
      </c>
      <c r="D8" s="123">
        <v>1</v>
      </c>
      <c r="F8" s="123">
        <v>2</v>
      </c>
      <c r="G8" s="125">
        <v>23598</v>
      </c>
      <c r="H8" s="125">
        <v>21655</v>
      </c>
      <c r="I8" s="125">
        <f ca="1">_t_today</f>
        <v>44610</v>
      </c>
    </row>
    <row r="9" spans="1:10" x14ac:dyDescent="0.3">
      <c r="A9" s="123">
        <v>4</v>
      </c>
      <c r="B9" s="123" t="s">
        <v>140</v>
      </c>
      <c r="D9" s="123">
        <v>2</v>
      </c>
      <c r="G9" s="125">
        <v>22743</v>
      </c>
      <c r="I9" s="125">
        <f ca="1">_t_today</f>
        <v>44610</v>
      </c>
    </row>
    <row r="10" spans="1:10" x14ac:dyDescent="0.3">
      <c r="A10" s="123">
        <v>5</v>
      </c>
      <c r="B10" s="123" t="s">
        <v>292</v>
      </c>
      <c r="D10" s="123">
        <v>1</v>
      </c>
      <c r="F10" s="123">
        <v>2</v>
      </c>
      <c r="G10" s="125">
        <v>21826</v>
      </c>
      <c r="H10" s="125">
        <v>22998</v>
      </c>
      <c r="I10" s="125">
        <f ca="1">_t_today</f>
        <v>44610</v>
      </c>
    </row>
  </sheetData>
  <sheetProtection algorithmName="SHA-512" hashValue="REZwOvJQ3S3hwYkUQwpmCuskCxMEAF7Iu3DoVL6WtoHpP58DDc9NYdhLqPlP75zApiEFDJeIUhhw8ayX+WQjqQ==" saltValue="lAY4aNb9ec5Y0Rkac7wn/Q==" spinCount="100000" sheet="1" objects="1" scenarios="1" selectLockedCells="1"/>
  <conditionalFormatting sqref="J1">
    <cfRule type="expression" dxfId="0" priority="1">
      <formula>$J1</formula>
    </cfRule>
  </conditionalFormatting>
  <dataValidations xWindow="444" yWindow="596" count="2">
    <dataValidation type="whole" allowBlank="1" showInputMessage="1" showErrorMessage="1" error="Must be 1 or 2." prompt="1 for male, 2 for female." sqref="F1:F1048576 D1:D1048576" xr:uid="{E25F2585-A7E1-4EC5-BB92-EB43A57F46D4}">
      <formula1>1</formula1>
      <formula2>2</formula2>
    </dataValidation>
    <dataValidation type="whole" allowBlank="1" showInputMessage="1" showErrorMessage="1" sqref="A2:A1048576" xr:uid="{2710CD9A-3A8C-468D-90F4-F8338AC01DFA}">
      <formula1>1</formula1>
      <formula2>9999999999999</formula2>
    </dataValidation>
  </dataValidations>
  <pageMargins left="0.70866141732283472" right="0.70866141732283472" top="0.74803149606299213" bottom="0.74803149606299213" header="0.31496062992125984" footer="0.31496062992125984"/>
  <pageSetup scale="96" orientation="portrait" r:id="rId1"/>
  <headerFooter>
    <oddFooter>&amp;L&amp;"+,Regular"&amp;8&amp;Z&amp;F (&amp;A)
&amp;14
&amp;D (&amp;T)&amp;R&amp;"+,Bold"&amp;14Made possible by:
Actuarial Excel Addin
&amp;"+,Regular"www.actuarialexceladddin.com</oddFooter>
  </headerFooter>
  <ignoredErrors>
    <ignoredError sqref="I7:I10" unlocked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A63EB-A2E7-4F8F-BAE1-69D01836B4E9}">
  <sheetPr>
    <tabColor rgb="FFFFFF00"/>
  </sheetPr>
  <dimension ref="A1:I18"/>
  <sheetViews>
    <sheetView workbookViewId="0">
      <selection activeCell="B6" sqref="B6"/>
    </sheetView>
  </sheetViews>
  <sheetFormatPr defaultColWidth="8.77734375" defaultRowHeight="14.4" x14ac:dyDescent="0.3"/>
  <cols>
    <col min="1" max="1" width="16.44140625" style="12" bestFit="1" customWidth="1"/>
    <col min="2" max="2" width="11.21875" style="41" bestFit="1" customWidth="1"/>
    <col min="3" max="3" width="1.6640625" style="41" bestFit="1" customWidth="1"/>
    <col min="4" max="5" width="10.6640625" style="41" customWidth="1"/>
    <col min="6" max="16384" width="8.77734375" style="13"/>
  </cols>
  <sheetData>
    <row r="1" spans="1:9" ht="23.4" x14ac:dyDescent="0.45">
      <c r="A1" s="159" t="s">
        <v>185</v>
      </c>
      <c r="B1" s="159"/>
      <c r="C1" s="159"/>
      <c r="D1" s="159"/>
      <c r="E1" s="159"/>
      <c r="F1" s="159"/>
      <c r="G1" s="159"/>
      <c r="H1" s="159"/>
      <c r="I1" s="159"/>
    </row>
    <row r="3" spans="1:9" ht="15.6" x14ac:dyDescent="0.3">
      <c r="A3" s="157" t="s">
        <v>130</v>
      </c>
      <c r="B3" s="157"/>
      <c r="C3" s="157"/>
      <c r="D3" s="157"/>
      <c r="E3" s="157"/>
      <c r="F3" s="157"/>
      <c r="G3" s="157"/>
      <c r="H3" s="157"/>
      <c r="I3" s="157"/>
    </row>
    <row r="4" spans="1:9" ht="15" thickBot="1" x14ac:dyDescent="0.35">
      <c r="A4" s="158" t="s">
        <v>132</v>
      </c>
      <c r="B4" s="158"/>
      <c r="C4" s="158"/>
      <c r="D4" s="158"/>
      <c r="E4" s="158"/>
      <c r="F4" s="158"/>
      <c r="G4" s="158"/>
      <c r="H4" s="158"/>
      <c r="I4" s="158"/>
    </row>
    <row r="5" spans="1:9" s="47" customFormat="1" ht="15" thickBot="1" x14ac:dyDescent="0.35">
      <c r="A5" s="97"/>
      <c r="B5" s="98" t="str">
        <f>IF(_f_language="","error","")</f>
        <v/>
      </c>
      <c r="C5" s="97"/>
      <c r="D5" s="97"/>
      <c r="E5" s="97"/>
      <c r="F5" s="97"/>
      <c r="G5" s="97"/>
      <c r="H5" s="97"/>
      <c r="I5" s="97"/>
    </row>
    <row r="6" spans="1:9" s="38" customFormat="1" x14ac:dyDescent="0.3">
      <c r="A6" s="42" t="s">
        <v>151</v>
      </c>
      <c r="B6" s="96" t="s">
        <v>135</v>
      </c>
      <c r="C6" s="40">
        <f>ROW()-1</f>
        <v>5</v>
      </c>
      <c r="D6" s="39" t="s">
        <v>135</v>
      </c>
      <c r="E6" s="43" t="s">
        <v>136</v>
      </c>
    </row>
    <row r="7" spans="1:9" x14ac:dyDescent="0.3">
      <c r="A7" s="12" t="s">
        <v>128</v>
      </c>
      <c r="B7" s="41" t="str">
        <f>HLOOKUP(_f_language,_tabFormat,ROW()-_tabFormatOffset,FALSE)</f>
        <v>0.00</v>
      </c>
      <c r="D7" s="41" t="str">
        <f>"0.00"</f>
        <v>0.00</v>
      </c>
      <c r="E7" s="41" t="str">
        <f>"0,00"</f>
        <v>0,00</v>
      </c>
    </row>
    <row r="8" spans="1:9" x14ac:dyDescent="0.3">
      <c r="A8" s="12" t="s">
        <v>131</v>
      </c>
      <c r="B8" s="41" t="str">
        <f>HLOOKUP(_f_language,_tabFormat,ROW()-_tabFormatOffset,FALSE)</f>
        <v>0.00%</v>
      </c>
      <c r="D8" s="41" t="str">
        <f>"0.00%"</f>
        <v>0.00%</v>
      </c>
      <c r="E8" s="41" t="str">
        <f>"0,00%"</f>
        <v>0,00%</v>
      </c>
    </row>
    <row r="9" spans="1:9" x14ac:dyDescent="0.3">
      <c r="A9" s="12" t="s">
        <v>143</v>
      </c>
      <c r="B9" s="41" t="str">
        <f>HLOOKUP(_f_language,_tabFormat,ROW()-_tabFormatOffset,FALSE)</f>
        <v>yyyy-mmmm</v>
      </c>
      <c r="D9" s="41" t="str">
        <f>"yyyy-mmmm"</f>
        <v>yyyy-mmmm</v>
      </c>
      <c r="E9" s="41" t="str">
        <f>"aaaa-mmmm"</f>
        <v>aaaa-mmmm</v>
      </c>
    </row>
    <row r="10" spans="1:9" x14ac:dyDescent="0.3">
      <c r="A10" s="12" t="s">
        <v>144</v>
      </c>
      <c r="B10" s="41" t="str">
        <f>HLOOKUP(_f_language,_tabFormat,ROW()-_tabFormatOffset,FALSE)</f>
        <v>yyyy-mm</v>
      </c>
      <c r="D10" s="41" t="str">
        <f>"yyyy-mm"</f>
        <v>yyyy-mm</v>
      </c>
      <c r="E10" s="41" t="str">
        <f>"aaaa-mm"</f>
        <v>aaaa-mm</v>
      </c>
    </row>
    <row r="13" spans="1:9" ht="16.2" thickBot="1" x14ac:dyDescent="0.35">
      <c r="A13" s="157" t="s">
        <v>187</v>
      </c>
      <c r="B13" s="157"/>
      <c r="C13" s="157"/>
      <c r="D13" s="157"/>
      <c r="E13" s="157"/>
      <c r="F13" s="157"/>
      <c r="G13" s="157"/>
      <c r="H13" s="157"/>
      <c r="I13" s="157"/>
    </row>
    <row r="14" spans="1:9" ht="15" thickBot="1" x14ac:dyDescent="0.35">
      <c r="A14" s="11"/>
      <c r="B14" s="92" t="str">
        <f>IF(_s_country="","error","")</f>
        <v/>
      </c>
    </row>
    <row r="15" spans="1:9" x14ac:dyDescent="0.3">
      <c r="A15" s="11" t="s">
        <v>152</v>
      </c>
      <c r="B15" s="96" t="s">
        <v>153</v>
      </c>
      <c r="D15" s="13"/>
      <c r="E15" s="13"/>
    </row>
    <row r="18" spans="1:2" x14ac:dyDescent="0.3">
      <c r="A18" s="11" t="s">
        <v>155</v>
      </c>
      <c r="B18" s="41" t="b">
        <f>OR(_s_error1&lt;&gt;"",_s_error2&lt;&gt;"")</f>
        <v>0</v>
      </c>
    </row>
  </sheetData>
  <sheetProtection algorithmName="SHA-512" hashValue="C2WYvnIlJyo7a2k6zljejXA5r6p8zvGohkfYVswe5uq4DJuwV4ES8syt70N5LOoN87Y2trBmYmS14h2SyxrHnA==" saltValue="+mPRdlyjYsaAVZa9FggAIQ==" spinCount="100000" sheet="1" objects="1" scenarios="1" selectLockedCells="1"/>
  <mergeCells count="4">
    <mergeCell ref="A3:I3"/>
    <mergeCell ref="A4:I4"/>
    <mergeCell ref="A1:I1"/>
    <mergeCell ref="A13:I13"/>
  </mergeCells>
  <dataValidations count="2">
    <dataValidation type="list" showErrorMessage="1" error="English or Français" prompt="Language is E or F" sqref="B6" xr:uid="{B2CF9995-1F71-4671-AC15-78E069A549C7}">
      <formula1>_listLanguages</formula1>
    </dataValidation>
    <dataValidation type="list" showInputMessage="1" showErrorMessage="1" error="Invalid country" sqref="B15" xr:uid="{BA89C1AC-526E-4A6B-8466-A80EA131379D}">
      <formula1>_listCountry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7B0E8-189A-4E7A-B411-01EEFB116BEC}">
  <sheetPr codeName="Sheet6">
    <tabColor theme="9" tint="0.39997558519241921"/>
  </sheetPr>
  <dimension ref="A1:O51"/>
  <sheetViews>
    <sheetView topLeftCell="K1" workbookViewId="0">
      <pane ySplit="2" topLeftCell="A3" activePane="bottomLeft" state="frozen"/>
      <selection activeCell="G24" sqref="G24"/>
      <selection pane="bottomLeft" activeCell="N16" sqref="N16"/>
    </sheetView>
  </sheetViews>
  <sheetFormatPr defaultColWidth="8.77734375" defaultRowHeight="14.4" x14ac:dyDescent="0.3"/>
  <cols>
    <col min="1" max="1" width="11.5546875" style="1" bestFit="1" customWidth="1"/>
    <col min="2" max="2" width="11.5546875" style="1" customWidth="1"/>
    <col min="3" max="3" width="8.77734375" style="1"/>
    <col min="4" max="4" width="10" style="2" bestFit="1" customWidth="1"/>
    <col min="5" max="5" width="9.6640625" style="9" bestFit="1" customWidth="1"/>
    <col min="6" max="6" width="10" style="2" bestFit="1" customWidth="1"/>
    <col min="7" max="7" width="8.77734375" style="2"/>
    <col min="8" max="8" width="14.44140625" style="102" bestFit="1" customWidth="1"/>
    <col min="9" max="9" width="10" style="115" customWidth="1"/>
    <col min="10" max="10" width="68.44140625" style="102" bestFit="1" customWidth="1"/>
    <col min="11" max="11" width="16.33203125" style="102" bestFit="1" customWidth="1"/>
    <col min="12" max="12" width="16.44140625" style="102" bestFit="1" customWidth="1"/>
    <col min="13" max="13" width="10" style="115" customWidth="1"/>
    <col min="14" max="14" width="62.21875" style="102" bestFit="1" customWidth="1"/>
    <col min="15" max="15" width="16.33203125" style="102" bestFit="1" customWidth="1"/>
    <col min="16" max="16384" width="8.77734375" style="1"/>
  </cols>
  <sheetData>
    <row r="1" spans="1:15" x14ac:dyDescent="0.3">
      <c r="H1" s="160" t="s">
        <v>153</v>
      </c>
      <c r="I1" s="160"/>
      <c r="J1" s="160"/>
      <c r="K1" s="160"/>
      <c r="L1" s="161" t="s">
        <v>154</v>
      </c>
      <c r="M1" s="161"/>
      <c r="N1" s="161"/>
      <c r="O1" s="161"/>
    </row>
    <row r="2" spans="1:15" x14ac:dyDescent="0.3">
      <c r="A2" s="36" t="s">
        <v>152</v>
      </c>
      <c r="B2" s="36"/>
      <c r="C2" s="36" t="s">
        <v>129</v>
      </c>
      <c r="D2" s="36" t="s">
        <v>2</v>
      </c>
      <c r="E2" s="45" t="s">
        <v>20</v>
      </c>
      <c r="F2" s="36" t="s">
        <v>17</v>
      </c>
      <c r="G2" s="36" t="s">
        <v>21</v>
      </c>
      <c r="H2" s="119" t="s">
        <v>26</v>
      </c>
      <c r="I2" s="116" t="s">
        <v>42</v>
      </c>
      <c r="J2" s="103" t="s">
        <v>156</v>
      </c>
      <c r="K2" s="119" t="s">
        <v>27</v>
      </c>
      <c r="L2" s="117" t="s">
        <v>26</v>
      </c>
      <c r="M2" s="113" t="s">
        <v>42</v>
      </c>
      <c r="N2" s="99" t="s">
        <v>156</v>
      </c>
      <c r="O2" s="117" t="s">
        <v>27</v>
      </c>
    </row>
    <row r="3" spans="1:15" x14ac:dyDescent="0.3">
      <c r="A3" s="104" t="s">
        <v>153</v>
      </c>
      <c r="B3" s="104" t="s">
        <v>171</v>
      </c>
      <c r="C3" s="2" t="s">
        <v>135</v>
      </c>
      <c r="D3" s="2">
        <v>1</v>
      </c>
      <c r="E3" s="3">
        <v>0</v>
      </c>
      <c r="F3" s="2">
        <v>1</v>
      </c>
      <c r="G3" s="2" t="b">
        <v>1</v>
      </c>
      <c r="H3" s="118"/>
      <c r="I3" s="114"/>
      <c r="J3" s="100"/>
      <c r="L3" s="118"/>
      <c r="M3" s="114"/>
      <c r="N3" s="100"/>
    </row>
    <row r="4" spans="1:15" x14ac:dyDescent="0.3">
      <c r="A4" s="104" t="s">
        <v>154</v>
      </c>
      <c r="B4" s="104" t="s">
        <v>172</v>
      </c>
      <c r="C4" s="2" t="s">
        <v>136</v>
      </c>
      <c r="D4" s="2">
        <v>2</v>
      </c>
      <c r="E4" s="3">
        <v>0.5</v>
      </c>
      <c r="F4" s="2">
        <v>12</v>
      </c>
      <c r="G4" s="2" t="b">
        <v>0</v>
      </c>
      <c r="H4" s="118" t="s">
        <v>28</v>
      </c>
      <c r="I4" s="114">
        <v>2014</v>
      </c>
      <c r="J4" s="100" t="s">
        <v>177</v>
      </c>
      <c r="K4" s="102" t="s">
        <v>46</v>
      </c>
      <c r="L4" s="118" t="s">
        <v>86</v>
      </c>
      <c r="M4" s="114">
        <v>2014</v>
      </c>
      <c r="N4" s="100" t="s">
        <v>161</v>
      </c>
      <c r="O4" s="102" t="s">
        <v>91</v>
      </c>
    </row>
    <row r="5" spans="1:15" x14ac:dyDescent="0.3">
      <c r="E5" s="3">
        <v>0.6</v>
      </c>
      <c r="F5" s="2">
        <v>24</v>
      </c>
      <c r="H5" s="118" t="s">
        <v>178</v>
      </c>
      <c r="I5" s="114">
        <v>2014</v>
      </c>
      <c r="J5" s="100" t="s">
        <v>180</v>
      </c>
      <c r="K5" s="102" t="s">
        <v>41</v>
      </c>
      <c r="L5" s="118" t="s">
        <v>87</v>
      </c>
      <c r="M5" s="114">
        <v>2014</v>
      </c>
      <c r="N5" s="100" t="s">
        <v>209</v>
      </c>
      <c r="O5" s="102" t="s">
        <v>90</v>
      </c>
    </row>
    <row r="6" spans="1:15" x14ac:dyDescent="0.3">
      <c r="E6" s="3">
        <f>2/3</f>
        <v>0.66666666666666663</v>
      </c>
      <c r="F6" s="2">
        <v>26</v>
      </c>
      <c r="H6" s="118" t="s">
        <v>179</v>
      </c>
      <c r="I6" s="114">
        <v>2014</v>
      </c>
      <c r="J6" s="100" t="s">
        <v>181</v>
      </c>
      <c r="K6" s="102" t="s">
        <v>47</v>
      </c>
      <c r="L6" s="118" t="s">
        <v>88</v>
      </c>
      <c r="M6" s="114">
        <v>2014</v>
      </c>
      <c r="N6" s="100" t="s">
        <v>210</v>
      </c>
      <c r="O6" s="102" t="s">
        <v>49</v>
      </c>
    </row>
    <row r="7" spans="1:15" x14ac:dyDescent="0.3">
      <c r="E7" s="9">
        <v>0.75</v>
      </c>
      <c r="F7" s="2">
        <v>52</v>
      </c>
      <c r="H7" s="118" t="s">
        <v>29</v>
      </c>
      <c r="I7" s="114">
        <v>1994</v>
      </c>
      <c r="J7" s="100" t="s">
        <v>176</v>
      </c>
      <c r="K7" s="102" t="s">
        <v>50</v>
      </c>
      <c r="L7" s="118" t="s">
        <v>163</v>
      </c>
      <c r="M7" s="114">
        <v>2014</v>
      </c>
      <c r="N7" s="100" t="s">
        <v>211</v>
      </c>
      <c r="O7" s="102" t="s">
        <v>157</v>
      </c>
    </row>
    <row r="8" spans="1:15" x14ac:dyDescent="0.3">
      <c r="E8" s="3">
        <v>1</v>
      </c>
      <c r="H8" s="118" t="s">
        <v>93</v>
      </c>
      <c r="I8" s="114">
        <v>2015</v>
      </c>
      <c r="J8" s="100" t="s">
        <v>182</v>
      </c>
      <c r="K8" s="102" t="s">
        <v>51</v>
      </c>
      <c r="L8" s="118" t="s">
        <v>164</v>
      </c>
      <c r="M8" s="114">
        <v>2014</v>
      </c>
      <c r="N8" s="100" t="s">
        <v>212</v>
      </c>
      <c r="O8" s="102" t="s">
        <v>158</v>
      </c>
    </row>
    <row r="9" spans="1:15" x14ac:dyDescent="0.3">
      <c r="H9" s="118" t="s">
        <v>184</v>
      </c>
      <c r="I9" s="114">
        <v>2020</v>
      </c>
      <c r="J9" s="100" t="s">
        <v>183</v>
      </c>
      <c r="K9" s="102" t="s">
        <v>52</v>
      </c>
      <c r="L9" s="118" t="s">
        <v>89</v>
      </c>
      <c r="M9" s="114">
        <v>2014</v>
      </c>
      <c r="N9" s="100" t="s">
        <v>162</v>
      </c>
      <c r="O9" s="102" t="s">
        <v>159</v>
      </c>
    </row>
    <row r="10" spans="1:15" x14ac:dyDescent="0.3">
      <c r="H10" s="118" t="s">
        <v>30</v>
      </c>
      <c r="I10" s="114">
        <v>1983</v>
      </c>
      <c r="J10" s="100" t="s">
        <v>174</v>
      </c>
      <c r="K10" s="102" t="s">
        <v>53</v>
      </c>
      <c r="L10" s="118" t="s">
        <v>83</v>
      </c>
      <c r="M10" s="114">
        <v>2014</v>
      </c>
      <c r="N10" s="100" t="s">
        <v>160</v>
      </c>
      <c r="O10" s="102" t="s">
        <v>48</v>
      </c>
    </row>
    <row r="11" spans="1:15" x14ac:dyDescent="0.3">
      <c r="H11" s="118" t="s">
        <v>94</v>
      </c>
      <c r="I11" s="114">
        <v>1983</v>
      </c>
      <c r="J11" s="100" t="s">
        <v>175</v>
      </c>
      <c r="K11" s="102" t="s">
        <v>54</v>
      </c>
      <c r="L11" s="118" t="s">
        <v>85</v>
      </c>
      <c r="M11" s="114">
        <v>2014</v>
      </c>
      <c r="N11" s="100" t="s">
        <v>213</v>
      </c>
    </row>
    <row r="12" spans="1:15" x14ac:dyDescent="0.3">
      <c r="H12" s="118" t="s">
        <v>31</v>
      </c>
      <c r="I12" s="114">
        <v>1971</v>
      </c>
      <c r="J12" s="100" t="s">
        <v>173</v>
      </c>
      <c r="L12" s="118" t="s">
        <v>84</v>
      </c>
      <c r="M12" s="114">
        <v>2014</v>
      </c>
      <c r="N12" s="100" t="s">
        <v>214</v>
      </c>
    </row>
    <row r="13" spans="1:15" x14ac:dyDescent="0.3">
      <c r="H13" s="118" t="s">
        <v>74</v>
      </c>
      <c r="I13" s="114">
        <v>2019</v>
      </c>
      <c r="J13" s="100" t="s">
        <v>201</v>
      </c>
      <c r="L13" s="118" t="s">
        <v>165</v>
      </c>
      <c r="M13" s="114">
        <v>2014</v>
      </c>
      <c r="N13" s="100" t="s">
        <v>215</v>
      </c>
    </row>
    <row r="14" spans="1:15" x14ac:dyDescent="0.3">
      <c r="H14" s="118" t="s">
        <v>75</v>
      </c>
      <c r="I14" s="114">
        <v>2018</v>
      </c>
      <c r="J14" s="100" t="s">
        <v>200</v>
      </c>
      <c r="L14" s="118" t="s">
        <v>166</v>
      </c>
      <c r="M14" s="114">
        <v>2014</v>
      </c>
      <c r="N14" s="100" t="s">
        <v>216</v>
      </c>
    </row>
    <row r="15" spans="1:15" x14ac:dyDescent="0.3">
      <c r="H15" s="118" t="s">
        <v>76</v>
      </c>
      <c r="I15" s="114">
        <v>2017</v>
      </c>
      <c r="J15" s="100" t="s">
        <v>202</v>
      </c>
      <c r="L15" s="118" t="s">
        <v>217</v>
      </c>
      <c r="M15" s="114">
        <v>2014</v>
      </c>
      <c r="N15" s="100" t="s">
        <v>218</v>
      </c>
    </row>
    <row r="16" spans="1:15" x14ac:dyDescent="0.3">
      <c r="H16" s="118" t="s">
        <v>77</v>
      </c>
      <c r="I16" s="114">
        <v>2019</v>
      </c>
      <c r="J16" s="100" t="s">
        <v>203</v>
      </c>
      <c r="L16" s="118" t="s">
        <v>219</v>
      </c>
      <c r="M16" s="114">
        <v>2014</v>
      </c>
      <c r="N16" s="100" t="s">
        <v>220</v>
      </c>
    </row>
    <row r="17" spans="8:14" x14ac:dyDescent="0.3">
      <c r="H17" s="118" t="s">
        <v>78</v>
      </c>
      <c r="I17" s="114">
        <v>2018</v>
      </c>
      <c r="J17" s="100" t="s">
        <v>204</v>
      </c>
      <c r="L17" s="118" t="s">
        <v>221</v>
      </c>
      <c r="M17" s="114">
        <v>2014</v>
      </c>
      <c r="N17" s="100" t="s">
        <v>222</v>
      </c>
    </row>
    <row r="18" spans="8:14" x14ac:dyDescent="0.3">
      <c r="H18" s="118" t="s">
        <v>79</v>
      </c>
      <c r="I18" s="114">
        <v>2017</v>
      </c>
      <c r="J18" s="100" t="s">
        <v>205</v>
      </c>
      <c r="L18" s="118" t="s">
        <v>223</v>
      </c>
      <c r="M18" s="114">
        <v>2014</v>
      </c>
      <c r="N18" s="100" t="s">
        <v>224</v>
      </c>
    </row>
    <row r="19" spans="8:14" x14ac:dyDescent="0.3">
      <c r="H19" s="118" t="s">
        <v>80</v>
      </c>
      <c r="I19" s="114">
        <v>2019</v>
      </c>
      <c r="J19" s="100" t="s">
        <v>206</v>
      </c>
      <c r="L19" s="118" t="s">
        <v>225</v>
      </c>
      <c r="M19" s="114">
        <v>2014</v>
      </c>
      <c r="N19" s="100" t="s">
        <v>226</v>
      </c>
    </row>
    <row r="20" spans="8:14" x14ac:dyDescent="0.3">
      <c r="H20" s="118" t="s">
        <v>81</v>
      </c>
      <c r="I20" s="114">
        <v>2018</v>
      </c>
      <c r="J20" s="100" t="s">
        <v>207</v>
      </c>
      <c r="L20" s="118" t="s">
        <v>227</v>
      </c>
      <c r="M20" s="114">
        <v>2014</v>
      </c>
      <c r="N20" s="100" t="s">
        <v>228</v>
      </c>
    </row>
    <row r="21" spans="8:14" x14ac:dyDescent="0.3">
      <c r="H21" s="118" t="s">
        <v>82</v>
      </c>
      <c r="I21" s="114">
        <v>2017</v>
      </c>
      <c r="J21" s="100" t="s">
        <v>208</v>
      </c>
      <c r="L21" s="118" t="s">
        <v>229</v>
      </c>
      <c r="M21" s="114">
        <v>2014</v>
      </c>
      <c r="N21" s="100" t="s">
        <v>230</v>
      </c>
    </row>
    <row r="22" spans="8:14" x14ac:dyDescent="0.3">
      <c r="J22" s="101"/>
      <c r="L22" s="118" t="s">
        <v>231</v>
      </c>
      <c r="M22" s="114">
        <v>2022</v>
      </c>
      <c r="N22" s="100" t="s">
        <v>232</v>
      </c>
    </row>
    <row r="23" spans="8:14" x14ac:dyDescent="0.3">
      <c r="J23" s="101"/>
      <c r="L23" s="118" t="s">
        <v>233</v>
      </c>
      <c r="M23" s="114">
        <v>2022</v>
      </c>
      <c r="N23" s="100" t="s">
        <v>234</v>
      </c>
    </row>
    <row r="24" spans="8:14" x14ac:dyDescent="0.3">
      <c r="J24" s="101"/>
      <c r="L24" s="118" t="s">
        <v>235</v>
      </c>
      <c r="M24" s="114">
        <v>2022</v>
      </c>
      <c r="N24" s="100" t="s">
        <v>236</v>
      </c>
    </row>
    <row r="25" spans="8:14" x14ac:dyDescent="0.3">
      <c r="J25" s="101"/>
      <c r="L25" s="118" t="s">
        <v>237</v>
      </c>
      <c r="M25" s="114">
        <v>2022</v>
      </c>
      <c r="N25" s="100" t="s">
        <v>238</v>
      </c>
    </row>
    <row r="26" spans="8:14" x14ac:dyDescent="0.3">
      <c r="J26" s="101"/>
      <c r="L26" s="118" t="s">
        <v>239</v>
      </c>
      <c r="M26" s="114">
        <v>2021</v>
      </c>
      <c r="N26" s="100" t="s">
        <v>240</v>
      </c>
    </row>
    <row r="27" spans="8:14" x14ac:dyDescent="0.3">
      <c r="J27" s="101"/>
      <c r="L27" s="118" t="s">
        <v>241</v>
      </c>
      <c r="M27" s="114">
        <v>2021</v>
      </c>
      <c r="N27" s="100" t="s">
        <v>242</v>
      </c>
    </row>
    <row r="28" spans="8:14" x14ac:dyDescent="0.3">
      <c r="L28" s="118" t="s">
        <v>243</v>
      </c>
      <c r="M28" s="114">
        <v>2021</v>
      </c>
      <c r="N28" s="100" t="s">
        <v>244</v>
      </c>
    </row>
    <row r="29" spans="8:14" x14ac:dyDescent="0.3">
      <c r="L29" s="118" t="s">
        <v>245</v>
      </c>
      <c r="M29" s="114">
        <v>2021</v>
      </c>
      <c r="N29" s="100" t="s">
        <v>246</v>
      </c>
    </row>
    <row r="30" spans="8:14" x14ac:dyDescent="0.3">
      <c r="L30" s="118" t="s">
        <v>247</v>
      </c>
      <c r="M30" s="114">
        <v>2020</v>
      </c>
      <c r="N30" s="100" t="s">
        <v>248</v>
      </c>
    </row>
    <row r="31" spans="8:14" x14ac:dyDescent="0.3">
      <c r="L31" s="118" t="s">
        <v>249</v>
      </c>
      <c r="M31" s="114">
        <v>2020</v>
      </c>
      <c r="N31" s="100" t="s">
        <v>250</v>
      </c>
    </row>
    <row r="32" spans="8:14" x14ac:dyDescent="0.3">
      <c r="L32" s="118" t="s">
        <v>251</v>
      </c>
      <c r="M32" s="114">
        <v>2020</v>
      </c>
      <c r="N32" s="100" t="s">
        <v>252</v>
      </c>
    </row>
    <row r="33" spans="12:14" x14ac:dyDescent="0.3">
      <c r="L33" s="118" t="s">
        <v>253</v>
      </c>
      <c r="M33" s="114">
        <v>2020</v>
      </c>
      <c r="N33" s="100" t="s">
        <v>254</v>
      </c>
    </row>
    <row r="34" spans="12:14" x14ac:dyDescent="0.3">
      <c r="L34" s="118" t="s">
        <v>255</v>
      </c>
      <c r="M34" s="114">
        <v>2019</v>
      </c>
      <c r="N34" s="100" t="s">
        <v>256</v>
      </c>
    </row>
    <row r="35" spans="12:14" x14ac:dyDescent="0.3">
      <c r="L35" s="118" t="s">
        <v>257</v>
      </c>
      <c r="M35" s="114">
        <v>2019</v>
      </c>
      <c r="N35" s="100" t="s">
        <v>258</v>
      </c>
    </row>
    <row r="36" spans="12:14" x14ac:dyDescent="0.3">
      <c r="L36" s="118" t="s">
        <v>259</v>
      </c>
      <c r="M36" s="114">
        <v>2019</v>
      </c>
      <c r="N36" s="100" t="s">
        <v>260</v>
      </c>
    </row>
    <row r="37" spans="12:14" x14ac:dyDescent="0.3">
      <c r="L37" s="118" t="s">
        <v>261</v>
      </c>
      <c r="M37" s="114">
        <v>2019</v>
      </c>
      <c r="N37" s="100" t="s">
        <v>262</v>
      </c>
    </row>
    <row r="38" spans="12:14" x14ac:dyDescent="0.3">
      <c r="L38" s="118" t="s">
        <v>263</v>
      </c>
      <c r="M38" s="114">
        <v>2018</v>
      </c>
      <c r="N38" s="100" t="s">
        <v>264</v>
      </c>
    </row>
    <row r="39" spans="12:14" x14ac:dyDescent="0.3">
      <c r="L39" s="118" t="s">
        <v>265</v>
      </c>
      <c r="M39" s="114">
        <v>2018</v>
      </c>
      <c r="N39" s="100" t="s">
        <v>266</v>
      </c>
    </row>
    <row r="40" spans="12:14" x14ac:dyDescent="0.3">
      <c r="L40" s="118" t="s">
        <v>267</v>
      </c>
      <c r="M40" s="114">
        <v>2018</v>
      </c>
      <c r="N40" s="100" t="s">
        <v>268</v>
      </c>
    </row>
    <row r="41" spans="12:14" x14ac:dyDescent="0.3">
      <c r="L41" s="118" t="s">
        <v>269</v>
      </c>
      <c r="M41" s="114">
        <v>2018</v>
      </c>
      <c r="N41" s="100" t="s">
        <v>270</v>
      </c>
    </row>
    <row r="42" spans="12:14" x14ac:dyDescent="0.3">
      <c r="L42" s="118" t="s">
        <v>271</v>
      </c>
      <c r="M42" s="114">
        <v>2017</v>
      </c>
      <c r="N42" s="100" t="s">
        <v>272</v>
      </c>
    </row>
    <row r="43" spans="12:14" x14ac:dyDescent="0.3">
      <c r="L43" s="118" t="s">
        <v>273</v>
      </c>
      <c r="M43" s="114">
        <v>2017</v>
      </c>
      <c r="N43" s="100" t="s">
        <v>274</v>
      </c>
    </row>
    <row r="44" spans="12:14" x14ac:dyDescent="0.3">
      <c r="L44" s="118" t="s">
        <v>275</v>
      </c>
      <c r="M44" s="114">
        <v>2017</v>
      </c>
      <c r="N44" s="100" t="s">
        <v>276</v>
      </c>
    </row>
    <row r="45" spans="12:14" x14ac:dyDescent="0.3">
      <c r="L45" s="118" t="s">
        <v>277</v>
      </c>
      <c r="M45" s="114">
        <v>2017</v>
      </c>
      <c r="N45" s="100" t="s">
        <v>278</v>
      </c>
    </row>
    <row r="46" spans="12:14" x14ac:dyDescent="0.3">
      <c r="L46" s="118" t="s">
        <v>279</v>
      </c>
      <c r="M46" s="114">
        <v>2016</v>
      </c>
      <c r="N46" s="100" t="s">
        <v>280</v>
      </c>
    </row>
    <row r="47" spans="12:14" x14ac:dyDescent="0.3">
      <c r="L47" s="118" t="s">
        <v>281</v>
      </c>
      <c r="M47" s="114">
        <v>2016</v>
      </c>
      <c r="N47" s="100" t="s">
        <v>282</v>
      </c>
    </row>
    <row r="48" spans="12:14" x14ac:dyDescent="0.3">
      <c r="L48" s="118" t="s">
        <v>283</v>
      </c>
      <c r="M48" s="114">
        <v>2016</v>
      </c>
      <c r="N48" s="100" t="s">
        <v>284</v>
      </c>
    </row>
    <row r="49" spans="12:14" x14ac:dyDescent="0.3">
      <c r="L49" s="118" t="s">
        <v>285</v>
      </c>
      <c r="M49" s="114">
        <v>2016</v>
      </c>
      <c r="N49" s="100" t="s">
        <v>286</v>
      </c>
    </row>
    <row r="50" spans="12:14" x14ac:dyDescent="0.3">
      <c r="L50" s="118" t="s">
        <v>73</v>
      </c>
      <c r="M50" s="114">
        <v>2019</v>
      </c>
      <c r="N50" s="100" t="s">
        <v>167</v>
      </c>
    </row>
    <row r="51" spans="12:14" x14ac:dyDescent="0.3">
      <c r="L51" s="118" t="s">
        <v>72</v>
      </c>
      <c r="M51" s="114">
        <v>2017</v>
      </c>
      <c r="N51" s="100" t="s">
        <v>168</v>
      </c>
    </row>
  </sheetData>
  <sheetProtection algorithmName="SHA-512" hashValue="vWLH1gEtFJJI3fiq6706U8Ant6iNZtcsgfmcaB24JolFEr2QKOELK3UZCJYgkwwyz/DcJ+eNgxA01FizmxJESg==" saltValue="w6PQz8kTcA34duxMHmDHbw==" spinCount="100000" sheet="1" objects="1" scenarios="1" selectLockedCells="1" selectUnlockedCells="1"/>
  <mergeCells count="2">
    <mergeCell ref="H1:K1"/>
    <mergeCell ref="L1:O1"/>
  </mergeCells>
  <phoneticPr fontId="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9975-C858-45BF-AEA5-59BD3B014198}">
  <sheetPr codeName="Sheet5">
    <tabColor theme="9" tint="0.39997558519241921"/>
  </sheetPr>
  <dimension ref="A1:I79"/>
  <sheetViews>
    <sheetView workbookViewId="0">
      <selection activeCell="D17" sqref="D17"/>
    </sheetView>
  </sheetViews>
  <sheetFormatPr defaultColWidth="8.77734375" defaultRowHeight="14.4" x14ac:dyDescent="0.3"/>
  <cols>
    <col min="1" max="1" width="49.33203125" style="11" bestFit="1" customWidth="1"/>
    <col min="2" max="2" width="15.6640625" style="12" customWidth="1"/>
    <col min="3" max="5" width="15.6640625" style="13" customWidth="1"/>
    <col min="6" max="16384" width="8.77734375" style="13"/>
  </cols>
  <sheetData>
    <row r="1" spans="1:9" x14ac:dyDescent="0.3">
      <c r="A1" s="11" t="s">
        <v>112</v>
      </c>
      <c r="B1" s="12">
        <f>_id</f>
        <v>1</v>
      </c>
    </row>
    <row r="2" spans="1:9" x14ac:dyDescent="0.3">
      <c r="A2" s="11" t="s">
        <v>170</v>
      </c>
      <c r="B2" s="12" t="str">
        <f>VLOOKUP(_s_country,_tabCountry,2,FALSE)</f>
        <v>CAN</v>
      </c>
    </row>
    <row r="3" spans="1:9" x14ac:dyDescent="0.3">
      <c r="A3" s="11" t="s">
        <v>1</v>
      </c>
      <c r="B3" s="12" t="str">
        <f>VLOOKUP(_id,_tabPersons,_colName,FALSE)</f>
        <v>Doe, John</v>
      </c>
    </row>
    <row r="4" spans="1:9" x14ac:dyDescent="0.3">
      <c r="A4" s="11" t="s">
        <v>4</v>
      </c>
      <c r="B4" s="12">
        <f>VLOOKUP(_id,_tabPersons,_colSex1,FALSE)</f>
        <v>1</v>
      </c>
    </row>
    <row r="5" spans="1:9" x14ac:dyDescent="0.3">
      <c r="A5" s="11" t="s">
        <v>5</v>
      </c>
      <c r="B5" s="14">
        <f>VLOOKUP(_id,_tabPersons,_colAge1,FALSE)</f>
        <v>63</v>
      </c>
    </row>
    <row r="6" spans="1:9" x14ac:dyDescent="0.3">
      <c r="A6" s="11" t="s">
        <v>6</v>
      </c>
      <c r="B6" s="12">
        <f>VLOOKUP(_id,_tabPersons,_colSex2,FALSE)</f>
        <v>2</v>
      </c>
      <c r="C6" s="31">
        <f>IF(_t_age2="","",IF(_d_sex2=0,3-_d_sex1,_d_sex2))</f>
        <v>2</v>
      </c>
    </row>
    <row r="7" spans="1:9" x14ac:dyDescent="0.3">
      <c r="A7" s="11" t="s">
        <v>7</v>
      </c>
      <c r="B7" s="14">
        <f>VLOOKUP(_id,_tabPersons,_colAge2,FALSE)</f>
        <v>60</v>
      </c>
    </row>
    <row r="8" spans="1:9" x14ac:dyDescent="0.3">
      <c r="A8" s="11" t="s">
        <v>10</v>
      </c>
      <c r="B8" s="15">
        <f>VLOOKUP(_id,_tabPersons,_colDtBirth1,FALSE)</f>
        <v>0</v>
      </c>
      <c r="C8" s="44">
        <f>IF(AND(_d_dtBirth1&gt;0,_d_dtCalc&gt;0),YEARFRAC(_d_dtBirth1,_d_dtCalc),_d_age1)</f>
        <v>63</v>
      </c>
    </row>
    <row r="9" spans="1:9" x14ac:dyDescent="0.3">
      <c r="A9" s="11" t="s">
        <v>11</v>
      </c>
      <c r="B9" s="15">
        <f>VLOOKUP(_id,_tabPersons,_colDtBirth2,FALSE)</f>
        <v>0</v>
      </c>
      <c r="C9" s="44">
        <f>IF(AND(_d_age2=0,_d_dtBirth2=0),"",IF(AND(_d_dtBirth2&gt;0,_d_dtCalc&gt;0),YEARFRAC(_d_dtBirth2,_d_dtCalc),_d_age2))</f>
        <v>60</v>
      </c>
    </row>
    <row r="10" spans="1:9" x14ac:dyDescent="0.3">
      <c r="A10" s="11" t="s">
        <v>12</v>
      </c>
      <c r="B10" s="15">
        <f>VLOOKUP(_id,_tabPersons,_colDtCalc,FALSE)</f>
        <v>44505</v>
      </c>
    </row>
    <row r="11" spans="1:9" x14ac:dyDescent="0.3">
      <c r="A11" s="16"/>
      <c r="B11" s="17" t="s">
        <v>70</v>
      </c>
      <c r="C11" s="18" t="s">
        <v>296</v>
      </c>
      <c r="D11" s="18" t="s">
        <v>64</v>
      </c>
      <c r="E11" s="18" t="s">
        <v>67</v>
      </c>
      <c r="F11" s="18" t="s">
        <v>68</v>
      </c>
      <c r="G11" s="18" t="s">
        <v>65</v>
      </c>
      <c r="H11" s="18" t="s">
        <v>66</v>
      </c>
      <c r="I11" s="18" t="s">
        <v>69</v>
      </c>
    </row>
    <row r="12" spans="1:9" x14ac:dyDescent="0.3">
      <c r="A12" s="16" t="s">
        <v>92</v>
      </c>
      <c r="B12" s="19" t="b">
        <f>NOT(AND(D12:I12))</f>
        <v>0</v>
      </c>
      <c r="C12" s="18" t="b">
        <f>COUNTIF(_listId,_id)&gt;1</f>
        <v>0</v>
      </c>
      <c r="D12" s="18" t="b">
        <f>_d_sex1&lt;&gt;0</f>
        <v>1</v>
      </c>
      <c r="E12" s="18" t="b">
        <f>OR(_d_age1&lt;&gt;0,_d_dtBirth1&lt;&gt;0)</f>
        <v>1</v>
      </c>
      <c r="F12" s="18" t="b">
        <f>OR(_d_age1,AND(_d_dtCalc&lt;&gt;0,_d_dtBirth1&lt;&gt;0))</f>
        <v>1</v>
      </c>
      <c r="G12" s="18" t="b">
        <f>OR(_d_sex2&lt;&gt;0,AND(_d_age2=0,_d_dtBirth2=0))</f>
        <v>1</v>
      </c>
      <c r="H12" s="18" t="b">
        <f>OR(AND(_d_sex2=0,_d_age2=0,_d_dtBirth2=0),_d_age2&lt;&gt;0,_d_dtBirth2&lt;&gt;0)</f>
        <v>1</v>
      </c>
      <c r="I12" s="18" t="b">
        <f>OR(_d_age2&lt;&gt;0,AND(_d_dtCalc&lt;&gt;0,_d_dtBirth2&lt;&gt;0),AND(_d_sex2=0,_d_age2=0,_d_dtBirth2=0))</f>
        <v>1</v>
      </c>
    </row>
    <row r="14" spans="1:9" x14ac:dyDescent="0.3">
      <c r="A14" s="11" t="s">
        <v>45</v>
      </c>
      <c r="B14" s="12" t="b">
        <f>_i_reversion&gt;0</f>
        <v>0</v>
      </c>
    </row>
    <row r="15" spans="1:9" x14ac:dyDescent="0.3">
      <c r="A15" s="11" t="s">
        <v>95</v>
      </c>
      <c r="B15" s="12" t="b">
        <f>OR(_i_indexationRate1&gt;0,_i_indexationRate2&gt;0,_i_indexationRate3&gt;0)</f>
        <v>0</v>
      </c>
    </row>
    <row r="17" spans="1:3" x14ac:dyDescent="0.3">
      <c r="A17" s="11" t="s">
        <v>106</v>
      </c>
      <c r="B17" s="12" t="b">
        <f>IF(_i_cia_interest_asked="",FALSE,_i_cia_interest_asked)</f>
        <v>0</v>
      </c>
    </row>
    <row r="18" spans="1:3" x14ac:dyDescent="0.3">
      <c r="A18" s="11" t="s">
        <v>96</v>
      </c>
      <c r="B18" s="12" t="b">
        <f>AND(_i_cia_interest_asked,_i_interestRate1&lt;&gt;"")</f>
        <v>0</v>
      </c>
    </row>
    <row r="19" spans="1:3" x14ac:dyDescent="0.3">
      <c r="A19" s="11" t="s">
        <v>101</v>
      </c>
      <c r="B19" s="12" t="b">
        <f>AND(NOT(_t_cia_interest_conflict),_d_dtCalc&gt;=DATE(2020,12,1))</f>
        <v>1</v>
      </c>
    </row>
    <row r="20" spans="1:3" x14ac:dyDescent="0.3">
      <c r="A20" s="11" t="s">
        <v>105</v>
      </c>
      <c r="B20" s="12" t="b">
        <f>AND(_t_cia_interest_asked,_cia_interest_available)</f>
        <v>0</v>
      </c>
    </row>
    <row r="21" spans="1:3" x14ac:dyDescent="0.3">
      <c r="A21" s="11" t="s">
        <v>145</v>
      </c>
    </row>
    <row r="22" spans="1:3" x14ac:dyDescent="0.3">
      <c r="A22" s="20" t="s">
        <v>107</v>
      </c>
    </row>
    <row r="24" spans="1:3" x14ac:dyDescent="0.3">
      <c r="A24" s="11" t="s">
        <v>103</v>
      </c>
      <c r="B24" s="12" t="b">
        <f>IF(_i_cia_indexation_asked="",FALSE,_i_cia_indexation_asked)</f>
        <v>0</v>
      </c>
    </row>
    <row r="25" spans="1:3" x14ac:dyDescent="0.3">
      <c r="A25" s="11" t="s">
        <v>97</v>
      </c>
      <c r="B25" s="12" t="b">
        <f>AND(_i_cia_indexation_asked,_i_indexationRate1&lt;&gt;"")</f>
        <v>0</v>
      </c>
    </row>
    <row r="26" spans="1:3" x14ac:dyDescent="0.3">
      <c r="A26" s="11" t="s">
        <v>102</v>
      </c>
      <c r="B26" s="12" t="b">
        <f>AND(NOT(_t_cia_indexation_conflict),_d_dtCalc&gt;=DATE(2020,12,1))</f>
        <v>1</v>
      </c>
    </row>
    <row r="27" spans="1:3" x14ac:dyDescent="0.3">
      <c r="A27" s="11" t="s">
        <v>104</v>
      </c>
      <c r="B27" s="12" t="b">
        <f>AND(_t_cia_indexation_asked,_cia_indexation_available)</f>
        <v>0</v>
      </c>
    </row>
    <row r="28" spans="1:3" x14ac:dyDescent="0.3">
      <c r="A28" s="20" t="s">
        <v>111</v>
      </c>
    </row>
    <row r="30" spans="1:3" x14ac:dyDescent="0.3">
      <c r="A30" s="16" t="s">
        <v>71</v>
      </c>
      <c r="B30" s="21" t="b">
        <f>OR(_e_error1&lt;&gt;"",_e_error2&lt;&gt;"",_e_error3&lt;&gt;"",_e_error4&lt;&gt;"",_e_error5&lt;&gt;"")</f>
        <v>0</v>
      </c>
      <c r="C30" s="21" t="b">
        <f>AND(_cia_indexation_warning,NOT(OR(_e_error1&lt;&gt;"",_e_error2&lt;&gt;"",_e_error3&lt;&gt;"",_e_error4&lt;&gt;"")))</f>
        <v>0</v>
      </c>
    </row>
    <row r="31" spans="1:3" x14ac:dyDescent="0.3">
      <c r="A31" s="16" t="s">
        <v>139</v>
      </c>
      <c r="B31" s="21" t="b">
        <f>AND(_t_cia_interest_show,_i_indexationRate1&lt;&gt;0)</f>
        <v>0</v>
      </c>
    </row>
    <row r="32" spans="1:3" x14ac:dyDescent="0.3">
      <c r="A32" s="16" t="s">
        <v>141</v>
      </c>
      <c r="B32" s="21" t="b">
        <f>NOT(OR(_settings_invalid,_e_error1&lt;&gt;"",_e_error2&lt;&gt;"",_e_error3&lt;&gt;"",_e_error4&lt;&gt;""))</f>
        <v>1</v>
      </c>
    </row>
    <row r="33" spans="1:4" x14ac:dyDescent="0.3">
      <c r="A33" s="16" t="s">
        <v>291</v>
      </c>
      <c r="B33" s="21" t="b">
        <f>AND(_show_results,_t_reversion&gt;0)</f>
        <v>0</v>
      </c>
    </row>
    <row r="35" spans="1:4" x14ac:dyDescent="0.3">
      <c r="A35" s="11" t="s">
        <v>25</v>
      </c>
      <c r="B35" s="12">
        <f>_t_age1+_t_deferred+IF(NOT(_t_due),1/_t_frequency,0)</f>
        <v>63</v>
      </c>
    </row>
    <row r="36" spans="1:4" x14ac:dyDescent="0.3">
      <c r="A36" s="11" t="s">
        <v>24</v>
      </c>
      <c r="B36" s="12">
        <f>IF(_i_fracFirstIndexation="",1,_i_fracFirstIndexation)</f>
        <v>1</v>
      </c>
    </row>
    <row r="38" spans="1:4" x14ac:dyDescent="0.3">
      <c r="B38" s="22" t="s">
        <v>32</v>
      </c>
      <c r="C38" s="22" t="s">
        <v>33</v>
      </c>
      <c r="D38" s="22" t="s">
        <v>293</v>
      </c>
    </row>
    <row r="39" spans="1:4" x14ac:dyDescent="0.3">
      <c r="A39" s="11" t="s">
        <v>2</v>
      </c>
      <c r="B39" s="12">
        <f>IF(_i_sex1&gt;=1,_i_sex1,_d_sex1)</f>
        <v>1</v>
      </c>
      <c r="C39" s="12">
        <f>IF(_i_sex2&gt;=1,_i_sex2,_t_sex2_temp)</f>
        <v>2</v>
      </c>
      <c r="D39" s="13" t="b">
        <f>AND(_i_sex1&lt;&gt;"",OR(_i_reversion=0,_i_sex2&lt;&gt;""))</f>
        <v>0</v>
      </c>
    </row>
    <row r="40" spans="1:4" x14ac:dyDescent="0.3">
      <c r="A40" s="11" t="s">
        <v>34</v>
      </c>
      <c r="B40" s="12" t="str">
        <f>IF(_t_cia_interest_show,"CPM2014",IF(_i_qxTable1="",IF(_s_country="United States","RP2014A","CPM2014"),_i_qxTable1))</f>
        <v>CPM2014</v>
      </c>
      <c r="C40" s="12" t="str">
        <f>IF(_t_hasReversion,IF(_t_cia_interest_show,"CPM2014",IF(_i_qxTable2="",IF(_s_country="United States","RP2014A","CPM2014"),_i_qxTable2)),"")</f>
        <v/>
      </c>
      <c r="D40" s="13" t="b">
        <f>AND(_i_qxTable1&lt;&gt;"",OR(_i_reversion=0,_i_qxTable2&lt;&gt;""))</f>
        <v>0</v>
      </c>
    </row>
    <row r="41" spans="1:4" x14ac:dyDescent="0.3">
      <c r="A41" s="11" t="s">
        <v>44</v>
      </c>
      <c r="B41" s="12" t="b">
        <f>IF(_t_cia_interest_show,TRUE,IF(OR(_i_qxScale1="None",_i_qxScale1=""),FALSE,TRUE))</f>
        <v>0</v>
      </c>
      <c r="C41" s="12" t="b">
        <f>IF(AND(_t_hasReversion,_t_cia_interest_show),TRUE,IF(OR(_i_qxScale2="None",_i_qxScale2=""),FALSE,TRUE))</f>
        <v>0</v>
      </c>
    </row>
    <row r="42" spans="1:4" x14ac:dyDescent="0.3">
      <c r="A42" s="11" t="s">
        <v>37</v>
      </c>
      <c r="B42" s="29" t="str">
        <f>IF(_t_cia_interest_show,"ECH_CPM_B",IF(OR(_i_qxScale1="None",_i_qxScale1=""),"",_i_qxScale1))</f>
        <v/>
      </c>
      <c r="C42" s="29" t="str">
        <f>IF(AND(_t_hasReversion,_t_cia_interest_show),"ECH_CPM_B",IF(OR(_i_qxScale2="None",_i_qxScale2=""),"",_i_qxScale2))</f>
        <v/>
      </c>
      <c r="D42" s="13" t="b">
        <f>AND(_i_qxScale1&lt;&gt;"",OR(_i_reversion=0,_i_qxScale2&lt;&gt;""))</f>
        <v>0</v>
      </c>
    </row>
    <row r="43" spans="1:4" x14ac:dyDescent="0.3">
      <c r="A43" s="11" t="s">
        <v>39</v>
      </c>
      <c r="B43" s="12">
        <f>IF(_t_cia_interest_show,YEAR(_d_dtCalc),IF(_i_qxValuationYear1&gt;0,_i_qxValuationYear1,IF(_d_dtCalc&gt;0,YEAR(_d_dtCalc),YEAR(_t_today))))</f>
        <v>2021</v>
      </c>
      <c r="C43" s="12">
        <f>IF(_t_cia_interest_show,YEAR(_d_dtCalc),IF(_i_qxValuationYear2&gt;0,_i_qxValuationYear2,IF(_d_dtCalc&gt;0,YEAR(_d_dtCalc),YEAR(_t_today))))</f>
        <v>2021</v>
      </c>
      <c r="D43" s="13" t="b">
        <f>AND(_i_qxValuationYear1&lt;&gt;"",OR(_i_reversion=0,_i_qxValuationYear2&lt;&gt;""))</f>
        <v>0</v>
      </c>
    </row>
    <row r="44" spans="1:4" x14ac:dyDescent="0.3">
      <c r="A44" s="11" t="s">
        <v>40</v>
      </c>
      <c r="B44" s="12">
        <f>IF(_ic_qxAgeValuation1="",0,_ic_qxAgeValuation1)</f>
        <v>0</v>
      </c>
      <c r="C44" s="12">
        <f>IF(_ic_qxAgeValuation2="",0,_ic_qxAgeValuation2)</f>
        <v>0</v>
      </c>
    </row>
    <row r="45" spans="1:4" x14ac:dyDescent="0.3">
      <c r="A45" s="11" t="s">
        <v>169</v>
      </c>
      <c r="B45" s="12" t="str">
        <f>VLOOKUP(_t_qxTable1,_z_tabQxTable,3,FALSE)</f>
        <v>Canadian Pensioners’ Mortality (CPM) 2014, composite of Public and Private Sector</v>
      </c>
      <c r="C45" s="12" t="str">
        <f>IF(_t_qxTable2="","",VLOOKUP(_t_qxTable2,_z_tabQxTable,3,FALSE))</f>
        <v/>
      </c>
    </row>
    <row r="46" spans="1:4" x14ac:dyDescent="0.3">
      <c r="A46" s="11" t="s">
        <v>294</v>
      </c>
      <c r="C46" s="12"/>
      <c r="D46" s="13" t="b">
        <f>AND(_i_qxShitAge1&lt;&gt;"",OR(_i_reversion=0,_i_qxShitAge2&lt;&gt;""))</f>
        <v>0</v>
      </c>
    </row>
    <row r="47" spans="1:4" x14ac:dyDescent="0.3">
      <c r="A47" s="11" t="s">
        <v>295</v>
      </c>
      <c r="C47" s="12"/>
      <c r="D47" s="13" t="b">
        <f>AND(_i_qxLoading1&lt;&gt;"",OR(_i_reversion=0,_i_qxLoading2&lt;&gt;""))</f>
        <v>0</v>
      </c>
    </row>
    <row r="49" spans="1:5" x14ac:dyDescent="0.3">
      <c r="A49" s="23" t="s">
        <v>14</v>
      </c>
      <c r="B49" s="12">
        <f>IF(_i_guarantee="",0,_i_guarantee)</f>
        <v>0</v>
      </c>
    </row>
    <row r="50" spans="1:5" x14ac:dyDescent="0.3">
      <c r="A50" s="23" t="s">
        <v>15</v>
      </c>
      <c r="B50" s="12">
        <f>IF(_i_reversion="",0,_i_reversion)</f>
        <v>0</v>
      </c>
    </row>
    <row r="51" spans="1:5" x14ac:dyDescent="0.3">
      <c r="A51" s="23" t="s">
        <v>16</v>
      </c>
      <c r="B51" s="12">
        <f>IF(_i_deferred="",0,_i_deferred)</f>
        <v>0</v>
      </c>
    </row>
    <row r="52" spans="1:5" x14ac:dyDescent="0.3">
      <c r="A52" s="23" t="s">
        <v>17</v>
      </c>
      <c r="B52" s="12">
        <f>IF(_i_frequency="",12,_i_frequency)</f>
        <v>12</v>
      </c>
    </row>
    <row r="53" spans="1:5" x14ac:dyDescent="0.3">
      <c r="A53" s="23" t="s">
        <v>18</v>
      </c>
      <c r="B53" s="12" t="b">
        <f>IF(_i_due="",TRUE,_i_due)</f>
        <v>1</v>
      </c>
    </row>
    <row r="54" spans="1:5" x14ac:dyDescent="0.3">
      <c r="A54" s="23" t="s">
        <v>19</v>
      </c>
      <c r="B54" s="12" t="b">
        <f>IF(_i_qxPre="",TRUE,_i_qxPre)</f>
        <v>1</v>
      </c>
    </row>
    <row r="56" spans="1:5" x14ac:dyDescent="0.3">
      <c r="A56" s="11" t="s">
        <v>98</v>
      </c>
      <c r="E56" s="25"/>
    </row>
    <row r="57" spans="1:5" x14ac:dyDescent="0.3">
      <c r="A57" s="11" t="s">
        <v>148</v>
      </c>
      <c r="B57" s="15">
        <f ca="1">TODAY()</f>
        <v>44610</v>
      </c>
      <c r="E57" s="25"/>
    </row>
    <row r="58" spans="1:5" x14ac:dyDescent="0.3">
      <c r="A58" s="11" t="s">
        <v>147</v>
      </c>
      <c r="B58" s="50" cm="1">
        <f t="array" ref="B58">IF(_d_dtCalc&lt;&gt;0,_xll.FirstDayOfMonth(_d_dtCalc,FALSE),_xll.FirstDayOfMonth("_t_today",FALSE))</f>
        <v>44501</v>
      </c>
      <c r="E58" s="25"/>
    </row>
    <row r="59" spans="1:5" x14ac:dyDescent="0.3">
      <c r="A59" s="11" t="s">
        <v>146</v>
      </c>
      <c r="B59" s="50" cm="1">
        <f t="array" aca="1" ref="B59" ca="1">[1]!_lastDateCIAStat</f>
        <v>44593</v>
      </c>
      <c r="E59" s="25"/>
    </row>
    <row r="60" spans="1:5" x14ac:dyDescent="0.3">
      <c r="A60" s="11" t="s">
        <v>142</v>
      </c>
      <c r="B60" s="50">
        <f ca="1">IF(_d_dtCalc&gt;0,MIN(_d_dtCalc,_t_today,date_cia_latest),MIN(_t_today,date_cia_latest))</f>
        <v>44505</v>
      </c>
      <c r="E60" s="25"/>
    </row>
    <row r="61" spans="1:5" x14ac:dyDescent="0.3">
      <c r="A61" s="11" t="s">
        <v>127</v>
      </c>
      <c r="B61" s="34">
        <f>_i_indexation_offset</f>
        <v>0</v>
      </c>
      <c r="C61" s="25"/>
      <c r="D61" s="25"/>
      <c r="E61" s="25"/>
    </row>
    <row r="62" spans="1:5" x14ac:dyDescent="0.3">
      <c r="A62" s="11" t="s">
        <v>127</v>
      </c>
      <c r="B62" s="34">
        <f>IF(_i_indexation_fraction="",1,_i_indexation_fraction)</f>
        <v>1</v>
      </c>
      <c r="C62" s="25"/>
      <c r="D62" s="25"/>
      <c r="E62" s="25"/>
    </row>
    <row r="63" spans="1:5" x14ac:dyDescent="0.3">
      <c r="A63" s="11" t="s">
        <v>126</v>
      </c>
      <c r="B63" s="34">
        <f>IF(_i_indexation_max="",1000,_i_indexation_max)</f>
        <v>1000</v>
      </c>
      <c r="C63" s="25"/>
      <c r="D63" s="25"/>
      <c r="E63" s="25"/>
    </row>
    <row r="64" spans="1:5" x14ac:dyDescent="0.3">
      <c r="A64" s="16" t="s">
        <v>149</v>
      </c>
      <c r="B64" s="95" t="b">
        <f ca="1">B58&lt;&gt;date_cia_latest</f>
        <v>1</v>
      </c>
      <c r="C64" s="25"/>
      <c r="D64" s="25"/>
      <c r="E64" s="25"/>
    </row>
    <row r="65" spans="1:6" s="47" customFormat="1" x14ac:dyDescent="0.3">
      <c r="A65" s="23"/>
      <c r="B65" s="24">
        <v>36</v>
      </c>
      <c r="C65" s="25">
        <v>5</v>
      </c>
      <c r="D65" s="25">
        <v>37</v>
      </c>
      <c r="E65" s="46"/>
    </row>
    <row r="66" spans="1:6" x14ac:dyDescent="0.3">
      <c r="A66" s="11" t="s">
        <v>99</v>
      </c>
      <c r="B66" s="26" cm="1">
        <f t="array" aca="1" ref="B66" ca="1">_xll.CIA(_t_dtCIA,B65)</f>
        <v>2.1999999999999999E-2</v>
      </c>
      <c r="C66" s="12" cm="1">
        <f t="array" aca="1" ref="C66" ca="1">_xll.CIA(_t_dtCIA,C65)</f>
        <v>10</v>
      </c>
      <c r="D66" s="26" cm="1">
        <f t="array" aca="1" ref="D66" ca="1">_xll.CIA(_t_dtCIA,D65)</f>
        <v>3.2000000000000001E-2</v>
      </c>
      <c r="E66" s="26"/>
    </row>
    <row r="67" spans="1:6" x14ac:dyDescent="0.3">
      <c r="B67" s="27" cm="1">
        <f t="array" aca="1" ref="B67" ca="1">_xll.CIA(_t_dtCIA,B69)</f>
        <v>1.4055899900391022E-2</v>
      </c>
      <c r="C67" s="12"/>
      <c r="D67" s="27" cm="1">
        <f t="array" aca="1" ref="D67" ca="1">_xll.CIA(_t_dtCIA,D69)</f>
        <v>2.0534488581689381E-2</v>
      </c>
      <c r="E67" s="26"/>
      <c r="F67" s="35"/>
    </row>
    <row r="68" spans="1:6" x14ac:dyDescent="0.3">
      <c r="A68" s="11" t="s">
        <v>100</v>
      </c>
      <c r="B68" s="27">
        <f ca="1">MAX(0,MIN(_t_indexation_max,(B67-_i_indexation_offset)*_t_indexation_fraction))</f>
        <v>1.4055899900391022E-2</v>
      </c>
      <c r="C68" s="12">
        <f ca="1">C66</f>
        <v>10</v>
      </c>
      <c r="D68" s="27">
        <f ca="1">MAX(0,MIN(_t_indexation_max,(D67-_i_indexation_offset)*_t_indexation_fraction))</f>
        <v>2.0534488581689381E-2</v>
      </c>
      <c r="E68" s="27"/>
    </row>
    <row r="69" spans="1:6" x14ac:dyDescent="0.3">
      <c r="B69" s="24">
        <v>38</v>
      </c>
      <c r="C69" s="25"/>
      <c r="D69" s="25">
        <v>39</v>
      </c>
      <c r="E69" s="25"/>
    </row>
    <row r="70" spans="1:6" x14ac:dyDescent="0.3">
      <c r="A70" s="28"/>
      <c r="B70" s="29"/>
      <c r="C70" s="162" t="s">
        <v>116</v>
      </c>
      <c r="D70" s="162"/>
      <c r="E70" s="162"/>
    </row>
    <row r="71" spans="1:6" x14ac:dyDescent="0.3">
      <c r="A71" s="28"/>
      <c r="B71" s="29"/>
      <c r="C71" s="30" t="s">
        <v>117</v>
      </c>
      <c r="D71" s="30" t="s">
        <v>118</v>
      </c>
      <c r="E71" s="30" t="s">
        <v>119</v>
      </c>
    </row>
    <row r="72" spans="1:6" x14ac:dyDescent="0.3">
      <c r="A72" s="28" t="s">
        <v>34</v>
      </c>
      <c r="B72" s="29" t="s">
        <v>28</v>
      </c>
      <c r="C72" s="31" t="b">
        <f>OR(_i_qxTable1="",_i_qxTable1=_cia_table)</f>
        <v>1</v>
      </c>
      <c r="D72" s="31" t="b">
        <f>OR(_i_qxTable2="",_i_qxTable2=_cia_table)</f>
        <v>1</v>
      </c>
      <c r="E72" s="31" t="b">
        <f>AND(C72:D72)</f>
        <v>1</v>
      </c>
    </row>
    <row r="73" spans="1:6" x14ac:dyDescent="0.3">
      <c r="A73" s="28" t="s">
        <v>37</v>
      </c>
      <c r="B73" s="29" t="s">
        <v>46</v>
      </c>
      <c r="C73" s="31" t="b">
        <f>OR(_i_qxScale1="",_i_qxScale1=_cia_scale)</f>
        <v>1</v>
      </c>
      <c r="D73" s="31" t="b">
        <f>OR(_i_qxScale2="",_i_qxScale2=_cia_scale)</f>
        <v>1</v>
      </c>
      <c r="E73" s="31" t="b">
        <f t="shared" ref="E73:E75" si="0">AND(C73:D73)</f>
        <v>1</v>
      </c>
    </row>
    <row r="74" spans="1:6" x14ac:dyDescent="0.3">
      <c r="A74" s="28" t="s">
        <v>36</v>
      </c>
      <c r="B74" s="29">
        <v>0</v>
      </c>
      <c r="C74" s="31" t="b">
        <f>OR(_i_qxShitAge1=0,_i_qxShitAge1=_cia_shift_age)</f>
        <v>1</v>
      </c>
      <c r="D74" s="31" t="b">
        <f>OR(_i_qxShitAge2=0,_i_qxShitAge2=_cia_shift_age)</f>
        <v>1</v>
      </c>
      <c r="E74" s="31" t="b">
        <f t="shared" si="0"/>
        <v>1</v>
      </c>
    </row>
    <row r="75" spans="1:6" x14ac:dyDescent="0.3">
      <c r="A75" s="28" t="s">
        <v>35</v>
      </c>
      <c r="B75" s="29">
        <v>0</v>
      </c>
      <c r="C75" s="31" t="b">
        <f>OR(_i_qxLoading1=0,_i_qxLoading1=_cia_loading)</f>
        <v>1</v>
      </c>
      <c r="D75" s="31" t="b">
        <f>OR(_i_qxLoading2=0,_i_qxLoading2=_cia_loading)</f>
        <v>1</v>
      </c>
      <c r="E75" s="31" t="b">
        <f t="shared" si="0"/>
        <v>1</v>
      </c>
    </row>
    <row r="76" spans="1:6" x14ac:dyDescent="0.3">
      <c r="A76" s="28" t="s">
        <v>39</v>
      </c>
      <c r="B76" s="29">
        <f>YEAR(_d_dtCalc)</f>
        <v>2021</v>
      </c>
      <c r="C76" s="31" t="b">
        <f>OR(_i_qxValuationYear1="",_i_qxValuationYear1=_cia_year)</f>
        <v>1</v>
      </c>
      <c r="D76" s="31" t="b">
        <f>OR(_i_qxValuationYear2="",_i_qxValuationYear2=_cia_year)</f>
        <v>1</v>
      </c>
      <c r="E76" s="31" t="b">
        <f>AND(C76:D76)</f>
        <v>1</v>
      </c>
    </row>
    <row r="77" spans="1:6" x14ac:dyDescent="0.3">
      <c r="A77" s="28" t="s">
        <v>120</v>
      </c>
      <c r="B77" s="29"/>
      <c r="C77" s="31"/>
      <c r="D77" s="31"/>
      <c r="E77" s="31" t="b">
        <f>OR(NOT(_t_cia_interest_show),AND(E72:E76))</f>
        <v>1</v>
      </c>
    </row>
    <row r="79" spans="1:6" x14ac:dyDescent="0.3">
      <c r="A79" s="11" t="s">
        <v>133</v>
      </c>
      <c r="B79" s="34">
        <f>IF(_i_indexationRate1="",0,_i_indexationRate1)</f>
        <v>0</v>
      </c>
    </row>
  </sheetData>
  <sheetProtection algorithmName="SHA-512" hashValue="H5SWNytTqfKQqe6J3NLrb9J4Wrsikz4DnAMJSCoIYe7/Kk5cB99HS5IBWdUiLNdvkdcbEUm8Mss/ozwAAyEv0A==" saltValue="EnF9SprGBKbonKE73rfyZw==" spinCount="100000" sheet="1" objects="1" scenarios="1" selectLockedCells="1" selectUnlockedCells="1"/>
  <mergeCells count="1">
    <mergeCell ref="C70:E70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158</vt:i4>
      </vt:variant>
    </vt:vector>
  </HeadingPairs>
  <TitlesOfParts>
    <vt:vector size="164" baseType="lpstr">
      <vt:lpstr>User guide</vt:lpstr>
      <vt:lpstr>Annuity factor</vt:lpstr>
      <vt:lpstr>Annuitants</vt:lpstr>
      <vt:lpstr>Settings</vt:lpstr>
      <vt:lpstr>Lists</vt:lpstr>
      <vt:lpstr>Transfo</vt:lpstr>
      <vt:lpstr>_cia_indexation_available</vt:lpstr>
      <vt:lpstr>_cia_indexation_warning</vt:lpstr>
      <vt:lpstr>_cia_interest_available</vt:lpstr>
      <vt:lpstr>_cia_loading</vt:lpstr>
      <vt:lpstr>_cia_qx_all_valid</vt:lpstr>
      <vt:lpstr>_cia_scale</vt:lpstr>
      <vt:lpstr>_cia_shift_age</vt:lpstr>
      <vt:lpstr>_cia_table</vt:lpstr>
      <vt:lpstr>_cia_warning</vt:lpstr>
      <vt:lpstr>_cia_year</vt:lpstr>
      <vt:lpstr>_colAge1</vt:lpstr>
      <vt:lpstr>_colAge2</vt:lpstr>
      <vt:lpstr>_colDtBirth1</vt:lpstr>
      <vt:lpstr>_colDtBirth2</vt:lpstr>
      <vt:lpstr>_colDtCalc</vt:lpstr>
      <vt:lpstr>_colName</vt:lpstr>
      <vt:lpstr>_colSex1</vt:lpstr>
      <vt:lpstr>_colSex2</vt:lpstr>
      <vt:lpstr>_d_age1</vt:lpstr>
      <vt:lpstr>_d_age2</vt:lpstr>
      <vt:lpstr>_d_dtBirth1</vt:lpstr>
      <vt:lpstr>_d_dtBirth2</vt:lpstr>
      <vt:lpstr>_d_dtCalc</vt:lpstr>
      <vt:lpstr>_d_name</vt:lpstr>
      <vt:lpstr>_d_sex1</vt:lpstr>
      <vt:lpstr>_d_sex2</vt:lpstr>
      <vt:lpstr>_e_error1</vt:lpstr>
      <vt:lpstr>_e_error2</vt:lpstr>
      <vt:lpstr>_e_error3</vt:lpstr>
      <vt:lpstr>_e_error4</vt:lpstr>
      <vt:lpstr>_e_error5</vt:lpstr>
      <vt:lpstr>_f_dec2</vt:lpstr>
      <vt:lpstr>_f_dtCia</vt:lpstr>
      <vt:lpstr>_f_dtCiaShort</vt:lpstr>
      <vt:lpstr>_f_language</vt:lpstr>
      <vt:lpstr>_f_perc2</vt:lpstr>
      <vt:lpstr>_flag_cia_date</vt:lpstr>
      <vt:lpstr>_hideQxDefaultLoading</vt:lpstr>
      <vt:lpstr>_hideQxDefaultScale</vt:lpstr>
      <vt:lpstr>_hideQxDefaultSex</vt:lpstr>
      <vt:lpstr>_hideQxDefaultShiftAge</vt:lpstr>
      <vt:lpstr>_hideQxDefaultTable</vt:lpstr>
      <vt:lpstr>_hideQxDefaultYearVln</vt:lpstr>
      <vt:lpstr>_i_ageIndexation</vt:lpstr>
      <vt:lpstr>_i_cia_indexation_asked</vt:lpstr>
      <vt:lpstr>_i_cia_interest_asked</vt:lpstr>
      <vt:lpstr>_i_deferred</vt:lpstr>
      <vt:lpstr>_i_due</vt:lpstr>
      <vt:lpstr>_i_fracFirstIndexation</vt:lpstr>
      <vt:lpstr>_i_frequency</vt:lpstr>
      <vt:lpstr>_i_guarantee</vt:lpstr>
      <vt:lpstr>_i_indexation_fraction</vt:lpstr>
      <vt:lpstr>_i_indexation_max</vt:lpstr>
      <vt:lpstr>_i_indexation_offset</vt:lpstr>
      <vt:lpstr>_i_indexationPeriod1</vt:lpstr>
      <vt:lpstr>_i_indexationPeriod2</vt:lpstr>
      <vt:lpstr>_i_indexationRate1</vt:lpstr>
      <vt:lpstr>_i_indexationRate2</vt:lpstr>
      <vt:lpstr>_i_indexationRate3</vt:lpstr>
      <vt:lpstr>_i_indexationVector2</vt:lpstr>
      <vt:lpstr>_i_indexationVector3</vt:lpstr>
      <vt:lpstr>_i_interestPeriod1</vt:lpstr>
      <vt:lpstr>_i_interestPeriod2</vt:lpstr>
      <vt:lpstr>_i_interestRate1</vt:lpstr>
      <vt:lpstr>_i_interestRate2</vt:lpstr>
      <vt:lpstr>_i_interestRate3</vt:lpstr>
      <vt:lpstr>_i_interestVector2</vt:lpstr>
      <vt:lpstr>_i_interestVector3</vt:lpstr>
      <vt:lpstr>_i_qxLoading1</vt:lpstr>
      <vt:lpstr>_i_qxLoading2</vt:lpstr>
      <vt:lpstr>_i_qxPre</vt:lpstr>
      <vt:lpstr>_i_qxScale1</vt:lpstr>
      <vt:lpstr>_i_qxScale2</vt:lpstr>
      <vt:lpstr>_i_qxShitAge1</vt:lpstr>
      <vt:lpstr>_i_qxShitAge2</vt:lpstr>
      <vt:lpstr>_i_qxTable1</vt:lpstr>
      <vt:lpstr>_i_qxTable2</vt:lpstr>
      <vt:lpstr>_i_qxValuationYear1</vt:lpstr>
      <vt:lpstr>_i_qxValuationYear2</vt:lpstr>
      <vt:lpstr>_i_reversion</vt:lpstr>
      <vt:lpstr>_i_sex1</vt:lpstr>
      <vt:lpstr>_i_sex2</vt:lpstr>
      <vt:lpstr>_i_yearsPaid</vt:lpstr>
      <vt:lpstr>_ic_qxAgeValuation1</vt:lpstr>
      <vt:lpstr>_ic_qxAgeValuation2</vt:lpstr>
      <vt:lpstr>_ic_qxTableBaseYear1</vt:lpstr>
      <vt:lpstr>_ic_qxTableBaseYear2</vt:lpstr>
      <vt:lpstr>_id</vt:lpstr>
      <vt:lpstr>_listBoolean</vt:lpstr>
      <vt:lpstr>_listCountry</vt:lpstr>
      <vt:lpstr>_listFrequency</vt:lpstr>
      <vt:lpstr>_listId</vt:lpstr>
      <vt:lpstr>_listLanguages</vt:lpstr>
      <vt:lpstr>_listQxScale_CAN</vt:lpstr>
      <vt:lpstr>_listQxScale_US</vt:lpstr>
      <vt:lpstr>_listQxTable_CAN</vt:lpstr>
      <vt:lpstr>_listQxTable_US</vt:lpstr>
      <vt:lpstr>_listReversion</vt:lpstr>
      <vt:lpstr>_listSex</vt:lpstr>
      <vt:lpstr>_r_annuityFactor</vt:lpstr>
      <vt:lpstr>_s_country</vt:lpstr>
      <vt:lpstr>_s_error1</vt:lpstr>
      <vt:lpstr>_s_error2</vt:lpstr>
      <vt:lpstr>_settings_invalid</vt:lpstr>
      <vt:lpstr>_show_results</vt:lpstr>
      <vt:lpstr>_showAnnuitant2</vt:lpstr>
      <vt:lpstr>_t_age1</vt:lpstr>
      <vt:lpstr>_t_age2</vt:lpstr>
      <vt:lpstr>_t_ageFirstIndexMin</vt:lpstr>
      <vt:lpstr>_t_cia_indexation</vt:lpstr>
      <vt:lpstr>_t_cia_indexation_asked</vt:lpstr>
      <vt:lpstr>_t_cia_indexation_conflict</vt:lpstr>
      <vt:lpstr>_t_cia_indexation_show</vt:lpstr>
      <vt:lpstr>_t_cia_interest</vt:lpstr>
      <vt:lpstr>_t_cia_interest_asked</vt:lpstr>
      <vt:lpstr>_t_cia_interest_conflict</vt:lpstr>
      <vt:lpstr>_t_cia_interest_show</vt:lpstr>
      <vt:lpstr>_t_country</vt:lpstr>
      <vt:lpstr>_t_deferred</vt:lpstr>
      <vt:lpstr>_t_dtCIA</vt:lpstr>
      <vt:lpstr>_t_due</vt:lpstr>
      <vt:lpstr>_t_duplicateID</vt:lpstr>
      <vt:lpstr>_t_errorPerson</vt:lpstr>
      <vt:lpstr>_t_errorSomewhere</vt:lpstr>
      <vt:lpstr>_t_fracFirstIndexation</vt:lpstr>
      <vt:lpstr>_t_frequency</vt:lpstr>
      <vt:lpstr>_t_guarantee</vt:lpstr>
      <vt:lpstr>_t_hasReversion</vt:lpstr>
      <vt:lpstr>_t_indexation_fraction</vt:lpstr>
      <vt:lpstr>_t_indexation_max</vt:lpstr>
      <vt:lpstr>_t_indexationRate1</vt:lpstr>
      <vt:lpstr>_t_interestRate1</vt:lpstr>
      <vt:lpstr>_t_isIndexed</vt:lpstr>
      <vt:lpstr>_t_qxAgeValuation1</vt:lpstr>
      <vt:lpstr>_t_qxAgeValuation2</vt:lpstr>
      <vt:lpstr>_t_qxPre</vt:lpstr>
      <vt:lpstr>_t_qxProjection1</vt:lpstr>
      <vt:lpstr>_t_qxProjection2</vt:lpstr>
      <vt:lpstr>_t_qxScale1</vt:lpstr>
      <vt:lpstr>_t_qxScale2</vt:lpstr>
      <vt:lpstr>_t_qxTable1</vt:lpstr>
      <vt:lpstr>_t_qxTable1Descr</vt:lpstr>
      <vt:lpstr>_t_qxTable2</vt:lpstr>
      <vt:lpstr>_t_qxTable2Descr</vt:lpstr>
      <vt:lpstr>_t_qxValuationYear1</vt:lpstr>
      <vt:lpstr>_t_qxValuationYear2</vt:lpstr>
      <vt:lpstr>_t_reversion</vt:lpstr>
      <vt:lpstr>_t_sex1</vt:lpstr>
      <vt:lpstr>_t_sex2</vt:lpstr>
      <vt:lpstr>_t_sex2_temp</vt:lpstr>
      <vt:lpstr>_t_today</vt:lpstr>
      <vt:lpstr>_tabCountry</vt:lpstr>
      <vt:lpstr>_tabFormat</vt:lpstr>
      <vt:lpstr>_tabFormatOffset</vt:lpstr>
      <vt:lpstr>_tabPersons</vt:lpstr>
      <vt:lpstr>_tabQxTable_CAN</vt:lpstr>
      <vt:lpstr>_tabQxTable_US</vt:lpstr>
      <vt:lpstr>date_cia_latest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Aubin</dc:creator>
  <cp:lastModifiedBy>Guy Aubin</cp:lastModifiedBy>
  <cp:lastPrinted>2022-02-18T19:54:30Z</cp:lastPrinted>
  <dcterms:created xsi:type="dcterms:W3CDTF">2021-11-06T10:57:13Z</dcterms:created>
  <dcterms:modified xsi:type="dcterms:W3CDTF">2022-02-18T19:54:38Z</dcterms:modified>
</cp:coreProperties>
</file>