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CommonData\NewThings\iaiaGi\DimensMotore\"/>
    </mc:Choice>
  </mc:AlternateContent>
  <workbookProtection lockWindows="1"/>
  <bookViews>
    <workbookView xWindow="0" yWindow="0" windowWidth="16380" windowHeight="8190" tabRatio="985" firstSheet="2" activeTab="8"/>
  </bookViews>
  <sheets>
    <sheet name="KeyParameters" sheetId="1" r:id="rId1"/>
    <sheet name="Acceleration Force" sheetId="2" r:id="rId2"/>
    <sheet name="Hill-climbing Force" sheetId="3" r:id="rId3"/>
    <sheet name="Coefficient of Drag" sheetId="4" r:id="rId4"/>
    <sheet name="Drivetrain Efficiencies" sheetId="5" r:id="rId5"/>
    <sheet name="Torque Required IS" sheetId="6" r:id="rId6"/>
    <sheet name="Torque Available IS" sheetId="7" r:id="rId7"/>
    <sheet name="Torque Available IS non-vent" sheetId="18" r:id="rId8"/>
    <sheet name="Charts" sheetId="8" r:id="rId9"/>
    <sheet name="Torque Required US" sheetId="9" r:id="rId10"/>
    <sheet name="Torque Available US" sheetId="10" r:id="rId11"/>
    <sheet name="Torque Required US OLD" sheetId="11" r:id="rId12"/>
    <sheet name="Torque Available US OLD" sheetId="12" r:id="rId13"/>
    <sheet name="EV Conv. Weights Compared" sheetId="13" r:id="rId14"/>
    <sheet name="Equations" sheetId="14" r:id="rId15"/>
    <sheet name="Constants" sheetId="15" r:id="rId16"/>
    <sheet name="Measurement Units" sheetId="16" r:id="rId17"/>
    <sheet name="Mass factors" sheetId="17" r:id="rId18"/>
  </sheets>
  <definedNames>
    <definedName name="AirDensity">KeyParameters!$C$24</definedName>
    <definedName name="CRW">KeyParameters!$C$27</definedName>
    <definedName name="DiffRatio">KeyParameters!$C$15</definedName>
    <definedName name="DragCoeff">KeyParameters!$C$25</definedName>
    <definedName name="DriveTrainEff">KeyParameters!$C$30</definedName>
    <definedName name="Ft2meters">'Measurement Units'!$D$3</definedName>
    <definedName name="G_ms2">Constants!$E$3</definedName>
    <definedName name="Kg2Lbs">'Measurement Units'!$G$4</definedName>
    <definedName name="Lbs2Kg">'Measurement Units'!$H$3</definedName>
    <definedName name="Meters2ft">'Measurement Units'!$C$4</definedName>
    <definedName name="Meters2miles">'Measurement Units'!$E$4</definedName>
    <definedName name="RefWeightKg">KeyParameters!$C$5</definedName>
    <definedName name="RefWeightLbs">KeyParameters!$C$6</definedName>
    <definedName name="RelWindSpeed">KeyParameters!$C$26</definedName>
    <definedName name="TireDiam">KeyParameters!$C$20</definedName>
    <definedName name="TireSection">KeyParameters!$C$18</definedName>
    <definedName name="TireSidewRatio">KeyParameters!$C$19</definedName>
    <definedName name="TrasmRt1st">KeyParameters!$C$9</definedName>
    <definedName name="TrasmRt2nd">KeyParameters!$C$10</definedName>
    <definedName name="TrasmRt3rd">KeyParameters!$C$11</definedName>
    <definedName name="TrasmRt4th">KeyParameters!$C$12</definedName>
    <definedName name="TrasmRt5th">KeyParameters!$C$13</definedName>
    <definedName name="VFrontArea">KeyParameters!$C$23</definedName>
  </definedNames>
  <calcPr calcId="152511" iterateDelta="1E-4"/>
</workbook>
</file>

<file path=xl/calcChain.xml><?xml version="1.0" encoding="utf-8"?>
<calcChain xmlns="http://schemas.openxmlformats.org/spreadsheetml/2006/main">
  <c r="B17" i="18" l="1"/>
  <c r="B18" i="18" s="1"/>
  <c r="B16" i="18"/>
  <c r="B15" i="18"/>
  <c r="B13" i="18"/>
  <c r="L5" i="16" l="1"/>
  <c r="H5" i="16"/>
  <c r="N4" i="16"/>
  <c r="G4" i="16"/>
  <c r="E4" i="16"/>
  <c r="C4" i="16"/>
  <c r="O3" i="16"/>
  <c r="M3" i="16"/>
  <c r="K5" i="16" s="1"/>
  <c r="I3" i="16"/>
  <c r="G5" i="16" s="1"/>
  <c r="E3" i="16"/>
  <c r="C5" i="16" s="1"/>
  <c r="F3" i="15"/>
  <c r="D3" i="15"/>
  <c r="C36" i="13"/>
  <c r="C37" i="13" s="1"/>
  <c r="F35" i="13"/>
  <c r="C35" i="13"/>
  <c r="E34" i="13"/>
  <c r="C33" i="13"/>
  <c r="E32" i="13"/>
  <c r="E31" i="13"/>
  <c r="D31" i="13"/>
  <c r="D33" i="13" s="1"/>
  <c r="D35" i="13" s="1"/>
  <c r="C23" i="13"/>
  <c r="C22" i="13"/>
  <c r="F21" i="13"/>
  <c r="E20" i="13"/>
  <c r="C19" i="13"/>
  <c r="C21" i="13" s="1"/>
  <c r="E18" i="13"/>
  <c r="E17" i="13"/>
  <c r="D17" i="13"/>
  <c r="D19" i="13" s="1"/>
  <c r="C8" i="13"/>
  <c r="C9" i="13" s="1"/>
  <c r="F7" i="13"/>
  <c r="C7" i="13"/>
  <c r="E6" i="13"/>
  <c r="C5" i="13"/>
  <c r="E4" i="13"/>
  <c r="E3" i="13"/>
  <c r="D3" i="13"/>
  <c r="D5" i="13" s="1"/>
  <c r="D7" i="13" s="1"/>
  <c r="B31" i="12"/>
  <c r="M24" i="12"/>
  <c r="K24" i="12"/>
  <c r="G24" i="12"/>
  <c r="M23" i="12"/>
  <c r="L23" i="12"/>
  <c r="K23" i="12"/>
  <c r="G23" i="12"/>
  <c r="K22" i="12"/>
  <c r="J22" i="12"/>
  <c r="G22" i="12"/>
  <c r="E22" i="12"/>
  <c r="L21" i="12"/>
  <c r="K21" i="12"/>
  <c r="G21" i="12"/>
  <c r="E21" i="12"/>
  <c r="K20" i="12"/>
  <c r="J20" i="12"/>
  <c r="G20" i="12"/>
  <c r="E20" i="12"/>
  <c r="M19" i="12"/>
  <c r="K19" i="12"/>
  <c r="G19" i="12"/>
  <c r="M18" i="12"/>
  <c r="G18" i="12"/>
  <c r="E18" i="12"/>
  <c r="M17" i="12"/>
  <c r="L17" i="12"/>
  <c r="G17" i="12"/>
  <c r="K16" i="12"/>
  <c r="G16" i="12"/>
  <c r="M15" i="12"/>
  <c r="L15" i="12"/>
  <c r="K15" i="12"/>
  <c r="G15" i="12"/>
  <c r="E15" i="12"/>
  <c r="K14" i="12"/>
  <c r="G14" i="12"/>
  <c r="L13" i="12"/>
  <c r="K13" i="12"/>
  <c r="G13" i="12"/>
  <c r="E13" i="12"/>
  <c r="K12" i="12"/>
  <c r="G12" i="12"/>
  <c r="M11" i="12"/>
  <c r="K11" i="12"/>
  <c r="G11" i="12"/>
  <c r="E11" i="12"/>
  <c r="M10" i="12"/>
  <c r="J10" i="12"/>
  <c r="G10" i="12"/>
  <c r="E10" i="12"/>
  <c r="M9" i="12"/>
  <c r="L9" i="12"/>
  <c r="G9" i="12"/>
  <c r="K8" i="12"/>
  <c r="G8" i="12"/>
  <c r="M7" i="12"/>
  <c r="L7" i="12"/>
  <c r="K7" i="12"/>
  <c r="G7" i="12"/>
  <c r="E7" i="12"/>
  <c r="M6" i="12"/>
  <c r="K6" i="12"/>
  <c r="G6" i="12"/>
  <c r="L4" i="12"/>
  <c r="J4" i="12"/>
  <c r="H4" i="12"/>
  <c r="M3" i="12"/>
  <c r="M22" i="12" s="1"/>
  <c r="K3" i="12"/>
  <c r="K18" i="12" s="1"/>
  <c r="I3" i="12"/>
  <c r="G3" i="12"/>
  <c r="E3" i="12"/>
  <c r="E14" i="12" s="1"/>
  <c r="W37" i="11"/>
  <c r="T37" i="11"/>
  <c r="O37" i="11"/>
  <c r="N37" i="11"/>
  <c r="G37" i="11"/>
  <c r="AA36" i="11"/>
  <c r="Z36" i="11"/>
  <c r="W36" i="11"/>
  <c r="R36" i="11"/>
  <c r="P36" i="11"/>
  <c r="O36" i="11"/>
  <c r="K36" i="11"/>
  <c r="J36" i="11"/>
  <c r="G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H37" i="11" s="1"/>
  <c r="G35" i="11"/>
  <c r="F35" i="11"/>
  <c r="E35" i="11"/>
  <c r="D35" i="11"/>
  <c r="AA34" i="11"/>
  <c r="Z34" i="11"/>
  <c r="Y34" i="11"/>
  <c r="Y36" i="11" s="1"/>
  <c r="X34" i="11"/>
  <c r="X36" i="11" s="1"/>
  <c r="W34" i="11"/>
  <c r="V34" i="11"/>
  <c r="V36" i="11" s="1"/>
  <c r="U34" i="11"/>
  <c r="U36" i="11" s="1"/>
  <c r="T34" i="11"/>
  <c r="T36" i="11" s="1"/>
  <c r="S34" i="11"/>
  <c r="S36" i="11" s="1"/>
  <c r="R34" i="11"/>
  <c r="Q34" i="11"/>
  <c r="Q36" i="11" s="1"/>
  <c r="P34" i="11"/>
  <c r="O34" i="11"/>
  <c r="N34" i="11"/>
  <c r="N36" i="11" s="1"/>
  <c r="M34" i="11"/>
  <c r="M36" i="11" s="1"/>
  <c r="L34" i="11"/>
  <c r="L36" i="11" s="1"/>
  <c r="K34" i="11"/>
  <c r="J34" i="11"/>
  <c r="I34" i="11"/>
  <c r="I36" i="11" s="1"/>
  <c r="H34" i="11"/>
  <c r="H36" i="11" s="1"/>
  <c r="G34" i="11"/>
  <c r="F34" i="11"/>
  <c r="F36" i="11" s="1"/>
  <c r="E34" i="11"/>
  <c r="E36" i="11" s="1"/>
  <c r="D34" i="11"/>
  <c r="D36" i="11" s="1"/>
  <c r="U31" i="11"/>
  <c r="S31" i="11"/>
  <c r="O31" i="11"/>
  <c r="I31" i="11"/>
  <c r="AA30" i="11"/>
  <c r="W30" i="11"/>
  <c r="M30" i="11"/>
  <c r="K30" i="11"/>
  <c r="G30" i="11"/>
  <c r="AA29" i="11"/>
  <c r="Z29" i="11"/>
  <c r="Z31" i="11" s="1"/>
  <c r="Y29" i="11"/>
  <c r="Y31" i="11" s="1"/>
  <c r="X29" i="11"/>
  <c r="W29" i="11"/>
  <c r="V29" i="11"/>
  <c r="U29" i="11"/>
  <c r="T29" i="11"/>
  <c r="S29" i="11"/>
  <c r="R29" i="11"/>
  <c r="Q29" i="11"/>
  <c r="P29" i="11"/>
  <c r="O29" i="11"/>
  <c r="N29" i="11"/>
  <c r="N31" i="11" s="1"/>
  <c r="M29" i="11"/>
  <c r="L29" i="11"/>
  <c r="K29" i="11"/>
  <c r="J29" i="11"/>
  <c r="J31" i="11" s="1"/>
  <c r="I29" i="11"/>
  <c r="H29" i="11"/>
  <c r="G29" i="11"/>
  <c r="F29" i="11"/>
  <c r="E29" i="11"/>
  <c r="E31" i="11" s="1"/>
  <c r="D29" i="11"/>
  <c r="AA28" i="11"/>
  <c r="Z28" i="11"/>
  <c r="Z30" i="11" s="1"/>
  <c r="Y28" i="11"/>
  <c r="Y30" i="11" s="1"/>
  <c r="X28" i="11"/>
  <c r="X30" i="11" s="1"/>
  <c r="W28" i="11"/>
  <c r="V28" i="11"/>
  <c r="V30" i="11" s="1"/>
  <c r="U28" i="11"/>
  <c r="U30" i="11" s="1"/>
  <c r="T28" i="11"/>
  <c r="T30" i="11" s="1"/>
  <c r="S28" i="11"/>
  <c r="S30" i="11" s="1"/>
  <c r="R28" i="11"/>
  <c r="R30" i="11" s="1"/>
  <c r="Q28" i="11"/>
  <c r="Q30" i="11" s="1"/>
  <c r="P28" i="11"/>
  <c r="P30" i="11" s="1"/>
  <c r="O28" i="11"/>
  <c r="O30" i="11" s="1"/>
  <c r="N28" i="11"/>
  <c r="N30" i="11" s="1"/>
  <c r="M28" i="11"/>
  <c r="L28" i="11"/>
  <c r="L30" i="11" s="1"/>
  <c r="K28" i="11"/>
  <c r="J28" i="11"/>
  <c r="J30" i="11" s="1"/>
  <c r="I28" i="11"/>
  <c r="I30" i="11" s="1"/>
  <c r="H28" i="11"/>
  <c r="H30" i="11" s="1"/>
  <c r="G28" i="11"/>
  <c r="F28" i="11"/>
  <c r="F30" i="11" s="1"/>
  <c r="E28" i="11"/>
  <c r="E30" i="11" s="1"/>
  <c r="D28" i="11"/>
  <c r="D30" i="11" s="1"/>
  <c r="U25" i="11"/>
  <c r="S25" i="11"/>
  <c r="O25" i="11"/>
  <c r="J25" i="11"/>
  <c r="I25" i="11"/>
  <c r="AA24" i="11"/>
  <c r="W24" i="11"/>
  <c r="V24" i="11"/>
  <c r="M24" i="11"/>
  <c r="K24" i="11"/>
  <c r="G24" i="11"/>
  <c r="AA23" i="11"/>
  <c r="Z23" i="11"/>
  <c r="Z25" i="11" s="1"/>
  <c r="Y23" i="11"/>
  <c r="Y25" i="11" s="1"/>
  <c r="X23" i="11"/>
  <c r="W23" i="11"/>
  <c r="V23" i="11"/>
  <c r="U23" i="11"/>
  <c r="T23" i="11"/>
  <c r="S23" i="11"/>
  <c r="R23" i="11"/>
  <c r="Q23" i="11"/>
  <c r="P23" i="11"/>
  <c r="O23" i="11"/>
  <c r="N23" i="11"/>
  <c r="N25" i="11" s="1"/>
  <c r="M23" i="11"/>
  <c r="L23" i="11"/>
  <c r="K23" i="11"/>
  <c r="J23" i="11"/>
  <c r="I23" i="11"/>
  <c r="H23" i="11"/>
  <c r="G23" i="11"/>
  <c r="F23" i="11"/>
  <c r="E23" i="11"/>
  <c r="E25" i="11" s="1"/>
  <c r="D23" i="11"/>
  <c r="AA22" i="11"/>
  <c r="Z22" i="11"/>
  <c r="Z24" i="11" s="1"/>
  <c r="Y22" i="11"/>
  <c r="Y24" i="11" s="1"/>
  <c r="X22" i="11"/>
  <c r="X24" i="11" s="1"/>
  <c r="W22" i="11"/>
  <c r="V22" i="11"/>
  <c r="U22" i="11"/>
  <c r="U24" i="11" s="1"/>
  <c r="T22" i="11"/>
  <c r="T24" i="1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L22" i="11"/>
  <c r="L24" i="11" s="1"/>
  <c r="K22" i="11"/>
  <c r="J22" i="11"/>
  <c r="J24" i="11" s="1"/>
  <c r="I22" i="11"/>
  <c r="I24" i="11" s="1"/>
  <c r="H22" i="11"/>
  <c r="H24" i="11" s="1"/>
  <c r="G22" i="11"/>
  <c r="F22" i="11"/>
  <c r="F24" i="11" s="1"/>
  <c r="E22" i="11"/>
  <c r="E24" i="11" s="1"/>
  <c r="D22" i="11"/>
  <c r="D24" i="11" s="1"/>
  <c r="AA20" i="11"/>
  <c r="AA21" i="11" s="1"/>
  <c r="A20" i="11"/>
  <c r="Z19" i="11"/>
  <c r="V19" i="11"/>
  <c r="R19" i="11"/>
  <c r="P19" i="11"/>
  <c r="O19" i="11"/>
  <c r="K19" i="11"/>
  <c r="J19" i="11"/>
  <c r="F19" i="11"/>
  <c r="D19" i="11"/>
  <c r="Z18" i="11"/>
  <c r="W18" i="11"/>
  <c r="V18" i="11"/>
  <c r="S18" i="11"/>
  <c r="R18" i="11"/>
  <c r="N18" i="11"/>
  <c r="L18" i="11"/>
  <c r="J18" i="11"/>
  <c r="G18" i="11"/>
  <c r="G20" i="11" s="1"/>
  <c r="G21" i="11" s="1"/>
  <c r="F18" i="11"/>
  <c r="A18" i="11"/>
  <c r="AA17" i="11"/>
  <c r="AA19" i="11" s="1"/>
  <c r="Z17" i="11"/>
  <c r="Y17" i="11"/>
  <c r="X17" i="11"/>
  <c r="W17" i="11"/>
  <c r="W19" i="11" s="1"/>
  <c r="V17" i="11"/>
  <c r="U17" i="11"/>
  <c r="T17" i="11"/>
  <c r="T19" i="11" s="1"/>
  <c r="S17" i="11"/>
  <c r="R17" i="11"/>
  <c r="Q17" i="11"/>
  <c r="P17" i="11"/>
  <c r="O17" i="11"/>
  <c r="N17" i="11"/>
  <c r="M17" i="11"/>
  <c r="L17" i="11"/>
  <c r="L19" i="11" s="1"/>
  <c r="K17" i="11"/>
  <c r="J17" i="11"/>
  <c r="I17" i="11"/>
  <c r="H17" i="11"/>
  <c r="G17" i="11"/>
  <c r="G19" i="11" s="1"/>
  <c r="F17" i="11"/>
  <c r="E17" i="11"/>
  <c r="D17" i="11"/>
  <c r="AA16" i="11"/>
  <c r="AA18" i="11" s="1"/>
  <c r="Z16" i="11"/>
  <c r="Y16" i="11"/>
  <c r="Y18" i="11" s="1"/>
  <c r="X16" i="11"/>
  <c r="X18" i="11" s="1"/>
  <c r="W16" i="11"/>
  <c r="V16" i="11"/>
  <c r="U16" i="11"/>
  <c r="U18" i="11" s="1"/>
  <c r="T16" i="11"/>
  <c r="T18" i="11" s="1"/>
  <c r="S16" i="11"/>
  <c r="R16" i="11"/>
  <c r="Q16" i="11"/>
  <c r="Q18" i="11" s="1"/>
  <c r="P16" i="11"/>
  <c r="P18" i="11" s="1"/>
  <c r="O16" i="11"/>
  <c r="O18" i="11" s="1"/>
  <c r="N16" i="11"/>
  <c r="M16" i="11"/>
  <c r="M18" i="11" s="1"/>
  <c r="L16" i="11"/>
  <c r="K16" i="11"/>
  <c r="K18" i="11" s="1"/>
  <c r="J16" i="11"/>
  <c r="I16" i="11"/>
  <c r="I18" i="11" s="1"/>
  <c r="H16" i="11"/>
  <c r="H18" i="11" s="1"/>
  <c r="G16" i="11"/>
  <c r="F16" i="11"/>
  <c r="E16" i="11"/>
  <c r="E18" i="11" s="1"/>
  <c r="D16" i="11"/>
  <c r="D18" i="11" s="1"/>
  <c r="A16" i="11"/>
  <c r="N14" i="11"/>
  <c r="N15" i="11" s="1"/>
  <c r="X13" i="11"/>
  <c r="V13" i="11"/>
  <c r="N13" i="11"/>
  <c r="I13" i="11"/>
  <c r="H13" i="11"/>
  <c r="F13" i="11"/>
  <c r="Z12" i="11"/>
  <c r="Y12" i="11"/>
  <c r="V12" i="11"/>
  <c r="L12" i="11"/>
  <c r="J12" i="11"/>
  <c r="AA11" i="11"/>
  <c r="Z11" i="11"/>
  <c r="Y11" i="11"/>
  <c r="Y13" i="11" s="1"/>
  <c r="X11" i="11"/>
  <c r="W11" i="11"/>
  <c r="V11" i="11"/>
  <c r="U11" i="11"/>
  <c r="T11" i="11"/>
  <c r="T13" i="11" s="1"/>
  <c r="S11" i="11"/>
  <c r="R11" i="11"/>
  <c r="R13" i="11" s="1"/>
  <c r="Q11" i="11"/>
  <c r="Q13" i="11" s="1"/>
  <c r="P11" i="11"/>
  <c r="O11" i="11"/>
  <c r="N11" i="11"/>
  <c r="M11" i="11"/>
  <c r="M13" i="11" s="1"/>
  <c r="L11" i="11"/>
  <c r="L13" i="11" s="1"/>
  <c r="K11" i="11"/>
  <c r="J11" i="11"/>
  <c r="I11" i="11"/>
  <c r="H11" i="11"/>
  <c r="G11" i="11"/>
  <c r="F11" i="11"/>
  <c r="E11" i="11"/>
  <c r="D11" i="11"/>
  <c r="D13" i="11" s="1"/>
  <c r="AA10" i="11"/>
  <c r="AA12" i="11" s="1"/>
  <c r="Z10" i="11"/>
  <c r="Y10" i="11"/>
  <c r="X10" i="11"/>
  <c r="X12" i="11" s="1"/>
  <c r="W10" i="11"/>
  <c r="W12" i="11" s="1"/>
  <c r="V10" i="11"/>
  <c r="U10" i="11"/>
  <c r="U12" i="11" s="1"/>
  <c r="T10" i="11"/>
  <c r="T12" i="11" s="1"/>
  <c r="S10" i="11"/>
  <c r="S12" i="11" s="1"/>
  <c r="R10" i="11"/>
  <c r="R12" i="11" s="1"/>
  <c r="Q10" i="11"/>
  <c r="Q12" i="11" s="1"/>
  <c r="P10" i="11"/>
  <c r="P12" i="11" s="1"/>
  <c r="O10" i="11"/>
  <c r="O12" i="11" s="1"/>
  <c r="N10" i="11"/>
  <c r="N12" i="11" s="1"/>
  <c r="M10" i="11"/>
  <c r="M12" i="11" s="1"/>
  <c r="L10" i="11"/>
  <c r="K10" i="11"/>
  <c r="K12" i="11" s="1"/>
  <c r="J10" i="11"/>
  <c r="I10" i="11"/>
  <c r="I12" i="11" s="1"/>
  <c r="H10" i="11"/>
  <c r="H12" i="11" s="1"/>
  <c r="G10" i="11"/>
  <c r="G12" i="11" s="1"/>
  <c r="F10" i="11"/>
  <c r="F12" i="11" s="1"/>
  <c r="E10" i="11"/>
  <c r="E12" i="11" s="1"/>
  <c r="D10" i="11"/>
  <c r="D12" i="11" s="1"/>
  <c r="Q8" i="11"/>
  <c r="Q9" i="11" s="1"/>
  <c r="I8" i="11"/>
  <c r="I9" i="11" s="1"/>
  <c r="Y7" i="11"/>
  <c r="Y8" i="11" s="1"/>
  <c r="Y9" i="11" s="1"/>
  <c r="R7" i="11"/>
  <c r="Q7" i="11"/>
  <c r="M7" i="11"/>
  <c r="I7" i="11"/>
  <c r="F7" i="11"/>
  <c r="AA6" i="11"/>
  <c r="AA7" i="11" s="1"/>
  <c r="Z6" i="11"/>
  <c r="Y6" i="11"/>
  <c r="X6" i="11"/>
  <c r="W6" i="11"/>
  <c r="W7" i="11" s="1"/>
  <c r="W38" i="11" s="1"/>
  <c r="W39" i="11" s="1"/>
  <c r="V6" i="11"/>
  <c r="V7" i="11" s="1"/>
  <c r="V8" i="11" s="1"/>
  <c r="V9" i="11" s="1"/>
  <c r="U6" i="11"/>
  <c r="U7" i="11" s="1"/>
  <c r="T6" i="11"/>
  <c r="T7" i="11" s="1"/>
  <c r="S6" i="11"/>
  <c r="S7" i="11" s="1"/>
  <c r="R6" i="11"/>
  <c r="Q6" i="11"/>
  <c r="P6" i="11"/>
  <c r="O6" i="11"/>
  <c r="O7" i="11" s="1"/>
  <c r="N6" i="11"/>
  <c r="N7" i="11" s="1"/>
  <c r="M6" i="11"/>
  <c r="L6" i="11"/>
  <c r="L7" i="11" s="1"/>
  <c r="K6" i="11"/>
  <c r="K7" i="11" s="1"/>
  <c r="J6" i="11"/>
  <c r="I6" i="11"/>
  <c r="H6" i="11"/>
  <c r="G6" i="11"/>
  <c r="G7" i="11" s="1"/>
  <c r="F6" i="11"/>
  <c r="E6" i="11"/>
  <c r="E7" i="11" s="1"/>
  <c r="D6" i="11"/>
  <c r="D7" i="11" s="1"/>
  <c r="D8" i="11" s="1"/>
  <c r="D9" i="11" s="1"/>
  <c r="AA5" i="11"/>
  <c r="Z5" i="11"/>
  <c r="Y5" i="11"/>
  <c r="Y26" i="11" s="1"/>
  <c r="Y27" i="11" s="1"/>
  <c r="X5" i="11"/>
  <c r="W5" i="11"/>
  <c r="V5" i="11"/>
  <c r="U5" i="11"/>
  <c r="T5" i="11"/>
  <c r="T38" i="11" s="1"/>
  <c r="T39" i="11" s="1"/>
  <c r="S5" i="11"/>
  <c r="R5" i="11"/>
  <c r="Q5" i="11"/>
  <c r="P5" i="11"/>
  <c r="O5" i="11"/>
  <c r="N5" i="11"/>
  <c r="M5" i="11"/>
  <c r="L5" i="11"/>
  <c r="K5" i="11"/>
  <c r="J5" i="11"/>
  <c r="I5" i="11"/>
  <c r="I32" i="11" s="1"/>
  <c r="I33" i="11" s="1"/>
  <c r="H5" i="11"/>
  <c r="G5" i="11"/>
  <c r="F5" i="11"/>
  <c r="E5" i="11"/>
  <c r="D5" i="11"/>
  <c r="AA4" i="11"/>
  <c r="AA8" i="11" s="1"/>
  <c r="AA9" i="11" s="1"/>
  <c r="Z4" i="11"/>
  <c r="Y4" i="11"/>
  <c r="X4" i="11"/>
  <c r="W4" i="11"/>
  <c r="W8" i="11" s="1"/>
  <c r="W9" i="11" s="1"/>
  <c r="V4" i="11"/>
  <c r="U4" i="11"/>
  <c r="T4" i="11"/>
  <c r="S4" i="11"/>
  <c r="S8" i="11" s="1"/>
  <c r="S9" i="11" s="1"/>
  <c r="R4" i="11"/>
  <c r="Q4" i="11"/>
  <c r="P4" i="11"/>
  <c r="O4" i="11"/>
  <c r="O8" i="11" s="1"/>
  <c r="O9" i="11" s="1"/>
  <c r="N4" i="11"/>
  <c r="N8" i="11" s="1"/>
  <c r="N9" i="11" s="1"/>
  <c r="M4" i="11"/>
  <c r="M8" i="11" s="1"/>
  <c r="M9" i="11" s="1"/>
  <c r="L4" i="11"/>
  <c r="K4" i="11"/>
  <c r="K8" i="11" s="1"/>
  <c r="K9" i="11" s="1"/>
  <c r="J4" i="11"/>
  <c r="I4" i="11"/>
  <c r="H4" i="11"/>
  <c r="G4" i="11"/>
  <c r="G8" i="11" s="1"/>
  <c r="G9" i="11" s="1"/>
  <c r="F4" i="11"/>
  <c r="E4" i="11"/>
  <c r="D4" i="11"/>
  <c r="B30" i="10"/>
  <c r="B29" i="10"/>
  <c r="B28" i="10"/>
  <c r="B26" i="10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B10" i="9"/>
  <c r="B11" i="9" s="1"/>
  <c r="B9" i="9"/>
  <c r="AP8" i="9"/>
  <c r="AF8" i="9"/>
  <c r="U8" i="9"/>
  <c r="J8" i="9"/>
  <c r="B8" i="9"/>
  <c r="AL8" i="9" s="1"/>
  <c r="AL9" i="9" s="1"/>
  <c r="AQ7" i="9"/>
  <c r="AK7" i="9"/>
  <c r="AC7" i="9"/>
  <c r="V7" i="9"/>
  <c r="O7" i="9"/>
  <c r="G7" i="9"/>
  <c r="B7" i="9"/>
  <c r="AL7" i="9" s="1"/>
  <c r="B6" i="9"/>
  <c r="B5" i="9"/>
  <c r="AP7" i="9" s="1"/>
  <c r="B4" i="9"/>
  <c r="AM7" i="9" s="1"/>
  <c r="B18" i="7"/>
  <c r="B17" i="7"/>
  <c r="B16" i="7"/>
  <c r="B14" i="7"/>
  <c r="AC39" i="6"/>
  <c r="H39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N33" i="6"/>
  <c r="S33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C27" i="6"/>
  <c r="H27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J21" i="6"/>
  <c r="W21" i="6"/>
  <c r="T20" i="6"/>
  <c r="E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S15" i="6"/>
  <c r="H15" i="6"/>
  <c r="P14" i="6"/>
  <c r="E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10" i="6"/>
  <c r="B11" i="6" s="1"/>
  <c r="B9" i="6"/>
  <c r="AQ8" i="6"/>
  <c r="U8" i="6"/>
  <c r="O8" i="6"/>
  <c r="B8" i="6"/>
  <c r="AJ8" i="6" s="1"/>
  <c r="B7" i="6"/>
  <c r="AO6" i="6"/>
  <c r="S6" i="6"/>
  <c r="M6" i="6"/>
  <c r="B6" i="6"/>
  <c r="E38" i="6" s="1"/>
  <c r="B5" i="6"/>
  <c r="B4" i="6"/>
  <c r="B3" i="6"/>
  <c r="AA38" i="6" s="1"/>
  <c r="E11" i="5"/>
  <c r="C11" i="5"/>
  <c r="E10" i="5"/>
  <c r="C10" i="5"/>
  <c r="E9" i="5"/>
  <c r="C9" i="5"/>
  <c r="F9" i="5" s="1"/>
  <c r="E8" i="5"/>
  <c r="C8" i="5"/>
  <c r="E7" i="5"/>
  <c r="C7" i="5"/>
  <c r="D7" i="5" s="1"/>
  <c r="F3" i="5"/>
  <c r="F2" i="5"/>
  <c r="J77" i="4"/>
  <c r="J78" i="4" s="1"/>
  <c r="I77" i="4"/>
  <c r="I78" i="4" s="1"/>
  <c r="K76" i="4"/>
  <c r="K79" i="4" s="1"/>
  <c r="G76" i="4"/>
  <c r="G79" i="4" s="1"/>
  <c r="E76" i="4"/>
  <c r="E79" i="4" s="1"/>
  <c r="C72" i="4"/>
  <c r="F77" i="4" s="1"/>
  <c r="F78" i="4" s="1"/>
  <c r="C68" i="4"/>
  <c r="P48" i="4"/>
  <c r="O48" i="4"/>
  <c r="N48" i="4"/>
  <c r="M48" i="4"/>
  <c r="L48" i="4"/>
  <c r="K48" i="4"/>
  <c r="J48" i="4"/>
  <c r="I48" i="4"/>
  <c r="P47" i="4"/>
  <c r="O47" i="4"/>
  <c r="N47" i="4"/>
  <c r="M47" i="4"/>
  <c r="L47" i="4"/>
  <c r="K47" i="4"/>
  <c r="J47" i="4"/>
  <c r="I47" i="4"/>
  <c r="P46" i="4"/>
  <c r="O46" i="4"/>
  <c r="N46" i="4"/>
  <c r="M46" i="4"/>
  <c r="L46" i="4"/>
  <c r="K46" i="4"/>
  <c r="J46" i="4"/>
  <c r="I46" i="4"/>
  <c r="P45" i="4"/>
  <c r="O45" i="4"/>
  <c r="N45" i="4"/>
  <c r="M45" i="4"/>
  <c r="L45" i="4"/>
  <c r="K45" i="4"/>
  <c r="J45" i="4"/>
  <c r="I45" i="4"/>
  <c r="P44" i="4"/>
  <c r="O44" i="4"/>
  <c r="N44" i="4"/>
  <c r="M44" i="4"/>
  <c r="L44" i="4"/>
  <c r="K44" i="4"/>
  <c r="J44" i="4"/>
  <c r="I44" i="4"/>
  <c r="N39" i="4"/>
  <c r="M39" i="4"/>
  <c r="L39" i="4"/>
  <c r="K39" i="4"/>
  <c r="J39" i="4"/>
  <c r="I39" i="4"/>
  <c r="H39" i="4"/>
  <c r="N38" i="4"/>
  <c r="M38" i="4"/>
  <c r="L38" i="4"/>
  <c r="K38" i="4"/>
  <c r="J38" i="4"/>
  <c r="I38" i="4"/>
  <c r="H38" i="4"/>
  <c r="N37" i="4"/>
  <c r="M37" i="4"/>
  <c r="L37" i="4"/>
  <c r="K37" i="4"/>
  <c r="J37" i="4"/>
  <c r="I37" i="4"/>
  <c r="H37" i="4"/>
  <c r="E21" i="4"/>
  <c r="F20" i="4" s="1"/>
  <c r="F18" i="4"/>
  <c r="F17" i="4"/>
  <c r="F16" i="4"/>
  <c r="G37" i="3"/>
  <c r="E37" i="3"/>
  <c r="F37" i="3" s="1"/>
  <c r="G36" i="3"/>
  <c r="E36" i="3"/>
  <c r="F36" i="3" s="1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G23" i="3"/>
  <c r="E23" i="3"/>
  <c r="F23" i="3" s="1"/>
  <c r="G22" i="3"/>
  <c r="E22" i="3"/>
  <c r="F22" i="3" s="1"/>
  <c r="G21" i="3"/>
  <c r="E21" i="3"/>
  <c r="F21" i="3" s="1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C3" i="3"/>
  <c r="H19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F16" i="2"/>
  <c r="E16" i="2"/>
  <c r="E15" i="2"/>
  <c r="I14" i="2"/>
  <c r="E14" i="2"/>
  <c r="E13" i="2"/>
  <c r="F12" i="2"/>
  <c r="E12" i="2"/>
  <c r="E11" i="2"/>
  <c r="I10" i="2"/>
  <c r="E10" i="2"/>
  <c r="J9" i="2"/>
  <c r="H9" i="2"/>
  <c r="E9" i="2"/>
  <c r="E8" i="2"/>
  <c r="J8" i="2" s="1"/>
  <c r="G7" i="2"/>
  <c r="E7" i="2"/>
  <c r="I6" i="2"/>
  <c r="H6" i="2"/>
  <c r="E6" i="2"/>
  <c r="H5" i="2"/>
  <c r="E5" i="2"/>
  <c r="E4" i="2"/>
  <c r="G3" i="2"/>
  <c r="F3" i="2"/>
  <c r="E3" i="2"/>
  <c r="C3" i="2"/>
  <c r="J17" i="2" s="1"/>
  <c r="C6" i="1"/>
  <c r="B3" i="9" s="1"/>
  <c r="J9" i="9" l="1"/>
  <c r="AP9" i="9"/>
  <c r="J2" i="18"/>
  <c r="J4" i="18" s="1"/>
  <c r="I2" i="18"/>
  <c r="I3" i="18" s="1"/>
  <c r="AJ7" i="6"/>
  <c r="J7" i="9"/>
  <c r="Q7" i="9"/>
  <c r="W7" i="9"/>
  <c r="AE7" i="9"/>
  <c r="L8" i="9"/>
  <c r="V8" i="9"/>
  <c r="V9" i="9" s="1"/>
  <c r="V34" i="9" s="1"/>
  <c r="V35" i="9" s="1"/>
  <c r="AG8" i="9"/>
  <c r="J4" i="2"/>
  <c r="J5" i="2"/>
  <c r="F8" i="2"/>
  <c r="F11" i="2"/>
  <c r="F11" i="5"/>
  <c r="M2" i="7" s="1"/>
  <c r="M3" i="7" s="1"/>
  <c r="AA6" i="6"/>
  <c r="AC8" i="6"/>
  <c r="AA14" i="6"/>
  <c r="AC15" i="6"/>
  <c r="AG20" i="6"/>
  <c r="P26" i="6"/>
  <c r="P32" i="6"/>
  <c r="E7" i="9"/>
  <c r="K7" i="9"/>
  <c r="R7" i="9"/>
  <c r="R40" i="9" s="1"/>
  <c r="R41" i="9" s="1"/>
  <c r="Z7" i="9"/>
  <c r="AG7" i="9"/>
  <c r="E8" i="9"/>
  <c r="P8" i="9"/>
  <c r="Z8" i="9"/>
  <c r="Z9" i="9" s="1"/>
  <c r="AK8" i="9"/>
  <c r="F4" i="2"/>
  <c r="F7" i="2"/>
  <c r="H10" i="2"/>
  <c r="G11" i="2"/>
  <c r="J13" i="2"/>
  <c r="G15" i="2"/>
  <c r="E77" i="4"/>
  <c r="E78" i="4" s="1"/>
  <c r="F10" i="5"/>
  <c r="L2" i="10" s="1"/>
  <c r="G6" i="6"/>
  <c r="AH6" i="6"/>
  <c r="H8" i="6"/>
  <c r="AK14" i="6"/>
  <c r="AN15" i="6"/>
  <c r="H21" i="6"/>
  <c r="AE26" i="6"/>
  <c r="AK32" i="6"/>
  <c r="B19" i="7"/>
  <c r="F7" i="9"/>
  <c r="F9" i="9" s="1"/>
  <c r="F34" i="9" s="1"/>
  <c r="F35" i="9" s="1"/>
  <c r="M7" i="9"/>
  <c r="U7" i="9"/>
  <c r="U9" i="9" s="1"/>
  <c r="AA7" i="9"/>
  <c r="AH7" i="9"/>
  <c r="F8" i="9"/>
  <c r="Q8" i="9"/>
  <c r="AB8" i="9"/>
  <c r="N2" i="10"/>
  <c r="N2" i="7"/>
  <c r="N4" i="7" s="1"/>
  <c r="AJ9" i="6"/>
  <c r="AP38" i="9"/>
  <c r="AL38" i="9"/>
  <c r="AL40" i="9" s="1"/>
  <c r="AL41" i="9" s="1"/>
  <c r="AH38" i="9"/>
  <c r="AD38" i="9"/>
  <c r="Z38" i="9"/>
  <c r="V38" i="9"/>
  <c r="R38" i="9"/>
  <c r="N38" i="9"/>
  <c r="J38" i="9"/>
  <c r="F38" i="9"/>
  <c r="AP32" i="9"/>
  <c r="AL32" i="9"/>
  <c r="AH32" i="9"/>
  <c r="AD32" i="9"/>
  <c r="Z32" i="9"/>
  <c r="V32" i="9"/>
  <c r="R32" i="9"/>
  <c r="N32" i="9"/>
  <c r="J32" i="9"/>
  <c r="F32" i="9"/>
  <c r="AP26" i="9"/>
  <c r="AL26" i="9"/>
  <c r="AL28" i="9" s="1"/>
  <c r="AL29" i="9" s="1"/>
  <c r="AH26" i="9"/>
  <c r="AD26" i="9"/>
  <c r="Z26" i="9"/>
  <c r="V26" i="9"/>
  <c r="R26" i="9"/>
  <c r="N26" i="9"/>
  <c r="J26" i="9"/>
  <c r="F26" i="9"/>
  <c r="AP20" i="9"/>
  <c r="AL20" i="9"/>
  <c r="AH20" i="9"/>
  <c r="AD20" i="9"/>
  <c r="Z20" i="9"/>
  <c r="V20" i="9"/>
  <c r="R20" i="9"/>
  <c r="N20" i="9"/>
  <c r="J20" i="9"/>
  <c r="F20" i="9"/>
  <c r="AP14" i="9"/>
  <c r="AL14" i="9"/>
  <c r="AL16" i="9" s="1"/>
  <c r="AL17" i="9" s="1"/>
  <c r="AH14" i="9"/>
  <c r="AD14" i="9"/>
  <c r="Z14" i="9"/>
  <c r="V14" i="9"/>
  <c r="R14" i="9"/>
  <c r="N14" i="9"/>
  <c r="J14" i="9"/>
  <c r="F14" i="9"/>
  <c r="AO38" i="9"/>
  <c r="AK38" i="9"/>
  <c r="AG38" i="9"/>
  <c r="AC38" i="9"/>
  <c r="AC40" i="9" s="1"/>
  <c r="AC41" i="9" s="1"/>
  <c r="Y38" i="9"/>
  <c r="U38" i="9"/>
  <c r="Q38" i="9"/>
  <c r="M38" i="9"/>
  <c r="M40" i="9" s="1"/>
  <c r="M41" i="9" s="1"/>
  <c r="I38" i="9"/>
  <c r="E38" i="9"/>
  <c r="AQ38" i="9"/>
  <c r="AI38" i="9"/>
  <c r="AA38" i="9"/>
  <c r="S38" i="9"/>
  <c r="K38" i="9"/>
  <c r="AN38" i="9"/>
  <c r="AF38" i="9"/>
  <c r="X38" i="9"/>
  <c r="P38" i="9"/>
  <c r="H38" i="9"/>
  <c r="AM32" i="9"/>
  <c r="AG32" i="9"/>
  <c r="AB32" i="9"/>
  <c r="W32" i="9"/>
  <c r="Q32" i="9"/>
  <c r="L32" i="9"/>
  <c r="G32" i="9"/>
  <c r="AM26" i="9"/>
  <c r="AG26" i="9"/>
  <c r="AB26" i="9"/>
  <c r="W26" i="9"/>
  <c r="Q26" i="9"/>
  <c r="L26" i="9"/>
  <c r="G26" i="9"/>
  <c r="AM20" i="9"/>
  <c r="AG20" i="9"/>
  <c r="AB20" i="9"/>
  <c r="W20" i="9"/>
  <c r="Q20" i="9"/>
  <c r="L20" i="9"/>
  <c r="G20" i="9"/>
  <c r="AM14" i="9"/>
  <c r="AG14" i="9"/>
  <c r="AB14" i="9"/>
  <c r="W14" i="9"/>
  <c r="Q14" i="9"/>
  <c r="L14" i="9"/>
  <c r="G14" i="9"/>
  <c r="AO6" i="9"/>
  <c r="AK6" i="9"/>
  <c r="AG6" i="9"/>
  <c r="AC6" i="9"/>
  <c r="AC10" i="9" s="1"/>
  <c r="AC11" i="9" s="1"/>
  <c r="Y6" i="9"/>
  <c r="U6" i="9"/>
  <c r="Q6" i="9"/>
  <c r="M6" i="9"/>
  <c r="M10" i="9" s="1"/>
  <c r="M11" i="9" s="1"/>
  <c r="I6" i="9"/>
  <c r="E6" i="9"/>
  <c r="AM38" i="9"/>
  <c r="AE38" i="9"/>
  <c r="W38" i="9"/>
  <c r="O38" i="9"/>
  <c r="G38" i="9"/>
  <c r="AQ32" i="9"/>
  <c r="AK32" i="9"/>
  <c r="AF32" i="9"/>
  <c r="AA32" i="9"/>
  <c r="U32" i="9"/>
  <c r="P32" i="9"/>
  <c r="K32" i="9"/>
  <c r="E32" i="9"/>
  <c r="AQ26" i="9"/>
  <c r="AK26" i="9"/>
  <c r="AF26" i="9"/>
  <c r="AA26" i="9"/>
  <c r="U26" i="9"/>
  <c r="P26" i="9"/>
  <c r="K26" i="9"/>
  <c r="E26" i="9"/>
  <c r="L38" i="9"/>
  <c r="AJ32" i="9"/>
  <c r="Y32" i="9"/>
  <c r="O32" i="9"/>
  <c r="D32" i="9"/>
  <c r="AJ26" i="9"/>
  <c r="Y26" i="9"/>
  <c r="O26" i="9"/>
  <c r="D26" i="9"/>
  <c r="AQ20" i="9"/>
  <c r="AJ20" i="9"/>
  <c r="AC20" i="9"/>
  <c r="U20" i="9"/>
  <c r="O20" i="9"/>
  <c r="H20" i="9"/>
  <c r="AN14" i="9"/>
  <c r="AF14" i="9"/>
  <c r="Y14" i="9"/>
  <c r="S14" i="9"/>
  <c r="K14" i="9"/>
  <c r="D14" i="9"/>
  <c r="AM6" i="9"/>
  <c r="AH6" i="9"/>
  <c r="AB6" i="9"/>
  <c r="W6" i="9"/>
  <c r="R6" i="9"/>
  <c r="L6" i="9"/>
  <c r="G6" i="9"/>
  <c r="AJ38" i="9"/>
  <c r="D38" i="9"/>
  <c r="AI32" i="9"/>
  <c r="X32" i="9"/>
  <c r="M32" i="9"/>
  <c r="AI26" i="9"/>
  <c r="X26" i="9"/>
  <c r="M26" i="9"/>
  <c r="AO20" i="9"/>
  <c r="AI20" i="9"/>
  <c r="AA20" i="9"/>
  <c r="T20" i="9"/>
  <c r="M20" i="9"/>
  <c r="E20" i="9"/>
  <c r="AK14" i="9"/>
  <c r="AE14" i="9"/>
  <c r="X14" i="9"/>
  <c r="P14" i="9"/>
  <c r="I14" i="9"/>
  <c r="AQ6" i="9"/>
  <c r="AL6" i="9"/>
  <c r="AL10" i="9" s="1"/>
  <c r="AL11" i="9" s="1"/>
  <c r="AF6" i="9"/>
  <c r="AA6" i="9"/>
  <c r="V6" i="9"/>
  <c r="P6" i="9"/>
  <c r="K6" i="9"/>
  <c r="F6" i="9"/>
  <c r="T39" i="9"/>
  <c r="W33" i="9"/>
  <c r="AO32" i="9"/>
  <c r="T32" i="9"/>
  <c r="AG27" i="9"/>
  <c r="L27" i="9"/>
  <c r="AE26" i="9"/>
  <c r="I26" i="9"/>
  <c r="AQ21" i="9"/>
  <c r="AB21" i="9"/>
  <c r="M21" i="9"/>
  <c r="AN20" i="9"/>
  <c r="Y20" i="9"/>
  <c r="K20" i="9"/>
  <c r="AF15" i="9"/>
  <c r="Q15" i="9"/>
  <c r="AQ14" i="9"/>
  <c r="AC14" i="9"/>
  <c r="AC16" i="9" s="1"/>
  <c r="AC17" i="9" s="1"/>
  <c r="O14" i="9"/>
  <c r="AJ6" i="9"/>
  <c r="Z6" i="9"/>
  <c r="O6" i="9"/>
  <c r="D6" i="9"/>
  <c r="L39" i="9"/>
  <c r="AQ33" i="9"/>
  <c r="U33" i="9"/>
  <c r="AN32" i="9"/>
  <c r="S32" i="9"/>
  <c r="AF27" i="9"/>
  <c r="K27" i="9"/>
  <c r="AC26" i="9"/>
  <c r="H26" i="9"/>
  <c r="AN21" i="9"/>
  <c r="AA21" i="9"/>
  <c r="L21" i="9"/>
  <c r="AK20" i="9"/>
  <c r="X20" i="9"/>
  <c r="I20" i="9"/>
  <c r="AC15" i="9"/>
  <c r="P15" i="9"/>
  <c r="AO14" i="9"/>
  <c r="AA14" i="9"/>
  <c r="M14" i="9"/>
  <c r="AI6" i="9"/>
  <c r="X6" i="9"/>
  <c r="N6" i="9"/>
  <c r="AB38" i="9"/>
  <c r="AG33" i="9"/>
  <c r="L33" i="9"/>
  <c r="AE32" i="9"/>
  <c r="I32" i="9"/>
  <c r="W27" i="9"/>
  <c r="AO26" i="9"/>
  <c r="T26" i="9"/>
  <c r="AI21" i="9"/>
  <c r="U21" i="9"/>
  <c r="G21" i="9"/>
  <c r="AF20" i="9"/>
  <c r="S20" i="9"/>
  <c r="D20" i="9"/>
  <c r="AM15" i="9"/>
  <c r="X15" i="9"/>
  <c r="K15" i="9"/>
  <c r="AJ14" i="9"/>
  <c r="U14" i="9"/>
  <c r="H14" i="9"/>
  <c r="AC32" i="9"/>
  <c r="S26" i="9"/>
  <c r="S21" i="9"/>
  <c r="H15" i="9"/>
  <c r="H32" i="9"/>
  <c r="AQ27" i="9"/>
  <c r="E21" i="9"/>
  <c r="AI14" i="9"/>
  <c r="AN6" i="9"/>
  <c r="S6" i="9"/>
  <c r="AF33" i="9"/>
  <c r="U27" i="9"/>
  <c r="AE20" i="9"/>
  <c r="AK15" i="9"/>
  <c r="T14" i="9"/>
  <c r="AE6" i="9"/>
  <c r="J6" i="9"/>
  <c r="J10" i="9" s="1"/>
  <c r="J11" i="9" s="1"/>
  <c r="K2" i="10"/>
  <c r="K3" i="10" s="1"/>
  <c r="K2" i="7"/>
  <c r="K3" i="7" s="1"/>
  <c r="W15" i="9"/>
  <c r="I17" i="2"/>
  <c r="G16" i="2"/>
  <c r="I15" i="2"/>
  <c r="G14" i="2"/>
  <c r="I13" i="2"/>
  <c r="G12" i="2"/>
  <c r="I11" i="2"/>
  <c r="G10" i="2"/>
  <c r="I9" i="2"/>
  <c r="G8" i="2"/>
  <c r="I7" i="2"/>
  <c r="G6" i="2"/>
  <c r="I5" i="2"/>
  <c r="G4" i="2"/>
  <c r="I3" i="2"/>
  <c r="F5" i="2"/>
  <c r="J6" i="2"/>
  <c r="H8" i="2"/>
  <c r="F9" i="2"/>
  <c r="H11" i="2"/>
  <c r="F13" i="2"/>
  <c r="J14" i="2"/>
  <c r="C19" i="2"/>
  <c r="H3" i="3"/>
  <c r="H5" i="3"/>
  <c r="H8" i="3"/>
  <c r="H11" i="3"/>
  <c r="J2" i="10"/>
  <c r="I2" i="10"/>
  <c r="I3" i="10" s="1"/>
  <c r="J2" i="7"/>
  <c r="J4" i="7" s="1"/>
  <c r="I2" i="7"/>
  <c r="I3" i="7" s="1"/>
  <c r="D10" i="5"/>
  <c r="AO38" i="6"/>
  <c r="AJ38" i="6"/>
  <c r="AE38" i="6"/>
  <c r="Y38" i="6"/>
  <c r="T38" i="6"/>
  <c r="O38" i="6"/>
  <c r="I38" i="6"/>
  <c r="D38" i="6"/>
  <c r="AO32" i="6"/>
  <c r="AJ32" i="6"/>
  <c r="AE32" i="6"/>
  <c r="Y32" i="6"/>
  <c r="T32" i="6"/>
  <c r="O32" i="6"/>
  <c r="I32" i="6"/>
  <c r="D32" i="6"/>
  <c r="AO26" i="6"/>
  <c r="AN38" i="6"/>
  <c r="AI38" i="6"/>
  <c r="AC38" i="6"/>
  <c r="X38" i="6"/>
  <c r="S38" i="6"/>
  <c r="M38" i="6"/>
  <c r="H38" i="6"/>
  <c r="AN32" i="6"/>
  <c r="AI32" i="6"/>
  <c r="AC32" i="6"/>
  <c r="X32" i="6"/>
  <c r="S32" i="6"/>
  <c r="M32" i="6"/>
  <c r="H32" i="6"/>
  <c r="AN26" i="6"/>
  <c r="AI26" i="6"/>
  <c r="AC26" i="6"/>
  <c r="X26" i="6"/>
  <c r="S26" i="6"/>
  <c r="M26" i="6"/>
  <c r="H26" i="6"/>
  <c r="AN20" i="6"/>
  <c r="AI20" i="6"/>
  <c r="AC20" i="6"/>
  <c r="X20" i="6"/>
  <c r="S20" i="6"/>
  <c r="M20" i="6"/>
  <c r="H20" i="6"/>
  <c r="AG38" i="6"/>
  <c r="W38" i="6"/>
  <c r="L38" i="6"/>
  <c r="AG32" i="6"/>
  <c r="W32" i="6"/>
  <c r="L32" i="6"/>
  <c r="AJ26" i="6"/>
  <c r="AB26" i="6"/>
  <c r="U26" i="6"/>
  <c r="O26" i="6"/>
  <c r="G26" i="6"/>
  <c r="AM20" i="6"/>
  <c r="AF20" i="6"/>
  <c r="Y20" i="6"/>
  <c r="Q20" i="6"/>
  <c r="K20" i="6"/>
  <c r="D20" i="6"/>
  <c r="AM15" i="6"/>
  <c r="AG15" i="6"/>
  <c r="AB15" i="6"/>
  <c r="W15" i="6"/>
  <c r="Q15" i="6"/>
  <c r="L15" i="6"/>
  <c r="G15" i="6"/>
  <c r="AO14" i="6"/>
  <c r="AJ14" i="6"/>
  <c r="AE14" i="6"/>
  <c r="Y14" i="6"/>
  <c r="T14" i="6"/>
  <c r="O14" i="6"/>
  <c r="I14" i="6"/>
  <c r="D14" i="6"/>
  <c r="AQ38" i="6"/>
  <c r="AF38" i="6"/>
  <c r="U38" i="6"/>
  <c r="K38" i="6"/>
  <c r="AQ32" i="6"/>
  <c r="AF32" i="6"/>
  <c r="U32" i="6"/>
  <c r="K32" i="6"/>
  <c r="AQ26" i="6"/>
  <c r="AG26" i="6"/>
  <c r="AA26" i="6"/>
  <c r="T26" i="6"/>
  <c r="L26" i="6"/>
  <c r="E26" i="6"/>
  <c r="AK20" i="6"/>
  <c r="AE20" i="6"/>
  <c r="W20" i="6"/>
  <c r="P20" i="6"/>
  <c r="I20" i="6"/>
  <c r="AN14" i="6"/>
  <c r="AI14" i="6"/>
  <c r="AC14" i="6"/>
  <c r="X14" i="6"/>
  <c r="S14" i="6"/>
  <c r="M14" i="6"/>
  <c r="H14" i="6"/>
  <c r="AP6" i="6"/>
  <c r="AK6" i="6"/>
  <c r="AE6" i="6"/>
  <c r="Z6" i="6"/>
  <c r="U6" i="6"/>
  <c r="O6" i="6"/>
  <c r="I6" i="6"/>
  <c r="N6" i="6"/>
  <c r="V6" i="6"/>
  <c r="AC6" i="6"/>
  <c r="AI6" i="6"/>
  <c r="AQ6" i="6"/>
  <c r="H7" i="6"/>
  <c r="N7" i="6"/>
  <c r="V7" i="6"/>
  <c r="AC7" i="6"/>
  <c r="AP8" i="6"/>
  <c r="AP9" i="6" s="1"/>
  <c r="AL8" i="6"/>
  <c r="AH8" i="6"/>
  <c r="AD8" i="6"/>
  <c r="Z8" i="6"/>
  <c r="V8" i="6"/>
  <c r="R8" i="6"/>
  <c r="N8" i="6"/>
  <c r="N9" i="6" s="1"/>
  <c r="J8" i="6"/>
  <c r="J9" i="6" s="1"/>
  <c r="F8" i="6"/>
  <c r="AM8" i="6"/>
  <c r="AG8" i="6"/>
  <c r="AB8" i="6"/>
  <c r="AB9" i="6" s="1"/>
  <c r="W8" i="6"/>
  <c r="Q8" i="6"/>
  <c r="L8" i="6"/>
  <c r="G8" i="6"/>
  <c r="I8" i="6"/>
  <c r="P8" i="6"/>
  <c r="X8" i="6"/>
  <c r="AE8" i="6"/>
  <c r="AK8" i="6"/>
  <c r="G14" i="6"/>
  <c r="Q14" i="6"/>
  <c r="AB14" i="6"/>
  <c r="AM14" i="6"/>
  <c r="I15" i="6"/>
  <c r="T15" i="6"/>
  <c r="AE15" i="6"/>
  <c r="AO15" i="6"/>
  <c r="G20" i="6"/>
  <c r="U20" i="6"/>
  <c r="AJ20" i="6"/>
  <c r="I21" i="6"/>
  <c r="X21" i="6"/>
  <c r="AM21" i="6"/>
  <c r="D26" i="6"/>
  <c r="Q26" i="6"/>
  <c r="AF26" i="6"/>
  <c r="I27" i="6"/>
  <c r="AE27" i="6"/>
  <c r="Q32" i="6"/>
  <c r="AM32" i="6"/>
  <c r="T33" i="6"/>
  <c r="AO33" i="6"/>
  <c r="G38" i="6"/>
  <c r="AB38" i="6"/>
  <c r="I39" i="6"/>
  <c r="AE39" i="6"/>
  <c r="AD6" i="9"/>
  <c r="AN26" i="9"/>
  <c r="AQ7" i="6"/>
  <c r="AQ9" i="6" s="1"/>
  <c r="AM7" i="6"/>
  <c r="AI7" i="6"/>
  <c r="AE7" i="6"/>
  <c r="AA7" i="6"/>
  <c r="W7" i="6"/>
  <c r="S7" i="6"/>
  <c r="O7" i="6"/>
  <c r="O9" i="6" s="1"/>
  <c r="K7" i="6"/>
  <c r="G7" i="6"/>
  <c r="AP7" i="6"/>
  <c r="AK7" i="6"/>
  <c r="AF7" i="6"/>
  <c r="Z7" i="6"/>
  <c r="U7" i="6"/>
  <c r="U9" i="6" s="1"/>
  <c r="P7" i="6"/>
  <c r="J7" i="6"/>
  <c r="E7" i="6"/>
  <c r="F7" i="6"/>
  <c r="T7" i="6"/>
  <c r="AB7" i="6"/>
  <c r="AH7" i="6"/>
  <c r="AO7" i="6"/>
  <c r="T6" i="9"/>
  <c r="T38" i="9"/>
  <c r="E19" i="13"/>
  <c r="E21" i="13" s="1"/>
  <c r="D21" i="13"/>
  <c r="H3" i="2"/>
  <c r="H4" i="2"/>
  <c r="H7" i="2"/>
  <c r="J10" i="2"/>
  <c r="H12" i="2"/>
  <c r="H15" i="2"/>
  <c r="H16" i="2"/>
  <c r="F17" i="2"/>
  <c r="H4" i="3"/>
  <c r="H6" i="3"/>
  <c r="H7" i="3"/>
  <c r="H9" i="3"/>
  <c r="H10" i="3"/>
  <c r="H12" i="3"/>
  <c r="H13" i="3"/>
  <c r="H14" i="3"/>
  <c r="H15" i="3"/>
  <c r="H16" i="3"/>
  <c r="H17" i="3"/>
  <c r="H18" i="3"/>
  <c r="J3" i="2"/>
  <c r="I4" i="2"/>
  <c r="G5" i="2"/>
  <c r="F6" i="2"/>
  <c r="J7" i="2"/>
  <c r="I8" i="2"/>
  <c r="G9" i="2"/>
  <c r="F10" i="2"/>
  <c r="J11" i="2"/>
  <c r="I12" i="2"/>
  <c r="G13" i="2"/>
  <c r="F14" i="2"/>
  <c r="J15" i="2"/>
  <c r="I16" i="2"/>
  <c r="G17" i="2"/>
  <c r="C21" i="3"/>
  <c r="F14" i="4"/>
  <c r="H76" i="4"/>
  <c r="H79" i="4" s="1"/>
  <c r="F8" i="5"/>
  <c r="D9" i="5"/>
  <c r="AP38" i="6"/>
  <c r="E6" i="6"/>
  <c r="J6" i="6"/>
  <c r="Q6" i="6"/>
  <c r="W6" i="6"/>
  <c r="AD6" i="6"/>
  <c r="AL6" i="6"/>
  <c r="I7" i="6"/>
  <c r="Q7" i="6"/>
  <c r="X7" i="6"/>
  <c r="AD7" i="6"/>
  <c r="AL7" i="6"/>
  <c r="D8" i="6"/>
  <c r="K8" i="6"/>
  <c r="K9" i="6" s="1"/>
  <c r="S8" i="6"/>
  <c r="S9" i="6" s="1"/>
  <c r="Y8" i="6"/>
  <c r="AF8" i="6"/>
  <c r="AF9" i="6" s="1"/>
  <c r="AN8" i="6"/>
  <c r="K14" i="6"/>
  <c r="U14" i="6"/>
  <c r="AF14" i="6"/>
  <c r="AQ14" i="6"/>
  <c r="M15" i="6"/>
  <c r="X15" i="6"/>
  <c r="AI15" i="6"/>
  <c r="L20" i="6"/>
  <c r="AA20" i="6"/>
  <c r="AO20" i="6"/>
  <c r="O21" i="6"/>
  <c r="AC21" i="6"/>
  <c r="I26" i="6"/>
  <c r="W26" i="6"/>
  <c r="AK26" i="6"/>
  <c r="S27" i="6"/>
  <c r="AN27" i="6"/>
  <c r="E32" i="6"/>
  <c r="AA32" i="6"/>
  <c r="H33" i="6"/>
  <c r="AC33" i="6"/>
  <c r="P38" i="6"/>
  <c r="AK38" i="6"/>
  <c r="S39" i="6"/>
  <c r="AN39" i="6"/>
  <c r="AP6" i="9"/>
  <c r="AP10" i="9" s="1"/>
  <c r="AP11" i="9" s="1"/>
  <c r="AK16" i="9"/>
  <c r="AK17" i="9" s="1"/>
  <c r="P20" i="9"/>
  <c r="M7" i="6"/>
  <c r="J12" i="2"/>
  <c r="H13" i="2"/>
  <c r="H14" i="2"/>
  <c r="F15" i="2"/>
  <c r="J16" i="2"/>
  <c r="H17" i="2"/>
  <c r="F19" i="4"/>
  <c r="F15" i="4"/>
  <c r="K77" i="4"/>
  <c r="K78" i="4" s="1"/>
  <c r="G77" i="4"/>
  <c r="G78" i="4" s="1"/>
  <c r="J76" i="4"/>
  <c r="J79" i="4" s="1"/>
  <c r="F76" i="4"/>
  <c r="F79" i="4" s="1"/>
  <c r="I76" i="4"/>
  <c r="I79" i="4" s="1"/>
  <c r="H77" i="4"/>
  <c r="H78" i="4" s="1"/>
  <c r="F7" i="5"/>
  <c r="D8" i="5"/>
  <c r="F6" i="6"/>
  <c r="K6" i="6"/>
  <c r="R6" i="6"/>
  <c r="Y6" i="6"/>
  <c r="AG6" i="6"/>
  <c r="AM6" i="6"/>
  <c r="D7" i="6"/>
  <c r="L7" i="6"/>
  <c r="R7" i="6"/>
  <c r="Y7" i="6"/>
  <c r="AG7" i="6"/>
  <c r="AN7" i="6"/>
  <c r="E8" i="6"/>
  <c r="M8" i="6"/>
  <c r="T8" i="6"/>
  <c r="AA8" i="6"/>
  <c r="AA9" i="6" s="1"/>
  <c r="AA10" i="6" s="1"/>
  <c r="AA11" i="6" s="1"/>
  <c r="AI8" i="6"/>
  <c r="AI9" i="6" s="1"/>
  <c r="AO8" i="6"/>
  <c r="AO9" i="6" s="1"/>
  <c r="L14" i="6"/>
  <c r="W14" i="6"/>
  <c r="AG14" i="6"/>
  <c r="D15" i="6"/>
  <c r="O15" i="6"/>
  <c r="Y15" i="6"/>
  <c r="AJ15" i="6"/>
  <c r="O20" i="6"/>
  <c r="AB20" i="6"/>
  <c r="AQ20" i="6"/>
  <c r="Q21" i="6"/>
  <c r="AE21" i="6"/>
  <c r="K26" i="6"/>
  <c r="Y26" i="6"/>
  <c r="AM26" i="6"/>
  <c r="T27" i="6"/>
  <c r="AO27" i="6"/>
  <c r="G32" i="6"/>
  <c r="AB32" i="6"/>
  <c r="I33" i="6"/>
  <c r="AE33" i="6"/>
  <c r="Q38" i="6"/>
  <c r="AM38" i="6"/>
  <c r="T39" i="6"/>
  <c r="AO39" i="6"/>
  <c r="H6" i="9"/>
  <c r="E14" i="9"/>
  <c r="AG21" i="9"/>
  <c r="K33" i="9"/>
  <c r="AP39" i="6"/>
  <c r="AL39" i="6"/>
  <c r="AH39" i="6"/>
  <c r="AD39" i="6"/>
  <c r="Z39" i="6"/>
  <c r="V39" i="6"/>
  <c r="R39" i="6"/>
  <c r="N39" i="6"/>
  <c r="J39" i="6"/>
  <c r="F39" i="6"/>
  <c r="AP33" i="6"/>
  <c r="AL33" i="6"/>
  <c r="AH33" i="6"/>
  <c r="AD33" i="6"/>
  <c r="Z33" i="6"/>
  <c r="V33" i="6"/>
  <c r="R33" i="6"/>
  <c r="N33" i="6"/>
  <c r="J33" i="6"/>
  <c r="F33" i="6"/>
  <c r="AP27" i="6"/>
  <c r="AL27" i="6"/>
  <c r="AH27" i="6"/>
  <c r="AD27" i="6"/>
  <c r="Z27" i="6"/>
  <c r="V27" i="6"/>
  <c r="R27" i="6"/>
  <c r="N27" i="6"/>
  <c r="J27" i="6"/>
  <c r="F27" i="6"/>
  <c r="AP21" i="6"/>
  <c r="AL21" i="6"/>
  <c r="AH21" i="6"/>
  <c r="AD21" i="6"/>
  <c r="Z21" i="6"/>
  <c r="V21" i="6"/>
  <c r="R21" i="6"/>
  <c r="N21" i="6"/>
  <c r="J21" i="6"/>
  <c r="F21" i="6"/>
  <c r="AP15" i="6"/>
  <c r="AL15" i="6"/>
  <c r="AH15" i="6"/>
  <c r="AD15" i="6"/>
  <c r="Z15" i="6"/>
  <c r="V15" i="6"/>
  <c r="R15" i="6"/>
  <c r="N15" i="6"/>
  <c r="J15" i="6"/>
  <c r="F15" i="6"/>
  <c r="AM39" i="6"/>
  <c r="AG39" i="6"/>
  <c r="AB39" i="6"/>
  <c r="W39" i="6"/>
  <c r="Q39" i="6"/>
  <c r="L39" i="6"/>
  <c r="G39" i="6"/>
  <c r="AM33" i="6"/>
  <c r="AG33" i="6"/>
  <c r="AB33" i="6"/>
  <c r="W33" i="6"/>
  <c r="Q33" i="6"/>
  <c r="L33" i="6"/>
  <c r="G33" i="6"/>
  <c r="AM27" i="6"/>
  <c r="AG27" i="6"/>
  <c r="AB27" i="6"/>
  <c r="W27" i="6"/>
  <c r="Q27" i="6"/>
  <c r="L27" i="6"/>
  <c r="G27" i="6"/>
  <c r="AQ39" i="6"/>
  <c r="AK39" i="6"/>
  <c r="AF39" i="6"/>
  <c r="AA39" i="6"/>
  <c r="U39" i="6"/>
  <c r="P39" i="6"/>
  <c r="K39" i="6"/>
  <c r="E39" i="6"/>
  <c r="AQ33" i="6"/>
  <c r="AK33" i="6"/>
  <c r="AF33" i="6"/>
  <c r="AA33" i="6"/>
  <c r="U33" i="6"/>
  <c r="P33" i="6"/>
  <c r="K33" i="6"/>
  <c r="E33" i="6"/>
  <c r="AQ27" i="6"/>
  <c r="AK27" i="6"/>
  <c r="AF27" i="6"/>
  <c r="AA27" i="6"/>
  <c r="U27" i="6"/>
  <c r="P27" i="6"/>
  <c r="K27" i="6"/>
  <c r="E27" i="6"/>
  <c r="AQ21" i="6"/>
  <c r="AK21" i="6"/>
  <c r="AF21" i="6"/>
  <c r="AA21" i="6"/>
  <c r="U21" i="6"/>
  <c r="P21" i="6"/>
  <c r="K21" i="6"/>
  <c r="E21" i="6"/>
  <c r="E15" i="6"/>
  <c r="K15" i="6"/>
  <c r="P15" i="6"/>
  <c r="U15" i="6"/>
  <c r="AA15" i="6"/>
  <c r="AF15" i="6"/>
  <c r="AK15" i="6"/>
  <c r="AQ15" i="6"/>
  <c r="D21" i="6"/>
  <c r="L21" i="6"/>
  <c r="S21" i="6"/>
  <c r="Y21" i="6"/>
  <c r="AG21" i="6"/>
  <c r="AN21" i="6"/>
  <c r="M27" i="6"/>
  <c r="X27" i="6"/>
  <c r="AI27" i="6"/>
  <c r="M33" i="6"/>
  <c r="X33" i="6"/>
  <c r="AI33" i="6"/>
  <c r="M39" i="6"/>
  <c r="X39" i="6"/>
  <c r="AI39" i="6"/>
  <c r="G21" i="6"/>
  <c r="M21" i="6"/>
  <c r="T21" i="6"/>
  <c r="AB21" i="6"/>
  <c r="AI21" i="6"/>
  <c r="AO21" i="6"/>
  <c r="D27" i="6"/>
  <c r="O27" i="6"/>
  <c r="Y27" i="6"/>
  <c r="AJ27" i="6"/>
  <c r="D33" i="6"/>
  <c r="O33" i="6"/>
  <c r="Y33" i="6"/>
  <c r="AJ33" i="6"/>
  <c r="D39" i="6"/>
  <c r="O39" i="6"/>
  <c r="Y39" i="6"/>
  <c r="AJ39" i="6"/>
  <c r="AA22" i="9"/>
  <c r="AA23" i="9" s="1"/>
  <c r="AG9" i="9"/>
  <c r="AG28" i="9" s="1"/>
  <c r="AG29" i="9" s="1"/>
  <c r="AO8" i="9"/>
  <c r="AO9" i="9" s="1"/>
  <c r="AJ8" i="9"/>
  <c r="AD8" i="9"/>
  <c r="Y8" i="9"/>
  <c r="T8" i="9"/>
  <c r="T9" i="9" s="1"/>
  <c r="N8" i="9"/>
  <c r="I8" i="9"/>
  <c r="D8" i="9"/>
  <c r="AN8" i="9"/>
  <c r="AN9" i="9" s="1"/>
  <c r="AH8" i="9"/>
  <c r="AC8" i="9"/>
  <c r="AC9" i="9" s="1"/>
  <c r="X8" i="9"/>
  <c r="R8" i="9"/>
  <c r="R9" i="9" s="1"/>
  <c r="R34" i="9" s="1"/>
  <c r="R35" i="9" s="1"/>
  <c r="M8" i="9"/>
  <c r="M9" i="9" s="1"/>
  <c r="H8" i="9"/>
  <c r="P8" i="11"/>
  <c r="P9" i="11" s="1"/>
  <c r="F20" i="11"/>
  <c r="F21" i="11" s="1"/>
  <c r="F14" i="11"/>
  <c r="F15" i="11" s="1"/>
  <c r="F32" i="11"/>
  <c r="F33" i="11" s="1"/>
  <c r="K34" i="9"/>
  <c r="K35" i="9" s="1"/>
  <c r="Z34" i="9"/>
  <c r="Z35" i="9" s="1"/>
  <c r="AG34" i="9"/>
  <c r="AG35" i="9" s="1"/>
  <c r="E9" i="9"/>
  <c r="E28" i="9" s="1"/>
  <c r="E29" i="9" s="1"/>
  <c r="AK9" i="9"/>
  <c r="E8" i="11"/>
  <c r="E9" i="11" s="1"/>
  <c r="U8" i="11"/>
  <c r="U9" i="11" s="1"/>
  <c r="AQ8" i="9"/>
  <c r="AQ9" i="9" s="1"/>
  <c r="AQ40" i="9" s="1"/>
  <c r="AQ41" i="9" s="1"/>
  <c r="AP39" i="9"/>
  <c r="AP40" i="9" s="1"/>
  <c r="AP41" i="9" s="1"/>
  <c r="AL39" i="9"/>
  <c r="AH39" i="9"/>
  <c r="AD39" i="9"/>
  <c r="Z39" i="9"/>
  <c r="Z40" i="9" s="1"/>
  <c r="Z41" i="9" s="1"/>
  <c r="V39" i="9"/>
  <c r="R39" i="9"/>
  <c r="N39" i="9"/>
  <c r="J39" i="9"/>
  <c r="J40" i="9" s="1"/>
  <c r="J41" i="9" s="1"/>
  <c r="F39" i="9"/>
  <c r="AP33" i="9"/>
  <c r="AP34" i="9" s="1"/>
  <c r="AP35" i="9" s="1"/>
  <c r="AL33" i="9"/>
  <c r="AL34" i="9" s="1"/>
  <c r="AL35" i="9" s="1"/>
  <c r="AH33" i="9"/>
  <c r="AD33" i="9"/>
  <c r="Z33" i="9"/>
  <c r="V33" i="9"/>
  <c r="R33" i="9"/>
  <c r="N33" i="9"/>
  <c r="J33" i="9"/>
  <c r="J34" i="9" s="1"/>
  <c r="J35" i="9" s="1"/>
  <c r="F33" i="9"/>
  <c r="AP27" i="9"/>
  <c r="AP28" i="9" s="1"/>
  <c r="AP29" i="9" s="1"/>
  <c r="AL27" i="9"/>
  <c r="AH27" i="9"/>
  <c r="AD27" i="9"/>
  <c r="Z27" i="9"/>
  <c r="Z28" i="9" s="1"/>
  <c r="Z29" i="9" s="1"/>
  <c r="V27" i="9"/>
  <c r="R27" i="9"/>
  <c r="N27" i="9"/>
  <c r="J27" i="9"/>
  <c r="J28" i="9" s="1"/>
  <c r="J29" i="9" s="1"/>
  <c r="F27" i="9"/>
  <c r="AP21" i="9"/>
  <c r="AP22" i="9" s="1"/>
  <c r="AP23" i="9" s="1"/>
  <c r="AL21" i="9"/>
  <c r="AL22" i="9" s="1"/>
  <c r="AL23" i="9" s="1"/>
  <c r="AH21" i="9"/>
  <c r="AD21" i="9"/>
  <c r="Z21" i="9"/>
  <c r="Z22" i="9" s="1"/>
  <c r="Z23" i="9" s="1"/>
  <c r="V21" i="9"/>
  <c r="R21" i="9"/>
  <c r="N21" i="9"/>
  <c r="J21" i="9"/>
  <c r="J22" i="9" s="1"/>
  <c r="J23" i="9" s="1"/>
  <c r="F21" i="9"/>
  <c r="AP15" i="9"/>
  <c r="AP16" i="9" s="1"/>
  <c r="AP17" i="9" s="1"/>
  <c r="AL15" i="9"/>
  <c r="AH15" i="9"/>
  <c r="AD15" i="9"/>
  <c r="Z15" i="9"/>
  <c r="Z16" i="9" s="1"/>
  <c r="Z17" i="9" s="1"/>
  <c r="V15" i="9"/>
  <c r="R15" i="9"/>
  <c r="N15" i="9"/>
  <c r="J15" i="9"/>
  <c r="J16" i="9" s="1"/>
  <c r="J17" i="9" s="1"/>
  <c r="F15" i="9"/>
  <c r="AO39" i="9"/>
  <c r="AK39" i="9"/>
  <c r="AG39" i="9"/>
  <c r="AG40" i="9" s="1"/>
  <c r="AG41" i="9" s="1"/>
  <c r="AC39" i="9"/>
  <c r="Y39" i="9"/>
  <c r="U39" i="9"/>
  <c r="Q39" i="9"/>
  <c r="M39" i="9"/>
  <c r="I39" i="9"/>
  <c r="E39" i="9"/>
  <c r="AQ39" i="9"/>
  <c r="AI39" i="9"/>
  <c r="AA39" i="9"/>
  <c r="S39" i="9"/>
  <c r="K39" i="9"/>
  <c r="AN39" i="9"/>
  <c r="AF39" i="9"/>
  <c r="X39" i="9"/>
  <c r="P39" i="9"/>
  <c r="H39" i="9"/>
  <c r="AO33" i="9"/>
  <c r="AJ33" i="9"/>
  <c r="AE33" i="9"/>
  <c r="Y33" i="9"/>
  <c r="T33" i="9"/>
  <c r="O33" i="9"/>
  <c r="I33" i="9"/>
  <c r="D33" i="9"/>
  <c r="AO27" i="9"/>
  <c r="AJ27" i="9"/>
  <c r="AE27" i="9"/>
  <c r="Y27" i="9"/>
  <c r="T27" i="9"/>
  <c r="O27" i="9"/>
  <c r="I27" i="9"/>
  <c r="D27" i="9"/>
  <c r="AO21" i="9"/>
  <c r="AJ21" i="9"/>
  <c r="AE21" i="9"/>
  <c r="Y21" i="9"/>
  <c r="T21" i="9"/>
  <c r="O21" i="9"/>
  <c r="I21" i="9"/>
  <c r="D21" i="9"/>
  <c r="AO15" i="9"/>
  <c r="AJ15" i="9"/>
  <c r="AE15" i="9"/>
  <c r="Y15" i="9"/>
  <c r="T15" i="9"/>
  <c r="O15" i="9"/>
  <c r="I15" i="9"/>
  <c r="D15" i="9"/>
  <c r="AM39" i="9"/>
  <c r="AE39" i="9"/>
  <c r="W39" i="9"/>
  <c r="O39" i="9"/>
  <c r="G39" i="9"/>
  <c r="AN33" i="9"/>
  <c r="AI33" i="9"/>
  <c r="AC33" i="9"/>
  <c r="AC34" i="9" s="1"/>
  <c r="AC35" i="9" s="1"/>
  <c r="X33" i="9"/>
  <c r="S33" i="9"/>
  <c r="M33" i="9"/>
  <c r="H33" i="9"/>
  <c r="AN27" i="9"/>
  <c r="AI27" i="9"/>
  <c r="AC27" i="9"/>
  <c r="X27" i="9"/>
  <c r="S27" i="9"/>
  <c r="M27" i="9"/>
  <c r="H27" i="9"/>
  <c r="E15" i="9"/>
  <c r="L15" i="9"/>
  <c r="S15" i="9"/>
  <c r="AA15" i="9"/>
  <c r="AG15" i="9"/>
  <c r="AG16" i="9" s="1"/>
  <c r="AG17" i="9" s="1"/>
  <c r="AN15" i="9"/>
  <c r="H21" i="9"/>
  <c r="P21" i="9"/>
  <c r="W21" i="9"/>
  <c r="AC21" i="9"/>
  <c r="AK21" i="9"/>
  <c r="E27" i="9"/>
  <c r="P27" i="9"/>
  <c r="AA27" i="9"/>
  <c r="AK27" i="9"/>
  <c r="AC28" i="9"/>
  <c r="AC29" i="9" s="1"/>
  <c r="E33" i="9"/>
  <c r="P33" i="9"/>
  <c r="AA33" i="9"/>
  <c r="AK33" i="9"/>
  <c r="AB39" i="9"/>
  <c r="D6" i="6"/>
  <c r="H6" i="6"/>
  <c r="L6" i="6"/>
  <c r="P6" i="6"/>
  <c r="T6" i="6"/>
  <c r="X6" i="6"/>
  <c r="AB6" i="6"/>
  <c r="AF6" i="6"/>
  <c r="AJ6" i="6"/>
  <c r="AN6" i="6"/>
  <c r="F14" i="6"/>
  <c r="J14" i="6"/>
  <c r="N14" i="6"/>
  <c r="R14" i="6"/>
  <c r="V14" i="6"/>
  <c r="Z14" i="6"/>
  <c r="AD14" i="6"/>
  <c r="AH14" i="6"/>
  <c r="AL14" i="6"/>
  <c r="AP14" i="6"/>
  <c r="F20" i="6"/>
  <c r="J20" i="6"/>
  <c r="N20" i="6"/>
  <c r="R20" i="6"/>
  <c r="V20" i="6"/>
  <c r="Z20" i="6"/>
  <c r="AD20" i="6"/>
  <c r="AH20" i="6"/>
  <c r="AL20" i="6"/>
  <c r="AP20" i="6"/>
  <c r="F26" i="6"/>
  <c r="J26" i="6"/>
  <c r="N26" i="6"/>
  <c r="R26" i="6"/>
  <c r="V26" i="6"/>
  <c r="Z26" i="6"/>
  <c r="AD26" i="6"/>
  <c r="AH26" i="6"/>
  <c r="AL26" i="6"/>
  <c r="AP26" i="6"/>
  <c r="F32" i="6"/>
  <c r="J32" i="6"/>
  <c r="N32" i="6"/>
  <c r="R32" i="6"/>
  <c r="V32" i="6"/>
  <c r="Z32" i="6"/>
  <c r="AD32" i="6"/>
  <c r="AH32" i="6"/>
  <c r="AL32" i="6"/>
  <c r="AP32" i="6"/>
  <c r="F38" i="6"/>
  <c r="J38" i="6"/>
  <c r="N38" i="6"/>
  <c r="R38" i="6"/>
  <c r="V38" i="6"/>
  <c r="Z38" i="6"/>
  <c r="AD38" i="6"/>
  <c r="AH38" i="6"/>
  <c r="AL38" i="6"/>
  <c r="AN7" i="9"/>
  <c r="AJ7" i="9"/>
  <c r="AF7" i="9"/>
  <c r="AF9" i="9" s="1"/>
  <c r="AB7" i="9"/>
  <c r="AB9" i="9" s="1"/>
  <c r="X7" i="9"/>
  <c r="T7" i="9"/>
  <c r="P7" i="9"/>
  <c r="L7" i="9"/>
  <c r="H7" i="9"/>
  <c r="D7" i="9"/>
  <c r="I7" i="9"/>
  <c r="N7" i="9"/>
  <c r="S7" i="9"/>
  <c r="Y7" i="9"/>
  <c r="AD7" i="9"/>
  <c r="AI7" i="9"/>
  <c r="AO7" i="9"/>
  <c r="G15" i="9"/>
  <c r="M15" i="9"/>
  <c r="U15" i="9"/>
  <c r="AB15" i="9"/>
  <c r="AI15" i="9"/>
  <c r="AQ15" i="9"/>
  <c r="AQ16" i="9" s="1"/>
  <c r="AQ17" i="9" s="1"/>
  <c r="K21" i="9"/>
  <c r="Q21" i="9"/>
  <c r="X21" i="9"/>
  <c r="AF21" i="9"/>
  <c r="AM21" i="9"/>
  <c r="G27" i="9"/>
  <c r="Q27" i="9"/>
  <c r="AB27" i="9"/>
  <c r="AM27" i="9"/>
  <c r="G33" i="9"/>
  <c r="Q33" i="9"/>
  <c r="AB33" i="9"/>
  <c r="AM33" i="9"/>
  <c r="D39" i="9"/>
  <c r="AJ39" i="9"/>
  <c r="Q14" i="11"/>
  <c r="Q15" i="11" s="1"/>
  <c r="F8" i="11"/>
  <c r="F9" i="11" s="1"/>
  <c r="I14" i="11"/>
  <c r="I15" i="11" s="1"/>
  <c r="T14" i="11"/>
  <c r="T15" i="11" s="1"/>
  <c r="G8" i="9"/>
  <c r="G9" i="9" s="1"/>
  <c r="G34" i="9" s="1"/>
  <c r="G35" i="9" s="1"/>
  <c r="K8" i="9"/>
  <c r="K9" i="9" s="1"/>
  <c r="K16" i="9" s="1"/>
  <c r="K17" i="9" s="1"/>
  <c r="O8" i="9"/>
  <c r="O9" i="9" s="1"/>
  <c r="S8" i="9"/>
  <c r="W8" i="9"/>
  <c r="W9" i="9" s="1"/>
  <c r="W28" i="9" s="1"/>
  <c r="W29" i="9" s="1"/>
  <c r="AA8" i="9"/>
  <c r="AA9" i="9" s="1"/>
  <c r="AA40" i="9" s="1"/>
  <c r="AA41" i="9" s="1"/>
  <c r="AE8" i="9"/>
  <c r="AE9" i="9" s="1"/>
  <c r="AE22" i="9" s="1"/>
  <c r="AE23" i="9" s="1"/>
  <c r="AI8" i="9"/>
  <c r="AM8" i="9"/>
  <c r="AM9" i="9" s="1"/>
  <c r="AM28" i="9" s="1"/>
  <c r="AM29" i="9" s="1"/>
  <c r="AA38" i="11"/>
  <c r="AA39" i="11" s="1"/>
  <c r="R20" i="11"/>
  <c r="R21" i="11" s="1"/>
  <c r="E5" i="13"/>
  <c r="E7" i="13" s="1"/>
  <c r="H8" i="11"/>
  <c r="H9" i="11" s="1"/>
  <c r="L8" i="11"/>
  <c r="L9" i="11" s="1"/>
  <c r="T8" i="11"/>
  <c r="T9" i="11" s="1"/>
  <c r="D26" i="11"/>
  <c r="D27" i="11" s="1"/>
  <c r="D20" i="11"/>
  <c r="D21" i="11" s="1"/>
  <c r="D14" i="11"/>
  <c r="D15" i="11" s="1"/>
  <c r="H38" i="11"/>
  <c r="H39" i="11" s="1"/>
  <c r="H32" i="11"/>
  <c r="H33" i="11" s="1"/>
  <c r="H14" i="11"/>
  <c r="H15" i="11" s="1"/>
  <c r="L20" i="11"/>
  <c r="L21" i="11" s="1"/>
  <c r="P38" i="11"/>
  <c r="P39" i="11" s="1"/>
  <c r="T20" i="11"/>
  <c r="T21" i="11" s="1"/>
  <c r="H7" i="11"/>
  <c r="H26" i="11" s="1"/>
  <c r="H27" i="11" s="1"/>
  <c r="P7" i="11"/>
  <c r="P26" i="11" s="1"/>
  <c r="P27" i="11" s="1"/>
  <c r="X7" i="11"/>
  <c r="X38" i="11" s="1"/>
  <c r="X39" i="11" s="1"/>
  <c r="M32" i="11"/>
  <c r="M33" i="11" s="1"/>
  <c r="Y14" i="11"/>
  <c r="Y15" i="11" s="1"/>
  <c r="L14" i="11"/>
  <c r="L15" i="11" s="1"/>
  <c r="R8" i="11"/>
  <c r="R9" i="11" s="1"/>
  <c r="N38" i="11"/>
  <c r="N39" i="11" s="1"/>
  <c r="N32" i="11"/>
  <c r="N33" i="11" s="1"/>
  <c r="N26" i="11"/>
  <c r="N27" i="11" s="1"/>
  <c r="R14" i="11"/>
  <c r="R15" i="11" s="1"/>
  <c r="V38" i="11"/>
  <c r="V39" i="11" s="1"/>
  <c r="J7" i="11"/>
  <c r="J8" i="11" s="1"/>
  <c r="J9" i="11" s="1"/>
  <c r="Z7" i="11"/>
  <c r="Z20" i="11" s="1"/>
  <c r="Z21" i="11" s="1"/>
  <c r="V14" i="11"/>
  <c r="V15" i="11" s="1"/>
  <c r="K20" i="11"/>
  <c r="K21" i="11" s="1"/>
  <c r="V20" i="11"/>
  <c r="V21" i="11" s="1"/>
  <c r="H24" i="12"/>
  <c r="H22" i="12"/>
  <c r="H20" i="12"/>
  <c r="H18" i="12"/>
  <c r="H16" i="12"/>
  <c r="H14" i="12"/>
  <c r="H12" i="12"/>
  <c r="H10" i="12"/>
  <c r="H8" i="12"/>
  <c r="H6" i="12"/>
  <c r="H21" i="12"/>
  <c r="H13" i="12"/>
  <c r="H7" i="12"/>
  <c r="H15" i="12"/>
  <c r="H11" i="12"/>
  <c r="H9" i="12"/>
  <c r="H17" i="12"/>
  <c r="H19" i="12"/>
  <c r="B31" i="10"/>
  <c r="O14" i="11"/>
  <c r="O15" i="11" s="1"/>
  <c r="G38" i="11"/>
  <c r="G39" i="11" s="1"/>
  <c r="O32" i="11"/>
  <c r="O33" i="11" s="1"/>
  <c r="O26" i="11"/>
  <c r="O27" i="11" s="1"/>
  <c r="O20" i="11"/>
  <c r="O21" i="11" s="1"/>
  <c r="O38" i="11"/>
  <c r="O39" i="11" s="1"/>
  <c r="S32" i="11"/>
  <c r="S33" i="11" s="1"/>
  <c r="S26" i="11"/>
  <c r="S27" i="11" s="1"/>
  <c r="S20" i="11"/>
  <c r="S21" i="11" s="1"/>
  <c r="AA32" i="11"/>
  <c r="AA33" i="11" s="1"/>
  <c r="W20" i="11"/>
  <c r="W21" i="11" s="1"/>
  <c r="W26" i="11"/>
  <c r="W27" i="11" s="1"/>
  <c r="I23" i="12"/>
  <c r="I22" i="12"/>
  <c r="I15" i="12"/>
  <c r="I14" i="12"/>
  <c r="I7" i="12"/>
  <c r="I6" i="12"/>
  <c r="I24" i="12"/>
  <c r="I18" i="12"/>
  <c r="I13" i="12"/>
  <c r="I11" i="12"/>
  <c r="I9" i="12"/>
  <c r="I21" i="12"/>
  <c r="I19" i="12"/>
  <c r="I17" i="12"/>
  <c r="J23" i="12"/>
  <c r="J21" i="12"/>
  <c r="J19" i="12"/>
  <c r="J17" i="12"/>
  <c r="J15" i="12"/>
  <c r="J13" i="12"/>
  <c r="J11" i="12"/>
  <c r="J9" i="12"/>
  <c r="J7" i="12"/>
  <c r="J24" i="12"/>
  <c r="J16" i="12"/>
  <c r="J8" i="12"/>
  <c r="J12" i="12"/>
  <c r="J6" i="12"/>
  <c r="I8" i="12"/>
  <c r="I10" i="12"/>
  <c r="I12" i="12"/>
  <c r="J14" i="12"/>
  <c r="I16" i="12"/>
  <c r="J18" i="12"/>
  <c r="I20" i="12"/>
  <c r="H23" i="12"/>
  <c r="Y37" i="11"/>
  <c r="U37" i="11"/>
  <c r="Q37" i="11"/>
  <c r="Q38" i="11" s="1"/>
  <c r="Q39" i="11" s="1"/>
  <c r="M37" i="11"/>
  <c r="I37" i="11"/>
  <c r="E37" i="11"/>
  <c r="AA37" i="11"/>
  <c r="V37" i="11"/>
  <c r="P37" i="11"/>
  <c r="K37" i="11"/>
  <c r="K38" i="11" s="1"/>
  <c r="K39" i="11" s="1"/>
  <c r="F37" i="11"/>
  <c r="F38" i="11" s="1"/>
  <c r="F39" i="11" s="1"/>
  <c r="X31" i="11"/>
  <c r="T31" i="11"/>
  <c r="T32" i="11" s="1"/>
  <c r="T33" i="11" s="1"/>
  <c r="P31" i="11"/>
  <c r="P32" i="11" s="1"/>
  <c r="P33" i="11" s="1"/>
  <c r="L31" i="11"/>
  <c r="L32" i="11" s="1"/>
  <c r="L33" i="11" s="1"/>
  <c r="H31" i="11"/>
  <c r="D31" i="11"/>
  <c r="D32" i="11" s="1"/>
  <c r="D33" i="11" s="1"/>
  <c r="X25" i="11"/>
  <c r="T25" i="11"/>
  <c r="T26" i="11" s="1"/>
  <c r="T27" i="11" s="1"/>
  <c r="P25" i="11"/>
  <c r="L25" i="11"/>
  <c r="L26" i="11" s="1"/>
  <c r="L27" i="11" s="1"/>
  <c r="H25" i="11"/>
  <c r="D25" i="11"/>
  <c r="Y19" i="11"/>
  <c r="U19" i="11"/>
  <c r="U20" i="11" s="1"/>
  <c r="U21" i="11" s="1"/>
  <c r="Q19" i="11"/>
  <c r="Q20" i="11" s="1"/>
  <c r="Q21" i="11" s="1"/>
  <c r="M19" i="11"/>
  <c r="M20" i="11" s="1"/>
  <c r="M21" i="11" s="1"/>
  <c r="I19" i="11"/>
  <c r="E19" i="11"/>
  <c r="AA13" i="11"/>
  <c r="AA14" i="11" s="1"/>
  <c r="AA15" i="11" s="1"/>
  <c r="W13" i="11"/>
  <c r="W14" i="11" s="1"/>
  <c r="W15" i="11" s="1"/>
  <c r="S13" i="11"/>
  <c r="O13" i="11"/>
  <c r="K13" i="11"/>
  <c r="K14" i="11" s="1"/>
  <c r="K15" i="11" s="1"/>
  <c r="G13" i="11"/>
  <c r="G14" i="11" s="1"/>
  <c r="G15" i="11" s="1"/>
  <c r="I20" i="11"/>
  <c r="I21" i="11" s="1"/>
  <c r="Y20" i="11"/>
  <c r="Y21" i="11" s="1"/>
  <c r="F25" i="11"/>
  <c r="F26" i="11" s="1"/>
  <c r="F27" i="11" s="1"/>
  <c r="K25" i="11"/>
  <c r="K26" i="11" s="1"/>
  <c r="K27" i="11" s="1"/>
  <c r="Q25" i="11"/>
  <c r="Q26" i="11" s="1"/>
  <c r="Q27" i="11" s="1"/>
  <c r="V25" i="11"/>
  <c r="V26" i="11" s="1"/>
  <c r="V27" i="11" s="1"/>
  <c r="AA25" i="11"/>
  <c r="AA26" i="11" s="1"/>
  <c r="AA27" i="11" s="1"/>
  <c r="I26" i="11"/>
  <c r="I27" i="11" s="1"/>
  <c r="F31" i="11"/>
  <c r="K31" i="11"/>
  <c r="K32" i="11" s="1"/>
  <c r="K33" i="11" s="1"/>
  <c r="Q31" i="11"/>
  <c r="Q32" i="11" s="1"/>
  <c r="Q33" i="11" s="1"/>
  <c r="V31" i="11"/>
  <c r="V32" i="11" s="1"/>
  <c r="V33" i="11" s="1"/>
  <c r="AA31" i="11"/>
  <c r="J37" i="11"/>
  <c r="R37" i="11"/>
  <c r="R38" i="11" s="1"/>
  <c r="R39" i="11" s="1"/>
  <c r="X37" i="11"/>
  <c r="E12" i="12"/>
  <c r="M16" i="12"/>
  <c r="E38" i="11"/>
  <c r="E39" i="11" s="1"/>
  <c r="I38" i="11"/>
  <c r="I39" i="11" s="1"/>
  <c r="M38" i="11"/>
  <c r="M39" i="11" s="1"/>
  <c r="U38" i="11"/>
  <c r="U39" i="11" s="1"/>
  <c r="Y38" i="11"/>
  <c r="Y39" i="11" s="1"/>
  <c r="Y32" i="11"/>
  <c r="Y33" i="11" s="1"/>
  <c r="E13" i="11"/>
  <c r="E14" i="11" s="1"/>
  <c r="E15" i="11" s="1"/>
  <c r="J13" i="11"/>
  <c r="P13" i="11"/>
  <c r="P14" i="11" s="1"/>
  <c r="P15" i="11" s="1"/>
  <c r="U13" i="11"/>
  <c r="U14" i="11" s="1"/>
  <c r="U15" i="11" s="1"/>
  <c r="Z13" i="11"/>
  <c r="M14" i="11"/>
  <c r="M15" i="11" s="1"/>
  <c r="H19" i="11"/>
  <c r="H20" i="11" s="1"/>
  <c r="H21" i="11" s="1"/>
  <c r="N19" i="11"/>
  <c r="N20" i="11" s="1"/>
  <c r="N21" i="11" s="1"/>
  <c r="S19" i="11"/>
  <c r="X19" i="11"/>
  <c r="E20" i="11"/>
  <c r="E21" i="11" s="1"/>
  <c r="G25" i="11"/>
  <c r="G26" i="11" s="1"/>
  <c r="G27" i="11" s="1"/>
  <c r="M25" i="11"/>
  <c r="M26" i="11" s="1"/>
  <c r="M27" i="11" s="1"/>
  <c r="R25" i="11"/>
  <c r="R26" i="11" s="1"/>
  <c r="R27" i="11" s="1"/>
  <c r="W25" i="11"/>
  <c r="E26" i="11"/>
  <c r="E27" i="11" s="1"/>
  <c r="U26" i="11"/>
  <c r="U27" i="11" s="1"/>
  <c r="G31" i="11"/>
  <c r="G32" i="11" s="1"/>
  <c r="G33" i="11" s="1"/>
  <c r="M31" i="11"/>
  <c r="R31" i="11"/>
  <c r="R32" i="11" s="1"/>
  <c r="R33" i="11" s="1"/>
  <c r="W31" i="11"/>
  <c r="W32" i="11" s="1"/>
  <c r="W33" i="11" s="1"/>
  <c r="E32" i="11"/>
  <c r="E33" i="11" s="1"/>
  <c r="U32" i="11"/>
  <c r="U33" i="11" s="1"/>
  <c r="D37" i="11"/>
  <c r="D38" i="11" s="1"/>
  <c r="D39" i="11" s="1"/>
  <c r="L37" i="11"/>
  <c r="L38" i="11" s="1"/>
  <c r="L39" i="11" s="1"/>
  <c r="S37" i="11"/>
  <c r="S38" i="11" s="1"/>
  <c r="S39" i="11" s="1"/>
  <c r="Z37" i="11"/>
  <c r="E24" i="12"/>
  <c r="E17" i="12"/>
  <c r="E16" i="12"/>
  <c r="E9" i="12"/>
  <c r="E8" i="12"/>
  <c r="M21" i="12"/>
  <c r="M20" i="12"/>
  <c r="M13" i="12"/>
  <c r="M12" i="12"/>
  <c r="E6" i="12"/>
  <c r="M8" i="12"/>
  <c r="M14" i="12"/>
  <c r="E19" i="12"/>
  <c r="E23" i="12"/>
  <c r="E33" i="13"/>
  <c r="E35" i="13" s="1"/>
  <c r="S14" i="11"/>
  <c r="S15" i="11" s="1"/>
  <c r="L24" i="12"/>
  <c r="L22" i="12"/>
  <c r="L20" i="12"/>
  <c r="L18" i="12"/>
  <c r="L16" i="12"/>
  <c r="L14" i="12"/>
  <c r="L12" i="12"/>
  <c r="L10" i="12"/>
  <c r="L8" i="12"/>
  <c r="L6" i="12"/>
  <c r="K9" i="12"/>
  <c r="K10" i="12"/>
  <c r="L11" i="12"/>
  <c r="K17" i="12"/>
  <c r="L19" i="12"/>
  <c r="N4" i="12"/>
  <c r="F4" i="12"/>
  <c r="U40" i="9" l="1"/>
  <c r="U41" i="9" s="1"/>
  <c r="U16" i="9"/>
  <c r="U17" i="9" s="1"/>
  <c r="G22" i="9"/>
  <c r="G23" i="9" s="1"/>
  <c r="U22" i="9"/>
  <c r="U23" i="9" s="1"/>
  <c r="U34" i="9"/>
  <c r="U35" i="9" s="1"/>
  <c r="G16" i="9"/>
  <c r="G17" i="9" s="1"/>
  <c r="AG22" i="9"/>
  <c r="AG23" i="9" s="1"/>
  <c r="W34" i="9"/>
  <c r="W35" i="9" s="1"/>
  <c r="AJ40" i="6"/>
  <c r="AJ41" i="6" s="1"/>
  <c r="J11" i="18"/>
  <c r="J9" i="18"/>
  <c r="J7" i="18"/>
  <c r="J6" i="18"/>
  <c r="J10" i="18"/>
  <c r="J8" i="18"/>
  <c r="AI9" i="9"/>
  <c r="AI10" i="9" s="1"/>
  <c r="AI11" i="9" s="1"/>
  <c r="S9" i="9"/>
  <c r="AJ10" i="6"/>
  <c r="AJ11" i="6" s="1"/>
  <c r="T10" i="6"/>
  <c r="T11" i="6" s="1"/>
  <c r="AM40" i="9"/>
  <c r="AM41" i="9" s="1"/>
  <c r="AM16" i="9"/>
  <c r="AM17" i="9" s="1"/>
  <c r="W16" i="9"/>
  <c r="W17" i="9" s="1"/>
  <c r="E34" i="9"/>
  <c r="E35" i="9" s="1"/>
  <c r="X9" i="9"/>
  <c r="AO10" i="6"/>
  <c r="AO11" i="6" s="1"/>
  <c r="S10" i="6"/>
  <c r="S11" i="6" s="1"/>
  <c r="AK9" i="6"/>
  <c r="AK28" i="6" s="1"/>
  <c r="AK29" i="6" s="1"/>
  <c r="V9" i="6"/>
  <c r="Z10" i="9"/>
  <c r="Z11" i="9" s="1"/>
  <c r="AQ28" i="9"/>
  <c r="AQ29" i="9" s="1"/>
  <c r="W10" i="9"/>
  <c r="W11" i="9" s="1"/>
  <c r="U28" i="9"/>
  <c r="U29" i="9" s="1"/>
  <c r="AQ34" i="9"/>
  <c r="AQ35" i="9" s="1"/>
  <c r="O28" i="9"/>
  <c r="O29" i="9" s="1"/>
  <c r="G28" i="9"/>
  <c r="G29" i="9" s="1"/>
  <c r="AF10" i="6"/>
  <c r="AF11" i="6" s="1"/>
  <c r="W22" i="9"/>
  <c r="W23" i="9" s="1"/>
  <c r="E16" i="9"/>
  <c r="E17" i="9" s="1"/>
  <c r="F16" i="9"/>
  <c r="F17" i="9" s="1"/>
  <c r="V16" i="9"/>
  <c r="V17" i="9" s="1"/>
  <c r="F40" i="9"/>
  <c r="F41" i="9" s="1"/>
  <c r="V40" i="9"/>
  <c r="V41" i="9" s="1"/>
  <c r="AM34" i="9"/>
  <c r="AM35" i="9" s="1"/>
  <c r="R16" i="9"/>
  <c r="R17" i="9" s="1"/>
  <c r="H2" i="18"/>
  <c r="H4" i="18" s="1"/>
  <c r="G2" i="18"/>
  <c r="G3" i="18" s="1"/>
  <c r="AJ22" i="6"/>
  <c r="AJ23" i="6" s="1"/>
  <c r="AE9" i="6"/>
  <c r="V10" i="6"/>
  <c r="V11" i="6" s="1"/>
  <c r="AJ28" i="6"/>
  <c r="AJ29" i="6" s="1"/>
  <c r="J4" i="10"/>
  <c r="U10" i="9"/>
  <c r="U11" i="9" s="1"/>
  <c r="AJ16" i="6"/>
  <c r="AJ17" i="6" s="1"/>
  <c r="Q9" i="9"/>
  <c r="Q16" i="9" s="1"/>
  <c r="Q17" i="9" s="1"/>
  <c r="L2" i="18"/>
  <c r="L4" i="18" s="1"/>
  <c r="K2" i="18"/>
  <c r="K3" i="18" s="1"/>
  <c r="N2" i="18"/>
  <c r="N4" i="18" s="1"/>
  <c r="M2" i="18"/>
  <c r="M3" i="18" s="1"/>
  <c r="AM22" i="9"/>
  <c r="AM23" i="9" s="1"/>
  <c r="W40" i="9"/>
  <c r="W41" i="9" s="1"/>
  <c r="AK40" i="9"/>
  <c r="AK41" i="9" s="1"/>
  <c r="M22" i="9"/>
  <c r="M23" i="9" s="1"/>
  <c r="AH9" i="9"/>
  <c r="T9" i="6"/>
  <c r="F2" i="18"/>
  <c r="F4" i="18" s="1"/>
  <c r="E2" i="18"/>
  <c r="E3" i="18" s="1"/>
  <c r="L2" i="7"/>
  <c r="L4" i="7" s="1"/>
  <c r="L9" i="7" s="1"/>
  <c r="M2" i="10"/>
  <c r="M3" i="10" s="1"/>
  <c r="I11" i="18"/>
  <c r="I9" i="18"/>
  <c r="I7" i="18"/>
  <c r="I6" i="18"/>
  <c r="I10" i="18"/>
  <c r="I8" i="18"/>
  <c r="X20" i="11"/>
  <c r="X21" i="11" s="1"/>
  <c r="E28" i="6"/>
  <c r="E29" i="6" s="1"/>
  <c r="J22" i="10"/>
  <c r="J20" i="10"/>
  <c r="J18" i="10"/>
  <c r="J16" i="10"/>
  <c r="J14" i="10"/>
  <c r="J12" i="10"/>
  <c r="J10" i="10"/>
  <c r="J8" i="10"/>
  <c r="J6" i="10"/>
  <c r="J21" i="10"/>
  <c r="J17" i="10"/>
  <c r="J13" i="10"/>
  <c r="J9" i="10"/>
  <c r="J24" i="10"/>
  <c r="J23" i="10"/>
  <c r="J19" i="10"/>
  <c r="J15" i="10"/>
  <c r="J11" i="10"/>
  <c r="J7" i="10"/>
  <c r="K10" i="7"/>
  <c r="K8" i="7"/>
  <c r="K6" i="7"/>
  <c r="K11" i="7"/>
  <c r="K7" i="7"/>
  <c r="K9" i="7"/>
  <c r="K12" i="7"/>
  <c r="J38" i="11"/>
  <c r="J39" i="11" s="1"/>
  <c r="R22" i="9"/>
  <c r="R23" i="9" s="1"/>
  <c r="K40" i="9"/>
  <c r="K41" i="9" s="1"/>
  <c r="E40" i="9"/>
  <c r="E41" i="9" s="1"/>
  <c r="AE34" i="9"/>
  <c r="AE35" i="9" s="1"/>
  <c r="D9" i="9"/>
  <c r="Y9" i="9"/>
  <c r="Y34" i="9" s="1"/>
  <c r="Y35" i="9" s="1"/>
  <c r="AE28" i="9"/>
  <c r="AE29" i="9" s="1"/>
  <c r="AA28" i="9"/>
  <c r="AA29" i="9" s="1"/>
  <c r="F22" i="9"/>
  <c r="F23" i="9" s="1"/>
  <c r="D16" i="6"/>
  <c r="D17" i="6" s="1"/>
  <c r="F2" i="10"/>
  <c r="F4" i="10" s="1"/>
  <c r="E2" i="10"/>
  <c r="E3" i="10" s="1"/>
  <c r="E2" i="7"/>
  <c r="E3" i="7" s="1"/>
  <c r="F2" i="7"/>
  <c r="F4" i="7" s="1"/>
  <c r="AK28" i="9"/>
  <c r="AK29" i="9" s="1"/>
  <c r="V22" i="9"/>
  <c r="V23" i="9" s="1"/>
  <c r="O34" i="9"/>
  <c r="O35" i="9" s="1"/>
  <c r="O40" i="9"/>
  <c r="O41" i="9" s="1"/>
  <c r="D9" i="6"/>
  <c r="D40" i="6" s="1"/>
  <c r="D41" i="6" s="1"/>
  <c r="F21" i="4"/>
  <c r="T10" i="9"/>
  <c r="T11" i="9" s="1"/>
  <c r="AB40" i="6"/>
  <c r="AB41" i="6" s="1"/>
  <c r="AB34" i="6"/>
  <c r="AB35" i="6" s="1"/>
  <c r="AB28" i="6"/>
  <c r="AB29" i="6" s="1"/>
  <c r="AB22" i="6"/>
  <c r="AB23" i="6" s="1"/>
  <c r="AB16" i="6"/>
  <c r="AB17" i="6" s="1"/>
  <c r="J40" i="6"/>
  <c r="J41" i="6" s="1"/>
  <c r="J34" i="6"/>
  <c r="J35" i="6" s="1"/>
  <c r="J28" i="6"/>
  <c r="J29" i="6" s="1"/>
  <c r="J22" i="6"/>
  <c r="J23" i="6" s="1"/>
  <c r="J16" i="6"/>
  <c r="J17" i="6" s="1"/>
  <c r="AF34" i="6"/>
  <c r="AF35" i="6" s="1"/>
  <c r="AF22" i="6"/>
  <c r="AF23" i="6" s="1"/>
  <c r="AF16" i="6"/>
  <c r="AF17" i="6" s="1"/>
  <c r="AF40" i="6"/>
  <c r="AF41" i="6" s="1"/>
  <c r="AF28" i="6"/>
  <c r="AF29" i="6" s="1"/>
  <c r="K34" i="6"/>
  <c r="K35" i="6" s="1"/>
  <c r="K40" i="6"/>
  <c r="K41" i="6" s="1"/>
  <c r="K28" i="6"/>
  <c r="K29" i="6" s="1"/>
  <c r="K22" i="6"/>
  <c r="K23" i="6" s="1"/>
  <c r="K16" i="6"/>
  <c r="K17" i="6" s="1"/>
  <c r="AA40" i="6"/>
  <c r="AA41" i="6" s="1"/>
  <c r="AA34" i="6"/>
  <c r="AA35" i="6" s="1"/>
  <c r="AA28" i="6"/>
  <c r="AA29" i="6" s="1"/>
  <c r="AA16" i="6"/>
  <c r="AA17" i="6" s="1"/>
  <c r="AA22" i="6"/>
  <c r="AA23" i="6" s="1"/>
  <c r="AQ22" i="6"/>
  <c r="AQ23" i="6" s="1"/>
  <c r="AQ40" i="6"/>
  <c r="AQ41" i="6" s="1"/>
  <c r="AQ28" i="6"/>
  <c r="AQ29" i="6" s="1"/>
  <c r="AQ34" i="6"/>
  <c r="AQ35" i="6" s="1"/>
  <c r="AQ16" i="6"/>
  <c r="AQ17" i="6" s="1"/>
  <c r="X9" i="6"/>
  <c r="X40" i="6" s="1"/>
  <c r="X41" i="6" s="1"/>
  <c r="L9" i="6"/>
  <c r="AG9" i="6"/>
  <c r="AG22" i="6" s="1"/>
  <c r="AG23" i="6" s="1"/>
  <c r="AD9" i="6"/>
  <c r="AQ10" i="6"/>
  <c r="AQ11" i="6" s="1"/>
  <c r="N10" i="6"/>
  <c r="N11" i="6" s="1"/>
  <c r="I12" i="7"/>
  <c r="I11" i="7"/>
  <c r="I9" i="7"/>
  <c r="I7" i="7"/>
  <c r="I8" i="7"/>
  <c r="I6" i="7"/>
  <c r="I10" i="7"/>
  <c r="J33" i="2"/>
  <c r="F33" i="2"/>
  <c r="H32" i="2"/>
  <c r="J31" i="2"/>
  <c r="F31" i="2"/>
  <c r="H30" i="2"/>
  <c r="J29" i="2"/>
  <c r="F29" i="2"/>
  <c r="H28" i="2"/>
  <c r="J27" i="2"/>
  <c r="F27" i="2"/>
  <c r="H26" i="2"/>
  <c r="J25" i="2"/>
  <c r="F25" i="2"/>
  <c r="H24" i="2"/>
  <c r="J23" i="2"/>
  <c r="F23" i="2"/>
  <c r="H22" i="2"/>
  <c r="J21" i="2"/>
  <c r="F21" i="2"/>
  <c r="H20" i="2"/>
  <c r="J19" i="2"/>
  <c r="F19" i="2"/>
  <c r="H33" i="2"/>
  <c r="I32" i="2"/>
  <c r="I31" i="2"/>
  <c r="J30" i="2"/>
  <c r="F28" i="2"/>
  <c r="G27" i="2"/>
  <c r="G26" i="2"/>
  <c r="H25" i="2"/>
  <c r="I24" i="2"/>
  <c r="I23" i="2"/>
  <c r="J22" i="2"/>
  <c r="F20" i="2"/>
  <c r="G19" i="2"/>
  <c r="J32" i="2"/>
  <c r="F30" i="2"/>
  <c r="H27" i="2"/>
  <c r="J24" i="2"/>
  <c r="F22" i="2"/>
  <c r="G33" i="2"/>
  <c r="G32" i="2"/>
  <c r="H31" i="2"/>
  <c r="I30" i="2"/>
  <c r="I29" i="2"/>
  <c r="J28" i="2"/>
  <c r="F26" i="2"/>
  <c r="G25" i="2"/>
  <c r="G24" i="2"/>
  <c r="H23" i="2"/>
  <c r="I22" i="2"/>
  <c r="I21" i="2"/>
  <c r="J20" i="2"/>
  <c r="F32" i="2"/>
  <c r="G31" i="2"/>
  <c r="G30" i="2"/>
  <c r="I28" i="2"/>
  <c r="I27" i="2"/>
  <c r="F24" i="2"/>
  <c r="G22" i="2"/>
  <c r="H21" i="2"/>
  <c r="I19" i="2"/>
  <c r="I33" i="2"/>
  <c r="G29" i="2"/>
  <c r="G28" i="2"/>
  <c r="I25" i="2"/>
  <c r="G21" i="2"/>
  <c r="H19" i="2"/>
  <c r="H29" i="2"/>
  <c r="J26" i="2"/>
  <c r="G23" i="2"/>
  <c r="I20" i="2"/>
  <c r="I26" i="2"/>
  <c r="G20" i="2"/>
  <c r="AC9" i="6"/>
  <c r="AC22" i="6" s="1"/>
  <c r="AC23" i="6" s="1"/>
  <c r="L4" i="10"/>
  <c r="X10" i="9"/>
  <c r="X11" i="9" s="1"/>
  <c r="V10" i="9"/>
  <c r="V11" i="9" s="1"/>
  <c r="AQ10" i="9"/>
  <c r="AQ11" i="9" s="1"/>
  <c r="G10" i="9"/>
  <c r="G11" i="9" s="1"/>
  <c r="AB10" i="9"/>
  <c r="AB11" i="9" s="1"/>
  <c r="AG10" i="9"/>
  <c r="AG11" i="9" s="1"/>
  <c r="N12" i="7"/>
  <c r="N10" i="7"/>
  <c r="N8" i="7"/>
  <c r="N6" i="7"/>
  <c r="N9" i="7"/>
  <c r="N7" i="7"/>
  <c r="N11" i="7"/>
  <c r="P40" i="9"/>
  <c r="P41" i="9" s="1"/>
  <c r="O16" i="9"/>
  <c r="O17" i="9" s="1"/>
  <c r="X22" i="6"/>
  <c r="X23" i="6" s="1"/>
  <c r="AD10" i="6"/>
  <c r="AD11" i="6" s="1"/>
  <c r="Z9" i="6"/>
  <c r="Z10" i="6" s="1"/>
  <c r="Z11" i="6" s="1"/>
  <c r="AP10" i="6"/>
  <c r="AP11" i="6" s="1"/>
  <c r="AE10" i="9"/>
  <c r="AE11" i="9" s="1"/>
  <c r="O10" i="9"/>
  <c r="O11" i="9" s="1"/>
  <c r="M12" i="7"/>
  <c r="M11" i="7"/>
  <c r="M9" i="7"/>
  <c r="M7" i="7"/>
  <c r="M10" i="7"/>
  <c r="M6" i="7"/>
  <c r="M8" i="7"/>
  <c r="F23" i="12"/>
  <c r="F21" i="12"/>
  <c r="F19" i="12"/>
  <c r="F17" i="12"/>
  <c r="F15" i="12"/>
  <c r="F13" i="12"/>
  <c r="F11" i="12"/>
  <c r="F9" i="12"/>
  <c r="F7" i="12"/>
  <c r="F18" i="12"/>
  <c r="F10" i="12"/>
  <c r="F14" i="12"/>
  <c r="F12" i="12"/>
  <c r="F8" i="12"/>
  <c r="F22" i="12"/>
  <c r="F20" i="12"/>
  <c r="F16" i="12"/>
  <c r="F24" i="12"/>
  <c r="F6" i="12"/>
  <c r="Z32" i="11"/>
  <c r="Z33" i="11" s="1"/>
  <c r="X26" i="11"/>
  <c r="X27" i="11" s="1"/>
  <c r="P20" i="11"/>
  <c r="P21" i="11" s="1"/>
  <c r="Z8" i="11"/>
  <c r="Z9" i="11" s="1"/>
  <c r="D22" i="9"/>
  <c r="D23" i="9" s="1"/>
  <c r="D34" i="9"/>
  <c r="D35" i="9" s="1"/>
  <c r="D16" i="9"/>
  <c r="D17" i="9" s="1"/>
  <c r="D28" i="9"/>
  <c r="D29" i="9" s="1"/>
  <c r="D40" i="9"/>
  <c r="D41" i="9" s="1"/>
  <c r="T28" i="9"/>
  <c r="T29" i="9" s="1"/>
  <c r="T22" i="9"/>
  <c r="T23" i="9" s="1"/>
  <c r="T40" i="9"/>
  <c r="T41" i="9" s="1"/>
  <c r="T34" i="9"/>
  <c r="T35" i="9" s="1"/>
  <c r="T16" i="9"/>
  <c r="T17" i="9" s="1"/>
  <c r="N23" i="12"/>
  <c r="N21" i="12"/>
  <c r="N19" i="12"/>
  <c r="N17" i="12"/>
  <c r="N15" i="12"/>
  <c r="N13" i="12"/>
  <c r="N11" i="12"/>
  <c r="N9" i="12"/>
  <c r="N7" i="12"/>
  <c r="N22" i="12"/>
  <c r="N14" i="12"/>
  <c r="N6" i="12"/>
  <c r="N20" i="12"/>
  <c r="N16" i="12"/>
  <c r="N10" i="12"/>
  <c r="N24" i="12"/>
  <c r="N18" i="12"/>
  <c r="N12" i="12"/>
  <c r="N8" i="12"/>
  <c r="J14" i="11"/>
  <c r="J15" i="11" s="1"/>
  <c r="J20" i="11"/>
  <c r="J21" i="11" s="1"/>
  <c r="X32" i="11"/>
  <c r="X33" i="11" s="1"/>
  <c r="X8" i="11"/>
  <c r="X9" i="11" s="1"/>
  <c r="AO40" i="9"/>
  <c r="AO41" i="9" s="1"/>
  <c r="AO28" i="9"/>
  <c r="AO29" i="9" s="1"/>
  <c r="AO22" i="9"/>
  <c r="AO23" i="9" s="1"/>
  <c r="AO34" i="9"/>
  <c r="AO35" i="9" s="1"/>
  <c r="AO16" i="9"/>
  <c r="AO17" i="9" s="1"/>
  <c r="S40" i="9"/>
  <c r="S41" i="9" s="1"/>
  <c r="S34" i="9"/>
  <c r="S35" i="9" s="1"/>
  <c r="S28" i="9"/>
  <c r="S29" i="9" s="1"/>
  <c r="S22" i="9"/>
  <c r="S23" i="9" s="1"/>
  <c r="S16" i="9"/>
  <c r="S17" i="9" s="1"/>
  <c r="H16" i="9"/>
  <c r="H17" i="9" s="1"/>
  <c r="X34" i="9"/>
  <c r="X35" i="9" s="1"/>
  <c r="X40" i="9"/>
  <c r="X41" i="9" s="1"/>
  <c r="X16" i="9"/>
  <c r="X17" i="9" s="1"/>
  <c r="X22" i="9"/>
  <c r="X23" i="9" s="1"/>
  <c r="X28" i="9"/>
  <c r="X29" i="9" s="1"/>
  <c r="AN34" i="9"/>
  <c r="AN35" i="9" s="1"/>
  <c r="AN40" i="9"/>
  <c r="AN41" i="9" s="1"/>
  <c r="AN28" i="9"/>
  <c r="AN29" i="9" s="1"/>
  <c r="AN22" i="9"/>
  <c r="AN23" i="9" s="1"/>
  <c r="AN16" i="9"/>
  <c r="AN17" i="9" s="1"/>
  <c r="P10" i="6"/>
  <c r="P11" i="6" s="1"/>
  <c r="R28" i="9"/>
  <c r="R29" i="9" s="1"/>
  <c r="G40" i="9"/>
  <c r="G41" i="9" s="1"/>
  <c r="P9" i="9"/>
  <c r="P34" i="9" s="1"/>
  <c r="P35" i="9" s="1"/>
  <c r="K22" i="9"/>
  <c r="K23" i="9" s="1"/>
  <c r="E22" i="9"/>
  <c r="E23" i="9" s="1"/>
  <c r="H9" i="9"/>
  <c r="H10" i="9" s="1"/>
  <c r="H11" i="9" s="1"/>
  <c r="AC22" i="9"/>
  <c r="AC23" i="9" s="1"/>
  <c r="I9" i="9"/>
  <c r="I28" i="9" s="1"/>
  <c r="I29" i="9" s="1"/>
  <c r="AD9" i="9"/>
  <c r="AD28" i="9" s="1"/>
  <c r="AD29" i="9" s="1"/>
  <c r="AE40" i="9"/>
  <c r="AE41" i="9" s="1"/>
  <c r="AQ22" i="9"/>
  <c r="AQ23" i="9" s="1"/>
  <c r="AA34" i="9"/>
  <c r="AA35" i="9" s="1"/>
  <c r="F28" i="9"/>
  <c r="F29" i="9" s="1"/>
  <c r="M9" i="6"/>
  <c r="M34" i="6" s="1"/>
  <c r="M35" i="6" s="1"/>
  <c r="AM10" i="6"/>
  <c r="AM11" i="6" s="1"/>
  <c r="K10" i="6"/>
  <c r="K11" i="6" s="1"/>
  <c r="AK34" i="9"/>
  <c r="AK35" i="9" s="1"/>
  <c r="V28" i="9"/>
  <c r="V29" i="9" s="1"/>
  <c r="O22" i="9"/>
  <c r="O23" i="9" s="1"/>
  <c r="Y9" i="6"/>
  <c r="Y28" i="6" s="1"/>
  <c r="Y29" i="6" s="1"/>
  <c r="H35" i="3"/>
  <c r="H31" i="3"/>
  <c r="H27" i="3"/>
  <c r="H23" i="3"/>
  <c r="H34" i="3"/>
  <c r="H30" i="3"/>
  <c r="H22" i="3"/>
  <c r="H36" i="3"/>
  <c r="H32" i="3"/>
  <c r="H28" i="3"/>
  <c r="H24" i="3"/>
  <c r="H25" i="3"/>
  <c r="H21" i="3"/>
  <c r="H37" i="3"/>
  <c r="H33" i="3"/>
  <c r="H29" i="3"/>
  <c r="H26" i="3"/>
  <c r="T40" i="6"/>
  <c r="T41" i="6" s="1"/>
  <c r="T34" i="6"/>
  <c r="T35" i="6" s="1"/>
  <c r="T28" i="6"/>
  <c r="T29" i="6" s="1"/>
  <c r="T16" i="6"/>
  <c r="T17" i="6" s="1"/>
  <c r="T22" i="6"/>
  <c r="T23" i="6" s="1"/>
  <c r="AK34" i="6"/>
  <c r="AK35" i="6" s="1"/>
  <c r="O40" i="6"/>
  <c r="O41" i="6" s="1"/>
  <c r="O34" i="6"/>
  <c r="O35" i="6" s="1"/>
  <c r="O28" i="6"/>
  <c r="O29" i="6" s="1"/>
  <c r="O16" i="6"/>
  <c r="O17" i="6" s="1"/>
  <c r="O22" i="6"/>
  <c r="O23" i="6" s="1"/>
  <c r="AE40" i="6"/>
  <c r="AE41" i="6" s="1"/>
  <c r="AE34" i="6"/>
  <c r="AE35" i="6" s="1"/>
  <c r="AE28" i="6"/>
  <c r="AE29" i="6" s="1"/>
  <c r="AE22" i="6"/>
  <c r="AE23" i="6" s="1"/>
  <c r="AE16" i="6"/>
  <c r="AE17" i="6" s="1"/>
  <c r="P9" i="6"/>
  <c r="P34" i="6" s="1"/>
  <c r="P35" i="6" s="1"/>
  <c r="Q9" i="6"/>
  <c r="Q34" i="6" s="1"/>
  <c r="Q35" i="6" s="1"/>
  <c r="AM9" i="6"/>
  <c r="AM28" i="6" s="1"/>
  <c r="AM29" i="6" s="1"/>
  <c r="R9" i="6"/>
  <c r="R10" i="6" s="1"/>
  <c r="R11" i="6" s="1"/>
  <c r="AH9" i="6"/>
  <c r="AH10" i="6" s="1"/>
  <c r="AH11" i="6" s="1"/>
  <c r="V40" i="6"/>
  <c r="V41" i="6" s="1"/>
  <c r="V34" i="6"/>
  <c r="V35" i="6" s="1"/>
  <c r="V28" i="6"/>
  <c r="V29" i="6" s="1"/>
  <c r="V22" i="6"/>
  <c r="V23" i="6" s="1"/>
  <c r="V16" i="6"/>
  <c r="V17" i="6" s="1"/>
  <c r="AI10" i="6"/>
  <c r="AI11" i="6" s="1"/>
  <c r="AE10" i="6"/>
  <c r="AE11" i="6" s="1"/>
  <c r="J10" i="7"/>
  <c r="J8" i="7"/>
  <c r="J6" i="7"/>
  <c r="J11" i="7"/>
  <c r="J7" i="7"/>
  <c r="J9" i="7"/>
  <c r="J12" i="7"/>
  <c r="H9" i="6"/>
  <c r="H10" i="6" s="1"/>
  <c r="H11" i="6" s="1"/>
  <c r="K24" i="10"/>
  <c r="K22" i="10"/>
  <c r="K20" i="10"/>
  <c r="K18" i="10"/>
  <c r="K16" i="10"/>
  <c r="K14" i="10"/>
  <c r="K12" i="10"/>
  <c r="K10" i="10"/>
  <c r="K8" i="10"/>
  <c r="K6" i="10"/>
  <c r="K23" i="10"/>
  <c r="K19" i="10"/>
  <c r="K15" i="10"/>
  <c r="K11" i="10"/>
  <c r="K7" i="10"/>
  <c r="K17" i="10"/>
  <c r="K13" i="10"/>
  <c r="K9" i="10"/>
  <c r="K21" i="10"/>
  <c r="S10" i="9"/>
  <c r="S11" i="9" s="1"/>
  <c r="F10" i="9"/>
  <c r="F11" i="9" s="1"/>
  <c r="AA10" i="9"/>
  <c r="AA11" i="9" s="1"/>
  <c r="L10" i="9"/>
  <c r="L11" i="9" s="1"/>
  <c r="E10" i="9"/>
  <c r="E11" i="9" s="1"/>
  <c r="AK10" i="9"/>
  <c r="AK11" i="9" s="1"/>
  <c r="AJ34" i="6"/>
  <c r="AJ35" i="6" s="1"/>
  <c r="M23" i="10"/>
  <c r="M21" i="10"/>
  <c r="M19" i="10"/>
  <c r="M17" i="10"/>
  <c r="M15" i="10"/>
  <c r="M13" i="10"/>
  <c r="M11" i="10"/>
  <c r="M9" i="10"/>
  <c r="M7" i="10"/>
  <c r="M24" i="10"/>
  <c r="M22" i="10"/>
  <c r="M18" i="10"/>
  <c r="M14" i="10"/>
  <c r="M10" i="10"/>
  <c r="M6" i="10"/>
  <c r="M20" i="10"/>
  <c r="M16" i="10"/>
  <c r="M12" i="10"/>
  <c r="M8" i="10"/>
  <c r="J32" i="11"/>
  <c r="J33" i="11" s="1"/>
  <c r="AF40" i="9"/>
  <c r="AF41" i="9" s="1"/>
  <c r="AF34" i="9"/>
  <c r="AF35" i="9" s="1"/>
  <c r="AF28" i="9"/>
  <c r="AF29" i="9" s="1"/>
  <c r="AF22" i="9"/>
  <c r="AF23" i="9" s="1"/>
  <c r="AF16" i="9"/>
  <c r="AF17" i="9" s="1"/>
  <c r="AE16" i="9"/>
  <c r="AE17" i="9" s="1"/>
  <c r="L34" i="6"/>
  <c r="L35" i="6" s="1"/>
  <c r="L40" i="6"/>
  <c r="L41" i="6" s="1"/>
  <c r="L28" i="6"/>
  <c r="L29" i="6" s="1"/>
  <c r="L22" i="6"/>
  <c r="L23" i="6" s="1"/>
  <c r="L16" i="6"/>
  <c r="L17" i="6" s="1"/>
  <c r="AN9" i="6"/>
  <c r="AN40" i="6" s="1"/>
  <c r="AN41" i="6" s="1"/>
  <c r="AH40" i="6"/>
  <c r="AH41" i="6" s="1"/>
  <c r="AH34" i="6"/>
  <c r="AH35" i="6" s="1"/>
  <c r="AH28" i="6"/>
  <c r="AH29" i="6" s="1"/>
  <c r="AH16" i="6"/>
  <c r="AH17" i="6" s="1"/>
  <c r="AM40" i="6"/>
  <c r="AM41" i="6" s="1"/>
  <c r="AM34" i="6"/>
  <c r="AM35" i="6" s="1"/>
  <c r="AM16" i="6"/>
  <c r="AM17" i="6" s="1"/>
  <c r="AM22" i="6"/>
  <c r="AM23" i="6" s="1"/>
  <c r="G9" i="6"/>
  <c r="G40" i="6" s="1"/>
  <c r="G41" i="6" s="1"/>
  <c r="U10" i="6"/>
  <c r="U11" i="6" s="1"/>
  <c r="Z14" i="11"/>
  <c r="Z15" i="11" s="1"/>
  <c r="Z38" i="11"/>
  <c r="Z39" i="11" s="1"/>
  <c r="Z26" i="11"/>
  <c r="Z27" i="11" s="1"/>
  <c r="J26" i="11"/>
  <c r="J27" i="11" s="1"/>
  <c r="X14" i="11"/>
  <c r="X15" i="11" s="1"/>
  <c r="AI16" i="9"/>
  <c r="AI17" i="9" s="1"/>
  <c r="N40" i="9"/>
  <c r="N41" i="9" s="1"/>
  <c r="N16" i="9"/>
  <c r="N17" i="9" s="1"/>
  <c r="L22" i="9"/>
  <c r="L23" i="9" s="1"/>
  <c r="L16" i="9"/>
  <c r="L17" i="9" s="1"/>
  <c r="L9" i="9"/>
  <c r="L34" i="9" s="1"/>
  <c r="L35" i="9" s="1"/>
  <c r="AB34" i="9"/>
  <c r="AB35" i="9" s="1"/>
  <c r="AB28" i="9"/>
  <c r="AB29" i="9" s="1"/>
  <c r="AB22" i="9"/>
  <c r="AB23" i="9" s="1"/>
  <c r="AB16" i="9"/>
  <c r="AB17" i="9" s="1"/>
  <c r="AB40" i="9"/>
  <c r="AB41" i="9" s="1"/>
  <c r="AB10" i="6"/>
  <c r="AB11" i="6" s="1"/>
  <c r="L10" i="6"/>
  <c r="L11" i="6" s="1"/>
  <c r="K28" i="9"/>
  <c r="K29" i="9" s="1"/>
  <c r="M28" i="9"/>
  <c r="M29" i="9" s="1"/>
  <c r="M16" i="9"/>
  <c r="M17" i="9" s="1"/>
  <c r="M34" i="9"/>
  <c r="M35" i="9" s="1"/>
  <c r="N9" i="9"/>
  <c r="N10" i="9" s="1"/>
  <c r="N11" i="9" s="1"/>
  <c r="AJ9" i="9"/>
  <c r="AJ16" i="9" s="1"/>
  <c r="AJ17" i="9" s="1"/>
  <c r="AA16" i="9"/>
  <c r="AA17" i="9" s="1"/>
  <c r="E9" i="6"/>
  <c r="E22" i="6" s="1"/>
  <c r="E23" i="6" s="1"/>
  <c r="R34" i="6"/>
  <c r="R35" i="6" s="1"/>
  <c r="AG10" i="6"/>
  <c r="AG11" i="6" s="1"/>
  <c r="AK22" i="9"/>
  <c r="AK23" i="9" s="1"/>
  <c r="AD40" i="6"/>
  <c r="AD41" i="6" s="1"/>
  <c r="AD34" i="6"/>
  <c r="AD35" i="6" s="1"/>
  <c r="AD28" i="6"/>
  <c r="AD29" i="6" s="1"/>
  <c r="AD22" i="6"/>
  <c r="AD23" i="6" s="1"/>
  <c r="AD16" i="6"/>
  <c r="AD17" i="6" s="1"/>
  <c r="J10" i="6"/>
  <c r="J11" i="6" s="1"/>
  <c r="G2" i="10"/>
  <c r="G3" i="10" s="1"/>
  <c r="H2" i="10"/>
  <c r="H4" i="10" s="1"/>
  <c r="G2" i="7"/>
  <c r="G3" i="7" s="1"/>
  <c r="H2" i="7"/>
  <c r="H4" i="7" s="1"/>
  <c r="AO40" i="6"/>
  <c r="AO41" i="6" s="1"/>
  <c r="AO34" i="6"/>
  <c r="AO35" i="6" s="1"/>
  <c r="AO28" i="6"/>
  <c r="AO29" i="6" s="1"/>
  <c r="AO16" i="6"/>
  <c r="AO17" i="6" s="1"/>
  <c r="AO22" i="6"/>
  <c r="AO23" i="6" s="1"/>
  <c r="F34" i="6"/>
  <c r="F35" i="6" s="1"/>
  <c r="U22" i="6"/>
  <c r="U23" i="6" s="1"/>
  <c r="U34" i="6"/>
  <c r="U35" i="6" s="1"/>
  <c r="U40" i="6"/>
  <c r="U41" i="6" s="1"/>
  <c r="U28" i="6"/>
  <c r="U29" i="6" s="1"/>
  <c r="U16" i="6"/>
  <c r="U17" i="6" s="1"/>
  <c r="AP40" i="6"/>
  <c r="AP41" i="6" s="1"/>
  <c r="AP34" i="6"/>
  <c r="AP35" i="6" s="1"/>
  <c r="AP28" i="6"/>
  <c r="AP29" i="6" s="1"/>
  <c r="AP22" i="6"/>
  <c r="AP23" i="6" s="1"/>
  <c r="AP16" i="6"/>
  <c r="AP17" i="6" s="1"/>
  <c r="S40" i="6"/>
  <c r="S41" i="6" s="1"/>
  <c r="S34" i="6"/>
  <c r="S35" i="6" s="1"/>
  <c r="S28" i="6"/>
  <c r="S29" i="6" s="1"/>
  <c r="S22" i="6"/>
  <c r="S23" i="6" s="1"/>
  <c r="S16" i="6"/>
  <c r="S17" i="6" s="1"/>
  <c r="AI40" i="6"/>
  <c r="AI41" i="6" s="1"/>
  <c r="AI34" i="6"/>
  <c r="AI35" i="6" s="1"/>
  <c r="AI28" i="6"/>
  <c r="AI29" i="6" s="1"/>
  <c r="AI22" i="6"/>
  <c r="AI23" i="6" s="1"/>
  <c r="AI16" i="6"/>
  <c r="AI17" i="6" s="1"/>
  <c r="AD10" i="9"/>
  <c r="AD11" i="9" s="1"/>
  <c r="I9" i="6"/>
  <c r="I28" i="6" s="1"/>
  <c r="I29" i="6" s="1"/>
  <c r="W9" i="6"/>
  <c r="W28" i="6" s="1"/>
  <c r="W29" i="6" s="1"/>
  <c r="F9" i="6"/>
  <c r="F22" i="6" s="1"/>
  <c r="F23" i="6" s="1"/>
  <c r="AL9" i="6"/>
  <c r="AL22" i="6" s="1"/>
  <c r="AL23" i="6" s="1"/>
  <c r="N40" i="6"/>
  <c r="N41" i="6" s="1"/>
  <c r="N34" i="6"/>
  <c r="N35" i="6" s="1"/>
  <c r="N28" i="6"/>
  <c r="N29" i="6" s="1"/>
  <c r="N22" i="6"/>
  <c r="N23" i="6" s="1"/>
  <c r="N16" i="6"/>
  <c r="N17" i="6" s="1"/>
  <c r="O10" i="6"/>
  <c r="O11" i="6" s="1"/>
  <c r="I24" i="10"/>
  <c r="I23" i="10"/>
  <c r="I21" i="10"/>
  <c r="I19" i="10"/>
  <c r="I17" i="10"/>
  <c r="I15" i="10"/>
  <c r="I13" i="10"/>
  <c r="I11" i="10"/>
  <c r="I9" i="10"/>
  <c r="I7" i="10"/>
  <c r="I20" i="10"/>
  <c r="I16" i="10"/>
  <c r="I12" i="10"/>
  <c r="I8" i="10"/>
  <c r="I14" i="10"/>
  <c r="I10" i="10"/>
  <c r="I6" i="10"/>
  <c r="I18" i="10"/>
  <c r="I22" i="10"/>
  <c r="L11" i="7"/>
  <c r="L6" i="7"/>
  <c r="AN10" i="9"/>
  <c r="AN11" i="9" s="1"/>
  <c r="D10" i="9"/>
  <c r="D11" i="9" s="1"/>
  <c r="K10" i="9"/>
  <c r="K11" i="9" s="1"/>
  <c r="AF10" i="9"/>
  <c r="AF11" i="9" s="1"/>
  <c r="R10" i="9"/>
  <c r="R11" i="9" s="1"/>
  <c r="AM10" i="9"/>
  <c r="AM11" i="9" s="1"/>
  <c r="AO10" i="9"/>
  <c r="AO11" i="9" s="1"/>
  <c r="M10" i="6"/>
  <c r="M11" i="6" s="1"/>
  <c r="G10" i="6"/>
  <c r="G11" i="6" s="1"/>
  <c r="N4" i="10"/>
  <c r="AH28" i="9" l="1"/>
  <c r="AH29" i="9" s="1"/>
  <c r="AH40" i="9"/>
  <c r="AH41" i="9" s="1"/>
  <c r="AH22" i="9"/>
  <c r="AH23" i="9" s="1"/>
  <c r="G10" i="18"/>
  <c r="G8" i="18"/>
  <c r="G11" i="18"/>
  <c r="G9" i="18"/>
  <c r="G7" i="18"/>
  <c r="G6" i="18"/>
  <c r="L10" i="7"/>
  <c r="L12" i="7"/>
  <c r="AK10" i="6"/>
  <c r="AK11" i="6" s="1"/>
  <c r="F28" i="6"/>
  <c r="F29" i="6" s="1"/>
  <c r="R16" i="6"/>
  <c r="R17" i="6" s="1"/>
  <c r="R40" i="6"/>
  <c r="R41" i="6" s="1"/>
  <c r="N22" i="9"/>
  <c r="N23" i="9" s="1"/>
  <c r="AI22" i="9"/>
  <c r="AI23" i="9" s="1"/>
  <c r="AK40" i="6"/>
  <c r="AK41" i="6" s="1"/>
  <c r="Y34" i="6"/>
  <c r="Y35" i="6" s="1"/>
  <c r="H28" i="9"/>
  <c r="H29" i="9" s="1"/>
  <c r="G22" i="6"/>
  <c r="G23" i="6" s="1"/>
  <c r="Z40" i="6"/>
  <c r="Z41" i="6" s="1"/>
  <c r="X28" i="6"/>
  <c r="X29" i="6" s="1"/>
  <c r="M16" i="6"/>
  <c r="M17" i="6" s="1"/>
  <c r="AD34" i="9"/>
  <c r="AD35" i="9" s="1"/>
  <c r="AN22" i="6"/>
  <c r="AN23" i="6" s="1"/>
  <c r="E11" i="18"/>
  <c r="E9" i="18"/>
  <c r="E7" i="18"/>
  <c r="E6" i="18"/>
  <c r="E10" i="18"/>
  <c r="E8" i="18"/>
  <c r="Q40" i="9"/>
  <c r="Q41" i="9" s="1"/>
  <c r="N11" i="18"/>
  <c r="N9" i="18"/>
  <c r="N7" i="18"/>
  <c r="N6" i="18"/>
  <c r="N10" i="18"/>
  <c r="N8" i="18"/>
  <c r="H10" i="18"/>
  <c r="H8" i="18"/>
  <c r="H11" i="18"/>
  <c r="H9" i="18"/>
  <c r="H7" i="18"/>
  <c r="H6" i="18"/>
  <c r="Q10" i="9"/>
  <c r="Q11" i="9" s="1"/>
  <c r="Z34" i="6"/>
  <c r="Z35" i="6" s="1"/>
  <c r="M11" i="18"/>
  <c r="M9" i="18"/>
  <c r="M7" i="18"/>
  <c r="M6" i="18"/>
  <c r="M10" i="18"/>
  <c r="M8" i="18"/>
  <c r="L7" i="7"/>
  <c r="R22" i="6"/>
  <c r="R23" i="6" s="1"/>
  <c r="AI34" i="9"/>
  <c r="AI35" i="9" s="1"/>
  <c r="X10" i="6"/>
  <c r="X11" i="6" s="1"/>
  <c r="AK16" i="6"/>
  <c r="AK17" i="6" s="1"/>
  <c r="AK22" i="6"/>
  <c r="AK23" i="6" s="1"/>
  <c r="I34" i="6"/>
  <c r="I35" i="6" s="1"/>
  <c r="H40" i="9"/>
  <c r="H41" i="9" s="1"/>
  <c r="Z16" i="6"/>
  <c r="Z17" i="6" s="1"/>
  <c r="X34" i="6"/>
  <c r="X35" i="6" s="1"/>
  <c r="M40" i="6"/>
  <c r="M41" i="6" s="1"/>
  <c r="AN10" i="6"/>
  <c r="AN11" i="6" s="1"/>
  <c r="F11" i="18"/>
  <c r="F9" i="18"/>
  <c r="F7" i="18"/>
  <c r="F6" i="18"/>
  <c r="F10" i="18"/>
  <c r="F8" i="18"/>
  <c r="K10" i="18"/>
  <c r="K8" i="18"/>
  <c r="K11" i="18"/>
  <c r="K9" i="18"/>
  <c r="K7" i="18"/>
  <c r="K6" i="18"/>
  <c r="Q34" i="9"/>
  <c r="Q35" i="9" s="1"/>
  <c r="Q28" i="9"/>
  <c r="Q29" i="9" s="1"/>
  <c r="Q22" i="9"/>
  <c r="Q23" i="9" s="1"/>
  <c r="L8" i="7"/>
  <c r="F10" i="6"/>
  <c r="F11" i="6" s="1"/>
  <c r="R28" i="6"/>
  <c r="R29" i="6" s="1"/>
  <c r="AI28" i="9"/>
  <c r="AI29" i="9" s="1"/>
  <c r="AI40" i="9"/>
  <c r="AI41" i="9" s="1"/>
  <c r="AH10" i="9"/>
  <c r="AH11" i="9" s="1"/>
  <c r="P40" i="6"/>
  <c r="P41" i="6" s="1"/>
  <c r="H22" i="9"/>
  <c r="H23" i="9" s="1"/>
  <c r="H34" i="6"/>
  <c r="H35" i="6" s="1"/>
  <c r="Z22" i="6"/>
  <c r="Z23" i="6" s="1"/>
  <c r="X16" i="6"/>
  <c r="X17" i="6" s="1"/>
  <c r="P22" i="9"/>
  <c r="P23" i="9" s="1"/>
  <c r="W40" i="6"/>
  <c r="W41" i="6" s="1"/>
  <c r="AH34" i="9"/>
  <c r="AH35" i="9" s="1"/>
  <c r="L10" i="18"/>
  <c r="L8" i="18"/>
  <c r="L11" i="18"/>
  <c r="L9" i="18"/>
  <c r="L7" i="18"/>
  <c r="L6" i="18"/>
  <c r="AH16" i="9"/>
  <c r="AH17" i="9" s="1"/>
  <c r="G10" i="7"/>
  <c r="G8" i="7"/>
  <c r="G6" i="7"/>
  <c r="G12" i="7"/>
  <c r="G9" i="7"/>
  <c r="G11" i="7"/>
  <c r="G7" i="7"/>
  <c r="AL28" i="6"/>
  <c r="AL29" i="6" s="1"/>
  <c r="Q40" i="6"/>
  <c r="Q41" i="6" s="1"/>
  <c r="E23" i="10"/>
  <c r="E21" i="10"/>
  <c r="E19" i="10"/>
  <c r="E17" i="10"/>
  <c r="E15" i="10"/>
  <c r="E13" i="10"/>
  <c r="E11" i="10"/>
  <c r="E9" i="10"/>
  <c r="E7" i="10"/>
  <c r="E24" i="10"/>
  <c r="E22" i="10"/>
  <c r="E18" i="10"/>
  <c r="E14" i="10"/>
  <c r="E10" i="10"/>
  <c r="E6" i="10"/>
  <c r="E8" i="10"/>
  <c r="E20" i="10"/>
  <c r="E12" i="10"/>
  <c r="E16" i="10"/>
  <c r="AG16" i="6"/>
  <c r="AG17" i="6" s="1"/>
  <c r="Y16" i="9"/>
  <c r="Y17" i="9" s="1"/>
  <c r="H24" i="10"/>
  <c r="H23" i="10"/>
  <c r="H21" i="10"/>
  <c r="H19" i="10"/>
  <c r="H17" i="10"/>
  <c r="H15" i="10"/>
  <c r="H13" i="10"/>
  <c r="H11" i="10"/>
  <c r="H9" i="10"/>
  <c r="H7" i="10"/>
  <c r="H22" i="10"/>
  <c r="H18" i="10"/>
  <c r="H14" i="10"/>
  <c r="H10" i="10"/>
  <c r="H6" i="10"/>
  <c r="H20" i="10"/>
  <c r="H16" i="10"/>
  <c r="H12" i="10"/>
  <c r="H8" i="10"/>
  <c r="P16" i="6"/>
  <c r="P17" i="6" s="1"/>
  <c r="P22" i="6"/>
  <c r="P23" i="6" s="1"/>
  <c r="I16" i="6"/>
  <c r="I17" i="6" s="1"/>
  <c r="I40" i="6"/>
  <c r="I41" i="6" s="1"/>
  <c r="AL34" i="6"/>
  <c r="AL35" i="6" s="1"/>
  <c r="Y22" i="6"/>
  <c r="Y23" i="6" s="1"/>
  <c r="Y40" i="6"/>
  <c r="Y41" i="6" s="1"/>
  <c r="P10" i="9"/>
  <c r="P11" i="9" s="1"/>
  <c r="H16" i="6"/>
  <c r="H17" i="6" s="1"/>
  <c r="H40" i="6"/>
  <c r="H41" i="6" s="1"/>
  <c r="G28" i="6"/>
  <c r="G29" i="6" s="1"/>
  <c r="M22" i="6"/>
  <c r="M23" i="6" s="1"/>
  <c r="Y10" i="6"/>
  <c r="Y11" i="6" s="1"/>
  <c r="P16" i="9"/>
  <c r="P17" i="9" s="1"/>
  <c r="AD16" i="9"/>
  <c r="AD17" i="9" s="1"/>
  <c r="AD40" i="9"/>
  <c r="AD41" i="9" s="1"/>
  <c r="AC34" i="6"/>
  <c r="AC35" i="6" s="1"/>
  <c r="Q16" i="6"/>
  <c r="Q17" i="6" s="1"/>
  <c r="F22" i="10"/>
  <c r="F20" i="10"/>
  <c r="F18" i="10"/>
  <c r="F16" i="10"/>
  <c r="F14" i="10"/>
  <c r="F12" i="10"/>
  <c r="F10" i="10"/>
  <c r="F8" i="10"/>
  <c r="F6" i="10"/>
  <c r="F23" i="10"/>
  <c r="F19" i="10"/>
  <c r="F15" i="10"/>
  <c r="F11" i="10"/>
  <c r="F7" i="10"/>
  <c r="F21" i="10"/>
  <c r="F17" i="10"/>
  <c r="F13" i="10"/>
  <c r="F9" i="10"/>
  <c r="F24" i="10"/>
  <c r="D28" i="6"/>
  <c r="D29" i="6" s="1"/>
  <c r="AG28" i="6"/>
  <c r="AG29" i="6" s="1"/>
  <c r="AJ28" i="9"/>
  <c r="AJ29" i="9" s="1"/>
  <c r="Y28" i="9"/>
  <c r="Y29" i="9" s="1"/>
  <c r="W16" i="6"/>
  <c r="W17" i="6" s="1"/>
  <c r="W22" i="6"/>
  <c r="W23" i="6" s="1"/>
  <c r="E34" i="6"/>
  <c r="E35" i="6" s="1"/>
  <c r="AN28" i="6"/>
  <c r="AN29" i="6" s="1"/>
  <c r="I22" i="9"/>
  <c r="I23" i="9" s="1"/>
  <c r="I40" i="9"/>
  <c r="I41" i="9" s="1"/>
  <c r="AL10" i="6"/>
  <c r="AL11" i="6" s="1"/>
  <c r="Q10" i="6"/>
  <c r="Q11" i="6" s="1"/>
  <c r="AC28" i="6"/>
  <c r="AC29" i="6" s="1"/>
  <c r="Q22" i="6"/>
  <c r="Q23" i="6" s="1"/>
  <c r="AG34" i="6"/>
  <c r="AG35" i="6" s="1"/>
  <c r="AJ40" i="9"/>
  <c r="AJ41" i="9" s="1"/>
  <c r="Y40" i="9"/>
  <c r="Y41" i="9" s="1"/>
  <c r="I34" i="9"/>
  <c r="I35" i="9" s="1"/>
  <c r="F16" i="6"/>
  <c r="F17" i="6" s="1"/>
  <c r="F40" i="6"/>
  <c r="F41" i="6" s="1"/>
  <c r="L28" i="9"/>
  <c r="L29" i="9" s="1"/>
  <c r="N28" i="9"/>
  <c r="N29" i="9" s="1"/>
  <c r="N24" i="10"/>
  <c r="N23" i="10"/>
  <c r="N22" i="10"/>
  <c r="N20" i="10"/>
  <c r="N18" i="10"/>
  <c r="N16" i="10"/>
  <c r="N14" i="10"/>
  <c r="N12" i="10"/>
  <c r="N10" i="10"/>
  <c r="N8" i="10"/>
  <c r="N6" i="10"/>
  <c r="N19" i="10"/>
  <c r="N15" i="10"/>
  <c r="N11" i="10"/>
  <c r="N7" i="10"/>
  <c r="N21" i="10"/>
  <c r="N17" i="10"/>
  <c r="N13" i="10"/>
  <c r="N9" i="10"/>
  <c r="Y10" i="9"/>
  <c r="Y11" i="9" s="1"/>
  <c r="AC10" i="6"/>
  <c r="AC11" i="6" s="1"/>
  <c r="G24" i="10"/>
  <c r="G22" i="10"/>
  <c r="G20" i="10"/>
  <c r="G18" i="10"/>
  <c r="G16" i="10"/>
  <c r="G14" i="10"/>
  <c r="G12" i="10"/>
  <c r="G10" i="10"/>
  <c r="G8" i="10"/>
  <c r="G6" i="10"/>
  <c r="G21" i="10"/>
  <c r="G17" i="10"/>
  <c r="G13" i="10"/>
  <c r="G9" i="10"/>
  <c r="G11" i="10"/>
  <c r="G23" i="10"/>
  <c r="G7" i="10"/>
  <c r="G19" i="10"/>
  <c r="G15" i="10"/>
  <c r="L40" i="9"/>
  <c r="L41" i="9" s="1"/>
  <c r="N34" i="9"/>
  <c r="N35" i="9" s="1"/>
  <c r="AH22" i="6"/>
  <c r="AH23" i="6" s="1"/>
  <c r="E10" i="6"/>
  <c r="E11" i="6" s="1"/>
  <c r="I10" i="6"/>
  <c r="I11" i="6" s="1"/>
  <c r="P28" i="6"/>
  <c r="P29" i="6" s="1"/>
  <c r="I22" i="6"/>
  <c r="I23" i="6" s="1"/>
  <c r="AL16" i="6"/>
  <c r="AL17" i="6" s="1"/>
  <c r="AL40" i="6"/>
  <c r="AL41" i="6" s="1"/>
  <c r="Y16" i="6"/>
  <c r="Y17" i="6" s="1"/>
  <c r="H34" i="9"/>
  <c r="H35" i="9" s="1"/>
  <c r="H22" i="6"/>
  <c r="H23" i="6" s="1"/>
  <c r="G34" i="6"/>
  <c r="G35" i="6" s="1"/>
  <c r="Z28" i="6"/>
  <c r="Z29" i="6" s="1"/>
  <c r="M28" i="6"/>
  <c r="M29" i="6" s="1"/>
  <c r="P28" i="9"/>
  <c r="P29" i="9" s="1"/>
  <c r="AD22" i="9"/>
  <c r="AD23" i="9" s="1"/>
  <c r="AC16" i="6"/>
  <c r="AC17" i="6" s="1"/>
  <c r="AC40" i="6"/>
  <c r="AC41" i="6" s="1"/>
  <c r="Q28" i="6"/>
  <c r="Q29" i="6" s="1"/>
  <c r="F10" i="7"/>
  <c r="F8" i="7"/>
  <c r="F6" i="7"/>
  <c r="F12" i="7"/>
  <c r="F9" i="7"/>
  <c r="F11" i="7"/>
  <c r="F7" i="7"/>
  <c r="D34" i="6"/>
  <c r="D35" i="6" s="1"/>
  <c r="AG40" i="6"/>
  <c r="AG41" i="6" s="1"/>
  <c r="D10" i="6"/>
  <c r="D11" i="6" s="1"/>
  <c r="AJ34" i="9"/>
  <c r="AJ35" i="9" s="1"/>
  <c r="Y22" i="9"/>
  <c r="Y23" i="9" s="1"/>
  <c r="W34" i="6"/>
  <c r="W35" i="6" s="1"/>
  <c r="E16" i="6"/>
  <c r="E17" i="6" s="1"/>
  <c r="E40" i="6"/>
  <c r="E41" i="6" s="1"/>
  <c r="AN34" i="6"/>
  <c r="AN35" i="6" s="1"/>
  <c r="I16" i="9"/>
  <c r="I17" i="9" s="1"/>
  <c r="I10" i="9"/>
  <c r="I11" i="9" s="1"/>
  <c r="H12" i="7"/>
  <c r="H11" i="7"/>
  <c r="H9" i="7"/>
  <c r="H7" i="7"/>
  <c r="H8" i="7"/>
  <c r="H6" i="7"/>
  <c r="H10" i="7"/>
  <c r="AJ10" i="9"/>
  <c r="AJ11" i="9" s="1"/>
  <c r="H28" i="6"/>
  <c r="H29" i="6" s="1"/>
  <c r="G16" i="6"/>
  <c r="G17" i="6" s="1"/>
  <c r="L23" i="10"/>
  <c r="L21" i="10"/>
  <c r="L19" i="10"/>
  <c r="L17" i="10"/>
  <c r="L15" i="10"/>
  <c r="L13" i="10"/>
  <c r="L11" i="10"/>
  <c r="L9" i="10"/>
  <c r="L7" i="10"/>
  <c r="L20" i="10"/>
  <c r="L16" i="10"/>
  <c r="L12" i="10"/>
  <c r="L8" i="10"/>
  <c r="L24" i="10"/>
  <c r="L22" i="10"/>
  <c r="L18" i="10"/>
  <c r="L14" i="10"/>
  <c r="L10" i="10"/>
  <c r="L6" i="10"/>
  <c r="W10" i="6"/>
  <c r="W11" i="6" s="1"/>
  <c r="E12" i="7"/>
  <c r="E11" i="7"/>
  <c r="E9" i="7"/>
  <c r="E7" i="7"/>
  <c r="E10" i="7"/>
  <c r="E6" i="7"/>
  <c r="E8" i="7"/>
  <c r="D22" i="6"/>
  <c r="D23" i="6" s="1"/>
  <c r="AJ22" i="9"/>
  <c r="AJ23" i="9" s="1"/>
  <c r="AN16" i="6"/>
  <c r="AN17" i="6" s="1"/>
</calcChain>
</file>

<file path=xl/sharedStrings.xml><?xml version="1.0" encoding="utf-8"?>
<sst xmlns="http://schemas.openxmlformats.org/spreadsheetml/2006/main" count="760" uniqueCount="524">
  <si>
    <t>iaiaGi - Kevin - Design worksheets</t>
  </si>
  <si>
    <t>Key Parameters entry sheet</t>
  </si>
  <si>
    <t>Parameter</t>
  </si>
  <si>
    <t>Unit</t>
  </si>
  <si>
    <t>Value</t>
  </si>
  <si>
    <t>Vehicle Reference Weight</t>
  </si>
  <si>
    <t>Kg</t>
  </si>
  <si>
    <t>Lbs</t>
  </si>
  <si>
    <t>Transmission Ratios</t>
  </si>
  <si>
    <t>1st</t>
  </si>
  <si>
    <t>2nd</t>
  </si>
  <si>
    <t>3rd</t>
  </si>
  <si>
    <t>4th</t>
  </si>
  <si>
    <t>5th</t>
  </si>
  <si>
    <t>Differential Ratio</t>
  </si>
  <si>
    <t>Tires size</t>
  </si>
  <si>
    <t>Section Width</t>
  </si>
  <si>
    <t>mm</t>
  </si>
  <si>
    <t>Sidewall aspect ratio</t>
  </si>
  <si>
    <t>%</t>
  </si>
  <si>
    <t>Tire and wheel diameter R</t>
  </si>
  <si>
    <t>in</t>
  </si>
  <si>
    <t>Aerodynamics</t>
  </si>
  <si>
    <t>Vehicle Front Area</t>
  </si>
  <si>
    <t>m^2</t>
  </si>
  <si>
    <t>Air density at 0 m and 15° C</t>
  </si>
  <si>
    <t>Kg/m^3</t>
  </si>
  <si>
    <t>Vehicle coefficient of drag Cd</t>
  </si>
  <si>
    <t>Relative wind speed at 0 m and 15° C</t>
  </si>
  <si>
    <t>Km/h</t>
  </si>
  <si>
    <t>Coefficient of relative wind Crw</t>
  </si>
  <si>
    <t>Drivetrain efficiency</t>
  </si>
  <si>
    <t>a (in Kmh/s)</t>
  </si>
  <si>
    <t>a’=a*9,80665/35,30394</t>
  </si>
  <si>
    <t>Fa (in Newton) Ci High gear</t>
  </si>
  <si>
    <t>Fa (in Newton) Ci Fourth gear</t>
  </si>
  <si>
    <t>Fa (in Newton) Ci Third gear</t>
  </si>
  <si>
    <t>Fa (in Newton) Ci Second gear</t>
  </si>
  <si>
    <t>Fa (in Newton) Ci First gear</t>
  </si>
  <si>
    <t>Reference Weight W (Kg)</t>
  </si>
  <si>
    <t>a (in mph/sec)</t>
  </si>
  <si>
    <t>a’ = a/21,93685</t>
  </si>
  <si>
    <t>Fa (in pounds) Ci High gear</t>
  </si>
  <si>
    <t>Fa (in pounds) Ci Fourth gear</t>
  </si>
  <si>
    <t>Fa (in pounds) Ci Third gear</t>
  </si>
  <si>
    <t>Fa (in pounds) Ci Second gear</t>
  </si>
  <si>
    <t>Fa (in pounds) Ci First gear</t>
  </si>
  <si>
    <t>Reference Weight W (lb)</t>
  </si>
  <si>
    <t>Degree of incline %</t>
  </si>
  <si>
    <t>Incline angle ø (deg)</t>
  </si>
  <si>
    <t>Incline angle ø (sec)</t>
  </si>
  <si>
    <t>sin ø</t>
  </si>
  <si>
    <t>Fh (in Newton)</t>
  </si>
  <si>
    <t>a (in Kmh/sec)</t>
  </si>
  <si>
    <t>Fh (in punds)</t>
  </si>
  <si>
    <t>Aerodinamic shape</t>
  </si>
  <si>
    <t>Forma aerodinamica</t>
  </si>
  <si>
    <t>More streamlining</t>
  </si>
  <si>
    <t>Cd \ Cr (Coefficiente di resistenza)</t>
  </si>
  <si>
    <t>Vehicle type</t>
  </si>
  <si>
    <t>Tipo di veicolo</t>
  </si>
  <si>
    <t>Late 1980s typical Cd \ Cr tipico di automobili dei tardi anni ‘80</t>
  </si>
  <si>
    <t>Flat plate</t>
  </si>
  <si>
    <t>Superficie piatta</t>
  </si>
  <si>
    <t>Cars</t>
  </si>
  <si>
    <t>Automobili</t>
  </si>
  <si>
    <t>0.30 to 0.35</t>
  </si>
  <si>
    <t>Hemisphere-cupped</t>
  </si>
  <si>
    <t>Semisfera concava</t>
  </si>
  <si>
    <t>Vans</t>
  </si>
  <si>
    <t>Furgoni</t>
  </si>
  <si>
    <t>0.33 to 0.35</t>
  </si>
  <si>
    <t>1920s Ford sedan</t>
  </si>
  <si>
    <t>Ford sedan del 1920</t>
  </si>
  <si>
    <t>Pickup trucks</t>
  </si>
  <si>
    <t>Autocarri leggeri</t>
  </si>
  <si>
    <t>0.42 to 0.46</t>
  </si>
  <si>
    <t>1960s car</t>
  </si>
  <si>
    <t>Automobile del 1960</t>
  </si>
  <si>
    <t>Today’s van</t>
  </si>
  <si>
    <t>Furgone di oggi</t>
  </si>
  <si>
    <t>Hemisphere-smooth</t>
  </si>
  <si>
    <t>Semisfera convessa</t>
  </si>
  <si>
    <t>Today’s Ford Taurus</t>
  </si>
  <si>
    <t>Ford Taurus di oggi (modello USA)</t>
  </si>
  <si>
    <t>Airfoil</t>
  </si>
  <si>
    <t>Profilo alare</t>
  </si>
  <si>
    <t>The table below refers to a 1970s car / La tabella sottostante fa riferimento ad un'automobile degli anni '70</t>
  </si>
  <si>
    <t>Car Area</t>
  </si>
  <si>
    <t>Sezione del Veicolo</t>
  </si>
  <si>
    <t>Cd Value / Valore Cr</t>
  </si>
  <si>
    <t>Percentage of total / Percentuale rispetto al totale</t>
  </si>
  <si>
    <t>Body-Rear</t>
  </si>
  <si>
    <t>Parte posteriore (Coda)</t>
  </si>
  <si>
    <t>Wheel wells</t>
  </si>
  <si>
    <t>Passaruota</t>
  </si>
  <si>
    <t>Budy-Under</t>
  </si>
  <si>
    <t>Sottoscocca</t>
  </si>
  <si>
    <t>Body-Front</t>
  </si>
  <si>
    <t>Parte frontale (Muso)</t>
  </si>
  <si>
    <t>Projections and indentations</t>
  </si>
  <si>
    <t>Rientranze e sporgenze</t>
  </si>
  <si>
    <t>Engine compartment</t>
  </si>
  <si>
    <t>Vano motore</t>
  </si>
  <si>
    <t>Body-Skin friction</t>
  </si>
  <si>
    <t>Frizione superficie carrozzeria</t>
  </si>
  <si>
    <t>Total</t>
  </si>
  <si>
    <t>Totale</t>
  </si>
  <si>
    <t>Crw at average / Crw al valore medio di velocità del</t>
  </si>
  <si>
    <t>Cw factor / Coefficiente Cw</t>
  </si>
  <si>
    <t>wind = 7,5 mph / vento = 7,5 mph</t>
  </si>
  <si>
    <t>at V=5 mph / a v=8 Km/h</t>
  </si>
  <si>
    <t>at V=10 mph / a v=16 Km/h</t>
  </si>
  <si>
    <t>at V=20 mpth / a v=32 Km/h</t>
  </si>
  <si>
    <t>at V=30 mph / a v=48 Km/h</t>
  </si>
  <si>
    <t>at V=45 mph / a v=72 Km/h</t>
  </si>
  <si>
    <t>at V=60 mph / a v=96 Km/h</t>
  </si>
  <si>
    <t>at V=75 mph / a v=120 Km/h</t>
  </si>
  <si>
    <t>1,2 streamlined vehicle / veicolo aerodinamico</t>
  </si>
  <si>
    <t>1,4 average sedan / berlina media</t>
  </si>
  <si>
    <t>1,6 vehicles with turbolence /veicoli con turbolenza</t>
  </si>
  <si>
    <t>Drag force number (lb)/ Valore della forza opposta dalla resistenza (lb)</t>
  </si>
  <si>
    <t>Vehicle / Veicolo</t>
  </si>
  <si>
    <t>Cd / Cr</t>
  </si>
  <si>
    <t>A (ft^2)</t>
  </si>
  <si>
    <t>S (m^2)</t>
  </si>
  <si>
    <t>V = 5 mph / v = 8 Km/h</t>
  </si>
  <si>
    <t>V = 10 mph / v = 16 Km/h</t>
  </si>
  <si>
    <t>V = 20 mph / v = 32 Km/h</t>
  </si>
  <si>
    <t>V = 30 mph / v = 48 Km/h</t>
  </si>
  <si>
    <t>V = 45 mph / v = 72 Km/h</t>
  </si>
  <si>
    <t>V = 60 mph / v = 96 Km/h</t>
  </si>
  <si>
    <t>V = 75 mph / v = 120 Km/h</t>
  </si>
  <si>
    <t>Small car / Automobile compatta</t>
  </si>
  <si>
    <t>Large car / Automobile ammiraglia</t>
  </si>
  <si>
    <t>Van / Furgone</t>
  </si>
  <si>
    <t>Small pickup / Furgone scoperto</t>
  </si>
  <si>
    <t>Roadster / Decappottabile</t>
  </si>
  <si>
    <t>Shape rear airflow / convoglia i flussi d'aria posteriori</t>
  </si>
  <si>
    <t>Shape wheel well and underbody airflow / convoglia i flussi d'aria dei passaruota e del sottoscocca</t>
  </si>
  <si>
    <t>Block and/or shape front airflow / blocca e/o convoglia i flussi d'aria sul frontale</t>
  </si>
  <si>
    <t>Roll with the road / riduci il rotolamento sulla strada</t>
  </si>
  <si>
    <t>Surface type / Tipo di superficie</t>
  </si>
  <si>
    <t>Rolling resistance factor / Fattore di resistenza al rotolamento</t>
  </si>
  <si>
    <t>Hard surface (concrete) / Superficie dura (cemento)</t>
  </si>
  <si>
    <t>Medium-hard surface / Superficie medio-dura</t>
  </si>
  <si>
    <t>Soft surface / Superficie morbida (sabbia)</t>
  </si>
  <si>
    <t>Pay attention to your tires / Presta attenzione alle tue gomme</t>
  </si>
  <si>
    <t>Use radial tires / Usa delle gomme radiali</t>
  </si>
  <si>
    <t>Use high tire inflation pressure if you can / Gonfia ad alte pressioni se puoi</t>
  </si>
  <si>
    <t>Brake drag an  steering scuff add to rolling resistence / La resistenza dei freni ed il disallineamento delle ruote aumenta la resistenza al rotolamento</t>
  </si>
  <si>
    <t>Brake drag coefficient (constant) / Coefficiente resistenza freni (costante)</t>
  </si>
  <si>
    <t>Steering/suspension drag factor (constant) / Coefficiente resistenza sospensioni/sterzo (costante)</t>
  </si>
  <si>
    <t>Car weight (kg) / Peso veicolo (kg)</t>
  </si>
  <si>
    <t>Drag force value (lb) / Valore della resistenza (lb)</t>
  </si>
  <si>
    <t>Wind factor / Coefficiente vento</t>
  </si>
  <si>
    <t>Rolling resistance factor/ Fattore resistenza al rotolamento</t>
  </si>
  <si>
    <t>Rolling resistance (lb) / Reistenza al rotolamento (lb)</t>
  </si>
  <si>
    <t>Aerodinamic force (Drag) (lb) / Forza aerodinamica (Resistenza) (lb)</t>
  </si>
  <si>
    <t>Aerodinamic force (Drag) (N) / Forza aerodinamica (Resistenza) (N)</t>
  </si>
  <si>
    <t>Rolling resistance (Kg) / Reistenza al rotolamento (N)</t>
  </si>
  <si>
    <t>Drivetrain type /Tipo di trasmissione</t>
  </si>
  <si>
    <t>Manual transmission / Trasmissione manuale</t>
  </si>
  <si>
    <t>Driveshaft / Albero di trasmissione</t>
  </si>
  <si>
    <t>Differential drive / Differenziale</t>
  </si>
  <si>
    <t>Drive axle / Semiasse</t>
  </si>
  <si>
    <t>Overall efficiency / Efficienza complessiva</t>
  </si>
  <si>
    <t>Front wheel drive / Trazione anteriore</t>
  </si>
  <si>
    <t>not required / non necessario</t>
  </si>
  <si>
    <t>Rear wheel drive / Trazione posteriore</t>
  </si>
  <si>
    <t>Transmission Gear / Marcia</t>
  </si>
  <si>
    <t>1989 Taurus SHO Overall / Rapporto di trasmissione totale Taurus SHO del 1989</t>
  </si>
  <si>
    <t>Average Model transmission / Rapporto di trasmissione della Average Model</t>
  </si>
  <si>
    <t>Ratio to next gear / Rapporto rispetto alla marcia successiva</t>
  </si>
  <si>
    <t>Average Model differential / Rapporto di trasmissione al differenziale della Average Model</t>
  </si>
  <si>
    <t>Average Model Overall / Rapporto di trasmissione totale della Average Model</t>
  </si>
  <si>
    <t>1st / 1 - Prima</t>
  </si>
  <si>
    <t>2nd / 2 - Seconda</t>
  </si>
  <si>
    <t>3rd / 3 - Terza</t>
  </si>
  <si>
    <t>4th / 4 - Quarta</t>
  </si>
  <si>
    <t>5th / 5 - Quinta</t>
  </si>
  <si>
    <t>N/A</t>
  </si>
  <si>
    <t>Use lighter viscosity lubricant in your transmission when EV / Utilizzare olio lubrificante a più bassa viscosità per lubrificare la trasmissione quando l'auto è convertita ad elettrico</t>
  </si>
  <si>
    <t>Design your EV / Progettate la vostra auto elettrica</t>
  </si>
  <si>
    <t>Torque Required - calculation tables  (IS)</t>
  </si>
  <si>
    <t>Vehicle weight W (Kg) / Massa veicolo m (Kg)</t>
  </si>
  <si>
    <t>Vehicle speed (Km/h)</t>
  </si>
  <si>
    <t>Vehicle front area A (m^2) / Superficie frontale veicolo S (m^2)</t>
  </si>
  <si>
    <t>Tire rolling resistance Cr</t>
  </si>
  <si>
    <t>Air density at 0 m and 15° C (Kg/m^3) / Densità dell'aria a 0 m e 15° C (kg/m^3)</t>
  </si>
  <si>
    <t>Brake and stearing resistance Cr</t>
  </si>
  <si>
    <t>Acceleration of gravity g (m/s^2) / Accelerazione di gravità g (m/s^2)</t>
  </si>
  <si>
    <t>Total rolling force (N)</t>
  </si>
  <si>
    <t>Vehicle coefficient of drag Cd / Coefficiente di penetrazione del veicolo Cr o Cx</t>
  </si>
  <si>
    <t>Still air drag force (N)</t>
  </si>
  <si>
    <t>Relative wind speed at 0 m and 15° C (Km/h) / 
Velocità del vento relativo a 0 m e 15° C (Km/h)</t>
  </si>
  <si>
    <t>Relative wind factor Cw</t>
  </si>
  <si>
    <t>Coefficient of relative wind Crw / Coefficiente del vento relativo Crw</t>
  </si>
  <si>
    <t>Relative wind drag force (N)</t>
  </si>
  <si>
    <t>Revolution per Km / Rivoluzioni per Km</t>
  </si>
  <si>
    <t>Total drag force, level (N)</t>
  </si>
  <si>
    <t>Torque multiplier / Moltiplicatore di coppia</t>
  </si>
  <si>
    <t>Total drag torque, level (N*m)</t>
  </si>
  <si>
    <t>[surface(hard) + brake + steering] drag coeefficient Cr / 
Coefficiente di resistenza Cr [superficie(dura) + freni + imbardata]</t>
  </si>
  <si>
    <t>Sin ø, ø = Arctan 5% incline</t>
  </si>
  <si>
    <t>Cos ø, ø = Arctan 5% incline</t>
  </si>
  <si>
    <t>Incline force  W*Sin ø (N)</t>
  </si>
  <si>
    <t>Rolling drag force Cr*W*Cos ø (N)</t>
  </si>
  <si>
    <t>Total drag force, 5% (N)</t>
  </si>
  <si>
    <t>Total drag torque, 5% (N*m)</t>
  </si>
  <si>
    <t>Sin ø, ø = Arctan 10% incline</t>
  </si>
  <si>
    <t>Cos ø, ø = Arctan 10% incline</t>
  </si>
  <si>
    <t>Total drag force, 10% (N)</t>
  </si>
  <si>
    <t>Total drag torque, 10% (N*m)</t>
  </si>
  <si>
    <t>Sin ø, ø = Arctan 15% incline</t>
  </si>
  <si>
    <t>Cos ø, ø = Arctan 15% incline</t>
  </si>
  <si>
    <t>Total drag force, 15% (N)</t>
  </si>
  <si>
    <t>Total drag torque, 15% (N*m)</t>
  </si>
  <si>
    <t>Sin ø, ø = Arctan 20% incline</t>
  </si>
  <si>
    <t>Cos ø, ø = Arctan 20% incline</t>
  </si>
  <si>
    <t>Total drag force, 20% (N)</t>
  </si>
  <si>
    <t>Total drag torque, 20% (N*m)</t>
  </si>
  <si>
    <t>Sin ø, ø = Arctan 25% incline</t>
  </si>
  <si>
    <t>Cos ø, ø = Arctan 25% incline</t>
  </si>
  <si>
    <t>Total drag force, 25% (N)</t>
  </si>
  <si>
    <t>Total drag torque, 25% (N*m)</t>
  </si>
  <si>
    <t>Vehicle Gear / Marcia</t>
  </si>
  <si>
    <t>1st / Prima</t>
  </si>
  <si>
    <t>2nd / Seconda</t>
  </si>
  <si>
    <t>3rd / Terza</t>
  </si>
  <si>
    <t>4th / Quarta</t>
  </si>
  <si>
    <t>5th /Quinta</t>
  </si>
  <si>
    <t>Overall gear ratio / Rapporto di trasmissione totale</t>
  </si>
  <si>
    <t>Motor torque multiplier equation (5.9) / Formula moltiplicatore coppia motore (5.9)</t>
  </si>
  <si>
    <t>RPM multiplier equation (5.10) / Formula moltiplicatore RPM (5.10)</t>
  </si>
  <si>
    <t>Current in amps, torque in N*m, vehicle speed in Km/h / Corrente in Ampere, coppia in N*m, velocità veicolo in Km/h</t>
  </si>
  <si>
    <t>Motor Current / Corrente motore</t>
  </si>
  <si>
    <t>Motor Torque / Coppia motore</t>
  </si>
  <si>
    <t>Motor RPM / RPM motore</t>
  </si>
  <si>
    <t>Wheel Torque / Coppia alla ruota</t>
  </si>
  <si>
    <t>Vehicle Speed / Velocità veicolo</t>
  </si>
  <si>
    <t>Overall drivetrain efficiency / Efficienza totale trasmissione</t>
  </si>
  <si>
    <t>Tires size / Dimensione gomme</t>
  </si>
  <si>
    <t>Section width (mm) /
Ampiezza sezione (mm)</t>
  </si>
  <si>
    <t>Sidewall aspect ratio (%) / 
Rapporto di forma fianchetto (%)</t>
  </si>
  <si>
    <t>Tire and wheel diameter R (in) / Diametro ruota e cerchione R (in)</t>
  </si>
  <si>
    <t>Dimensioning Charts</t>
  </si>
  <si>
    <t>Torque Available - calculation tables  (US system)</t>
  </si>
  <si>
    <t>Vehicle weight W (Lbs) / Massa veicolo m (Lbs)</t>
  </si>
  <si>
    <t>Vehicle front area A (ft^2) / Superficie frontale veicolo S (ft^2)</t>
  </si>
  <si>
    <t>Air density at 0 m and 15° C (Lbs/ft^3) / Densità dell'aria a 0 m e 15° C (Lbs/ft^3)</t>
  </si>
  <si>
    <t>Acceleration of gravity g (ft/s^2) / Accelerazione di gravità g (ft/s^2)</t>
  </si>
  <si>
    <t>Total rolling force (Lbs)</t>
  </si>
  <si>
    <t>Still air drag force (Lbs)</t>
  </si>
  <si>
    <t>Relative wind speed at 0 m and 15° C (mph) / 
Velocità del vento relativo a 0 m e 15° C (mph)</t>
  </si>
  <si>
    <t>Relative wind drag force (Lbs)</t>
  </si>
  <si>
    <t>Revolution per Mi / Rivoluzioni per Mi</t>
  </si>
  <si>
    <t>Total drag force, level (Lbs)</t>
  </si>
  <si>
    <t>Total drag torque, level (Lbs*ft)</t>
  </si>
  <si>
    <t>Incline force  W*Sin ø (Lbs)</t>
  </si>
  <si>
    <t>Rolling drag force Cr*W*Cos ø (Lbs)</t>
  </si>
  <si>
    <t>Total drag force, 5% (Lbs)</t>
  </si>
  <si>
    <t>Total drag torque, 5% (Lbs*ft)</t>
  </si>
  <si>
    <t>Total drag force, 10% (Lbs)</t>
  </si>
  <si>
    <t>Total drag torque, 10% (Lbs*ft)</t>
  </si>
  <si>
    <t>Total drag force, 15% (Lbs)</t>
  </si>
  <si>
    <t>Total drag torque, 15% (Lbs*ft)</t>
  </si>
  <si>
    <t>Total drag force, 20% (Lbs)</t>
  </si>
  <si>
    <t>Total drag torque, 20% (Lbs*ft)</t>
  </si>
  <si>
    <t>Total drag force, 25% (Lbs)</t>
  </si>
  <si>
    <t>Total drag torque, 25% (Lbs*ft)</t>
  </si>
  <si>
    <t>Current in amps, torque in ft*lbs, vehicle speed in MPH / Corrente in Ampere, coppia in ft*Lbs, velocità veicolo in MPH</t>
  </si>
  <si>
    <t>Vehicle weight W (lbs) / Massa veicolo m (lbs)</t>
  </si>
  <si>
    <t>Vehicle speed (mph)</t>
  </si>
  <si>
    <t>Total rolling force (lbs)</t>
  </si>
  <si>
    <t>Air density at 0 ft and 59° F (lb/ft^3) / Densità dell'aria a 0 ft e 60° F (lbs/ft^3)</t>
  </si>
  <si>
    <t>Still air drag force (lbs)</t>
  </si>
  <si>
    <t>Acceleration of gravity g (ft/sec^2) / Accelerazione di gravità g (ft/sec^2)</t>
  </si>
  <si>
    <t>Relative wind drag force (lbs)</t>
  </si>
  <si>
    <t>Total drag force, level (lbs)</t>
  </si>
  <si>
    <t>Total drag torque, level (ft*lbs)</t>
  </si>
  <si>
    <t>Relative wind speed at 0 ft and 60° F (mph) / Velocità del vento relativo a 0 ft e 60° F (mph)</t>
  </si>
  <si>
    <t>Incline force  W*Sin ø (lbs)</t>
  </si>
  <si>
    <t>Coefficient of relative wing Crw / Coefficiente del vento relativo Crw</t>
  </si>
  <si>
    <t>Rolling drag force Cr*W*Cos ø (lbs)</t>
  </si>
  <si>
    <t>Total drag force, 5% (lbs)</t>
  </si>
  <si>
    <t>Revolution per mile / Rivoluzioni per miglio</t>
  </si>
  <si>
    <t>Total drag torque, 5% (ft*lbs)</t>
  </si>
  <si>
    <t>[surface(hard) + brake + steering] drug coeefficient Cr / coefficiente di resistenza Cr [superficie(dura) + freni + imbardata]</t>
  </si>
  <si>
    <t>Total drag force, 10% (lbs)</t>
  </si>
  <si>
    <t>Total drag torque, 10% (ft*lbs)</t>
  </si>
  <si>
    <t>Section width (mm) /Ampiezza sezione (mm)</t>
  </si>
  <si>
    <t>Sidewall aspect ratio (%) / Rapporto di forma fianchetto (%)</t>
  </si>
  <si>
    <t>Total drag force, 15% (lbs)</t>
  </si>
  <si>
    <t>Total drag torque, 15% (ft*lbs)</t>
  </si>
  <si>
    <t>Total drag force, 20% (lbs)</t>
  </si>
  <si>
    <t>Total drag torque, 20% (ft*lbs)</t>
  </si>
  <si>
    <t>Total drag force, 25% (lbs)</t>
  </si>
  <si>
    <t>Total drag torque, 25% (ft*lbs)</t>
  </si>
  <si>
    <t>Current in amps, torque in ft*lbs, vehicle speed in mph / Corrente in Ampere, coppia in ft*lbs, velocità veicolo in mph</t>
  </si>
  <si>
    <t>Item</t>
  </si>
  <si>
    <t>Curb weight (lbs)</t>
  </si>
  <si>
    <t>Front axle weight (lbs)</t>
  </si>
  <si>
    <t>Rear Axle Weight (lbs)</t>
  </si>
  <si>
    <t>Payload weight (lbs)</t>
  </si>
  <si>
    <t>Ford Ranger pickup before conversion</t>
  </si>
  <si>
    <t>Less IC engine and system parts</t>
  </si>
  <si>
    <t>Subtotal before conversion</t>
  </si>
  <si>
    <t>Plus electric vehicle batteries, motor, etc.</t>
  </si>
  <si>
    <t>Ford Ranger pickup after conversion</t>
  </si>
  <si>
    <t>Battery weight 20ea 6-volt @ 60 lbs</t>
  </si>
  <si>
    <t>Ratio battery weight to vehicle weight</t>
  </si>
  <si>
    <t>Battery unit weight</t>
  </si>
  <si>
    <t>Battery units</t>
  </si>
  <si>
    <t>Front to overall weight ratio percentage</t>
  </si>
  <si>
    <t>Rear to overall weight ratio percentage</t>
  </si>
  <si>
    <t>Curb weight (Kg)</t>
  </si>
  <si>
    <t>Front axle weight (Kg)</t>
  </si>
  <si>
    <t>Rear Axle Weight (Kg)</t>
  </si>
  <si>
    <t>Payload weight (Kg)</t>
  </si>
  <si>
    <t>Modello</t>
  </si>
  <si>
    <t>Peso in ordine di marcia (kg)</t>
  </si>
  <si>
    <t>Peso asse anteriore (Kg)</t>
  </si>
  <si>
    <t>Peso asse posteriore (Kg)</t>
  </si>
  <si>
    <t>Portata (Kg)</t>
  </si>
  <si>
    <t>Ford Ranger pickup pickup prima della conversione</t>
  </si>
  <si>
    <t>Privato del motore a combustione interna e delle relative componenti di sistema</t>
  </si>
  <si>
    <t>Subtotale prima della conversione</t>
  </si>
  <si>
    <t>Aggiunte le batterie, il motore, ecc. del veicolo elettrico</t>
  </si>
  <si>
    <t>Ford Ranger pickup dopo la conversione</t>
  </si>
  <si>
    <t>Peso 20 batterie da 6 Volt @ 27 Kg ciascuna</t>
  </si>
  <si>
    <t>Rapporto percentuale peso delle batterie rispetto al peso del veicolo</t>
  </si>
  <si>
    <t>Peso di ciascun elemento della batteria</t>
  </si>
  <si>
    <t>Numero elementi della batteria</t>
  </si>
  <si>
    <t>Percentuale peso sull’asse anteriore rispetto al peso del veicolo</t>
  </si>
  <si>
    <t>Percentuale peso sull’asse posteriore rispetto al peso del veicolo</t>
  </si>
  <si>
    <t>Equations</t>
  </si>
  <si>
    <t>Equation #</t>
  </si>
  <si>
    <t>Equation</t>
  </si>
  <si>
    <t>US Simplified Equation</t>
  </si>
  <si>
    <t>US Measurement Units</t>
  </si>
  <si>
    <t>International System Simplified Equation</t>
  </si>
  <si>
    <t>International System Measurement Units</t>
  </si>
  <si>
    <t>Formula semplificata in Italiano</t>
  </si>
  <si>
    <t>5.1</t>
  </si>
  <si>
    <t>Power (ft*lb/sec) = Torque (ft*lb) * Speed (radians/sec) = Force in feet per second (FV)</t>
  </si>
  <si>
    <t>P = T * S = F * V</t>
  </si>
  <si>
    <t>(ft * lb / sec) = (ft * lb) * (radians / sec) = (lb) * (ft / sec)</t>
  </si>
  <si>
    <t>P = C * ω = F * v</t>
  </si>
  <si>
    <t>(w) = (N * m) * (rad / s) = (N) * (m / s)</t>
  </si>
  <si>
    <t>5.2</t>
  </si>
  <si>
    <t>Horsepower (hp) = FV / 550</t>
  </si>
  <si>
    <t>(P)hp = (F * V) / 550</t>
  </si>
  <si>
    <t>(hp) = (lb) * (ft / sec)</t>
  </si>
  <si>
    <t>(P)hp = (F * v) / 745.6999</t>
  </si>
  <si>
    <t>(hp) = (N) * (m / s)</t>
  </si>
  <si>
    <t>5.3</t>
  </si>
  <si>
    <t>Horsepower (hp) = FV / 375 (V = mph)</t>
  </si>
  <si>
    <t>(P)hp = (F * V) / 375</t>
  </si>
  <si>
    <t>(hp) = (lb) * (mph)</t>
  </si>
  <si>
    <t>(P)hp = (F * v) / 2684.51964</t>
  </si>
  <si>
    <t>(hp) = (N) * (Kmh)</t>
  </si>
  <si>
    <t>(P)cv = (F * v) / 735.48381137</t>
  </si>
  <si>
    <t>(CV) = (N) * (m / s)</t>
  </si>
  <si>
    <t>(P)cv = (F * v) / 2647.741720932</t>
  </si>
  <si>
    <t>(CV) = (N) * (Kmh)</t>
  </si>
  <si>
    <t>5.4</t>
  </si>
  <si>
    <t>Horsepower (hp) = (Torque * rpms)/5252 = 2*π / 60 * FV / 550</t>
  </si>
  <si>
    <t>(P)hp = (T * ω) / 5252 = [(2 * π) / 60] * [(F * V) / 550]</t>
  </si>
  <si>
    <t>(hp) = ((ft * lb) * (rev / m)) = ((lb) * (ft / s))</t>
  </si>
  <si>
    <t>(P)hp = (C * ω) / 7121 = [(2 * π) / 60] * [(F * v) / 745.6999]</t>
  </si>
  <si>
    <t>(hp) = ((N * m) * (rev / min) = ((N) * (m / s))</t>
  </si>
  <si>
    <t>(P)cv = (C * ω) / 7023 = [(2 * π) / 60] * [(F * v) / 735.48381137]</t>
  </si>
  <si>
    <t>(CV) = ((N * m) * (rev / min) = ((N) * (m / s))</t>
  </si>
  <si>
    <t>5.5</t>
  </si>
  <si>
    <t>Wheel rpm = (mi / h * rev / mi) / 60</t>
  </si>
  <si>
    <t>(ω)wheel = [(d / t) * (rev / d)] / 60</t>
  </si>
  <si>
    <t>(rev / m) = (mi / h) * (rev / mi)</t>
  </si>
  <si>
    <t>(rev / min) = (Km / h) * (rev / Km)</t>
  </si>
  <si>
    <t>(ω)ruota = [(d / t) * (rev / d)] / 60</t>
  </si>
  <si>
    <t>5.6</t>
  </si>
  <si>
    <t>Power (KW) = 0.7457 * hp</t>
  </si>
  <si>
    <t>(P)kw = 0.7457 * (P)hp</t>
  </si>
  <si>
    <t>(KW) = (hp)</t>
  </si>
  <si>
    <t>(P)kw = 0.7355 * (P)cv</t>
  </si>
  <si>
    <t>(KW) = (CV)</t>
  </si>
  <si>
    <t>5.7</t>
  </si>
  <si>
    <t>Weight W = mass M * g/32.16</t>
  </si>
  <si>
    <t>W = (M * g) / 32.16</t>
  </si>
  <si>
    <t>(lb)force = (lb) * (ft / sec^2)</t>
  </si>
  <si>
    <t>W = (m * g) / 9.80665</t>
  </si>
  <si>
    <t>(Kg)force = ((Kg) * (m / s^2)) / (m / s^2)</t>
  </si>
  <si>
    <t>5.8</t>
  </si>
  <si>
    <t>Torque = [F(5280/2*π)] / (rev/m) = 840.34 * F / (rev/mi)</t>
  </si>
  <si>
    <t>T = [F * (5280 / 2 * π)] / (rev / t) = 840.34 * F / (rev / d)</t>
  </si>
  <si>
    <t>(ft * lb) = ((lb) * (ft / min)) / (rev / min)</t>
  </si>
  <si>
    <t>c = [F * (1000 / 2 * π)] / (rev / t) = 159.15 * F / (rev / d)</t>
  </si>
  <si>
    <t>(N * m) = ((N) * (m / min)) / (rev / min)</t>
  </si>
  <si>
    <t>c = [F * (1000 / 2 * π)] / (rotazioni / t) = 159.15 * F / (rotazioni / d)</t>
  </si>
  <si>
    <t>5.9</t>
  </si>
  <si>
    <t>Torque(wheel) = Torque(motor) / (overall gear ratio * drive train efficiency)</t>
  </si>
  <si>
    <t>T = (T)motor * (overall gear ratio * drive train efficiency)</t>
  </si>
  <si>
    <t>(ft * lb) = (ft * lb)</t>
  </si>
  <si>
    <t>c = (c)motor * (overall gear ratio * drive train efficiency)</t>
  </si>
  <si>
    <t>(N * m) = (N * m)</t>
  </si>
  <si>
    <t>c = (c)motore * (rapporto complessivo trasmissione * efficienza trasmissione)</t>
  </si>
  <si>
    <t>5.10</t>
  </si>
  <si>
    <t>Speed(vehicle) (in mi/h) = (rpm(motor) * 60)/[overall gear ratio * (rev/m)]</t>
  </si>
  <si>
    <t>S = (rev / t)motor  * 60 / [overall gear ratio * (rev / t)wheel]</t>
  </si>
  <si>
    <t>(mi / h) = (rev / m) * (m / h) / (rev / mi)</t>
  </si>
  <si>
    <r>
      <t>v = (rev / t)motor * 60 / [overall gear ratio * (rev / t)wheel</t>
    </r>
    <r>
      <rPr>
        <sz val="11"/>
        <rFont val="Arial"/>
        <family val="2"/>
        <charset val="1"/>
      </rPr>
      <t>]</t>
    </r>
  </si>
  <si>
    <t>(Km / h) = (rev / min) * (min / h) / (rev / Km)</t>
  </si>
  <si>
    <r>
      <t>v = (rev / t)motore * 60 / [rapporto complessivo trasmissione * (rev / t)ruota</t>
    </r>
    <r>
      <rPr>
        <sz val="11"/>
        <rFont val="Arial"/>
        <family val="2"/>
        <charset val="1"/>
      </rPr>
      <t>]</t>
    </r>
  </si>
  <si>
    <t>5.11</t>
  </si>
  <si>
    <t>Fa (lb) = Ci (Conversion factor for inertia) * W (vehicle mass) * a (mi/h*sec)</t>
  </si>
  <si>
    <t>Fa = Ci * W * a</t>
  </si>
  <si>
    <t>(lb)force = (lb) * (mi / (h * sec))</t>
  </si>
  <si>
    <t>Fa = Ci * m * a</t>
  </si>
  <si>
    <t>(W) = (Kg) * (Km / (h * s))</t>
  </si>
  <si>
    <r>
      <t>Fa = Ci * m * a [Forza Accelerazione] [Ci = Coefficiente d’Inerzia</t>
    </r>
    <r>
      <rPr>
        <sz val="11"/>
        <rFont val="Arial"/>
        <family val="2"/>
        <charset val="1"/>
      </rPr>
      <t>]</t>
    </r>
  </si>
  <si>
    <t>5.12</t>
  </si>
  <si>
    <t>Fh (lb) = W sin ø</t>
  </si>
  <si>
    <t>Fh = W * sin ø</t>
  </si>
  <si>
    <t>(lb)force = (lb) * sin ø</t>
  </si>
  <si>
    <t>Fh = m * a * sin ø</t>
  </si>
  <si>
    <t>(N) = (Kg) * (Km / (h * s)) * sin ø</t>
  </si>
  <si>
    <t>Fp = m * a * sin ø [Forza Pendenza]</t>
  </si>
  <si>
    <t>5.13</t>
  </si>
  <si>
    <t>a = (1 / M) * F</t>
  </si>
  <si>
    <t>(ft / sec^2) = (1 / lb) * (lb)force</t>
  </si>
  <si>
    <t>a = (1 / m) * F</t>
  </si>
  <si>
    <t>(m / s^2) = (1 / kg) * (N)</t>
  </si>
  <si>
    <t>5.14</t>
  </si>
  <si>
    <t>M = W / g</t>
  </si>
  <si>
    <t>(lb) = (lb)force / (ft / sec^2)</t>
  </si>
  <si>
    <t>m = W / g</t>
  </si>
  <si>
    <t>(kg) = (N) / (m / s^2)</t>
  </si>
  <si>
    <t>5.15</t>
  </si>
  <si>
    <t>F = (550 * hp) / V</t>
  </si>
  <si>
    <t>F = (550 * (P)hp) / V</t>
  </si>
  <si>
    <t>(lb)force = (hp) / (ft / sec)</t>
  </si>
  <si>
    <t>F = (745.6999 * (P)hp) / v</t>
  </si>
  <si>
    <t>(N) = (hp) / (m / s)</t>
  </si>
  <si>
    <t>F = (735.48381137 * (P)cv) / v</t>
  </si>
  <si>
    <t>(N) = (CV) / (m / s)</t>
  </si>
  <si>
    <t>5.16</t>
  </si>
  <si>
    <t>a = 550 * (g / V) * (hp / W)</t>
  </si>
  <si>
    <t>a = 550 * (g / V) * ((P)hp / W)</t>
  </si>
  <si>
    <t>(ft / sec^2) = ((ft / sec^2) / (ft / sec)) *((hp) / (lb)force)</t>
  </si>
  <si>
    <t>a = 745.6999 *(g / v) * ((P)hp / W)</t>
  </si>
  <si>
    <t>(m / s^2) = ((m / s^2) / (m / s)) * ((hp) / (N))</t>
  </si>
  <si>
    <t>a = 735.48381137 *(g / v) * ((P)cv / W)</t>
  </si>
  <si>
    <t>(m / s^2) = ((m / s^2) / (m / s)) * ((CV) / (N))</t>
  </si>
  <si>
    <t>5.17</t>
  </si>
  <si>
    <t>V = 550 * (g / a) * (hp / W)</t>
  </si>
  <si>
    <t>V = 550 * (g / a) * ((P)hp / W)</t>
  </si>
  <si>
    <t>(ft / sec) = ((ft / sec^2) / (ft / sec^2) * ((hp) / (lb)force)</t>
  </si>
  <si>
    <t>v = 745.6999 *(g / a) * ((P)hp / W)</t>
  </si>
  <si>
    <t>(m / s) = ((m / s^2) / (m / s^2) * ((hp) / (N))</t>
  </si>
  <si>
    <t>v = 735.48381137 *(g / a) * ((P)cv / W)</t>
  </si>
  <si>
    <t>(m / s) = ((m / s^2) / (m / s^2) * ((CV) / (N))</t>
  </si>
  <si>
    <t>5.18</t>
  </si>
  <si>
    <t>D = V * t</t>
  </si>
  <si>
    <t>(ft) = (ft / sec) * (sec)</t>
  </si>
  <si>
    <t>d = v * t</t>
  </si>
  <si>
    <t>(m) = (m / s) * (s)</t>
  </si>
  <si>
    <t>5.19</t>
  </si>
  <si>
    <t>D = 550 * (g / a) * ((hp / W) * t</t>
  </si>
  <si>
    <t>D = 550 * (g / a) * ((P)hp / W) * t</t>
  </si>
  <si>
    <t>(ft) = ((ft / sec^2) / (ft / sec^2) * ((hp) / (lb)force) * (sec)</t>
  </si>
  <si>
    <t>d = 745.6999 *(g / a) * ((P)hp / W) * t</t>
  </si>
  <si>
    <t>(m) = ((m / s^2) / (m / s^2) * ((hp) / (N)) * (s)</t>
  </si>
  <si>
    <t>d = 735.48381137 *(g / a) * ((P)cv / W) * t</t>
  </si>
  <si>
    <t>(m) = ((m / s^2) / (m / s^2) * ((CV) / (N)) * (s)</t>
  </si>
  <si>
    <t>5.20</t>
  </si>
  <si>
    <t>Dw = 1/2 * ρ * V^2 * A * Cd</t>
  </si>
  <si>
    <t>(lb)force = 1/2 * (lb / ft^3) * (ft / sec)^2 * (ft^2) * (Adimensional)</t>
  </si>
  <si>
    <t>Dw = 1/2 * ρ * v^2 * S * Cd</t>
  </si>
  <si>
    <t>(N) = 1/2 * (Kg / m^3) * (m / s)^2 * (m^2) * (Adimensional)</t>
  </si>
  <si>
    <t>Ra = 1/2 * ρ * v^2 * S * Cr</t>
  </si>
  <si>
    <t>5.21</t>
  </si>
  <si>
    <t>Cw = (0,98 * (w/V)^2 + 0,63 * (w/V)) * Crw - (0,40 * (w/V))</t>
  </si>
  <si>
    <t>(Dimensionless) = (0,98 ((ft/sec) / (ft/sec))^2 + 0,63 * ((ft/sec) / (ft/sec))) * (Dimensionless) - (0,40 * ((ft/sec) / (ft/sec)))</t>
  </si>
  <si>
    <t>Cw = (0,98 * (w/v)^2 + 0,63 * (w/v)) * Crw - (0,40 * (w/v))</t>
  </si>
  <si>
    <t>(Dimensionless) = (0,98 ((m/s) / (m/s))^2 + 0,63 * ((m/s) / (m/s))) * (Dimensionless) - (0,40 * ((m/s) / (m/s)))</t>
  </si>
  <si>
    <t>5.22</t>
  </si>
  <si>
    <t>Available engine power = tractive resistance demand</t>
  </si>
  <si>
    <t>Potenza motore = resistenza alla trazione</t>
  </si>
  <si>
    <t>5.23</t>
  </si>
  <si>
    <t>Power = (acceleration + climbing + rolling + drug + wind)resistance</t>
  </si>
  <si>
    <t>Potenza motore = (accelerazione + dislivello + rotolamento + reistenza aerodinamica + vento)resistenza</t>
  </si>
  <si>
    <t>5.24</t>
  </si>
  <si>
    <t>Overall gear ratio = (rpm)motor / (rpm)wheel</t>
  </si>
  <si>
    <t>Rapporto di trasmissione totale = (rpm)motore / (rpm)ruota</t>
  </si>
  <si>
    <t>5.25</t>
  </si>
  <si>
    <t>Cwheel = (d + (2 * S * a / 100) / 25.4) * π</t>
  </si>
  <si>
    <t>(in) = ((in) + (2 * (mm) * (%) / 100) / 25,4 (mm / in)) * (Dimensionless)</t>
  </si>
  <si>
    <t>Cwheel = (((d *25,4) + (2 * S * a / 100)) * π) / 1000</t>
  </si>
  <si>
    <t>(m) = ((((in) * 25,4 (mm / in)) + (2 * (mm) * (%) / 100)) * (Dimensionless)) / 1000 (mm / m)</t>
  </si>
  <si>
    <t>Cruota = (((d *25,4) + (2 * S * a / 100)) * π) / 1000</t>
  </si>
  <si>
    <t>ft/(s^2)</t>
  </si>
  <si>
    <t>mph/sec</t>
  </si>
  <si>
    <t>m/(s^2)</t>
  </si>
  <si>
    <t>Km/(h*s)</t>
  </si>
  <si>
    <t>g</t>
  </si>
  <si>
    <t>ft</t>
  </si>
  <si>
    <t>m</t>
  </si>
  <si>
    <t>mi</t>
  </si>
  <si>
    <t>lb</t>
  </si>
  <si>
    <t>N</t>
  </si>
  <si>
    <t>CV</t>
  </si>
  <si>
    <t>hp</t>
  </si>
  <si>
    <t>W</t>
  </si>
  <si>
    <t>°C</t>
  </si>
  <si>
    <t>°F</t>
  </si>
  <si>
    <t>Ci</t>
  </si>
  <si>
    <t>ICE</t>
  </si>
  <si>
    <t>EV</t>
  </si>
  <si>
    <t>High gear</t>
  </si>
  <si>
    <t>Fourth gear</t>
  </si>
  <si>
    <t>Third gear</t>
  </si>
  <si>
    <t>Second gear</t>
  </si>
  <si>
    <t>First gear</t>
  </si>
  <si>
    <r>
      <t xml:space="preserve">Current in amps, torque in N*m, vehicle speed in Km/h / Corrente in Ampere, coppia in N*m, velocità veicolo in Km/h
</t>
    </r>
    <r>
      <rPr>
        <b/>
        <sz val="12"/>
        <rFont val="Verdana"/>
        <family val="2"/>
      </rPr>
      <t>NON VENTILATO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</si>
</sst>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8" x14ac:knownFonts="1">
    <font>
      <sz val="12"/>
      <name val="Verdana"/>
      <family val="2"/>
      <charset val="1"/>
    </font>
    <font>
      <b/>
      <sz val="14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2"/>
      <name val="Verdana"/>
      <family val="2"/>
      <charset val="1"/>
    </font>
    <font>
      <b/>
      <sz val="14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i/>
      <sz val="12"/>
      <color rgb="FF000000"/>
      <name val="Verdana"/>
      <family val="2"/>
      <charset val="1"/>
    </font>
    <font>
      <b/>
      <sz val="12"/>
      <color rgb="FF6EC038"/>
      <name val="Verdana"/>
      <family val="2"/>
      <charset val="1"/>
    </font>
    <font>
      <b/>
      <sz val="12"/>
      <color rgb="FF3366FF"/>
      <name val="Verdana"/>
      <family val="2"/>
      <charset val="1"/>
    </font>
    <font>
      <i/>
      <sz val="12"/>
      <color rgb="FF6EC038"/>
      <name val="Verdana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b/>
      <sz val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99BC9"/>
      </patternFill>
    </fill>
    <fill>
      <patternFill patternType="solid">
        <fgColor rgb="FFD9D9D9"/>
        <bgColor rgb="FFB6D7E9"/>
      </patternFill>
    </fill>
    <fill>
      <patternFill patternType="solid">
        <fgColor rgb="FFFFFF00"/>
        <bgColor rgb="FFFFFF00"/>
      </patternFill>
    </fill>
    <fill>
      <patternFill patternType="solid">
        <fgColor rgb="FFC5E7AE"/>
        <bgColor rgb="FFD9D9D9"/>
      </patternFill>
    </fill>
    <fill>
      <patternFill patternType="solid">
        <fgColor rgb="FFFFFFFF"/>
        <bgColor rgb="FFFCF6D6"/>
      </patternFill>
    </fill>
    <fill>
      <patternFill patternType="solid">
        <fgColor rgb="FFA6A6A6"/>
        <bgColor rgb="FFB8B8B8"/>
      </patternFill>
    </fill>
    <fill>
      <patternFill patternType="solid">
        <fgColor rgb="FFB6D7E9"/>
        <bgColor rgb="FF99CCFF"/>
      </patternFill>
    </fill>
    <fill>
      <patternFill patternType="solid">
        <fgColor rgb="FFBFBFBF"/>
        <bgColor rgb="FFB8B8B8"/>
      </patternFill>
    </fill>
    <fill>
      <patternFill patternType="solid">
        <fgColor rgb="FFFFABA6"/>
        <bgColor rgb="FFFFCB89"/>
      </patternFill>
    </fill>
    <fill>
      <patternFill patternType="solid">
        <fgColor rgb="FFFCF6D6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148">
    <xf numFmtId="0" fontId="0" fillId="0" borderId="0" xfId="0">
      <alignment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2" borderId="2" xfId="0" applyFont="1" applyFill="1" applyBorder="1" applyAlignment="1" applyProtection="1">
      <alignment horizontal="left" vertical="top"/>
    </xf>
    <xf numFmtId="0" fontId="0" fillId="2" borderId="3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2" fillId="3" borderId="4" xfId="0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vertical="top" wrapText="1"/>
    </xf>
    <xf numFmtId="164" fontId="2" fillId="4" borderId="4" xfId="0" applyNumberFormat="1" applyFont="1" applyFill="1" applyBorder="1" applyAlignment="1" applyProtection="1">
      <alignment vertical="top" wrapText="1"/>
    </xf>
    <xf numFmtId="164" fontId="2" fillId="5" borderId="4" xfId="0" applyNumberFormat="1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vertical="top" wrapText="1"/>
    </xf>
    <xf numFmtId="2" fontId="2" fillId="4" borderId="4" xfId="0" applyNumberFormat="1" applyFont="1" applyFill="1" applyBorder="1" applyAlignment="1" applyProtection="1">
      <alignment vertical="top" wrapText="1"/>
    </xf>
    <xf numFmtId="0" fontId="2" fillId="4" borderId="4" xfId="0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left" vertical="top" wrapText="1"/>
    </xf>
    <xf numFmtId="0" fontId="0" fillId="0" borderId="0" xfId="0" applyFont="1" applyAlignment="1">
      <alignment vertical="top" wrapText="1"/>
    </xf>
    <xf numFmtId="0" fontId="3" fillId="6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165" fontId="4" fillId="6" borderId="4" xfId="0" applyNumberFormat="1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vertical="top" wrapText="1"/>
    </xf>
    <xf numFmtId="1" fontId="3" fillId="5" borderId="4" xfId="0" applyNumberFormat="1" applyFont="1" applyFill="1" applyBorder="1" applyAlignment="1" applyProtection="1">
      <alignment vertical="top" wrapText="1"/>
    </xf>
    <xf numFmtId="1" fontId="4" fillId="6" borderId="4" xfId="0" applyNumberFormat="1" applyFont="1" applyFill="1" applyBorder="1" applyAlignment="1" applyProtection="1">
      <alignment vertical="top" wrapText="1"/>
    </xf>
    <xf numFmtId="166" fontId="4" fillId="6" borderId="4" xfId="0" applyNumberFormat="1" applyFont="1" applyFill="1" applyBorder="1" applyAlignment="1" applyProtection="1">
      <alignment vertical="top" wrapText="1"/>
    </xf>
    <xf numFmtId="1" fontId="4" fillId="0" borderId="4" xfId="0" applyNumberFormat="1" applyFont="1" applyBorder="1" applyAlignment="1" applyProtection="1">
      <alignment vertical="top" wrapText="1"/>
    </xf>
    <xf numFmtId="166" fontId="4" fillId="0" borderId="4" xfId="0" applyNumberFormat="1" applyFont="1" applyBorder="1" applyAlignment="1" applyProtection="1">
      <alignment vertical="top" wrapText="1"/>
    </xf>
    <xf numFmtId="164" fontId="4" fillId="0" borderId="4" xfId="0" applyNumberFormat="1" applyFont="1" applyBorder="1" applyAlignment="1" applyProtection="1">
      <alignment vertical="top" wrapText="1"/>
    </xf>
    <xf numFmtId="164" fontId="4" fillId="6" borderId="4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horizontal="center" vertical="top" wrapText="1"/>
    </xf>
    <xf numFmtId="164" fontId="4" fillId="0" borderId="4" xfId="0" applyNumberFormat="1" applyFont="1" applyBorder="1" applyAlignment="1" applyProtection="1">
      <alignment horizontal="center" vertical="top" wrapText="1"/>
    </xf>
    <xf numFmtId="165" fontId="4" fillId="6" borderId="4" xfId="0" applyNumberFormat="1" applyFont="1" applyFill="1" applyBorder="1" applyAlignment="1" applyProtection="1">
      <alignment horizontal="center" vertical="top" wrapText="1"/>
    </xf>
    <xf numFmtId="164" fontId="4" fillId="6" borderId="4" xfId="0" applyNumberFormat="1" applyFont="1" applyFill="1" applyBorder="1" applyAlignment="1" applyProtection="1">
      <alignment horizontal="center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vertical="top" wrapText="1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1" fontId="3" fillId="0" borderId="4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/>
    </xf>
    <xf numFmtId="0" fontId="3" fillId="6" borderId="4" xfId="0" applyFont="1" applyFill="1" applyBorder="1" applyAlignment="1" applyProtection="1">
      <alignment horizontal="center" vertical="top" wrapText="1"/>
    </xf>
    <xf numFmtId="2" fontId="4" fillId="0" borderId="4" xfId="0" applyNumberFormat="1" applyFont="1" applyBorder="1" applyAlignment="1" applyProtection="1">
      <alignment horizontal="center" vertical="top" wrapText="1"/>
    </xf>
    <xf numFmtId="1" fontId="4" fillId="0" borderId="4" xfId="0" applyNumberFormat="1" applyFont="1" applyBorder="1" applyAlignment="1" applyProtection="1">
      <alignment horizontal="center" vertical="top" wrapText="1"/>
    </xf>
    <xf numFmtId="2" fontId="4" fillId="6" borderId="4" xfId="0" applyNumberFormat="1" applyFont="1" applyFill="1" applyBorder="1" applyAlignment="1" applyProtection="1">
      <alignment horizontal="center" vertical="top" wrapText="1"/>
    </xf>
    <xf numFmtId="1" fontId="4" fillId="6" borderId="4" xfId="0" applyNumberFormat="1" applyFont="1" applyFill="1" applyBorder="1" applyAlignment="1" applyProtection="1">
      <alignment horizontal="center" vertical="top" wrapText="1"/>
    </xf>
    <xf numFmtId="0" fontId="2" fillId="7" borderId="4" xfId="0" applyFont="1" applyFill="1" applyBorder="1" applyAlignment="1" applyProtection="1">
      <alignment vertical="top" wrapText="1"/>
    </xf>
    <xf numFmtId="2" fontId="0" fillId="0" borderId="4" xfId="0" applyNumberFormat="1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2" fontId="0" fillId="5" borderId="4" xfId="0" applyNumberFormat="1" applyFont="1" applyFill="1" applyBorder="1" applyAlignment="1" applyProtection="1">
      <alignment horizontal="center" vertical="top" wrapText="1"/>
    </xf>
    <xf numFmtId="2" fontId="0" fillId="8" borderId="4" xfId="0" applyNumberFormat="1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 wrapText="1"/>
    </xf>
    <xf numFmtId="0" fontId="2" fillId="9" borderId="0" xfId="0" applyFont="1" applyFill="1" applyBorder="1" applyAlignment="1" applyProtection="1">
      <alignment horizontal="left" vertical="top" wrapText="1"/>
    </xf>
    <xf numFmtId="0" fontId="0" fillId="0" borderId="8" xfId="0" applyFont="1" applyBorder="1" applyAlignment="1" applyProtection="1">
      <alignment vertical="top" wrapText="1"/>
    </xf>
    <xf numFmtId="0" fontId="2" fillId="5" borderId="9" xfId="0" applyFont="1" applyFill="1" applyBorder="1" applyAlignment="1" applyProtection="1">
      <alignment vertical="top" wrapText="1"/>
    </xf>
    <xf numFmtId="164" fontId="0" fillId="0" borderId="0" xfId="0" applyNumberFormat="1" applyFon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vertical="top" wrapText="1"/>
    </xf>
    <xf numFmtId="165" fontId="0" fillId="0" borderId="0" xfId="0" applyNumberFormat="1" applyFont="1" applyBorder="1" applyAlignment="1" applyProtection="1">
      <alignment vertical="top" wrapText="1"/>
    </xf>
    <xf numFmtId="1" fontId="2" fillId="5" borderId="9" xfId="0" applyNumberFormat="1" applyFont="1" applyFill="1" applyBorder="1" applyAlignment="1" applyProtection="1">
      <alignment vertical="top" wrapText="1"/>
    </xf>
    <xf numFmtId="2" fontId="2" fillId="5" borderId="9" xfId="0" applyNumberFormat="1" applyFont="1" applyFill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  <xf numFmtId="0" fontId="0" fillId="0" borderId="10" xfId="0" applyFont="1" applyBorder="1" applyAlignment="1" applyProtection="1">
      <alignment vertical="top" wrapText="1"/>
    </xf>
    <xf numFmtId="167" fontId="0" fillId="0" borderId="10" xfId="0" applyNumberFormat="1" applyFont="1" applyBorder="1" applyAlignment="1" applyProtection="1">
      <alignment vertical="top" wrapText="1"/>
    </xf>
    <xf numFmtId="0" fontId="0" fillId="0" borderId="11" xfId="0" applyFont="1" applyBorder="1" applyAlignment="1" applyProtection="1">
      <alignment vertical="top" wrapText="1"/>
    </xf>
    <xf numFmtId="0" fontId="0" fillId="0" borderId="12" xfId="0" applyFont="1" applyBorder="1" applyAlignment="1" applyProtection="1">
      <alignment vertical="top" wrapText="1"/>
    </xf>
    <xf numFmtId="167" fontId="0" fillId="0" borderId="0" xfId="0" applyNumberFormat="1" applyFont="1" applyBorder="1" applyAlignment="1" applyProtection="1">
      <alignment vertical="top" wrapText="1"/>
    </xf>
    <xf numFmtId="0" fontId="0" fillId="0" borderId="9" xfId="0" applyFont="1" applyBorder="1" applyAlignment="1" applyProtection="1">
      <alignment vertical="top" wrapText="1"/>
    </xf>
    <xf numFmtId="0" fontId="2" fillId="9" borderId="13" xfId="0" applyFont="1" applyFill="1" applyBorder="1" applyAlignment="1" applyProtection="1">
      <alignment vertical="top" wrapText="1"/>
    </xf>
    <xf numFmtId="0" fontId="0" fillId="9" borderId="14" xfId="0" applyFont="1" applyFill="1" applyBorder="1" applyAlignment="1" applyProtection="1">
      <alignment vertical="top" wrapText="1"/>
    </xf>
    <xf numFmtId="0" fontId="2" fillId="9" borderId="14" xfId="0" applyFont="1" applyFill="1" applyBorder="1" applyAlignment="1" applyProtection="1">
      <alignment horizontal="center" vertical="top" wrapText="1"/>
    </xf>
    <xf numFmtId="0" fontId="2" fillId="9" borderId="15" xfId="0" applyFont="1" applyFill="1" applyBorder="1" applyAlignment="1" applyProtection="1">
      <alignment horizontal="center" vertical="top" wrapText="1"/>
    </xf>
    <xf numFmtId="0" fontId="0" fillId="0" borderId="16" xfId="0" applyFont="1" applyBorder="1" applyAlignment="1" applyProtection="1">
      <alignment vertical="top" wrapText="1"/>
    </xf>
    <xf numFmtId="0" fontId="0" fillId="0" borderId="17" xfId="0" applyFont="1" applyBorder="1" applyAlignment="1" applyProtection="1">
      <alignment vertical="top" wrapText="1"/>
    </xf>
    <xf numFmtId="0" fontId="0" fillId="0" borderId="18" xfId="0" applyFont="1" applyBorder="1" applyAlignment="1" applyProtection="1">
      <alignment vertical="top" wrapText="1"/>
    </xf>
    <xf numFmtId="2" fontId="7" fillId="5" borderId="18" xfId="0" applyNumberFormat="1" applyFont="1" applyFill="1" applyBorder="1" applyAlignment="1" applyProtection="1">
      <alignment vertical="top" wrapText="1"/>
    </xf>
    <xf numFmtId="2" fontId="7" fillId="5" borderId="19" xfId="0" applyNumberFormat="1" applyFont="1" applyFill="1" applyBorder="1" applyAlignment="1" applyProtection="1">
      <alignment vertical="top" wrapText="1"/>
    </xf>
    <xf numFmtId="2" fontId="7" fillId="5" borderId="20" xfId="0" applyNumberFormat="1" applyFont="1" applyFill="1" applyBorder="1" applyAlignment="1" applyProtection="1">
      <alignment vertical="top" wrapText="1"/>
    </xf>
    <xf numFmtId="0" fontId="0" fillId="0" borderId="21" xfId="0" applyFont="1" applyBorder="1" applyAlignment="1" applyProtection="1">
      <alignment vertical="top" wrapText="1"/>
    </xf>
    <xf numFmtId="0" fontId="0" fillId="0" borderId="22" xfId="0" applyFont="1" applyBorder="1" applyAlignment="1" applyProtection="1">
      <alignment vertical="top" wrapText="1"/>
    </xf>
    <xf numFmtId="165" fontId="0" fillId="8" borderId="4" xfId="0" applyNumberFormat="1" applyFont="1" applyFill="1" applyBorder="1" applyAlignment="1" applyProtection="1">
      <alignment vertical="top" wrapText="1"/>
    </xf>
    <xf numFmtId="165" fontId="0" fillId="0" borderId="4" xfId="0" applyNumberFormat="1" applyFont="1" applyBorder="1" applyAlignment="1" applyProtection="1">
      <alignment vertical="top" wrapText="1"/>
    </xf>
    <xf numFmtId="165" fontId="0" fillId="0" borderId="23" xfId="0" applyNumberFormat="1" applyFont="1" applyBorder="1" applyAlignment="1" applyProtection="1">
      <alignment vertical="top" wrapText="1"/>
    </xf>
    <xf numFmtId="167" fontId="0" fillId="8" borderId="4" xfId="0" applyNumberFormat="1" applyFont="1" applyFill="1" applyBorder="1" applyAlignment="1" applyProtection="1">
      <alignment vertical="top" wrapText="1"/>
    </xf>
    <xf numFmtId="167" fontId="0" fillId="8" borderId="23" xfId="0" applyNumberFormat="1" applyFont="1" applyFill="1" applyBorder="1" applyAlignment="1" applyProtection="1">
      <alignment vertical="top" wrapText="1"/>
    </xf>
    <xf numFmtId="0" fontId="0" fillId="0" borderId="23" xfId="0" applyFont="1" applyBorder="1" applyAlignment="1" applyProtection="1">
      <alignment vertical="top" wrapText="1"/>
    </xf>
    <xf numFmtId="164" fontId="0" fillId="4" borderId="22" xfId="0" applyNumberFormat="1" applyFill="1" applyBorder="1" applyAlignment="1" applyProtection="1">
      <alignment horizontal="center"/>
    </xf>
    <xf numFmtId="164" fontId="0" fillId="4" borderId="4" xfId="0" applyNumberFormat="1" applyFill="1" applyBorder="1" applyAlignment="1" applyProtection="1">
      <alignment horizontal="center"/>
    </xf>
    <xf numFmtId="1" fontId="0" fillId="4" borderId="4" xfId="0" applyNumberFormat="1" applyFill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vertical="top" wrapText="1"/>
    </xf>
    <xf numFmtId="2" fontId="0" fillId="0" borderId="23" xfId="0" applyNumberFormat="1" applyFont="1" applyBorder="1" applyAlignment="1" applyProtection="1">
      <alignment vertical="top" wrapText="1"/>
    </xf>
    <xf numFmtId="0" fontId="0" fillId="0" borderId="24" xfId="0" applyFont="1" applyBorder="1" applyAlignment="1" applyProtection="1">
      <alignment vertical="top" wrapText="1"/>
    </xf>
    <xf numFmtId="164" fontId="0" fillId="4" borderId="25" xfId="0" applyNumberFormat="1" applyFill="1" applyBorder="1" applyAlignment="1" applyProtection="1">
      <alignment horizontal="center"/>
    </xf>
    <xf numFmtId="164" fontId="0" fillId="4" borderId="26" xfId="0" applyNumberFormat="1" applyFill="1" applyBorder="1" applyAlignment="1" applyProtection="1">
      <alignment horizontal="center"/>
    </xf>
    <xf numFmtId="1" fontId="0" fillId="4" borderId="26" xfId="0" applyNumberFormat="1" applyFill="1" applyBorder="1" applyAlignment="1" applyProtection="1">
      <alignment horizontal="center"/>
    </xf>
    <xf numFmtId="2" fontId="0" fillId="0" borderId="26" xfId="0" applyNumberFormat="1" applyFont="1" applyBorder="1" applyAlignment="1" applyProtection="1">
      <alignment vertical="top" wrapText="1"/>
    </xf>
    <xf numFmtId="2" fontId="0" fillId="0" borderId="27" xfId="0" applyNumberFormat="1" applyFont="1" applyBorder="1" applyAlignment="1" applyProtection="1">
      <alignment vertical="top" wrapText="1"/>
    </xf>
    <xf numFmtId="0" fontId="8" fillId="0" borderId="28" xfId="0" applyFont="1" applyBorder="1" applyAlignment="1" applyProtection="1">
      <alignment vertical="top" wrapText="1"/>
    </xf>
    <xf numFmtId="2" fontId="2" fillId="5" borderId="29" xfId="0" applyNumberFormat="1" applyFont="1" applyFill="1" applyBorder="1" applyAlignment="1" applyProtection="1">
      <alignment vertical="top" wrapText="1"/>
    </xf>
    <xf numFmtId="0" fontId="8" fillId="0" borderId="6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vertical="top" wrapText="1"/>
    </xf>
    <xf numFmtId="0" fontId="9" fillId="0" borderId="30" xfId="0" applyFont="1" applyBorder="1" applyAlignment="1" applyProtection="1">
      <alignment vertical="top" wrapText="1"/>
    </xf>
    <xf numFmtId="0" fontId="2" fillId="5" borderId="31" xfId="0" applyFont="1" applyFill="1" applyBorder="1" applyAlignment="1" applyProtection="1">
      <alignment vertical="top" wrapText="1"/>
    </xf>
    <xf numFmtId="0" fontId="8" fillId="0" borderId="11" xfId="0" applyFont="1" applyBorder="1" applyAlignment="1" applyProtection="1">
      <alignment vertical="top" wrapText="1"/>
    </xf>
    <xf numFmtId="1" fontId="2" fillId="8" borderId="12" xfId="0" applyNumberFormat="1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1" fontId="2" fillId="5" borderId="7" xfId="0" applyNumberFormat="1" applyFont="1" applyFill="1" applyBorder="1" applyAlignment="1" applyProtection="1">
      <alignment vertical="top" wrapText="1"/>
    </xf>
    <xf numFmtId="165" fontId="2" fillId="5" borderId="9" xfId="0" applyNumberFormat="1" applyFont="1" applyFill="1" applyBorder="1" applyAlignment="1" applyProtection="1">
      <alignment vertical="top" wrapText="1"/>
    </xf>
    <xf numFmtId="167" fontId="2" fillId="5" borderId="9" xfId="0" applyNumberFormat="1" applyFont="1" applyFill="1" applyBorder="1" applyAlignment="1" applyProtection="1">
      <alignment vertical="top" wrapText="1"/>
    </xf>
    <xf numFmtId="164" fontId="2" fillId="5" borderId="9" xfId="0" applyNumberFormat="1" applyFont="1" applyFill="1" applyBorder="1" applyAlignment="1" applyProtection="1">
      <alignment vertical="top" wrapText="1"/>
    </xf>
    <xf numFmtId="0" fontId="0" fillId="0" borderId="25" xfId="0" applyFont="1" applyBorder="1" applyAlignment="1" applyProtection="1">
      <alignment vertical="top" wrapText="1"/>
    </xf>
    <xf numFmtId="0" fontId="0" fillId="0" borderId="26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7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horizontal="right" vertical="top" wrapText="1"/>
    </xf>
    <xf numFmtId="0" fontId="10" fillId="0" borderId="8" xfId="0" applyFont="1" applyBorder="1" applyAlignment="1" applyProtection="1">
      <alignment vertical="top" wrapText="1"/>
    </xf>
    <xf numFmtId="0" fontId="10" fillId="0" borderId="9" xfId="0" applyFont="1" applyBorder="1" applyAlignment="1" applyProtection="1">
      <alignment vertical="top" wrapText="1"/>
    </xf>
    <xf numFmtId="2" fontId="0" fillId="10" borderId="0" xfId="0" applyNumberFormat="1" applyFont="1" applyFill="1" applyBorder="1" applyAlignment="1" applyProtection="1">
      <alignment vertical="top" wrapText="1"/>
    </xf>
    <xf numFmtId="0" fontId="11" fillId="0" borderId="8" xfId="0" applyFont="1" applyBorder="1" applyAlignment="1" applyProtection="1">
      <alignment vertical="top" wrapText="1"/>
    </xf>
    <xf numFmtId="0" fontId="11" fillId="0" borderId="9" xfId="0" applyFont="1" applyBorder="1" applyAlignment="1" applyProtection="1">
      <alignment vertical="top" wrapText="1"/>
    </xf>
    <xf numFmtId="2" fontId="0" fillId="11" borderId="0" xfId="0" applyNumberFormat="1" applyFont="1" applyFill="1" applyBorder="1" applyAlignment="1" applyProtection="1">
      <alignment vertical="top" wrapText="1"/>
    </xf>
    <xf numFmtId="1" fontId="0" fillId="0" borderId="8" xfId="0" applyNumberFormat="1" applyFont="1" applyBorder="1" applyAlignment="1" applyProtection="1">
      <alignment vertical="top" wrapText="1"/>
    </xf>
    <xf numFmtId="1" fontId="0" fillId="0" borderId="9" xfId="0" applyNumberFormat="1" applyFont="1" applyBorder="1" applyAlignment="1" applyProtection="1">
      <alignment vertical="top" wrapText="1"/>
    </xf>
    <xf numFmtId="2" fontId="0" fillId="0" borderId="8" xfId="0" applyNumberFormat="1" applyFont="1" applyBorder="1" applyAlignment="1" applyProtection="1">
      <alignment vertical="top" wrapText="1"/>
    </xf>
    <xf numFmtId="2" fontId="0" fillId="0" borderId="9" xfId="0" applyNumberFormat="1" applyFont="1" applyBorder="1" applyAlignment="1" applyProtection="1">
      <alignment vertical="top" wrapText="1"/>
    </xf>
    <xf numFmtId="0" fontId="12" fillId="0" borderId="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2" fontId="8" fillId="0" borderId="18" xfId="0" applyNumberFormat="1" applyFont="1" applyBorder="1" applyAlignment="1" applyProtection="1">
      <alignment vertical="top" wrapText="1"/>
    </xf>
    <xf numFmtId="2" fontId="8" fillId="0" borderId="19" xfId="0" applyNumberFormat="1" applyFont="1" applyBorder="1" applyAlignment="1" applyProtection="1">
      <alignment vertical="top" wrapText="1"/>
    </xf>
    <xf numFmtId="2" fontId="8" fillId="0" borderId="20" xfId="0" applyNumberFormat="1" applyFont="1" applyBorder="1" applyAlignment="1" applyProtection="1">
      <alignment vertical="top" wrapText="1"/>
    </xf>
    <xf numFmtId="167" fontId="0" fillId="0" borderId="4" xfId="0" applyNumberFormat="1" applyFont="1" applyBorder="1" applyAlignment="1" applyProtection="1">
      <alignment vertical="top" wrapText="1"/>
    </xf>
    <xf numFmtId="167" fontId="0" fillId="0" borderId="23" xfId="0" applyNumberFormat="1" applyFont="1" applyBorder="1" applyAlignment="1" applyProtection="1">
      <alignment vertical="top" wrapText="1"/>
    </xf>
    <xf numFmtId="0" fontId="11" fillId="0" borderId="28" xfId="0" applyFont="1" applyBorder="1" applyAlignment="1" applyProtection="1">
      <alignment vertical="top" wrapText="1"/>
    </xf>
    <xf numFmtId="2" fontId="0" fillId="0" borderId="29" xfId="0" applyNumberFormat="1" applyFont="1" applyBorder="1" applyAlignment="1" applyProtection="1">
      <alignment vertical="top" wrapText="1"/>
    </xf>
    <xf numFmtId="0" fontId="12" fillId="0" borderId="30" xfId="0" applyFont="1" applyBorder="1" applyAlignment="1" applyProtection="1">
      <alignment vertical="top" wrapText="1"/>
    </xf>
    <xf numFmtId="0" fontId="0" fillId="0" borderId="31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vertical="top" wrapText="1"/>
    </xf>
    <xf numFmtId="1" fontId="0" fillId="0" borderId="12" xfId="0" applyNumberFormat="1" applyFont="1" applyBorder="1" applyAlignment="1" applyProtection="1">
      <alignment vertical="top" wrapText="1"/>
    </xf>
    <xf numFmtId="0" fontId="13" fillId="6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6" borderId="4" xfId="0" applyFont="1" applyFill="1" applyBorder="1" applyAlignment="1" applyProtection="1">
      <alignment horizontal="center" vertical="top" wrapText="1"/>
    </xf>
    <xf numFmtId="0" fontId="4" fillId="0" borderId="32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27322"/>
      <rgbColor rgb="FF000080"/>
      <rgbColor rgb="FFA2890B"/>
      <rgbColor rgb="FF800080"/>
      <rgbColor rgb="FF2F769E"/>
      <rgbColor rgb="FFBFBFBF"/>
      <rgbColor rgb="FF878787"/>
      <rgbColor rgb="FF9999FF"/>
      <rgbColor rgb="FF993366"/>
      <rgbColor rgb="FFFCF6D6"/>
      <rgbColor rgb="FFD9D9D9"/>
      <rgbColor rgb="FF6C2085"/>
      <rgbColor rgb="FFFF8080"/>
      <rgbColor rgb="FF0066CC"/>
      <rgbColor rgb="FFB6D7E9"/>
      <rgbColor rgb="FF000080"/>
      <rgbColor rgb="FFFF00FF"/>
      <rgbColor rgb="FFFFFF00"/>
      <rgbColor rgb="FF00FFFF"/>
      <rgbColor rgb="FF800080"/>
      <rgbColor rgb="FF800000"/>
      <rgbColor rgb="FF265F7F"/>
      <rgbColor rgb="FF0000FF"/>
      <rgbColor rgb="FF00B0F0"/>
      <rgbColor rgb="FFCCFFFF"/>
      <rgbColor rgb="FFC5E7AE"/>
      <rgbColor rgb="FFFFFF99"/>
      <rgbColor rgb="FF99CCFF"/>
      <rgbColor rgb="FFFFABA6"/>
      <rgbColor rgb="FFB8B8B8"/>
      <rgbColor rgb="FFFFCB89"/>
      <rgbColor rgb="FF3366FF"/>
      <rgbColor rgb="FF53ABFF"/>
      <rgbColor rgb="FF6EC038"/>
      <rgbColor rgb="FFF1D130"/>
      <rgbColor rgb="FFFFA93A"/>
      <rgbColor rgb="FFFF6600"/>
      <rgbColor rgb="FF595959"/>
      <rgbColor rgb="FFA6A6A6"/>
      <rgbColor rgb="FF003366"/>
      <rgbColor rgb="FF499BC9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trendline>
            <c:spPr>
              <a:ln w="25560">
                <a:solidFill>
                  <a:srgbClr val="53ABFF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1</c:f>
              <c:numCache>
                <c:formatCode>General</c:formatCode>
                <c:ptCount val="8"/>
                <c:pt idx="0">
                  <c:v>0.17</c:v>
                </c:pt>
                <c:pt idx="1">
                  <c:v>0.2</c:v>
                </c:pt>
                <c:pt idx="2">
                  <c:v>0.32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0.74</c:v>
                </c:pt>
                <c:pt idx="7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1.95</c:v>
                </c:pt>
                <c:pt idx="1">
                  <c:v>1.46</c:v>
                </c:pt>
                <c:pt idx="2">
                  <c:v>0.85</c:v>
                </c:pt>
                <c:pt idx="3">
                  <c:v>0.5</c:v>
                </c:pt>
                <c:pt idx="4">
                  <c:v>0.45</c:v>
                </c:pt>
                <c:pt idx="5">
                  <c:v>0.38</c:v>
                </c:pt>
                <c:pt idx="6">
                  <c:v>0.32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Cd \ Cr (Coefficiente di resistenza)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08000"/>
        <c:axId val="170808384"/>
      </c:scatterChart>
      <c:valAx>
        <c:axId val="1708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600">
            <a:solidFill>
              <a:srgbClr val="000000"/>
            </a:solidFill>
            <a:round/>
          </a:ln>
        </c:spPr>
        <c:crossAx val="170808384"/>
        <c:crosses val="autoZero"/>
        <c:crossBetween val="midCat"/>
        <c:majorUnit val="0.75"/>
        <c:minorUnit val="0.375"/>
      </c:valAx>
      <c:valAx>
        <c:axId val="170808384"/>
        <c:scaling>
          <c:orientation val="minMax"/>
          <c:max val="2"/>
          <c:min val="0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crossAx val="170808000"/>
        <c:crosses val="autoZero"/>
        <c:crossBetween val="midCat"/>
        <c:majorUnit val="0.5"/>
        <c:minorUnit val="0.25"/>
      </c:valAx>
      <c:spPr>
        <a:noFill/>
        <a:ln w="126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Aerodynamic Force / Forza Aerodinamica</c:v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Drag'!$E$78:$K$78</c:f>
              <c:numCache>
                <c:formatCode>0.000</c:formatCode>
                <c:ptCount val="7"/>
                <c:pt idx="0">
                  <c:v>46.79398251151747</c:v>
                </c:pt>
                <c:pt idx="1">
                  <c:v>56.041457014704676</c:v>
                </c:pt>
                <c:pt idx="2">
                  <c:v>89.85020031135187</c:v>
                </c:pt>
                <c:pt idx="3">
                  <c:v>143.76862422209345</c:v>
                </c:pt>
                <c:pt idx="4">
                  <c:v>275.91505622446147</c:v>
                </c:pt>
                <c:pt idx="5">
                  <c:v>426.33277688820061</c:v>
                </c:pt>
                <c:pt idx="6">
                  <c:v>635.36071764980704</c:v>
                </c:pt>
              </c:numCache>
            </c:numRef>
          </c:val>
          <c:smooth val="0"/>
        </c:ser>
        <c:ser>
          <c:idx val="1"/>
          <c:order val="1"/>
          <c:tx>
            <c:v>Rolling Resistance / Resistenza al Rotolamento</c:v>
          </c:tx>
          <c:spPr>
            <a:ln w="47520">
              <a:solidFill>
                <a:srgbClr val="FF66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Drag'!$E$79:$K$79</c:f>
              <c:numCache>
                <c:formatCode>0.000</c:formatCode>
                <c:ptCount val="7"/>
                <c:pt idx="0">
                  <c:v>34.598088161969471</c:v>
                </c:pt>
                <c:pt idx="1">
                  <c:v>34.598088161969471</c:v>
                </c:pt>
                <c:pt idx="2">
                  <c:v>34.598088161969471</c:v>
                </c:pt>
                <c:pt idx="3">
                  <c:v>34.598088161969471</c:v>
                </c:pt>
                <c:pt idx="4">
                  <c:v>34.598088161969471</c:v>
                </c:pt>
                <c:pt idx="5">
                  <c:v>34.598088161969471</c:v>
                </c:pt>
                <c:pt idx="6">
                  <c:v>34.598088161969471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70677392"/>
        <c:axId val="170677776"/>
      </c:lineChart>
      <c:catAx>
        <c:axId val="1706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Vehicle Speed (mph)
Velocità Veicolo (Km/h)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677776"/>
        <c:crosses val="autoZero"/>
        <c:auto val="1"/>
        <c:lblAlgn val="ctr"/>
        <c:lblOffset val="100"/>
        <c:noMultiLvlLbl val="1"/>
      </c:catAx>
      <c:valAx>
        <c:axId val="170677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Drug (N)
Resistenza (N)</a:t>
                </a:r>
              </a:p>
            </c:rich>
          </c:tx>
          <c:overlay val="1"/>
        </c:title>
        <c:numFmt formatCode="0.0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6773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</a:t>
            </a:r>
            <a:r>
              <a:rPr lang="it-IT" baseline="0"/>
              <a:t> vs. Speed - vented</a:t>
            </a:r>
            <a:endParaRPr lang="it-IT"/>
          </a:p>
        </c:rich>
      </c:tx>
      <c:layout>
        <c:manualLayout>
          <c:xMode val="edge"/>
          <c:yMode val="edge"/>
          <c:x val="0.42178941650164525"/>
          <c:y val="3.85063186746549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75969026939203"/>
          <c:y val="0.11578213306813497"/>
          <c:w val="0.74807537159344195"/>
          <c:h val="0.7839688391911448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IS'!$F$6:$F$12</c:f>
              <c:numCache>
                <c:formatCode>0.00</c:formatCode>
                <c:ptCount val="7"/>
                <c:pt idx="0">
                  <c:v>52.245489768752755</c:v>
                </c:pt>
                <c:pt idx="1">
                  <c:v>44.781848373216647</c:v>
                </c:pt>
                <c:pt idx="2">
                  <c:v>37.318206977680539</c:v>
                </c:pt>
                <c:pt idx="3">
                  <c:v>29.854565582144431</c:v>
                </c:pt>
                <c:pt idx="4">
                  <c:v>22.390924186608324</c:v>
                </c:pt>
                <c:pt idx="5">
                  <c:v>14.927282791072216</c:v>
                </c:pt>
                <c:pt idx="6">
                  <c:v>7.4636413955361078</c:v>
                </c:pt>
              </c:numCache>
            </c:numRef>
          </c:xVal>
          <c:yVal>
            <c:numRef>
              <c:f>'Torque Available IS'!$E$6:$E$12</c:f>
              <c:numCache>
                <c:formatCode>0.00</c:formatCode>
                <c:ptCount val="7"/>
                <c:pt idx="0">
                  <c:v>544.07159897999998</c:v>
                </c:pt>
                <c:pt idx="1">
                  <c:v>754.55185259999996</c:v>
                </c:pt>
                <c:pt idx="2">
                  <c:v>742.63787597999999</c:v>
                </c:pt>
                <c:pt idx="3">
                  <c:v>698.95329503999994</c:v>
                </c:pt>
                <c:pt idx="4">
                  <c:v>635.41208640000002</c:v>
                </c:pt>
                <c:pt idx="5">
                  <c:v>575.84220329999994</c:v>
                </c:pt>
                <c:pt idx="6">
                  <c:v>544.07159897999998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IS'!$H$6:$H$12</c:f>
              <c:numCache>
                <c:formatCode>0.00</c:formatCode>
                <c:ptCount val="7"/>
                <c:pt idx="0">
                  <c:v>97.193971880291357</c:v>
                </c:pt>
                <c:pt idx="1">
                  <c:v>83.309118754535447</c:v>
                </c:pt>
                <c:pt idx="2">
                  <c:v>69.424265628779537</c:v>
                </c:pt>
                <c:pt idx="3">
                  <c:v>55.539412503023634</c:v>
                </c:pt>
                <c:pt idx="4">
                  <c:v>41.654559377267724</c:v>
                </c:pt>
                <c:pt idx="5">
                  <c:v>27.769706251511817</c:v>
                </c:pt>
                <c:pt idx="6">
                  <c:v>13.884853125755908</c:v>
                </c:pt>
              </c:numCache>
            </c:numRef>
          </c:xVal>
          <c:yVal>
            <c:numRef>
              <c:f>'Torque Available IS'!$G$6:$G$12</c:f>
              <c:numCache>
                <c:formatCode>0.00</c:formatCode>
                <c:ptCount val="7"/>
                <c:pt idx="0">
                  <c:v>292.45936355999999</c:v>
                </c:pt>
                <c:pt idx="1">
                  <c:v>405.60057719999998</c:v>
                </c:pt>
                <c:pt idx="2">
                  <c:v>399.19635756000002</c:v>
                </c:pt>
                <c:pt idx="3">
                  <c:v>375.71421887999998</c:v>
                </c:pt>
                <c:pt idx="4">
                  <c:v>341.55838080000001</c:v>
                </c:pt>
                <c:pt idx="5">
                  <c:v>309.53728259999997</c:v>
                </c:pt>
                <c:pt idx="6">
                  <c:v>292.45936355999999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IS'!$J$6:$J$12</c:f>
              <c:numCache>
                <c:formatCode>0.00</c:formatCode>
                <c:ptCount val="7"/>
                <c:pt idx="0">
                  <c:v>146.13238863500479</c:v>
                </c:pt>
                <c:pt idx="1">
                  <c:v>125.25633311571839</c:v>
                </c:pt>
                <c:pt idx="2">
                  <c:v>104.38027759643199</c:v>
                </c:pt>
                <c:pt idx="3">
                  <c:v>83.504222077145599</c:v>
                </c:pt>
                <c:pt idx="4">
                  <c:v>62.628166557859196</c:v>
                </c:pt>
                <c:pt idx="5">
                  <c:v>41.752111038572799</c:v>
                </c:pt>
                <c:pt idx="6">
                  <c:v>20.8760555192864</c:v>
                </c:pt>
              </c:numCache>
            </c:numRef>
          </c:xVal>
          <c:yVal>
            <c:numRef>
              <c:f>'Torque Available IS'!$I$6:$I$12</c:f>
              <c:numCache>
                <c:formatCode>0.00</c:formatCode>
                <c:ptCount val="7"/>
                <c:pt idx="0">
                  <c:v>194.51736486000001</c:v>
                </c:pt>
                <c:pt idx="1">
                  <c:v>269.76860820000002</c:v>
                </c:pt>
                <c:pt idx="2">
                  <c:v>265.50910386000004</c:v>
                </c:pt>
                <c:pt idx="3">
                  <c:v>249.89092127999999</c:v>
                </c:pt>
                <c:pt idx="4">
                  <c:v>227.17356480000001</c:v>
                </c:pt>
                <c:pt idx="5">
                  <c:v>205.8760431</c:v>
                </c:pt>
                <c:pt idx="6">
                  <c:v>194.51736486000001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IS'!$L$7:$L$12</c:f>
              <c:numCache>
                <c:formatCode>0.00</c:formatCode>
                <c:ptCount val="6"/>
                <c:pt idx="0">
                  <c:v>168.89827654866872</c:v>
                </c:pt>
                <c:pt idx="1">
                  <c:v>140.74856379055726</c:v>
                </c:pt>
                <c:pt idx="2">
                  <c:v>112.59885103244581</c:v>
                </c:pt>
                <c:pt idx="3">
                  <c:v>84.449138274334359</c:v>
                </c:pt>
                <c:pt idx="4">
                  <c:v>56.299425516222904</c:v>
                </c:pt>
                <c:pt idx="5">
                  <c:v>28.149712758111452</c:v>
                </c:pt>
              </c:numCache>
            </c:numRef>
          </c:xVal>
          <c:yVal>
            <c:numRef>
              <c:f>'Torque Available IS'!$K$7:$K$12</c:f>
              <c:numCache>
                <c:formatCode>0.00</c:formatCode>
                <c:ptCount val="6"/>
                <c:pt idx="0">
                  <c:v>200.06258999999997</c:v>
                </c:pt>
                <c:pt idx="1">
                  <c:v>196.90370699999997</c:v>
                </c:pt>
                <c:pt idx="2">
                  <c:v>185.32113599999997</c:v>
                </c:pt>
                <c:pt idx="3">
                  <c:v>168.47375999999997</c:v>
                </c:pt>
                <c:pt idx="4">
                  <c:v>152.67934499999998</c:v>
                </c:pt>
                <c:pt idx="5">
                  <c:v>144.25565699999999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IS'!$N$9:$N$12</c:f>
              <c:numCache>
                <c:formatCode>0.00</c:formatCode>
                <c:ptCount val="4"/>
                <c:pt idx="0">
                  <c:v>141.4932651862745</c:v>
                </c:pt>
                <c:pt idx="1">
                  <c:v>106.11994888970588</c:v>
                </c:pt>
                <c:pt idx="2">
                  <c:v>70.74663259313725</c:v>
                </c:pt>
                <c:pt idx="3">
                  <c:v>35.373316296568625</c:v>
                </c:pt>
              </c:numCache>
            </c:numRef>
          </c:xVal>
          <c:yVal>
            <c:numRef>
              <c:f>'Torque Available IS'!$M$9:$M$12</c:f>
              <c:numCache>
                <c:formatCode>0.00</c:formatCode>
                <c:ptCount val="4"/>
                <c:pt idx="0">
                  <c:v>147.47660927999999</c:v>
                </c:pt>
                <c:pt idx="1">
                  <c:v>134.06964479999999</c:v>
                </c:pt>
                <c:pt idx="2">
                  <c:v>121.5006156</c:v>
                </c:pt>
                <c:pt idx="3">
                  <c:v>114.79713336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6032"/>
        <c:axId val="171146304"/>
      </c:scatterChart>
      <c:valAx>
        <c:axId val="1701460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1146304"/>
        <c:crosses val="autoZero"/>
        <c:crossBetween val="midCat"/>
      </c:valAx>
      <c:valAx>
        <c:axId val="171146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>
            <c:manualLayout>
              <c:xMode val="edge"/>
              <c:yMode val="edge"/>
              <c:x val="1.9158024019163618E-2"/>
              <c:y val="0.38083678980603325"/>
            </c:manualLayout>
          </c:layout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0146032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Vs. current</a:t>
            </a:r>
            <a:r>
              <a:rPr lang="it-IT" baseline="0"/>
              <a:t> variation - vented</a:t>
            </a:r>
            <a:endParaRPr lang="it-I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5258545750543"/>
          <c:y val="8.2803784337942665E-2"/>
          <c:w val="0.72138509710934551"/>
          <c:h val="0.77609966176672396"/>
        </c:manualLayout>
      </c:layout>
      <c:lineChart>
        <c:grouping val="standard"/>
        <c:varyColors val="1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308</c:v>
                </c:pt>
                <c:pt idx="1">
                  <c:v>356</c:v>
                </c:pt>
                <c:pt idx="2">
                  <c:v>240</c:v>
                </c:pt>
                <c:pt idx="3">
                  <c:v>180</c:v>
                </c:pt>
                <c:pt idx="4">
                  <c:v>124</c:v>
                </c:pt>
                <c:pt idx="5">
                  <c:v>74</c:v>
                </c:pt>
                <c:pt idx="6">
                  <c:v>40</c:v>
                </c:pt>
              </c:numCache>
            </c:numRef>
          </c:cat>
          <c:val>
            <c:numRef>
              <c:f>'Torque Available IS'!$E$6:$E$12</c:f>
              <c:numCache>
                <c:formatCode>0.00</c:formatCode>
                <c:ptCount val="7"/>
                <c:pt idx="0">
                  <c:v>544.07159897999998</c:v>
                </c:pt>
                <c:pt idx="1">
                  <c:v>754.55185259999996</c:v>
                </c:pt>
                <c:pt idx="2">
                  <c:v>742.63787597999999</c:v>
                </c:pt>
                <c:pt idx="3">
                  <c:v>698.95329503999994</c:v>
                </c:pt>
                <c:pt idx="4">
                  <c:v>635.41208640000002</c:v>
                </c:pt>
                <c:pt idx="5">
                  <c:v>575.84220329999994</c:v>
                </c:pt>
                <c:pt idx="6">
                  <c:v>544.07159897999998</c:v>
                </c:pt>
              </c:numCache>
            </c:numRef>
          </c: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308</c:v>
                </c:pt>
                <c:pt idx="1">
                  <c:v>356</c:v>
                </c:pt>
                <c:pt idx="2">
                  <c:v>240</c:v>
                </c:pt>
                <c:pt idx="3">
                  <c:v>180</c:v>
                </c:pt>
                <c:pt idx="4">
                  <c:v>124</c:v>
                </c:pt>
                <c:pt idx="5">
                  <c:v>74</c:v>
                </c:pt>
                <c:pt idx="6">
                  <c:v>40</c:v>
                </c:pt>
              </c:numCache>
            </c:numRef>
          </c:cat>
          <c:val>
            <c:numRef>
              <c:f>'Torque Available IS'!$G$6:$G$12</c:f>
              <c:numCache>
                <c:formatCode>0.00</c:formatCode>
                <c:ptCount val="7"/>
                <c:pt idx="0">
                  <c:v>292.45936355999999</c:v>
                </c:pt>
                <c:pt idx="1">
                  <c:v>405.60057719999998</c:v>
                </c:pt>
                <c:pt idx="2">
                  <c:v>399.19635756000002</c:v>
                </c:pt>
                <c:pt idx="3">
                  <c:v>375.71421887999998</c:v>
                </c:pt>
                <c:pt idx="4">
                  <c:v>341.55838080000001</c:v>
                </c:pt>
                <c:pt idx="5">
                  <c:v>309.53728259999997</c:v>
                </c:pt>
                <c:pt idx="6">
                  <c:v>292.45936355999999</c:v>
                </c:pt>
              </c:numCache>
            </c:numRef>
          </c: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308</c:v>
                </c:pt>
                <c:pt idx="1">
                  <c:v>356</c:v>
                </c:pt>
                <c:pt idx="2">
                  <c:v>240</c:v>
                </c:pt>
                <c:pt idx="3">
                  <c:v>180</c:v>
                </c:pt>
                <c:pt idx="4">
                  <c:v>124</c:v>
                </c:pt>
                <c:pt idx="5">
                  <c:v>74</c:v>
                </c:pt>
                <c:pt idx="6">
                  <c:v>40</c:v>
                </c:pt>
              </c:numCache>
            </c:numRef>
          </c:cat>
          <c:val>
            <c:numRef>
              <c:f>'Torque Available IS'!$I$6:$I$12</c:f>
              <c:numCache>
                <c:formatCode>0.00</c:formatCode>
                <c:ptCount val="7"/>
                <c:pt idx="0">
                  <c:v>194.51736486000001</c:v>
                </c:pt>
                <c:pt idx="1">
                  <c:v>269.76860820000002</c:v>
                </c:pt>
                <c:pt idx="2">
                  <c:v>265.50910386000004</c:v>
                </c:pt>
                <c:pt idx="3">
                  <c:v>249.89092127999999</c:v>
                </c:pt>
                <c:pt idx="4">
                  <c:v>227.17356480000001</c:v>
                </c:pt>
                <c:pt idx="5">
                  <c:v>205.8760431</c:v>
                </c:pt>
                <c:pt idx="6">
                  <c:v>194.51736486000001</c:v>
                </c:pt>
              </c:numCache>
            </c:numRef>
          </c: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308</c:v>
                </c:pt>
                <c:pt idx="1">
                  <c:v>356</c:v>
                </c:pt>
                <c:pt idx="2">
                  <c:v>240</c:v>
                </c:pt>
                <c:pt idx="3">
                  <c:v>180</c:v>
                </c:pt>
                <c:pt idx="4">
                  <c:v>124</c:v>
                </c:pt>
                <c:pt idx="5">
                  <c:v>74</c:v>
                </c:pt>
                <c:pt idx="6">
                  <c:v>40</c:v>
                </c:pt>
              </c:numCache>
            </c:numRef>
          </c:cat>
          <c:val>
            <c:numRef>
              <c:f>'Torque Available IS'!$K$6:$K$12</c:f>
              <c:numCache>
                <c:formatCode>0.00</c:formatCode>
                <c:ptCount val="7"/>
                <c:pt idx="0">
                  <c:v>144.25565699999999</c:v>
                </c:pt>
                <c:pt idx="1">
                  <c:v>200.06258999999997</c:v>
                </c:pt>
                <c:pt idx="2">
                  <c:v>196.90370699999997</c:v>
                </c:pt>
                <c:pt idx="3">
                  <c:v>185.32113599999997</c:v>
                </c:pt>
                <c:pt idx="4">
                  <c:v>168.47375999999997</c:v>
                </c:pt>
                <c:pt idx="5">
                  <c:v>152.67934499999998</c:v>
                </c:pt>
                <c:pt idx="6">
                  <c:v>144.25565699999999</c:v>
                </c:pt>
              </c:numCache>
            </c:numRef>
          </c: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cat>
            <c:numRef>
              <c:f>'Torque Available IS'!$B$6:$B$12</c:f>
              <c:numCache>
                <c:formatCode>0.0</c:formatCode>
                <c:ptCount val="7"/>
                <c:pt idx="0">
                  <c:v>308</c:v>
                </c:pt>
                <c:pt idx="1">
                  <c:v>356</c:v>
                </c:pt>
                <c:pt idx="2">
                  <c:v>240</c:v>
                </c:pt>
                <c:pt idx="3">
                  <c:v>180</c:v>
                </c:pt>
                <c:pt idx="4">
                  <c:v>124</c:v>
                </c:pt>
                <c:pt idx="5">
                  <c:v>74</c:v>
                </c:pt>
                <c:pt idx="6">
                  <c:v>40</c:v>
                </c:pt>
              </c:numCache>
            </c:numRef>
          </c:cat>
          <c:val>
            <c:numRef>
              <c:f>'Torque Available IS'!$M$6:$M$12</c:f>
              <c:numCache>
                <c:formatCode>0.00</c:formatCode>
                <c:ptCount val="7"/>
                <c:pt idx="0">
                  <c:v>114.79713336</c:v>
                </c:pt>
                <c:pt idx="1">
                  <c:v>159.2077032</c:v>
                </c:pt>
                <c:pt idx="2">
                  <c:v>156.69389735999999</c:v>
                </c:pt>
                <c:pt idx="3">
                  <c:v>147.47660927999999</c:v>
                </c:pt>
                <c:pt idx="4">
                  <c:v>134.06964479999999</c:v>
                </c:pt>
                <c:pt idx="5">
                  <c:v>121.5006156</c:v>
                </c:pt>
                <c:pt idx="6">
                  <c:v>114.79713336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5944"/>
        <c:axId val="171379112"/>
      </c:lineChart>
      <c:catAx>
        <c:axId val="1714659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Current (Amp)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1379112"/>
        <c:crosses val="autoZero"/>
        <c:auto val="1"/>
        <c:lblAlgn val="ctr"/>
        <c:lblOffset val="100"/>
        <c:noMultiLvlLbl val="1"/>
      </c:catAx>
      <c:valAx>
        <c:axId val="171379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Wheel Torque (Nm)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146594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it-IT" sz="1000"/>
              <a:t>Torque</a:t>
            </a:r>
            <a:r>
              <a:rPr lang="it-IT" sz="1000" baseline="0"/>
              <a:t> vs. Speed - non vented</a:t>
            </a:r>
            <a:endParaRPr lang="it-IT" sz="1000"/>
          </a:p>
        </c:rich>
      </c:tx>
      <c:layout>
        <c:manualLayout>
          <c:xMode val="edge"/>
          <c:yMode val="edge"/>
          <c:x val="0.42178941650164525"/>
          <c:y val="3.85063186746549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75969026939203"/>
          <c:y val="0.11578213306813497"/>
          <c:w val="0.74807537159344195"/>
          <c:h val="0.7839688391911448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 non-vent'!$F$6:$F$11</c:f>
              <c:numCache>
                <c:formatCode>0.00</c:formatCode>
                <c:ptCount val="6"/>
                <c:pt idx="0">
                  <c:v>44.781848373216647</c:v>
                </c:pt>
                <c:pt idx="1">
                  <c:v>37.318206977680539</c:v>
                </c:pt>
                <c:pt idx="2">
                  <c:v>29.854565582144431</c:v>
                </c:pt>
                <c:pt idx="3">
                  <c:v>22.390924186608324</c:v>
                </c:pt>
                <c:pt idx="4">
                  <c:v>14.927282791072216</c:v>
                </c:pt>
                <c:pt idx="5">
                  <c:v>7.4636413955361078</c:v>
                </c:pt>
              </c:numCache>
            </c:numRef>
          </c:xVal>
          <c:yVal>
            <c:numRef>
              <c:f>'Torque Available IS non-vent'!$E$6:$E$11</c:f>
              <c:numCache>
                <c:formatCode>0.00</c:formatCode>
                <c:ptCount val="6"/>
                <c:pt idx="0">
                  <c:v>280.64033816</c:v>
                </c:pt>
                <c:pt idx="1">
                  <c:v>348.15287233999999</c:v>
                </c:pt>
                <c:pt idx="2">
                  <c:v>379.92347666000001</c:v>
                </c:pt>
                <c:pt idx="3">
                  <c:v>361.39062414</c:v>
                </c:pt>
                <c:pt idx="4">
                  <c:v>320.35359355999998</c:v>
                </c:pt>
                <c:pt idx="5">
                  <c:v>426.25560796000002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 non-vent'!$H$6:$H$11</c:f>
              <c:numCache>
                <c:formatCode>0.00</c:formatCode>
                <c:ptCount val="6"/>
                <c:pt idx="0">
                  <c:v>83.309118754535447</c:v>
                </c:pt>
                <c:pt idx="1">
                  <c:v>69.424265628779537</c:v>
                </c:pt>
                <c:pt idx="2">
                  <c:v>55.539412503023634</c:v>
                </c:pt>
                <c:pt idx="3">
                  <c:v>41.654559377267724</c:v>
                </c:pt>
                <c:pt idx="4">
                  <c:v>27.769706251511817</c:v>
                </c:pt>
                <c:pt idx="5">
                  <c:v>13.884853125755908</c:v>
                </c:pt>
              </c:numCache>
            </c:numRef>
          </c:xVal>
          <c:yVal>
            <c:numRef>
              <c:f>'Torque Available IS non-vent'!$G$6:$G$11</c:f>
              <c:numCache>
                <c:formatCode>0.00</c:formatCode>
                <c:ptCount val="6"/>
                <c:pt idx="0">
                  <c:v>150.85495151999999</c:v>
                </c:pt>
                <c:pt idx="1">
                  <c:v>187.14552947999999</c:v>
                </c:pt>
                <c:pt idx="2">
                  <c:v>204.22344852000001</c:v>
                </c:pt>
                <c:pt idx="3">
                  <c:v>194.26132908</c:v>
                </c:pt>
                <c:pt idx="4">
                  <c:v>172.20235031999999</c:v>
                </c:pt>
                <c:pt idx="5">
                  <c:v>229.12874712000001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 non-vent'!$J$6:$J$11</c:f>
              <c:numCache>
                <c:formatCode>0.00</c:formatCode>
                <c:ptCount val="6"/>
                <c:pt idx="0">
                  <c:v>125.25633311571839</c:v>
                </c:pt>
                <c:pt idx="1">
                  <c:v>104.38027759643199</c:v>
                </c:pt>
                <c:pt idx="2">
                  <c:v>83.504222077145599</c:v>
                </c:pt>
                <c:pt idx="3">
                  <c:v>62.628166557859196</c:v>
                </c:pt>
                <c:pt idx="4">
                  <c:v>41.752111038572799</c:v>
                </c:pt>
                <c:pt idx="5">
                  <c:v>20.8760555192864</c:v>
                </c:pt>
              </c:numCache>
            </c:numRef>
          </c:xVal>
          <c:yVal>
            <c:numRef>
              <c:f>'Torque Available IS non-vent'!$I$6:$I$11</c:f>
              <c:numCache>
                <c:formatCode>0.00</c:formatCode>
                <c:ptCount val="6"/>
                <c:pt idx="0">
                  <c:v>100.33499112</c:v>
                </c:pt>
                <c:pt idx="1">
                  <c:v>124.47218238000001</c:v>
                </c:pt>
                <c:pt idx="2">
                  <c:v>135.83086062000001</c:v>
                </c:pt>
                <c:pt idx="3">
                  <c:v>129.20496498</c:v>
                </c:pt>
                <c:pt idx="4">
                  <c:v>114.53333892000001</c:v>
                </c:pt>
                <c:pt idx="5">
                  <c:v>152.39559972000001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 non-vent'!$L$6:$L$11</c:f>
              <c:numCache>
                <c:formatCode>0.00</c:formatCode>
                <c:ptCount val="6"/>
                <c:pt idx="0">
                  <c:v>168.89827654866872</c:v>
                </c:pt>
                <c:pt idx="1">
                  <c:v>140.74856379055726</c:v>
                </c:pt>
                <c:pt idx="2">
                  <c:v>112.59885103244581</c:v>
                </c:pt>
                <c:pt idx="3">
                  <c:v>84.449138274334359</c:v>
                </c:pt>
                <c:pt idx="4">
                  <c:v>56.299425516222904</c:v>
                </c:pt>
                <c:pt idx="5">
                  <c:v>28.149712758111452</c:v>
                </c:pt>
              </c:numCache>
            </c:numRef>
          </c:xVal>
          <c:yVal>
            <c:numRef>
              <c:f>'Torque Available IS non-vent'!$K$6:$K$11</c:f>
              <c:numCache>
                <c:formatCode>0.00</c:formatCode>
                <c:ptCount val="6"/>
                <c:pt idx="0">
                  <c:v>74.409243999999987</c:v>
                </c:pt>
                <c:pt idx="1">
                  <c:v>92.30958099999998</c:v>
                </c:pt>
                <c:pt idx="2">
                  <c:v>100.73326899999998</c:v>
                </c:pt>
                <c:pt idx="3">
                  <c:v>95.819450999999987</c:v>
                </c:pt>
                <c:pt idx="4">
                  <c:v>84.938853999999978</c:v>
                </c:pt>
                <c:pt idx="5">
                  <c:v>113.01781399999999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 non-vent'!$N$6:$N$11</c:f>
              <c:numCache>
                <c:formatCode>0.00</c:formatCode>
                <c:ptCount val="6"/>
                <c:pt idx="0">
                  <c:v>212.23989777941176</c:v>
                </c:pt>
                <c:pt idx="1">
                  <c:v>176.86658148284312</c:v>
                </c:pt>
                <c:pt idx="2">
                  <c:v>141.4932651862745</c:v>
                </c:pt>
                <c:pt idx="3">
                  <c:v>106.11994888970588</c:v>
                </c:pt>
                <c:pt idx="4">
                  <c:v>70.74663259313725</c:v>
                </c:pt>
                <c:pt idx="5">
                  <c:v>35.373316296568625</c:v>
                </c:pt>
              </c:numCache>
            </c:numRef>
          </c:xVal>
          <c:yVal>
            <c:numRef>
              <c:f>'Torque Available IS non-vent'!$M$6:$M$11</c:f>
              <c:numCache>
                <c:formatCode>0.00</c:formatCode>
                <c:ptCount val="6"/>
                <c:pt idx="0">
                  <c:v>59.214093119999994</c:v>
                </c:pt>
                <c:pt idx="1">
                  <c:v>73.458992879999997</c:v>
                </c:pt>
                <c:pt idx="2">
                  <c:v>80.162475119999996</c:v>
                </c:pt>
                <c:pt idx="3">
                  <c:v>76.252110479999999</c:v>
                </c:pt>
                <c:pt idx="4">
                  <c:v>67.593445919999994</c:v>
                </c:pt>
                <c:pt idx="5">
                  <c:v>89.938386720000011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64512"/>
        <c:axId val="215165688"/>
      </c:scatterChart>
      <c:valAx>
        <c:axId val="2151645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5165688"/>
        <c:crosses val="autoZero"/>
        <c:crossBetween val="midCat"/>
      </c:valAx>
      <c:valAx>
        <c:axId val="215165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>
            <c:manualLayout>
              <c:xMode val="edge"/>
              <c:yMode val="edge"/>
              <c:x val="1.9158024019163618E-2"/>
              <c:y val="0.38083678980603325"/>
            </c:manualLayout>
          </c:layout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5164512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502560</xdr:colOff>
      <xdr:row>10</xdr:row>
      <xdr:rowOff>140400</xdr:rowOff>
    </xdr:from>
    <xdr:to>
      <xdr:col>26</xdr:col>
      <xdr:colOff>111240</xdr:colOff>
      <xdr:row>32</xdr:row>
      <xdr:rowOff>19800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860400</xdr:colOff>
      <xdr:row>80</xdr:row>
      <xdr:rowOff>85680</xdr:rowOff>
    </xdr:from>
    <xdr:to>
      <xdr:col>12</xdr:col>
      <xdr:colOff>88200</xdr:colOff>
      <xdr:row>113</xdr:row>
      <xdr:rowOff>159840</xdr:rowOff>
    </xdr:to>
    <xdr:graphicFrame macro="">
      <xdr:nvGraphicFramePr>
        <xdr:cNvPr id="3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229320</xdr:colOff>
      <xdr:row>2</xdr:row>
      <xdr:rowOff>140040</xdr:rowOff>
    </xdr:from>
    <xdr:to>
      <xdr:col>10</xdr:col>
      <xdr:colOff>177480</xdr:colOff>
      <xdr:row>28</xdr:row>
      <xdr:rowOff>134280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280800</xdr:colOff>
      <xdr:row>2</xdr:row>
      <xdr:rowOff>153360</xdr:rowOff>
    </xdr:from>
    <xdr:to>
      <xdr:col>19</xdr:col>
      <xdr:colOff>408240</xdr:colOff>
      <xdr:row>28</xdr:row>
      <xdr:rowOff>155520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238125</xdr:colOff>
      <xdr:row>29</xdr:row>
      <xdr:rowOff>161925</xdr:rowOff>
    </xdr:from>
    <xdr:to>
      <xdr:col>10</xdr:col>
      <xdr:colOff>186285</xdr:colOff>
      <xdr:row>55</xdr:row>
      <xdr:rowOff>156165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d.com/trucks/ranger/" TargetMode="External"/><Relationship Id="rId2" Type="http://schemas.openxmlformats.org/officeDocument/2006/relationships/hyperlink" Target="http://www.ford.com/trucks/ranger/" TargetMode="External"/><Relationship Id="rId1" Type="http://schemas.openxmlformats.org/officeDocument/2006/relationships/hyperlink" Target="http://www.ford.com/trucks/rang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indowProtection="1" showGridLines="0" zoomScaleNormal="100" workbookViewId="0">
      <selection activeCell="C6" sqref="C6"/>
    </sheetView>
  </sheetViews>
  <sheetFormatPr defaultRowHeight="15" x14ac:dyDescent="0.2"/>
  <cols>
    <col min="1" max="1" width="33.19921875"/>
    <col min="2" max="2" width="8.59765625"/>
    <col min="3" max="3" width="12.296875"/>
    <col min="4" max="4" width="21.3984375"/>
    <col min="5" max="1025" width="8.5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4" t="s">
        <v>1</v>
      </c>
      <c r="B2" s="5"/>
      <c r="C2" s="5"/>
      <c r="D2" s="6"/>
    </row>
    <row r="4" spans="1:4" s="8" customFormat="1" x14ac:dyDescent="0.2">
      <c r="A4" s="7" t="s">
        <v>2</v>
      </c>
      <c r="B4" s="7" t="s">
        <v>3</v>
      </c>
      <c r="C4" s="7" t="s">
        <v>4</v>
      </c>
    </row>
    <row r="5" spans="1:4" x14ac:dyDescent="0.2">
      <c r="A5" s="9" t="s">
        <v>5</v>
      </c>
      <c r="B5" s="9" t="s">
        <v>6</v>
      </c>
      <c r="C5" s="10">
        <v>1176</v>
      </c>
    </row>
    <row r="6" spans="1:4" x14ac:dyDescent="0.2">
      <c r="A6" s="9" t="s">
        <v>5</v>
      </c>
      <c r="B6" s="9" t="s">
        <v>7</v>
      </c>
      <c r="C6" s="11">
        <f>RefWeightKg*Kg2Lbs</f>
        <v>2592.6362032941602</v>
      </c>
    </row>
    <row r="7" spans="1:4" x14ac:dyDescent="0.2">
      <c r="A7" s="9"/>
      <c r="B7" s="9"/>
      <c r="C7" s="9"/>
    </row>
    <row r="8" spans="1:4" x14ac:dyDescent="0.2">
      <c r="A8" s="9" t="s">
        <v>8</v>
      </c>
      <c r="B8" s="9"/>
      <c r="C8" s="9"/>
    </row>
    <row r="9" spans="1:4" x14ac:dyDescent="0.2">
      <c r="A9" s="12" t="s">
        <v>9</v>
      </c>
      <c r="B9" s="9"/>
      <c r="C9" s="13">
        <v>3.5830000000000002</v>
      </c>
    </row>
    <row r="10" spans="1:4" x14ac:dyDescent="0.2">
      <c r="A10" s="12" t="s">
        <v>10</v>
      </c>
      <c r="B10" s="9"/>
      <c r="C10" s="13">
        <v>1.9259999999999999</v>
      </c>
    </row>
    <row r="11" spans="1:4" x14ac:dyDescent="0.2">
      <c r="A11" s="12" t="s">
        <v>11</v>
      </c>
      <c r="B11" s="9"/>
      <c r="C11" s="13">
        <v>1.2809999999999999</v>
      </c>
    </row>
    <row r="12" spans="1:4" x14ac:dyDescent="0.2">
      <c r="A12" s="12" t="s">
        <v>12</v>
      </c>
      <c r="B12" s="9"/>
      <c r="C12" s="13">
        <v>0.95</v>
      </c>
    </row>
    <row r="13" spans="1:4" x14ac:dyDescent="0.2">
      <c r="A13" s="12" t="s">
        <v>13</v>
      </c>
      <c r="B13" s="9"/>
      <c r="C13" s="13">
        <v>0.75600000000000001</v>
      </c>
    </row>
    <row r="14" spans="1:4" x14ac:dyDescent="0.2">
      <c r="A14" s="9"/>
      <c r="B14" s="9"/>
      <c r="C14" s="9"/>
    </row>
    <row r="15" spans="1:4" x14ac:dyDescent="0.2">
      <c r="A15" s="9" t="s">
        <v>14</v>
      </c>
      <c r="B15" s="9"/>
      <c r="C15" s="13">
        <v>4.0599999999999996</v>
      </c>
    </row>
    <row r="16" spans="1:4" x14ac:dyDescent="0.2">
      <c r="A16" s="9"/>
      <c r="B16" s="9"/>
      <c r="C16" s="9"/>
    </row>
    <row r="17" spans="1:3" x14ac:dyDescent="0.2">
      <c r="A17" s="9" t="s">
        <v>15</v>
      </c>
      <c r="B17" s="9"/>
      <c r="C17" s="9"/>
    </row>
    <row r="18" spans="1:3" x14ac:dyDescent="0.2">
      <c r="A18" s="12" t="s">
        <v>16</v>
      </c>
      <c r="B18" s="9" t="s">
        <v>17</v>
      </c>
      <c r="C18" s="14">
        <v>195</v>
      </c>
    </row>
    <row r="19" spans="1:3" x14ac:dyDescent="0.2">
      <c r="A19" s="12" t="s">
        <v>18</v>
      </c>
      <c r="B19" s="9" t="s">
        <v>19</v>
      </c>
      <c r="C19" s="14">
        <v>50</v>
      </c>
    </row>
    <row r="20" spans="1:3" x14ac:dyDescent="0.2">
      <c r="A20" s="12" t="s">
        <v>20</v>
      </c>
      <c r="B20" s="9" t="s">
        <v>21</v>
      </c>
      <c r="C20" s="14">
        <v>15</v>
      </c>
    </row>
    <row r="21" spans="1:3" x14ac:dyDescent="0.2">
      <c r="A21" s="9"/>
      <c r="B21" s="9"/>
      <c r="C21" s="9"/>
    </row>
    <row r="22" spans="1:3" x14ac:dyDescent="0.2">
      <c r="A22" s="15" t="s">
        <v>22</v>
      </c>
      <c r="B22" s="9"/>
      <c r="C22" s="9"/>
    </row>
    <row r="23" spans="1:3" x14ac:dyDescent="0.2">
      <c r="A23" s="12" t="s">
        <v>23</v>
      </c>
      <c r="B23" s="9" t="s">
        <v>24</v>
      </c>
      <c r="C23" s="14">
        <v>2.13</v>
      </c>
    </row>
    <row r="24" spans="1:3" x14ac:dyDescent="0.2">
      <c r="A24" s="12" t="s">
        <v>25</v>
      </c>
      <c r="B24" s="9" t="s">
        <v>26</v>
      </c>
      <c r="C24" s="14">
        <v>1.2250000000000001</v>
      </c>
    </row>
    <row r="25" spans="1:3" x14ac:dyDescent="0.2">
      <c r="A25" s="12" t="s">
        <v>27</v>
      </c>
      <c r="B25" s="9"/>
      <c r="C25" s="14">
        <v>0.33</v>
      </c>
    </row>
    <row r="26" spans="1:3" x14ac:dyDescent="0.2">
      <c r="A26" s="12" t="s">
        <v>28</v>
      </c>
      <c r="B26" s="9" t="s">
        <v>29</v>
      </c>
      <c r="C26" s="14">
        <v>12</v>
      </c>
    </row>
    <row r="27" spans="1:3" x14ac:dyDescent="0.2">
      <c r="A27" s="12" t="s">
        <v>30</v>
      </c>
      <c r="B27" s="9"/>
      <c r="C27" s="14">
        <v>1.4</v>
      </c>
    </row>
    <row r="28" spans="1:3" x14ac:dyDescent="0.2">
      <c r="A28" s="12"/>
      <c r="B28" s="9"/>
      <c r="C28" s="14"/>
    </row>
    <row r="29" spans="1:3" x14ac:dyDescent="0.2">
      <c r="A29" s="15"/>
      <c r="B29" s="9"/>
      <c r="C29" s="9"/>
    </row>
    <row r="30" spans="1:3" x14ac:dyDescent="0.2">
      <c r="A30" s="15" t="s">
        <v>31</v>
      </c>
      <c r="B30" s="9"/>
      <c r="C30" s="14">
        <v>0.91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41"/>
  <sheetViews>
    <sheetView windowProtection="1" zoomScaleNormal="100" workbookViewId="0">
      <selection activeCell="A30" sqref="A30"/>
    </sheetView>
  </sheetViews>
  <sheetFormatPr defaultRowHeight="15" x14ac:dyDescent="0.2"/>
  <cols>
    <col min="1" max="1" width="66.5" style="16"/>
    <col min="2" max="2" width="9.3984375" style="16"/>
    <col min="3" max="3" width="32.59765625" style="16"/>
    <col min="4" max="7" width="8.59765625" style="16"/>
    <col min="8" max="8" width="9.5" style="16"/>
    <col min="9" max="1025" width="8.59765625" style="16"/>
  </cols>
  <sheetData>
    <row r="1" spans="1:43" ht="18" x14ac:dyDescent="0.2">
      <c r="A1" s="51" t="s">
        <v>247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">
      <c r="A3" s="52" t="s">
        <v>248</v>
      </c>
      <c r="B3" s="108">
        <f>RefWeightLbs</f>
        <v>2592.6362032941602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249</v>
      </c>
      <c r="B4" s="109">
        <f>VFrontArea*Meters2ft*Meters2ft</f>
        <v>22.927129187591703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250</v>
      </c>
      <c r="B5" s="110">
        <f>AirDensity*Kg2Lbs/POWER(Meters2ft,3)</f>
        <v>7.647425170577718E-2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251</v>
      </c>
      <c r="B6" s="56">
        <f>G_ms2*Meters2ft</f>
        <v>32.174048556430442</v>
      </c>
      <c r="C6" s="8" t="s">
        <v>252</v>
      </c>
      <c r="D6" s="59">
        <f t="shared" ref="D6:AQ6" si="0">$B$3*SUM(D4:D5)</f>
        <v>46.667451659294876</v>
      </c>
      <c r="E6" s="57">
        <f t="shared" si="0"/>
        <v>46.667451659294876</v>
      </c>
      <c r="F6" s="57">
        <f t="shared" si="0"/>
        <v>46.667451659294876</v>
      </c>
      <c r="G6" s="57">
        <f t="shared" si="0"/>
        <v>46.667451659294876</v>
      </c>
      <c r="H6" s="57">
        <f t="shared" si="0"/>
        <v>46.667451659294876</v>
      </c>
      <c r="I6" s="57">
        <f t="shared" si="0"/>
        <v>46.667451659294876</v>
      </c>
      <c r="J6" s="57">
        <f t="shared" si="0"/>
        <v>46.667451659294876</v>
      </c>
      <c r="K6" s="57">
        <f t="shared" si="0"/>
        <v>46.667451659294876</v>
      </c>
      <c r="L6" s="57">
        <f t="shared" si="0"/>
        <v>46.667451659294876</v>
      </c>
      <c r="M6" s="57">
        <f t="shared" si="0"/>
        <v>46.667451659294876</v>
      </c>
      <c r="N6" s="57">
        <f t="shared" si="0"/>
        <v>46.667451659294876</v>
      </c>
      <c r="O6" s="57">
        <f t="shared" si="0"/>
        <v>46.667451659294876</v>
      </c>
      <c r="P6" s="57">
        <f t="shared" si="0"/>
        <v>46.667451659294876</v>
      </c>
      <c r="Q6" s="57">
        <f t="shared" si="0"/>
        <v>46.667451659294876</v>
      </c>
      <c r="R6" s="57">
        <f t="shared" si="0"/>
        <v>46.667451659294876</v>
      </c>
      <c r="S6" s="57">
        <f t="shared" si="0"/>
        <v>46.667451659294876</v>
      </c>
      <c r="T6" s="57">
        <f t="shared" si="0"/>
        <v>46.667451659294876</v>
      </c>
      <c r="U6" s="57">
        <f t="shared" si="0"/>
        <v>46.667451659294876</v>
      </c>
      <c r="V6" s="57">
        <f t="shared" si="0"/>
        <v>46.667451659294876</v>
      </c>
      <c r="W6" s="57">
        <f t="shared" si="0"/>
        <v>46.667451659294876</v>
      </c>
      <c r="X6" s="57">
        <f t="shared" si="0"/>
        <v>46.667451659294876</v>
      </c>
      <c r="Y6" s="57">
        <f t="shared" si="0"/>
        <v>46.667451659294876</v>
      </c>
      <c r="Z6" s="57">
        <f t="shared" si="0"/>
        <v>46.667451659294876</v>
      </c>
      <c r="AA6" s="57">
        <f t="shared" si="0"/>
        <v>46.667451659294876</v>
      </c>
      <c r="AB6" s="57">
        <f t="shared" si="0"/>
        <v>46.667451659294876</v>
      </c>
      <c r="AC6" s="57">
        <f t="shared" si="0"/>
        <v>46.667451659294876</v>
      </c>
      <c r="AD6" s="57">
        <f t="shared" si="0"/>
        <v>46.667451659294876</v>
      </c>
      <c r="AE6" s="57">
        <f t="shared" si="0"/>
        <v>46.667451659294876</v>
      </c>
      <c r="AF6" s="57">
        <f t="shared" si="0"/>
        <v>46.667451659294876</v>
      </c>
      <c r="AG6" s="57">
        <f t="shared" si="0"/>
        <v>46.667451659294876</v>
      </c>
      <c r="AH6" s="57">
        <f t="shared" si="0"/>
        <v>46.667451659294876</v>
      </c>
      <c r="AI6" s="57">
        <f t="shared" si="0"/>
        <v>46.667451659294876</v>
      </c>
      <c r="AJ6" s="57">
        <f t="shared" si="0"/>
        <v>46.667451659294876</v>
      </c>
      <c r="AK6" s="57">
        <f t="shared" si="0"/>
        <v>46.667451659294876</v>
      </c>
      <c r="AL6" s="57">
        <f t="shared" si="0"/>
        <v>46.667451659294876</v>
      </c>
      <c r="AM6" s="57">
        <f t="shared" si="0"/>
        <v>46.667451659294876</v>
      </c>
      <c r="AN6" s="57">
        <f t="shared" si="0"/>
        <v>46.667451659294876</v>
      </c>
      <c r="AO6" s="57">
        <f t="shared" si="0"/>
        <v>46.667451659294876</v>
      </c>
      <c r="AP6" s="57">
        <f t="shared" si="0"/>
        <v>46.667451659294876</v>
      </c>
      <c r="AQ6" s="57">
        <f t="shared" si="0"/>
        <v>46.667451659294876</v>
      </c>
    </row>
    <row r="7" spans="1:43" ht="30" x14ac:dyDescent="0.2">
      <c r="A7" s="55" t="s">
        <v>193</v>
      </c>
      <c r="B7" s="56">
        <f>DragCoeff</f>
        <v>0.33</v>
      </c>
      <c r="C7" s="8" t="s">
        <v>253</v>
      </c>
      <c r="D7" s="58">
        <f t="shared" ref="D7:AQ7" si="1">(1/2)*($B$5)*(D3*(5280/3600)*D3*(5280/3600))*$B$4*$B$7</f>
        <v>15.557926329316343</v>
      </c>
      <c r="E7" s="58">
        <f t="shared" si="1"/>
        <v>62.231705317265373</v>
      </c>
      <c r="F7" s="58">
        <f t="shared" si="1"/>
        <v>140.02133696384709</v>
      </c>
      <c r="G7" s="58">
        <f t="shared" si="1"/>
        <v>248.92682126906149</v>
      </c>
      <c r="H7" s="58">
        <f t="shared" si="1"/>
        <v>388.94815823290855</v>
      </c>
      <c r="I7" s="58">
        <f t="shared" si="1"/>
        <v>560.08534785538836</v>
      </c>
      <c r="J7" s="58">
        <f t="shared" si="1"/>
        <v>762.33839013650083</v>
      </c>
      <c r="K7" s="58">
        <f t="shared" si="1"/>
        <v>995.70728507624597</v>
      </c>
      <c r="L7" s="58">
        <f t="shared" si="1"/>
        <v>1260.192032674624</v>
      </c>
      <c r="M7" s="58">
        <f t="shared" si="1"/>
        <v>1555.7926329316342</v>
      </c>
      <c r="N7" s="58">
        <f t="shared" si="1"/>
        <v>1882.5090858472772</v>
      </c>
      <c r="O7" s="58">
        <f t="shared" si="1"/>
        <v>2240.3413914215535</v>
      </c>
      <c r="P7" s="58">
        <f t="shared" si="1"/>
        <v>2629.289549654462</v>
      </c>
      <c r="Q7" s="58">
        <f t="shared" si="1"/>
        <v>3049.3535605460033</v>
      </c>
      <c r="R7" s="58">
        <f t="shared" si="1"/>
        <v>3500.5334240961765</v>
      </c>
      <c r="S7" s="58">
        <f t="shared" si="1"/>
        <v>3982.8291403049839</v>
      </c>
      <c r="T7" s="58">
        <f t="shared" si="1"/>
        <v>4496.2407091724235</v>
      </c>
      <c r="U7" s="58">
        <f t="shared" si="1"/>
        <v>5040.768130698496</v>
      </c>
      <c r="V7" s="58">
        <f t="shared" si="1"/>
        <v>5616.4114048831998</v>
      </c>
      <c r="W7" s="58">
        <f t="shared" si="1"/>
        <v>6223.1705317265369</v>
      </c>
      <c r="X7" s="58">
        <f t="shared" si="1"/>
        <v>6861.0455112285081</v>
      </c>
      <c r="Y7" s="58">
        <f t="shared" si="1"/>
        <v>7530.0363433891089</v>
      </c>
      <c r="Z7" s="58">
        <f t="shared" si="1"/>
        <v>8230.1430282083438</v>
      </c>
      <c r="AA7" s="58">
        <f t="shared" si="1"/>
        <v>8961.3655656862138</v>
      </c>
      <c r="AB7" s="58">
        <f t="shared" si="1"/>
        <v>9723.7039558227134</v>
      </c>
      <c r="AC7" s="58">
        <f t="shared" si="1"/>
        <v>10517.158198617848</v>
      </c>
      <c r="AD7" s="58">
        <f t="shared" si="1"/>
        <v>11341.728294071616</v>
      </c>
      <c r="AE7" s="58">
        <f t="shared" si="1"/>
        <v>12197.414242184013</v>
      </c>
      <c r="AF7" s="58">
        <f t="shared" si="1"/>
        <v>13084.216042955044</v>
      </c>
      <c r="AG7" s="58">
        <f t="shared" si="1"/>
        <v>14002.133696384706</v>
      </c>
      <c r="AH7" s="58">
        <f t="shared" si="1"/>
        <v>14951.167202473007</v>
      </c>
      <c r="AI7" s="58">
        <f t="shared" si="1"/>
        <v>15931.316561219935</v>
      </c>
      <c r="AJ7" s="58">
        <f t="shared" si="1"/>
        <v>16942.581772625497</v>
      </c>
      <c r="AK7" s="58">
        <f t="shared" si="1"/>
        <v>17984.962836689694</v>
      </c>
      <c r="AL7" s="58">
        <f t="shared" si="1"/>
        <v>19058.459753412517</v>
      </c>
      <c r="AM7" s="58">
        <f t="shared" si="1"/>
        <v>20163.072522793984</v>
      </c>
      <c r="AN7" s="58">
        <f t="shared" si="1"/>
        <v>21298.801144834073</v>
      </c>
      <c r="AO7" s="58">
        <f t="shared" si="1"/>
        <v>22465.645619532799</v>
      </c>
      <c r="AP7" s="58">
        <f t="shared" si="1"/>
        <v>23663.605946890159</v>
      </c>
      <c r="AQ7" s="58">
        <f t="shared" si="1"/>
        <v>24892.682126906147</v>
      </c>
    </row>
    <row r="8" spans="1:43" ht="30" x14ac:dyDescent="0.2">
      <c r="A8" s="55" t="s">
        <v>254</v>
      </c>
      <c r="B8" s="111">
        <f>RelWindSpeed*1000*Meters2miles</f>
        <v>7.4564543068480074</v>
      </c>
      <c r="C8" s="8" t="s">
        <v>196</v>
      </c>
      <c r="D8" s="59">
        <f t="shared" ref="D8:AQ8" si="2">((0.98*($B$8/D3)*($B$8/D3)+0.63*($B$8/D3))*$B$9)-(0.4*($B$8/D3))</f>
        <v>3.7700594455367047</v>
      </c>
      <c r="E8" s="59">
        <f t="shared" si="2"/>
        <v>1.122215410179213</v>
      </c>
      <c r="F8" s="59">
        <f t="shared" si="2"/>
        <v>0.57862931509966675</v>
      </c>
      <c r="G8" s="59">
        <f t="shared" si="2"/>
        <v>0.37040412694232172</v>
      </c>
      <c r="H8" s="59">
        <f t="shared" si="2"/>
        <v>0.26581072905029179</v>
      </c>
      <c r="I8" s="59">
        <f t="shared" si="2"/>
        <v>0.20455751170659564</v>
      </c>
      <c r="J8" s="59">
        <f t="shared" si="2"/>
        <v>0.16495658401260391</v>
      </c>
      <c r="K8" s="59">
        <f t="shared" si="2"/>
        <v>0.13752616893433967</v>
      </c>
      <c r="L8" s="59">
        <f t="shared" si="2"/>
        <v>0.11753675317256651</v>
      </c>
      <c r="M8" s="59">
        <f t="shared" si="2"/>
        <v>0.10239279202158037</v>
      </c>
      <c r="N8" s="59">
        <f t="shared" si="2"/>
        <v>9.0562656176348608E-2</v>
      </c>
      <c r="O8" s="59">
        <f t="shared" si="2"/>
        <v>8.10894693924884E-2</v>
      </c>
      <c r="P8" s="59">
        <f t="shared" si="2"/>
        <v>7.3347253181647809E-2</v>
      </c>
      <c r="Q8" s="59">
        <f t="shared" si="2"/>
        <v>6.6910652973870527E-2</v>
      </c>
      <c r="R8" s="59">
        <f t="shared" si="2"/>
        <v>6.1481289680261217E-2</v>
      </c>
      <c r="S8" s="59">
        <f t="shared" si="2"/>
        <v>5.6844110832964527E-2</v>
      </c>
      <c r="T8" s="59">
        <f t="shared" si="2"/>
        <v>5.2840465634668057E-2</v>
      </c>
      <c r="U8" s="59">
        <f t="shared" si="2"/>
        <v>4.9350915937034626E-2</v>
      </c>
      <c r="V8" s="59">
        <f t="shared" si="2"/>
        <v>4.6283930633737862E-2</v>
      </c>
      <c r="W8" s="59">
        <f t="shared" si="2"/>
        <v>4.3568252884898788E-2</v>
      </c>
      <c r="X8" s="59">
        <f t="shared" si="2"/>
        <v>4.1147626642040046E-2</v>
      </c>
      <c r="Y8" s="59">
        <f t="shared" si="2"/>
        <v>3.8977077570908701E-2</v>
      </c>
      <c r="Z8" s="59">
        <f t="shared" si="2"/>
        <v>3.7020241473534901E-2</v>
      </c>
      <c r="AA8" s="59">
        <f t="shared" si="2"/>
        <v>3.5247413081041845E-2</v>
      </c>
      <c r="AB8" s="59">
        <f t="shared" si="2"/>
        <v>3.3634099407776404E-2</v>
      </c>
      <c r="AC8" s="59">
        <f t="shared" si="2"/>
        <v>3.2159932433491717E-2</v>
      </c>
      <c r="AD8" s="59">
        <f t="shared" si="2"/>
        <v>3.0807841591523385E-2</v>
      </c>
      <c r="AE8" s="59">
        <f t="shared" si="2"/>
        <v>2.956341672882741E-2</v>
      </c>
      <c r="AF8" s="59">
        <f t="shared" si="2"/>
        <v>2.8414412497718002E-2</v>
      </c>
      <c r="AG8" s="59">
        <f t="shared" si="2"/>
        <v>2.73503590064011E-2</v>
      </c>
      <c r="AH8" s="59">
        <f t="shared" si="2"/>
        <v>2.6362253174756649E-2</v>
      </c>
      <c r="AI8" s="59">
        <f t="shared" si="2"/>
        <v>2.5442312007930946E-2</v>
      </c>
      <c r="AJ8" s="59">
        <f t="shared" si="2"/>
        <v>2.4583773821213441E-2</v>
      </c>
      <c r="AK8" s="59">
        <f t="shared" si="2"/>
        <v>2.3780736926022131E-2</v>
      </c>
      <c r="AL8" s="59">
        <f t="shared" si="2"/>
        <v>2.302802782176468E-2</v>
      </c>
      <c r="AM8" s="59">
        <f t="shared" si="2"/>
        <v>2.2321092806205152E-2</v>
      </c>
      <c r="AN8" s="59">
        <f t="shared" si="2"/>
        <v>2.1655908306809368E-2</v>
      </c>
      <c r="AO8" s="59">
        <f t="shared" si="2"/>
        <v>2.1028906279225882E-2</v>
      </c>
      <c r="AP8" s="59">
        <f t="shared" si="2"/>
        <v>2.0436911809587323E-2</v>
      </c>
      <c r="AQ8" s="59">
        <f t="shared" si="2"/>
        <v>1.9877090660976548E-2</v>
      </c>
    </row>
    <row r="9" spans="1:43" x14ac:dyDescent="0.2">
      <c r="A9" s="55" t="s">
        <v>197</v>
      </c>
      <c r="B9" s="56">
        <f>CRW</f>
        <v>1.4</v>
      </c>
      <c r="C9" s="8" t="s">
        <v>255</v>
      </c>
      <c r="D9" s="58">
        <f t="shared" ref="D9:AQ9" si="3">D8*D7</f>
        <v>58.654307110803273</v>
      </c>
      <c r="E9" s="58">
        <f t="shared" si="3"/>
        <v>69.837378708766877</v>
      </c>
      <c r="F9" s="58">
        <f t="shared" si="3"/>
        <v>81.020450306730496</v>
      </c>
      <c r="G9" s="58">
        <f t="shared" si="3"/>
        <v>92.203521904694085</v>
      </c>
      <c r="H9" s="58">
        <f t="shared" si="3"/>
        <v>103.38659350265768</v>
      </c>
      <c r="I9" s="58">
        <f t="shared" si="3"/>
        <v>114.56966510062129</v>
      </c>
      <c r="J9" s="58">
        <f t="shared" si="3"/>
        <v>125.75273669858491</v>
      </c>
      <c r="K9" s="58">
        <f t="shared" si="3"/>
        <v>136.93580829654852</v>
      </c>
      <c r="L9" s="58">
        <f t="shared" si="3"/>
        <v>148.11887989451216</v>
      </c>
      <c r="M9" s="58">
        <f t="shared" si="3"/>
        <v>159.30195149247575</v>
      </c>
      <c r="N9" s="58">
        <f t="shared" si="3"/>
        <v>170.48502309043928</v>
      </c>
      <c r="O9" s="58">
        <f t="shared" si="3"/>
        <v>181.66809468840293</v>
      </c>
      <c r="P9" s="58">
        <f t="shared" si="3"/>
        <v>192.85116628636658</v>
      </c>
      <c r="Q9" s="58">
        <f t="shared" si="3"/>
        <v>204.03423788433011</v>
      </c>
      <c r="R9" s="58">
        <f t="shared" si="3"/>
        <v>215.21730948229373</v>
      </c>
      <c r="S9" s="58">
        <f t="shared" si="3"/>
        <v>226.40038108025732</v>
      </c>
      <c r="T9" s="58">
        <f t="shared" si="3"/>
        <v>237.58345267822099</v>
      </c>
      <c r="U9" s="58">
        <f t="shared" si="3"/>
        <v>248.76652427618464</v>
      </c>
      <c r="V9" s="58">
        <f t="shared" si="3"/>
        <v>259.94959587414826</v>
      </c>
      <c r="W9" s="58">
        <f t="shared" si="3"/>
        <v>271.13266747211179</v>
      </c>
      <c r="X9" s="58">
        <f t="shared" si="3"/>
        <v>282.31573907007544</v>
      </c>
      <c r="Y9" s="58">
        <f t="shared" si="3"/>
        <v>293.49881066803903</v>
      </c>
      <c r="Z9" s="58">
        <f t="shared" si="3"/>
        <v>304.68188226600267</v>
      </c>
      <c r="AA9" s="58">
        <f t="shared" si="3"/>
        <v>315.86495386396621</v>
      </c>
      <c r="AB9" s="58">
        <f t="shared" si="3"/>
        <v>327.0480254619298</v>
      </c>
      <c r="AC9" s="58">
        <f t="shared" si="3"/>
        <v>338.23109705989344</v>
      </c>
      <c r="AD9" s="58">
        <f t="shared" si="3"/>
        <v>349.41416865785709</v>
      </c>
      <c r="AE9" s="58">
        <f t="shared" si="3"/>
        <v>360.59724025582057</v>
      </c>
      <c r="AF9" s="58">
        <f t="shared" si="3"/>
        <v>371.78031185378421</v>
      </c>
      <c r="AG9" s="58">
        <f t="shared" si="3"/>
        <v>382.96338345174775</v>
      </c>
      <c r="AH9" s="58">
        <f t="shared" si="3"/>
        <v>394.14645504971151</v>
      </c>
      <c r="AI9" s="58">
        <f t="shared" si="3"/>
        <v>405.3295266476751</v>
      </c>
      <c r="AJ9" s="58">
        <f t="shared" si="3"/>
        <v>416.51259824563869</v>
      </c>
      <c r="AK9" s="58">
        <f t="shared" si="3"/>
        <v>427.69566984360233</v>
      </c>
      <c r="AL9" s="58">
        <f t="shared" si="3"/>
        <v>438.87874144156586</v>
      </c>
      <c r="AM9" s="58">
        <f t="shared" si="3"/>
        <v>450.06181303952957</v>
      </c>
      <c r="AN9" s="58">
        <f t="shared" si="3"/>
        <v>461.24488463749304</v>
      </c>
      <c r="AO9" s="58">
        <f t="shared" si="3"/>
        <v>472.42795623545669</v>
      </c>
      <c r="AP9" s="58">
        <f t="shared" si="3"/>
        <v>483.61102783342028</v>
      </c>
      <c r="AQ9" s="58">
        <f t="shared" si="3"/>
        <v>494.79409943138404</v>
      </c>
    </row>
    <row r="10" spans="1:43" x14ac:dyDescent="0.2">
      <c r="A10" s="55" t="s">
        <v>256</v>
      </c>
      <c r="B10" s="60">
        <f>1/((((TireDiam*25.4)+((2*TireSection*TireSidewRatio/100)))*3.141592653589)/1000)/Meters2miles</f>
        <v>889.35782199773575</v>
      </c>
      <c r="C10" s="8" t="s">
        <v>257</v>
      </c>
      <c r="D10" s="58">
        <f t="shared" ref="D10:AQ10" si="4">D6+D7+D9</f>
        <v>120.8796850994145</v>
      </c>
      <c r="E10" s="58">
        <f t="shared" si="4"/>
        <v>178.73653568532711</v>
      </c>
      <c r="F10" s="58">
        <f t="shared" si="4"/>
        <v>267.70923892987247</v>
      </c>
      <c r="G10" s="58">
        <f t="shared" si="4"/>
        <v>387.79779483305043</v>
      </c>
      <c r="H10" s="58">
        <f t="shared" si="4"/>
        <v>539.00220339486111</v>
      </c>
      <c r="I10" s="58">
        <f t="shared" si="4"/>
        <v>721.32246461530451</v>
      </c>
      <c r="J10" s="58">
        <f t="shared" si="4"/>
        <v>934.75857849438069</v>
      </c>
      <c r="K10" s="58">
        <f t="shared" si="4"/>
        <v>1179.3105450320893</v>
      </c>
      <c r="L10" s="58">
        <f t="shared" si="4"/>
        <v>1454.978364228431</v>
      </c>
      <c r="M10" s="58">
        <f t="shared" si="4"/>
        <v>1761.7620360834048</v>
      </c>
      <c r="N10" s="58">
        <f t="shared" si="4"/>
        <v>2099.6615605970114</v>
      </c>
      <c r="O10" s="58">
        <f t="shared" si="4"/>
        <v>2468.6769377692513</v>
      </c>
      <c r="P10" s="58">
        <f t="shared" si="4"/>
        <v>2868.8081676001234</v>
      </c>
      <c r="Q10" s="58">
        <f t="shared" si="4"/>
        <v>3300.0552500896283</v>
      </c>
      <c r="R10" s="58">
        <f t="shared" si="4"/>
        <v>3762.4181852377651</v>
      </c>
      <c r="S10" s="58">
        <f t="shared" si="4"/>
        <v>4255.896973044536</v>
      </c>
      <c r="T10" s="58">
        <f t="shared" si="4"/>
        <v>4780.4916135099393</v>
      </c>
      <c r="U10" s="58">
        <f t="shared" si="4"/>
        <v>5336.2021066339757</v>
      </c>
      <c r="V10" s="58">
        <f t="shared" si="4"/>
        <v>5923.0284524166427</v>
      </c>
      <c r="W10" s="58">
        <f t="shared" si="4"/>
        <v>6540.9706508579438</v>
      </c>
      <c r="X10" s="58">
        <f t="shared" si="4"/>
        <v>7190.0287019578782</v>
      </c>
      <c r="Y10" s="58">
        <f t="shared" si="4"/>
        <v>7870.202605716443</v>
      </c>
      <c r="Z10" s="58">
        <f t="shared" si="4"/>
        <v>8581.492362133642</v>
      </c>
      <c r="AA10" s="58">
        <f t="shared" si="4"/>
        <v>9323.8979712094751</v>
      </c>
      <c r="AB10" s="58">
        <f t="shared" si="4"/>
        <v>10097.41943294394</v>
      </c>
      <c r="AC10" s="58">
        <f t="shared" si="4"/>
        <v>10902.056747337037</v>
      </c>
      <c r="AD10" s="58">
        <f t="shared" si="4"/>
        <v>11737.809914388768</v>
      </c>
      <c r="AE10" s="58">
        <f t="shared" si="4"/>
        <v>12604.678934099129</v>
      </c>
      <c r="AF10" s="58">
        <f t="shared" si="4"/>
        <v>13502.663806468125</v>
      </c>
      <c r="AG10" s="58">
        <f t="shared" si="4"/>
        <v>14431.76453149575</v>
      </c>
      <c r="AH10" s="58">
        <f t="shared" si="4"/>
        <v>15391.981109182014</v>
      </c>
      <c r="AI10" s="58">
        <f t="shared" si="4"/>
        <v>16383.313539526906</v>
      </c>
      <c r="AJ10" s="58">
        <f t="shared" si="4"/>
        <v>17405.761822530429</v>
      </c>
      <c r="AK10" s="58">
        <f t="shared" si="4"/>
        <v>18459.325958192589</v>
      </c>
      <c r="AL10" s="58">
        <f t="shared" si="4"/>
        <v>19544.005946513378</v>
      </c>
      <c r="AM10" s="58">
        <f t="shared" si="4"/>
        <v>20659.801787492808</v>
      </c>
      <c r="AN10" s="58">
        <f t="shared" si="4"/>
        <v>21806.713481130861</v>
      </c>
      <c r="AO10" s="58">
        <f t="shared" si="4"/>
        <v>22984.74102742755</v>
      </c>
      <c r="AP10" s="58">
        <f t="shared" si="4"/>
        <v>24193.884426382872</v>
      </c>
      <c r="AQ10" s="58">
        <f t="shared" si="4"/>
        <v>25434.143677996824</v>
      </c>
    </row>
    <row r="11" spans="1:43" x14ac:dyDescent="0.2">
      <c r="A11" s="55" t="s">
        <v>201</v>
      </c>
      <c r="B11" s="61">
        <f>840.34/$B$10</f>
        <v>0.94488402667035798</v>
      </c>
      <c r="C11" s="8" t="s">
        <v>258</v>
      </c>
      <c r="D11" s="58">
        <f t="shared" ref="D11:AQ11" si="5">D10*$B$11</f>
        <v>114.21728359937964</v>
      </c>
      <c r="E11" s="58">
        <f t="shared" si="5"/>
        <v>168.885297551462</v>
      </c>
      <c r="F11" s="58">
        <f t="shared" si="5"/>
        <v>252.95418365691486</v>
      </c>
      <c r="G11" s="58">
        <f t="shared" si="5"/>
        <v>366.42394191573806</v>
      </c>
      <c r="H11" s="58">
        <f t="shared" si="5"/>
        <v>509.29457232793169</v>
      </c>
      <c r="I11" s="58">
        <f t="shared" si="5"/>
        <v>681.56607489349574</v>
      </c>
      <c r="J11" s="58">
        <f t="shared" si="5"/>
        <v>883.23844961243026</v>
      </c>
      <c r="K11" s="58">
        <f t="shared" si="5"/>
        <v>1114.311696484735</v>
      </c>
      <c r="L11" s="58">
        <f t="shared" si="5"/>
        <v>1374.7858155104107</v>
      </c>
      <c r="M11" s="58">
        <f t="shared" si="5"/>
        <v>1664.660806689456</v>
      </c>
      <c r="N11" s="58">
        <f t="shared" si="5"/>
        <v>1983.936670021872</v>
      </c>
      <c r="O11" s="58">
        <f t="shared" si="5"/>
        <v>2332.6134055076591</v>
      </c>
      <c r="P11" s="58">
        <f t="shared" si="5"/>
        <v>2710.6910131468157</v>
      </c>
      <c r="Q11" s="58">
        <f t="shared" si="5"/>
        <v>3118.1694929393434</v>
      </c>
      <c r="R11" s="58">
        <f t="shared" si="5"/>
        <v>3555.0488448852402</v>
      </c>
      <c r="S11" s="58">
        <f t="shared" si="5"/>
        <v>4021.3290689845094</v>
      </c>
      <c r="T11" s="58">
        <f t="shared" si="5"/>
        <v>4517.0101652371477</v>
      </c>
      <c r="U11" s="58">
        <f t="shared" si="5"/>
        <v>5042.0921336431584</v>
      </c>
      <c r="V11" s="58">
        <f t="shared" si="5"/>
        <v>5596.5749742025364</v>
      </c>
      <c r="W11" s="58">
        <f t="shared" si="5"/>
        <v>6180.4586869152863</v>
      </c>
      <c r="X11" s="58">
        <f t="shared" si="5"/>
        <v>6793.7432717814072</v>
      </c>
      <c r="Y11" s="58">
        <f t="shared" si="5"/>
        <v>7436.4287288008964</v>
      </c>
      <c r="Z11" s="58">
        <f t="shared" si="5"/>
        <v>8108.5150579737574</v>
      </c>
      <c r="AA11" s="58">
        <f t="shared" si="5"/>
        <v>8810.0022592999903</v>
      </c>
      <c r="AB11" s="58">
        <f t="shared" si="5"/>
        <v>9540.8903327795924</v>
      </c>
      <c r="AC11" s="58">
        <f t="shared" si="5"/>
        <v>10301.179278412565</v>
      </c>
      <c r="AD11" s="58">
        <f t="shared" si="5"/>
        <v>11090.869096198909</v>
      </c>
      <c r="AE11" s="58">
        <f t="shared" si="5"/>
        <v>11909.959786138621</v>
      </c>
      <c r="AF11" s="58">
        <f t="shared" si="5"/>
        <v>12758.451348231705</v>
      </c>
      <c r="AG11" s="58">
        <f t="shared" si="5"/>
        <v>13636.343782478156</v>
      </c>
      <c r="AH11" s="58">
        <f t="shared" si="5"/>
        <v>14543.637088877984</v>
      </c>
      <c r="AI11" s="58">
        <f t="shared" si="5"/>
        <v>15480.331267431178</v>
      </c>
      <c r="AJ11" s="58">
        <f t="shared" si="5"/>
        <v>16446.426318137739</v>
      </c>
      <c r="AK11" s="58">
        <f t="shared" si="5"/>
        <v>17441.922240997676</v>
      </c>
      <c r="AL11" s="58">
        <f t="shared" si="5"/>
        <v>18466.81903601098</v>
      </c>
      <c r="AM11" s="58">
        <f t="shared" si="5"/>
        <v>19521.116703177664</v>
      </c>
      <c r="AN11" s="58">
        <f t="shared" si="5"/>
        <v>20604.815242497705</v>
      </c>
      <c r="AO11" s="58">
        <f t="shared" si="5"/>
        <v>21717.914653971126</v>
      </c>
      <c r="AP11" s="58">
        <f t="shared" si="5"/>
        <v>22860.414937597914</v>
      </c>
      <c r="AQ11" s="58">
        <f t="shared" si="5"/>
        <v>24032.316093378067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B14" s="68"/>
      <c r="C14" s="8" t="s">
        <v>259</v>
      </c>
      <c r="D14" s="58">
        <f t="shared" ref="D14:AQ14" si="8">$B$3*D12</f>
        <v>129.4700735949709</v>
      </c>
      <c r="E14" s="58">
        <f t="shared" si="8"/>
        <v>129.4700735949709</v>
      </c>
      <c r="F14" s="58">
        <f t="shared" si="8"/>
        <v>129.4700735949709</v>
      </c>
      <c r="G14" s="58">
        <f t="shared" si="8"/>
        <v>129.4700735949709</v>
      </c>
      <c r="H14" s="58">
        <f t="shared" si="8"/>
        <v>129.4700735949709</v>
      </c>
      <c r="I14" s="58">
        <f t="shared" si="8"/>
        <v>129.4700735949709</v>
      </c>
      <c r="J14" s="58">
        <f t="shared" si="8"/>
        <v>129.4700735949709</v>
      </c>
      <c r="K14" s="58">
        <f t="shared" si="8"/>
        <v>129.4700735949709</v>
      </c>
      <c r="L14" s="58">
        <f t="shared" si="8"/>
        <v>129.4700735949709</v>
      </c>
      <c r="M14" s="58">
        <f t="shared" si="8"/>
        <v>129.4700735949709</v>
      </c>
      <c r="N14" s="58">
        <f t="shared" si="8"/>
        <v>129.4700735949709</v>
      </c>
      <c r="O14" s="58">
        <f t="shared" si="8"/>
        <v>129.4700735949709</v>
      </c>
      <c r="P14" s="58">
        <f t="shared" si="8"/>
        <v>129.4700735949709</v>
      </c>
      <c r="Q14" s="58">
        <f t="shared" si="8"/>
        <v>129.4700735949709</v>
      </c>
      <c r="R14" s="58">
        <f t="shared" si="8"/>
        <v>129.4700735949709</v>
      </c>
      <c r="S14" s="58">
        <f t="shared" si="8"/>
        <v>129.4700735949709</v>
      </c>
      <c r="T14" s="58">
        <f t="shared" si="8"/>
        <v>129.4700735949709</v>
      </c>
      <c r="U14" s="58">
        <f t="shared" si="8"/>
        <v>129.4700735949709</v>
      </c>
      <c r="V14" s="58">
        <f t="shared" si="8"/>
        <v>129.4700735949709</v>
      </c>
      <c r="W14" s="58">
        <f t="shared" si="8"/>
        <v>129.4700735949709</v>
      </c>
      <c r="X14" s="58">
        <f t="shared" si="8"/>
        <v>129.4700735949709</v>
      </c>
      <c r="Y14" s="58">
        <f t="shared" si="8"/>
        <v>129.4700735949709</v>
      </c>
      <c r="Z14" s="58">
        <f t="shared" si="8"/>
        <v>129.4700735949709</v>
      </c>
      <c r="AA14" s="58">
        <f t="shared" si="8"/>
        <v>129.4700735949709</v>
      </c>
      <c r="AB14" s="58">
        <f t="shared" si="8"/>
        <v>129.4700735949709</v>
      </c>
      <c r="AC14" s="58">
        <f t="shared" si="8"/>
        <v>129.4700735949709</v>
      </c>
      <c r="AD14" s="58">
        <f t="shared" si="8"/>
        <v>129.4700735949709</v>
      </c>
      <c r="AE14" s="58">
        <f t="shared" si="8"/>
        <v>129.4700735949709</v>
      </c>
      <c r="AF14" s="58">
        <f t="shared" si="8"/>
        <v>129.4700735949709</v>
      </c>
      <c r="AG14" s="58">
        <f t="shared" si="8"/>
        <v>129.4700735949709</v>
      </c>
      <c r="AH14" s="58">
        <f t="shared" si="8"/>
        <v>129.4700735949709</v>
      </c>
      <c r="AI14" s="58">
        <f t="shared" si="8"/>
        <v>129.4700735949709</v>
      </c>
      <c r="AJ14" s="58">
        <f t="shared" si="8"/>
        <v>129.4700735949709</v>
      </c>
      <c r="AK14" s="58">
        <f t="shared" si="8"/>
        <v>129.4700735949709</v>
      </c>
      <c r="AL14" s="58">
        <f t="shared" si="8"/>
        <v>129.4700735949709</v>
      </c>
      <c r="AM14" s="58">
        <f t="shared" si="8"/>
        <v>129.4700735949709</v>
      </c>
      <c r="AN14" s="58">
        <f t="shared" si="8"/>
        <v>129.4700735949709</v>
      </c>
      <c r="AO14" s="58">
        <f t="shared" si="8"/>
        <v>129.4700735949709</v>
      </c>
      <c r="AP14" s="58">
        <f t="shared" si="8"/>
        <v>129.4700735949709</v>
      </c>
      <c r="AQ14" s="58">
        <f t="shared" si="8"/>
        <v>129.4700735949709</v>
      </c>
    </row>
    <row r="15" spans="1:43" x14ac:dyDescent="0.2">
      <c r="B15" s="68"/>
      <c r="C15" s="8" t="s">
        <v>260</v>
      </c>
      <c r="D15" s="58">
        <f t="shared" ref="D15:AQ15" si="9">$B$12*$B$3*D13</f>
        <v>46.609226494189521</v>
      </c>
      <c r="E15" s="58">
        <f t="shared" si="9"/>
        <v>46.609226494189521</v>
      </c>
      <c r="F15" s="58">
        <f t="shared" si="9"/>
        <v>46.609226494189521</v>
      </c>
      <c r="G15" s="58">
        <f t="shared" si="9"/>
        <v>46.609226494189521</v>
      </c>
      <c r="H15" s="58">
        <f t="shared" si="9"/>
        <v>46.609226494189521</v>
      </c>
      <c r="I15" s="58">
        <f t="shared" si="9"/>
        <v>46.609226494189521</v>
      </c>
      <c r="J15" s="58">
        <f t="shared" si="9"/>
        <v>46.609226494189521</v>
      </c>
      <c r="K15" s="58">
        <f t="shared" si="9"/>
        <v>46.609226494189521</v>
      </c>
      <c r="L15" s="58">
        <f t="shared" si="9"/>
        <v>46.609226494189521</v>
      </c>
      <c r="M15" s="58">
        <f t="shared" si="9"/>
        <v>46.609226494189521</v>
      </c>
      <c r="N15" s="58">
        <f t="shared" si="9"/>
        <v>46.609226494189521</v>
      </c>
      <c r="O15" s="58">
        <f t="shared" si="9"/>
        <v>46.609226494189521</v>
      </c>
      <c r="P15" s="58">
        <f t="shared" si="9"/>
        <v>46.609226494189521</v>
      </c>
      <c r="Q15" s="58">
        <f t="shared" si="9"/>
        <v>46.609226494189521</v>
      </c>
      <c r="R15" s="58">
        <f t="shared" si="9"/>
        <v>46.609226494189521</v>
      </c>
      <c r="S15" s="58">
        <f t="shared" si="9"/>
        <v>46.609226494189521</v>
      </c>
      <c r="T15" s="58">
        <f t="shared" si="9"/>
        <v>46.609226494189521</v>
      </c>
      <c r="U15" s="58">
        <f t="shared" si="9"/>
        <v>46.609226494189521</v>
      </c>
      <c r="V15" s="58">
        <f t="shared" si="9"/>
        <v>46.609226494189521</v>
      </c>
      <c r="W15" s="58">
        <f t="shared" si="9"/>
        <v>46.609226494189521</v>
      </c>
      <c r="X15" s="58">
        <f t="shared" si="9"/>
        <v>46.609226494189521</v>
      </c>
      <c r="Y15" s="58">
        <f t="shared" si="9"/>
        <v>46.609226494189521</v>
      </c>
      <c r="Z15" s="58">
        <f t="shared" si="9"/>
        <v>46.609226494189521</v>
      </c>
      <c r="AA15" s="58">
        <f t="shared" si="9"/>
        <v>46.609226494189521</v>
      </c>
      <c r="AB15" s="58">
        <f t="shared" si="9"/>
        <v>46.609226494189521</v>
      </c>
      <c r="AC15" s="58">
        <f t="shared" si="9"/>
        <v>46.609226494189521</v>
      </c>
      <c r="AD15" s="58">
        <f t="shared" si="9"/>
        <v>46.609226494189521</v>
      </c>
      <c r="AE15" s="58">
        <f t="shared" si="9"/>
        <v>46.609226494189521</v>
      </c>
      <c r="AF15" s="58">
        <f t="shared" si="9"/>
        <v>46.609226494189521</v>
      </c>
      <c r="AG15" s="58">
        <f t="shared" si="9"/>
        <v>46.609226494189521</v>
      </c>
      <c r="AH15" s="58">
        <f t="shared" si="9"/>
        <v>46.609226494189521</v>
      </c>
      <c r="AI15" s="58">
        <f t="shared" si="9"/>
        <v>46.609226494189521</v>
      </c>
      <c r="AJ15" s="58">
        <f t="shared" si="9"/>
        <v>46.609226494189521</v>
      </c>
      <c r="AK15" s="58">
        <f t="shared" si="9"/>
        <v>46.609226494189521</v>
      </c>
      <c r="AL15" s="58">
        <f t="shared" si="9"/>
        <v>46.609226494189521</v>
      </c>
      <c r="AM15" s="58">
        <f t="shared" si="9"/>
        <v>46.609226494189521</v>
      </c>
      <c r="AN15" s="58">
        <f t="shared" si="9"/>
        <v>46.609226494189521</v>
      </c>
      <c r="AO15" s="58">
        <f t="shared" si="9"/>
        <v>46.609226494189521</v>
      </c>
      <c r="AP15" s="58">
        <f t="shared" si="9"/>
        <v>46.609226494189521</v>
      </c>
      <c r="AQ15" s="58">
        <f t="shared" si="9"/>
        <v>46.609226494189521</v>
      </c>
    </row>
    <row r="16" spans="1:43" x14ac:dyDescent="0.2">
      <c r="B16" s="68"/>
      <c r="C16" s="8" t="s">
        <v>261</v>
      </c>
      <c r="D16" s="58">
        <f t="shared" ref="D16:AQ16" si="10">D$7+D$9+D14+D15</f>
        <v>250.29153352928003</v>
      </c>
      <c r="E16" s="58">
        <f t="shared" si="10"/>
        <v>308.14838411519264</v>
      </c>
      <c r="F16" s="58">
        <f t="shared" si="10"/>
        <v>397.12108735973794</v>
      </c>
      <c r="G16" s="58">
        <f t="shared" si="10"/>
        <v>517.20964326291607</v>
      </c>
      <c r="H16" s="58">
        <f t="shared" si="10"/>
        <v>668.4140518247267</v>
      </c>
      <c r="I16" s="58">
        <f t="shared" si="10"/>
        <v>850.7343130451701</v>
      </c>
      <c r="J16" s="58">
        <f t="shared" si="10"/>
        <v>1064.1704269242462</v>
      </c>
      <c r="K16" s="58">
        <f t="shared" si="10"/>
        <v>1308.7223934619549</v>
      </c>
      <c r="L16" s="58">
        <f t="shared" si="10"/>
        <v>1584.3902126582966</v>
      </c>
      <c r="M16" s="58">
        <f t="shared" si="10"/>
        <v>1891.1738845132704</v>
      </c>
      <c r="N16" s="58">
        <f t="shared" si="10"/>
        <v>2229.073409026877</v>
      </c>
      <c r="O16" s="58">
        <f t="shared" si="10"/>
        <v>2598.0887861991168</v>
      </c>
      <c r="P16" s="58">
        <f t="shared" si="10"/>
        <v>2998.220016029989</v>
      </c>
      <c r="Q16" s="58">
        <f t="shared" si="10"/>
        <v>3429.4670985194939</v>
      </c>
      <c r="R16" s="58">
        <f t="shared" si="10"/>
        <v>3891.8300336676307</v>
      </c>
      <c r="S16" s="58">
        <f t="shared" si="10"/>
        <v>4385.3088214744021</v>
      </c>
      <c r="T16" s="58">
        <f t="shared" si="10"/>
        <v>4909.9034619398053</v>
      </c>
      <c r="U16" s="58">
        <f t="shared" si="10"/>
        <v>5465.6139550638418</v>
      </c>
      <c r="V16" s="58">
        <f t="shared" si="10"/>
        <v>6052.4403008465088</v>
      </c>
      <c r="W16" s="58">
        <f t="shared" si="10"/>
        <v>6670.3824992878099</v>
      </c>
      <c r="X16" s="58">
        <f t="shared" si="10"/>
        <v>7319.4405503877442</v>
      </c>
      <c r="Y16" s="58">
        <f t="shared" si="10"/>
        <v>7999.6144541463091</v>
      </c>
      <c r="Z16" s="58">
        <f t="shared" si="10"/>
        <v>8710.9042105635053</v>
      </c>
      <c r="AA16" s="58">
        <f t="shared" si="10"/>
        <v>9453.3098196393385</v>
      </c>
      <c r="AB16" s="58">
        <f t="shared" si="10"/>
        <v>10226.831281373803</v>
      </c>
      <c r="AC16" s="58">
        <f t="shared" si="10"/>
        <v>11031.468595766901</v>
      </c>
      <c r="AD16" s="58">
        <f t="shared" si="10"/>
        <v>11867.221762818632</v>
      </c>
      <c r="AE16" s="58">
        <f t="shared" si="10"/>
        <v>12734.090782528992</v>
      </c>
      <c r="AF16" s="58">
        <f t="shared" si="10"/>
        <v>13632.075654897988</v>
      </c>
      <c r="AG16" s="58">
        <f t="shared" si="10"/>
        <v>14561.176379925613</v>
      </c>
      <c r="AH16" s="58">
        <f t="shared" si="10"/>
        <v>15521.392957611877</v>
      </c>
      <c r="AI16" s="58">
        <f t="shared" si="10"/>
        <v>16512.725387956772</v>
      </c>
      <c r="AJ16" s="58">
        <f t="shared" si="10"/>
        <v>17535.173670960296</v>
      </c>
      <c r="AK16" s="58">
        <f t="shared" si="10"/>
        <v>18588.737806622456</v>
      </c>
      <c r="AL16" s="58">
        <f t="shared" si="10"/>
        <v>19673.417794943245</v>
      </c>
      <c r="AM16" s="58">
        <f t="shared" si="10"/>
        <v>20789.213635922675</v>
      </c>
      <c r="AN16" s="58">
        <f t="shared" si="10"/>
        <v>21936.125329560728</v>
      </c>
      <c r="AO16" s="58">
        <f t="shared" si="10"/>
        <v>23114.152875857417</v>
      </c>
      <c r="AP16" s="58">
        <f t="shared" si="10"/>
        <v>24323.296274812739</v>
      </c>
      <c r="AQ16" s="58">
        <f t="shared" si="10"/>
        <v>25563.555526426691</v>
      </c>
    </row>
    <row r="17" spans="2:43" x14ac:dyDescent="0.2">
      <c r="B17" s="68"/>
      <c r="C17" s="8" t="s">
        <v>262</v>
      </c>
      <c r="D17" s="58">
        <f t="shared" ref="D17:AQ17" si="11">D16*$B$11</f>
        <v>236.49647204264502</v>
      </c>
      <c r="E17" s="58">
        <f t="shared" si="11"/>
        <v>291.16448599472739</v>
      </c>
      <c r="F17" s="58">
        <f t="shared" si="11"/>
        <v>375.23337210018019</v>
      </c>
      <c r="G17" s="58">
        <f t="shared" si="11"/>
        <v>488.70313035900352</v>
      </c>
      <c r="H17" s="58">
        <f t="shared" si="11"/>
        <v>631.57376077119716</v>
      </c>
      <c r="I17" s="58">
        <f t="shared" si="11"/>
        <v>803.84526333676115</v>
      </c>
      <c r="J17" s="58">
        <f t="shared" si="11"/>
        <v>1005.5176380556957</v>
      </c>
      <c r="K17" s="58">
        <f t="shared" si="11"/>
        <v>1236.5908849280006</v>
      </c>
      <c r="L17" s="58">
        <f t="shared" si="11"/>
        <v>1497.0650039536761</v>
      </c>
      <c r="M17" s="58">
        <f t="shared" si="11"/>
        <v>1786.9399951327216</v>
      </c>
      <c r="N17" s="58">
        <f t="shared" si="11"/>
        <v>2106.2158584651374</v>
      </c>
      <c r="O17" s="58">
        <f t="shared" si="11"/>
        <v>2454.8925939509245</v>
      </c>
      <c r="P17" s="58">
        <f t="shared" si="11"/>
        <v>2832.9702015900812</v>
      </c>
      <c r="Q17" s="58">
        <f t="shared" si="11"/>
        <v>3240.4486813826088</v>
      </c>
      <c r="R17" s="58">
        <f t="shared" si="11"/>
        <v>3677.3280333285056</v>
      </c>
      <c r="S17" s="58">
        <f t="shared" si="11"/>
        <v>4143.6082574277752</v>
      </c>
      <c r="T17" s="58">
        <f t="shared" si="11"/>
        <v>4639.289353680414</v>
      </c>
      <c r="U17" s="58">
        <f t="shared" si="11"/>
        <v>5164.3713220864238</v>
      </c>
      <c r="V17" s="58">
        <f t="shared" si="11"/>
        <v>5718.8541626458018</v>
      </c>
      <c r="W17" s="58">
        <f t="shared" si="11"/>
        <v>6302.7378753585517</v>
      </c>
      <c r="X17" s="58">
        <f t="shared" si="11"/>
        <v>6916.0224602246726</v>
      </c>
      <c r="Y17" s="58">
        <f t="shared" si="11"/>
        <v>7558.7079172441627</v>
      </c>
      <c r="Z17" s="58">
        <f t="shared" si="11"/>
        <v>8230.794246417021</v>
      </c>
      <c r="AA17" s="58">
        <f t="shared" si="11"/>
        <v>8932.281447743253</v>
      </c>
      <c r="AB17" s="58">
        <f t="shared" si="11"/>
        <v>9663.1695212228551</v>
      </c>
      <c r="AC17" s="58">
        <f t="shared" si="11"/>
        <v>10423.458466855829</v>
      </c>
      <c r="AD17" s="58">
        <f t="shared" si="11"/>
        <v>11213.148284642173</v>
      </c>
      <c r="AE17" s="58">
        <f t="shared" si="11"/>
        <v>12032.238974581884</v>
      </c>
      <c r="AF17" s="58">
        <f t="shared" si="11"/>
        <v>12880.730536674968</v>
      </c>
      <c r="AG17" s="58">
        <f t="shared" si="11"/>
        <v>13758.62297092142</v>
      </c>
      <c r="AH17" s="58">
        <f t="shared" si="11"/>
        <v>14665.916277321247</v>
      </c>
      <c r="AI17" s="58">
        <f t="shared" si="11"/>
        <v>15602.610455874445</v>
      </c>
      <c r="AJ17" s="58">
        <f t="shared" si="11"/>
        <v>16568.705506581005</v>
      </c>
      <c r="AK17" s="58">
        <f t="shared" si="11"/>
        <v>17564.201429440946</v>
      </c>
      <c r="AL17" s="58">
        <f t="shared" si="11"/>
        <v>18589.09822445425</v>
      </c>
      <c r="AM17" s="58">
        <f t="shared" si="11"/>
        <v>19643.39589162093</v>
      </c>
      <c r="AN17" s="58">
        <f t="shared" si="11"/>
        <v>20727.094430940975</v>
      </c>
      <c r="AO17" s="58">
        <f t="shared" si="11"/>
        <v>21840.193842414392</v>
      </c>
      <c r="AP17" s="58">
        <f t="shared" si="11"/>
        <v>22982.69412604118</v>
      </c>
      <c r="AQ17" s="58">
        <f t="shared" si="11"/>
        <v>24154.595281821334</v>
      </c>
    </row>
    <row r="18" spans="2:43" x14ac:dyDescent="0.2"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2:43" x14ac:dyDescent="0.2"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2:43" x14ac:dyDescent="0.2">
      <c r="B20" s="68"/>
      <c r="C20" s="8" t="s">
        <v>259</v>
      </c>
      <c r="D20" s="58">
        <f t="shared" ref="D20:AQ20" si="14">$B$3*D18</f>
        <v>257.97694429625159</v>
      </c>
      <c r="E20" s="58">
        <f t="shared" si="14"/>
        <v>257.97694429625159</v>
      </c>
      <c r="F20" s="58">
        <f t="shared" si="14"/>
        <v>257.97694429625159</v>
      </c>
      <c r="G20" s="58">
        <f t="shared" si="14"/>
        <v>257.97694429625159</v>
      </c>
      <c r="H20" s="58">
        <f t="shared" si="14"/>
        <v>257.97694429625159</v>
      </c>
      <c r="I20" s="58">
        <f t="shared" si="14"/>
        <v>257.97694429625159</v>
      </c>
      <c r="J20" s="58">
        <f t="shared" si="14"/>
        <v>257.97694429625159</v>
      </c>
      <c r="K20" s="58">
        <f t="shared" si="14"/>
        <v>257.97694429625159</v>
      </c>
      <c r="L20" s="58">
        <f t="shared" si="14"/>
        <v>257.97694429625159</v>
      </c>
      <c r="M20" s="58">
        <f t="shared" si="14"/>
        <v>257.97694429625159</v>
      </c>
      <c r="N20" s="58">
        <f t="shared" si="14"/>
        <v>257.97694429625159</v>
      </c>
      <c r="O20" s="58">
        <f t="shared" si="14"/>
        <v>257.97694429625159</v>
      </c>
      <c r="P20" s="58">
        <f t="shared" si="14"/>
        <v>257.97694429625159</v>
      </c>
      <c r="Q20" s="58">
        <f t="shared" si="14"/>
        <v>257.97694429625159</v>
      </c>
      <c r="R20" s="58">
        <f t="shared" si="14"/>
        <v>257.97694429625159</v>
      </c>
      <c r="S20" s="58">
        <f t="shared" si="14"/>
        <v>257.97694429625159</v>
      </c>
      <c r="T20" s="58">
        <f t="shared" si="14"/>
        <v>257.97694429625159</v>
      </c>
      <c r="U20" s="58">
        <f t="shared" si="14"/>
        <v>257.97694429625159</v>
      </c>
      <c r="V20" s="58">
        <f t="shared" si="14"/>
        <v>257.97694429625159</v>
      </c>
      <c r="W20" s="58">
        <f t="shared" si="14"/>
        <v>257.97694429625159</v>
      </c>
      <c r="X20" s="58">
        <f t="shared" si="14"/>
        <v>257.97694429625159</v>
      </c>
      <c r="Y20" s="58">
        <f t="shared" si="14"/>
        <v>257.97694429625159</v>
      </c>
      <c r="Z20" s="58">
        <f t="shared" si="14"/>
        <v>257.97694429625159</v>
      </c>
      <c r="AA20" s="58">
        <f t="shared" si="14"/>
        <v>257.97694429625159</v>
      </c>
      <c r="AB20" s="58">
        <f t="shared" si="14"/>
        <v>257.97694429625159</v>
      </c>
      <c r="AC20" s="58">
        <f t="shared" si="14"/>
        <v>257.97694429625159</v>
      </c>
      <c r="AD20" s="58">
        <f t="shared" si="14"/>
        <v>257.97694429625159</v>
      </c>
      <c r="AE20" s="58">
        <f t="shared" si="14"/>
        <v>257.97694429625159</v>
      </c>
      <c r="AF20" s="58">
        <f t="shared" si="14"/>
        <v>257.97694429625159</v>
      </c>
      <c r="AG20" s="58">
        <f t="shared" si="14"/>
        <v>257.97694429625159</v>
      </c>
      <c r="AH20" s="58">
        <f t="shared" si="14"/>
        <v>257.97694429625159</v>
      </c>
      <c r="AI20" s="58">
        <f t="shared" si="14"/>
        <v>257.97694429625159</v>
      </c>
      <c r="AJ20" s="58">
        <f t="shared" si="14"/>
        <v>257.97694429625159</v>
      </c>
      <c r="AK20" s="58">
        <f t="shared" si="14"/>
        <v>257.97694429625159</v>
      </c>
      <c r="AL20" s="58">
        <f t="shared" si="14"/>
        <v>257.97694429625159</v>
      </c>
      <c r="AM20" s="58">
        <f t="shared" si="14"/>
        <v>257.97694429625159</v>
      </c>
      <c r="AN20" s="58">
        <f t="shared" si="14"/>
        <v>257.97694429625159</v>
      </c>
      <c r="AO20" s="58">
        <f t="shared" si="14"/>
        <v>257.97694429625159</v>
      </c>
      <c r="AP20" s="58">
        <f t="shared" si="14"/>
        <v>257.97694429625159</v>
      </c>
      <c r="AQ20" s="58">
        <f t="shared" si="14"/>
        <v>257.97694429625159</v>
      </c>
    </row>
    <row r="21" spans="2:43" x14ac:dyDescent="0.2">
      <c r="B21" s="68"/>
      <c r="C21" s="8" t="s">
        <v>260</v>
      </c>
      <c r="D21" s="58">
        <f t="shared" ref="D21:AQ21" si="15">$B$12*$B$3*D19</f>
        <v>46.435849973325283</v>
      </c>
      <c r="E21" s="58">
        <f t="shared" si="15"/>
        <v>46.435849973325283</v>
      </c>
      <c r="F21" s="58">
        <f t="shared" si="15"/>
        <v>46.435849973325283</v>
      </c>
      <c r="G21" s="58">
        <f t="shared" si="15"/>
        <v>46.435849973325283</v>
      </c>
      <c r="H21" s="58">
        <f t="shared" si="15"/>
        <v>46.435849973325283</v>
      </c>
      <c r="I21" s="58">
        <f t="shared" si="15"/>
        <v>46.435849973325283</v>
      </c>
      <c r="J21" s="58">
        <f t="shared" si="15"/>
        <v>46.435849973325283</v>
      </c>
      <c r="K21" s="58">
        <f t="shared" si="15"/>
        <v>46.435849973325283</v>
      </c>
      <c r="L21" s="58">
        <f t="shared" si="15"/>
        <v>46.435849973325283</v>
      </c>
      <c r="M21" s="58">
        <f t="shared" si="15"/>
        <v>46.435849973325283</v>
      </c>
      <c r="N21" s="58">
        <f t="shared" si="15"/>
        <v>46.435849973325283</v>
      </c>
      <c r="O21" s="58">
        <f t="shared" si="15"/>
        <v>46.435849973325283</v>
      </c>
      <c r="P21" s="58">
        <f t="shared" si="15"/>
        <v>46.435849973325283</v>
      </c>
      <c r="Q21" s="58">
        <f t="shared" si="15"/>
        <v>46.435849973325283</v>
      </c>
      <c r="R21" s="58">
        <f t="shared" si="15"/>
        <v>46.435849973325283</v>
      </c>
      <c r="S21" s="58">
        <f t="shared" si="15"/>
        <v>46.435849973325283</v>
      </c>
      <c r="T21" s="58">
        <f t="shared" si="15"/>
        <v>46.435849973325283</v>
      </c>
      <c r="U21" s="58">
        <f t="shared" si="15"/>
        <v>46.435849973325283</v>
      </c>
      <c r="V21" s="58">
        <f t="shared" si="15"/>
        <v>46.435849973325283</v>
      </c>
      <c r="W21" s="58">
        <f t="shared" si="15"/>
        <v>46.435849973325283</v>
      </c>
      <c r="X21" s="58">
        <f t="shared" si="15"/>
        <v>46.435849973325283</v>
      </c>
      <c r="Y21" s="58">
        <f t="shared" si="15"/>
        <v>46.435849973325283</v>
      </c>
      <c r="Z21" s="58">
        <f t="shared" si="15"/>
        <v>46.435849973325283</v>
      </c>
      <c r="AA21" s="58">
        <f t="shared" si="15"/>
        <v>46.435849973325283</v>
      </c>
      <c r="AB21" s="58">
        <f t="shared" si="15"/>
        <v>46.435849973325283</v>
      </c>
      <c r="AC21" s="58">
        <f t="shared" si="15"/>
        <v>46.435849973325283</v>
      </c>
      <c r="AD21" s="58">
        <f t="shared" si="15"/>
        <v>46.435849973325283</v>
      </c>
      <c r="AE21" s="58">
        <f t="shared" si="15"/>
        <v>46.435849973325283</v>
      </c>
      <c r="AF21" s="58">
        <f t="shared" si="15"/>
        <v>46.435849973325283</v>
      </c>
      <c r="AG21" s="58">
        <f t="shared" si="15"/>
        <v>46.435849973325283</v>
      </c>
      <c r="AH21" s="58">
        <f t="shared" si="15"/>
        <v>46.435849973325283</v>
      </c>
      <c r="AI21" s="58">
        <f t="shared" si="15"/>
        <v>46.435849973325283</v>
      </c>
      <c r="AJ21" s="58">
        <f t="shared" si="15"/>
        <v>46.435849973325283</v>
      </c>
      <c r="AK21" s="58">
        <f t="shared" si="15"/>
        <v>46.435849973325283</v>
      </c>
      <c r="AL21" s="58">
        <f t="shared" si="15"/>
        <v>46.435849973325283</v>
      </c>
      <c r="AM21" s="58">
        <f t="shared" si="15"/>
        <v>46.435849973325283</v>
      </c>
      <c r="AN21" s="58">
        <f t="shared" si="15"/>
        <v>46.435849973325283</v>
      </c>
      <c r="AO21" s="58">
        <f t="shared" si="15"/>
        <v>46.435849973325283</v>
      </c>
      <c r="AP21" s="58">
        <f t="shared" si="15"/>
        <v>46.435849973325283</v>
      </c>
      <c r="AQ21" s="58">
        <f t="shared" si="15"/>
        <v>46.435849973325283</v>
      </c>
    </row>
    <row r="22" spans="2:43" x14ac:dyDescent="0.2">
      <c r="B22" s="68"/>
      <c r="C22" s="8" t="s">
        <v>263</v>
      </c>
      <c r="D22" s="58">
        <f t="shared" ref="D22:AQ22" si="16">D$7+D$9+D20+D21</f>
        <v>378.6250277096965</v>
      </c>
      <c r="E22" s="58">
        <f t="shared" si="16"/>
        <v>436.48187829560914</v>
      </c>
      <c r="F22" s="58">
        <f t="shared" si="16"/>
        <v>525.45458154015444</v>
      </c>
      <c r="G22" s="58">
        <f t="shared" si="16"/>
        <v>645.5431374433324</v>
      </c>
      <c r="H22" s="58">
        <f t="shared" si="16"/>
        <v>796.74754600514302</v>
      </c>
      <c r="I22" s="58">
        <f t="shared" si="16"/>
        <v>979.06780722558642</v>
      </c>
      <c r="J22" s="58">
        <f t="shared" si="16"/>
        <v>1192.5039211046626</v>
      </c>
      <c r="K22" s="58">
        <f t="shared" si="16"/>
        <v>1437.0558876423713</v>
      </c>
      <c r="L22" s="58">
        <f t="shared" si="16"/>
        <v>1712.723706838713</v>
      </c>
      <c r="M22" s="58">
        <f t="shared" si="16"/>
        <v>2019.5073786936869</v>
      </c>
      <c r="N22" s="58">
        <f t="shared" si="16"/>
        <v>2357.4069032072935</v>
      </c>
      <c r="O22" s="58">
        <f t="shared" si="16"/>
        <v>2726.4222803795333</v>
      </c>
      <c r="P22" s="58">
        <f t="shared" si="16"/>
        <v>3126.5535102104054</v>
      </c>
      <c r="Q22" s="58">
        <f t="shared" si="16"/>
        <v>3557.8005926999103</v>
      </c>
      <c r="R22" s="58">
        <f t="shared" si="16"/>
        <v>4020.1635278480471</v>
      </c>
      <c r="S22" s="58">
        <f t="shared" si="16"/>
        <v>4513.642315654818</v>
      </c>
      <c r="T22" s="58">
        <f t="shared" si="16"/>
        <v>5038.2369561202213</v>
      </c>
      <c r="U22" s="58">
        <f t="shared" si="16"/>
        <v>5593.9474492442578</v>
      </c>
      <c r="V22" s="58">
        <f t="shared" si="16"/>
        <v>6180.7737950269247</v>
      </c>
      <c r="W22" s="58">
        <f t="shared" si="16"/>
        <v>6798.7159934682259</v>
      </c>
      <c r="X22" s="58">
        <f t="shared" si="16"/>
        <v>7447.7740445681602</v>
      </c>
      <c r="Y22" s="58">
        <f t="shared" si="16"/>
        <v>8127.9479483267251</v>
      </c>
      <c r="Z22" s="58">
        <f t="shared" si="16"/>
        <v>8839.237704743924</v>
      </c>
      <c r="AA22" s="58">
        <f t="shared" si="16"/>
        <v>9581.6433138197572</v>
      </c>
      <c r="AB22" s="58">
        <f t="shared" si="16"/>
        <v>10355.164775554222</v>
      </c>
      <c r="AC22" s="58">
        <f t="shared" si="16"/>
        <v>11159.802089947319</v>
      </c>
      <c r="AD22" s="58">
        <f t="shared" si="16"/>
        <v>11995.55525699905</v>
      </c>
      <c r="AE22" s="58">
        <f t="shared" si="16"/>
        <v>12862.424276709411</v>
      </c>
      <c r="AF22" s="58">
        <f t="shared" si="16"/>
        <v>13760.409149078407</v>
      </c>
      <c r="AG22" s="58">
        <f t="shared" si="16"/>
        <v>14689.509874106032</v>
      </c>
      <c r="AH22" s="58">
        <f t="shared" si="16"/>
        <v>15649.726451792296</v>
      </c>
      <c r="AI22" s="58">
        <f t="shared" si="16"/>
        <v>16641.058882137186</v>
      </c>
      <c r="AJ22" s="58">
        <f t="shared" si="16"/>
        <v>17663.507165140712</v>
      </c>
      <c r="AK22" s="58">
        <f t="shared" si="16"/>
        <v>18717.071300802872</v>
      </c>
      <c r="AL22" s="58">
        <f t="shared" si="16"/>
        <v>19801.751289123662</v>
      </c>
      <c r="AM22" s="58">
        <f t="shared" si="16"/>
        <v>20917.547130103092</v>
      </c>
      <c r="AN22" s="58">
        <f t="shared" si="16"/>
        <v>22064.458823741144</v>
      </c>
      <c r="AO22" s="58">
        <f t="shared" si="16"/>
        <v>23242.486370037834</v>
      </c>
      <c r="AP22" s="58">
        <f t="shared" si="16"/>
        <v>24451.629768993156</v>
      </c>
      <c r="AQ22" s="58">
        <f t="shared" si="16"/>
        <v>25691.889020607108</v>
      </c>
    </row>
    <row r="23" spans="2:43" x14ac:dyDescent="0.2">
      <c r="B23" s="68"/>
      <c r="C23" s="8" t="s">
        <v>264</v>
      </c>
      <c r="D23" s="58">
        <f t="shared" ref="D23:AQ23" si="17">D22*$B$11</f>
        <v>357.75674078051389</v>
      </c>
      <c r="E23" s="58">
        <f t="shared" si="17"/>
        <v>412.42475473259628</v>
      </c>
      <c r="F23" s="58">
        <f t="shared" si="17"/>
        <v>496.49364083804909</v>
      </c>
      <c r="G23" s="58">
        <f t="shared" si="17"/>
        <v>609.96339909687231</v>
      </c>
      <c r="H23" s="58">
        <f t="shared" si="17"/>
        <v>752.83402950906589</v>
      </c>
      <c r="I23" s="58">
        <f t="shared" si="17"/>
        <v>925.10553207462988</v>
      </c>
      <c r="J23" s="58">
        <f t="shared" si="17"/>
        <v>1126.7779067935644</v>
      </c>
      <c r="K23" s="58">
        <f t="shared" si="17"/>
        <v>1357.8511536658693</v>
      </c>
      <c r="L23" s="58">
        <f t="shared" si="17"/>
        <v>1618.325272691545</v>
      </c>
      <c r="M23" s="58">
        <f t="shared" si="17"/>
        <v>1908.2002638705903</v>
      </c>
      <c r="N23" s="58">
        <f t="shared" si="17"/>
        <v>2227.4761272030064</v>
      </c>
      <c r="O23" s="58">
        <f t="shared" si="17"/>
        <v>2576.152862688793</v>
      </c>
      <c r="P23" s="58">
        <f t="shared" si="17"/>
        <v>2954.2304703279501</v>
      </c>
      <c r="Q23" s="58">
        <f t="shared" si="17"/>
        <v>3361.7089501204773</v>
      </c>
      <c r="R23" s="58">
        <f t="shared" si="17"/>
        <v>3798.5883020663746</v>
      </c>
      <c r="S23" s="58">
        <f t="shared" si="17"/>
        <v>4264.8685261656437</v>
      </c>
      <c r="T23" s="58">
        <f t="shared" si="17"/>
        <v>4760.5496224182825</v>
      </c>
      <c r="U23" s="58">
        <f t="shared" si="17"/>
        <v>5285.6315908242923</v>
      </c>
      <c r="V23" s="58">
        <f t="shared" si="17"/>
        <v>5840.1144313836703</v>
      </c>
      <c r="W23" s="58">
        <f t="shared" si="17"/>
        <v>6423.9981440964202</v>
      </c>
      <c r="X23" s="58">
        <f t="shared" si="17"/>
        <v>7037.2827289625411</v>
      </c>
      <c r="Y23" s="58">
        <f t="shared" si="17"/>
        <v>7679.9681859820303</v>
      </c>
      <c r="Z23" s="58">
        <f t="shared" si="17"/>
        <v>8352.0545151548922</v>
      </c>
      <c r="AA23" s="58">
        <f t="shared" si="17"/>
        <v>9053.5417164811242</v>
      </c>
      <c r="AB23" s="58">
        <f t="shared" si="17"/>
        <v>9784.4297899607263</v>
      </c>
      <c r="AC23" s="58">
        <f t="shared" si="17"/>
        <v>10544.7187355937</v>
      </c>
      <c r="AD23" s="58">
        <f t="shared" si="17"/>
        <v>11334.408553380044</v>
      </c>
      <c r="AE23" s="58">
        <f t="shared" si="17"/>
        <v>12153.499243319755</v>
      </c>
      <c r="AF23" s="58">
        <f t="shared" si="17"/>
        <v>13001.990805412839</v>
      </c>
      <c r="AG23" s="58">
        <f t="shared" si="17"/>
        <v>13879.883239659292</v>
      </c>
      <c r="AH23" s="58">
        <f t="shared" si="17"/>
        <v>14787.176546059118</v>
      </c>
      <c r="AI23" s="58">
        <f t="shared" si="17"/>
        <v>15723.87072461231</v>
      </c>
      <c r="AJ23" s="58">
        <f t="shared" si="17"/>
        <v>16689.965775318877</v>
      </c>
      <c r="AK23" s="58">
        <f t="shared" si="17"/>
        <v>17685.461698178813</v>
      </c>
      <c r="AL23" s="58">
        <f t="shared" si="17"/>
        <v>18710.358493192118</v>
      </c>
      <c r="AM23" s="58">
        <f t="shared" si="17"/>
        <v>19764.656160358802</v>
      </c>
      <c r="AN23" s="58">
        <f t="shared" si="17"/>
        <v>20848.354699678843</v>
      </c>
      <c r="AO23" s="58">
        <f t="shared" si="17"/>
        <v>21961.454111152259</v>
      </c>
      <c r="AP23" s="58">
        <f t="shared" si="17"/>
        <v>23103.954394779048</v>
      </c>
      <c r="AQ23" s="58">
        <f t="shared" si="17"/>
        <v>24275.855550559205</v>
      </c>
    </row>
    <row r="24" spans="2:43" x14ac:dyDescent="0.2"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2:43" x14ac:dyDescent="0.2"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2:43" x14ac:dyDescent="0.2">
      <c r="B26" s="68"/>
      <c r="C26" s="8" t="s">
        <v>259</v>
      </c>
      <c r="D26" s="58">
        <f t="shared" ref="D26:AQ26" si="20">$B$3*D24</f>
        <v>384.59282868000554</v>
      </c>
      <c r="E26" s="58">
        <f t="shared" si="20"/>
        <v>384.59282868000554</v>
      </c>
      <c r="F26" s="58">
        <f t="shared" si="20"/>
        <v>384.59282868000554</v>
      </c>
      <c r="G26" s="58">
        <f t="shared" si="20"/>
        <v>384.59282868000554</v>
      </c>
      <c r="H26" s="58">
        <f t="shared" si="20"/>
        <v>384.59282868000554</v>
      </c>
      <c r="I26" s="58">
        <f t="shared" si="20"/>
        <v>384.59282868000554</v>
      </c>
      <c r="J26" s="58">
        <f t="shared" si="20"/>
        <v>384.59282868000554</v>
      </c>
      <c r="K26" s="58">
        <f t="shared" si="20"/>
        <v>384.59282868000554</v>
      </c>
      <c r="L26" s="58">
        <f t="shared" si="20"/>
        <v>384.59282868000554</v>
      </c>
      <c r="M26" s="58">
        <f t="shared" si="20"/>
        <v>384.59282868000554</v>
      </c>
      <c r="N26" s="58">
        <f t="shared" si="20"/>
        <v>384.59282868000554</v>
      </c>
      <c r="O26" s="58">
        <f t="shared" si="20"/>
        <v>384.59282868000554</v>
      </c>
      <c r="P26" s="58">
        <f t="shared" si="20"/>
        <v>384.59282868000554</v>
      </c>
      <c r="Q26" s="58">
        <f t="shared" si="20"/>
        <v>384.59282868000554</v>
      </c>
      <c r="R26" s="58">
        <f t="shared" si="20"/>
        <v>384.59282868000554</v>
      </c>
      <c r="S26" s="58">
        <f t="shared" si="20"/>
        <v>384.59282868000554</v>
      </c>
      <c r="T26" s="58">
        <f t="shared" si="20"/>
        <v>384.59282868000554</v>
      </c>
      <c r="U26" s="58">
        <f t="shared" si="20"/>
        <v>384.59282868000554</v>
      </c>
      <c r="V26" s="58">
        <f t="shared" si="20"/>
        <v>384.59282868000554</v>
      </c>
      <c r="W26" s="58">
        <f t="shared" si="20"/>
        <v>384.59282868000554</v>
      </c>
      <c r="X26" s="58">
        <f t="shared" si="20"/>
        <v>384.59282868000554</v>
      </c>
      <c r="Y26" s="58">
        <f t="shared" si="20"/>
        <v>384.59282868000554</v>
      </c>
      <c r="Z26" s="58">
        <f t="shared" si="20"/>
        <v>384.59282868000554</v>
      </c>
      <c r="AA26" s="58">
        <f t="shared" si="20"/>
        <v>384.59282868000554</v>
      </c>
      <c r="AB26" s="58">
        <f t="shared" si="20"/>
        <v>384.59282868000554</v>
      </c>
      <c r="AC26" s="58">
        <f t="shared" si="20"/>
        <v>384.59282868000554</v>
      </c>
      <c r="AD26" s="58">
        <f t="shared" si="20"/>
        <v>384.59282868000554</v>
      </c>
      <c r="AE26" s="58">
        <f t="shared" si="20"/>
        <v>384.59282868000554</v>
      </c>
      <c r="AF26" s="58">
        <f t="shared" si="20"/>
        <v>384.59282868000554</v>
      </c>
      <c r="AG26" s="58">
        <f t="shared" si="20"/>
        <v>384.59282868000554</v>
      </c>
      <c r="AH26" s="58">
        <f t="shared" si="20"/>
        <v>384.59282868000554</v>
      </c>
      <c r="AI26" s="58">
        <f t="shared" si="20"/>
        <v>384.59282868000554</v>
      </c>
      <c r="AJ26" s="58">
        <f t="shared" si="20"/>
        <v>384.59282868000554</v>
      </c>
      <c r="AK26" s="58">
        <f t="shared" si="20"/>
        <v>384.59282868000554</v>
      </c>
      <c r="AL26" s="58">
        <f t="shared" si="20"/>
        <v>384.59282868000554</v>
      </c>
      <c r="AM26" s="58">
        <f t="shared" si="20"/>
        <v>384.59282868000554</v>
      </c>
      <c r="AN26" s="58">
        <f t="shared" si="20"/>
        <v>384.59282868000554</v>
      </c>
      <c r="AO26" s="58">
        <f t="shared" si="20"/>
        <v>384.59282868000554</v>
      </c>
      <c r="AP26" s="58">
        <f t="shared" si="20"/>
        <v>384.59282868000554</v>
      </c>
      <c r="AQ26" s="58">
        <f t="shared" si="20"/>
        <v>384.59282868000554</v>
      </c>
    </row>
    <row r="27" spans="2:43" x14ac:dyDescent="0.2">
      <c r="B27" s="68"/>
      <c r="C27" s="8" t="s">
        <v>260</v>
      </c>
      <c r="D27" s="58">
        <f t="shared" ref="D27:AQ27" si="21">$B$12*$B$3*D25</f>
        <v>46.151139441600669</v>
      </c>
      <c r="E27" s="58">
        <f t="shared" si="21"/>
        <v>46.151139441600669</v>
      </c>
      <c r="F27" s="58">
        <f t="shared" si="21"/>
        <v>46.151139441600669</v>
      </c>
      <c r="G27" s="58">
        <f t="shared" si="21"/>
        <v>46.151139441600669</v>
      </c>
      <c r="H27" s="58">
        <f t="shared" si="21"/>
        <v>46.151139441600669</v>
      </c>
      <c r="I27" s="58">
        <f t="shared" si="21"/>
        <v>46.151139441600669</v>
      </c>
      <c r="J27" s="58">
        <f t="shared" si="21"/>
        <v>46.151139441600669</v>
      </c>
      <c r="K27" s="58">
        <f t="shared" si="21"/>
        <v>46.151139441600669</v>
      </c>
      <c r="L27" s="58">
        <f t="shared" si="21"/>
        <v>46.151139441600669</v>
      </c>
      <c r="M27" s="58">
        <f t="shared" si="21"/>
        <v>46.151139441600669</v>
      </c>
      <c r="N27" s="58">
        <f t="shared" si="21"/>
        <v>46.151139441600669</v>
      </c>
      <c r="O27" s="58">
        <f t="shared" si="21"/>
        <v>46.151139441600669</v>
      </c>
      <c r="P27" s="58">
        <f t="shared" si="21"/>
        <v>46.151139441600669</v>
      </c>
      <c r="Q27" s="58">
        <f t="shared" si="21"/>
        <v>46.151139441600669</v>
      </c>
      <c r="R27" s="58">
        <f t="shared" si="21"/>
        <v>46.151139441600669</v>
      </c>
      <c r="S27" s="58">
        <f t="shared" si="21"/>
        <v>46.151139441600669</v>
      </c>
      <c r="T27" s="58">
        <f t="shared" si="21"/>
        <v>46.151139441600669</v>
      </c>
      <c r="U27" s="58">
        <f t="shared" si="21"/>
        <v>46.151139441600669</v>
      </c>
      <c r="V27" s="58">
        <f t="shared" si="21"/>
        <v>46.151139441600669</v>
      </c>
      <c r="W27" s="58">
        <f t="shared" si="21"/>
        <v>46.151139441600669</v>
      </c>
      <c r="X27" s="58">
        <f t="shared" si="21"/>
        <v>46.151139441600669</v>
      </c>
      <c r="Y27" s="58">
        <f t="shared" si="21"/>
        <v>46.151139441600669</v>
      </c>
      <c r="Z27" s="58">
        <f t="shared" si="21"/>
        <v>46.151139441600669</v>
      </c>
      <c r="AA27" s="58">
        <f t="shared" si="21"/>
        <v>46.151139441600669</v>
      </c>
      <c r="AB27" s="58">
        <f t="shared" si="21"/>
        <v>46.151139441600669</v>
      </c>
      <c r="AC27" s="58">
        <f t="shared" si="21"/>
        <v>46.151139441600669</v>
      </c>
      <c r="AD27" s="58">
        <f t="shared" si="21"/>
        <v>46.151139441600669</v>
      </c>
      <c r="AE27" s="58">
        <f t="shared" si="21"/>
        <v>46.151139441600669</v>
      </c>
      <c r="AF27" s="58">
        <f t="shared" si="21"/>
        <v>46.151139441600669</v>
      </c>
      <c r="AG27" s="58">
        <f t="shared" si="21"/>
        <v>46.151139441600669</v>
      </c>
      <c r="AH27" s="58">
        <f t="shared" si="21"/>
        <v>46.151139441600669</v>
      </c>
      <c r="AI27" s="58">
        <f t="shared" si="21"/>
        <v>46.151139441600669</v>
      </c>
      <c r="AJ27" s="58">
        <f t="shared" si="21"/>
        <v>46.151139441600669</v>
      </c>
      <c r="AK27" s="58">
        <f t="shared" si="21"/>
        <v>46.151139441600669</v>
      </c>
      <c r="AL27" s="58">
        <f t="shared" si="21"/>
        <v>46.151139441600669</v>
      </c>
      <c r="AM27" s="58">
        <f t="shared" si="21"/>
        <v>46.151139441600669</v>
      </c>
      <c r="AN27" s="58">
        <f t="shared" si="21"/>
        <v>46.151139441600669</v>
      </c>
      <c r="AO27" s="58">
        <f t="shared" si="21"/>
        <v>46.151139441600669</v>
      </c>
      <c r="AP27" s="58">
        <f t="shared" si="21"/>
        <v>46.151139441600669</v>
      </c>
      <c r="AQ27" s="58">
        <f t="shared" si="21"/>
        <v>46.151139441600669</v>
      </c>
    </row>
    <row r="28" spans="2:43" x14ac:dyDescent="0.2">
      <c r="B28" s="68"/>
      <c r="C28" s="8" t="s">
        <v>265</v>
      </c>
      <c r="D28" s="58">
        <f t="shared" ref="D28:AQ28" si="22">D$7+D$9+D26+D27</f>
        <v>504.95620156172583</v>
      </c>
      <c r="E28" s="58">
        <f t="shared" si="22"/>
        <v>562.81305214763847</v>
      </c>
      <c r="F28" s="58">
        <f t="shared" si="22"/>
        <v>651.78575539218377</v>
      </c>
      <c r="G28" s="58">
        <f t="shared" si="22"/>
        <v>771.87431129536185</v>
      </c>
      <c r="H28" s="58">
        <f t="shared" si="22"/>
        <v>923.07871985717247</v>
      </c>
      <c r="I28" s="58">
        <f t="shared" si="22"/>
        <v>1105.3989810776159</v>
      </c>
      <c r="J28" s="58">
        <f t="shared" si="22"/>
        <v>1318.835094956692</v>
      </c>
      <c r="K28" s="58">
        <f t="shared" si="22"/>
        <v>1563.3870614944008</v>
      </c>
      <c r="L28" s="58">
        <f t="shared" si="22"/>
        <v>1839.0548806907425</v>
      </c>
      <c r="M28" s="58">
        <f t="shared" si="22"/>
        <v>2145.8385525457161</v>
      </c>
      <c r="N28" s="58">
        <f t="shared" si="22"/>
        <v>2483.7380770593227</v>
      </c>
      <c r="O28" s="58">
        <f t="shared" si="22"/>
        <v>2852.7534542315625</v>
      </c>
      <c r="P28" s="58">
        <f t="shared" si="22"/>
        <v>3252.8846840624346</v>
      </c>
      <c r="Q28" s="58">
        <f t="shared" si="22"/>
        <v>3684.1317665519396</v>
      </c>
      <c r="R28" s="58">
        <f t="shared" si="22"/>
        <v>4146.4947017000768</v>
      </c>
      <c r="S28" s="58">
        <f t="shared" si="22"/>
        <v>4639.9734895068477</v>
      </c>
      <c r="T28" s="58">
        <f t="shared" si="22"/>
        <v>5164.568129972251</v>
      </c>
      <c r="U28" s="58">
        <f t="shared" si="22"/>
        <v>5720.2786230962874</v>
      </c>
      <c r="V28" s="58">
        <f t="shared" si="22"/>
        <v>6307.1049688789544</v>
      </c>
      <c r="W28" s="58">
        <f t="shared" si="22"/>
        <v>6925.0471673202555</v>
      </c>
      <c r="X28" s="58">
        <f t="shared" si="22"/>
        <v>7574.1052184201899</v>
      </c>
      <c r="Y28" s="58">
        <f t="shared" si="22"/>
        <v>8254.2791221787556</v>
      </c>
      <c r="Z28" s="58">
        <f t="shared" si="22"/>
        <v>8965.5688785959537</v>
      </c>
      <c r="AA28" s="58">
        <f t="shared" si="22"/>
        <v>9707.9744876717868</v>
      </c>
      <c r="AB28" s="58">
        <f t="shared" si="22"/>
        <v>10481.495949406251</v>
      </c>
      <c r="AC28" s="58">
        <f t="shared" si="22"/>
        <v>11286.133263799349</v>
      </c>
      <c r="AD28" s="58">
        <f t="shared" si="22"/>
        <v>12121.88643085108</v>
      </c>
      <c r="AE28" s="58">
        <f t="shared" si="22"/>
        <v>12988.755450561441</v>
      </c>
      <c r="AF28" s="58">
        <f t="shared" si="22"/>
        <v>13886.740322930436</v>
      </c>
      <c r="AG28" s="58">
        <f t="shared" si="22"/>
        <v>14815.841047958062</v>
      </c>
      <c r="AH28" s="58">
        <f t="shared" si="22"/>
        <v>15776.057625644326</v>
      </c>
      <c r="AI28" s="58">
        <f t="shared" si="22"/>
        <v>16767.390055989217</v>
      </c>
      <c r="AJ28" s="58">
        <f t="shared" si="22"/>
        <v>17789.83833899274</v>
      </c>
      <c r="AK28" s="58">
        <f t="shared" si="22"/>
        <v>18843.4024746549</v>
      </c>
      <c r="AL28" s="58">
        <f t="shared" si="22"/>
        <v>19928.08246297569</v>
      </c>
      <c r="AM28" s="58">
        <f t="shared" si="22"/>
        <v>21043.87830395512</v>
      </c>
      <c r="AN28" s="58">
        <f t="shared" si="22"/>
        <v>22190.789997593172</v>
      </c>
      <c r="AO28" s="58">
        <f t="shared" si="22"/>
        <v>23368.817543889862</v>
      </c>
      <c r="AP28" s="58">
        <f t="shared" si="22"/>
        <v>24577.960942845184</v>
      </c>
      <c r="AQ28" s="58">
        <f t="shared" si="22"/>
        <v>25818.220194459136</v>
      </c>
    </row>
    <row r="29" spans="2:43" x14ac:dyDescent="0.2">
      <c r="B29" s="68"/>
      <c r="C29" s="8" t="s">
        <v>266</v>
      </c>
      <c r="D29" s="58">
        <f t="shared" ref="D29:AQ29" si="23">D28*$B$11</f>
        <v>477.12504902381244</v>
      </c>
      <c r="E29" s="58">
        <f t="shared" si="23"/>
        <v>531.79306297589483</v>
      </c>
      <c r="F29" s="58">
        <f t="shared" si="23"/>
        <v>615.86194908134757</v>
      </c>
      <c r="G29" s="58">
        <f t="shared" si="23"/>
        <v>729.33170734017085</v>
      </c>
      <c r="H29" s="58">
        <f t="shared" si="23"/>
        <v>872.20233775236443</v>
      </c>
      <c r="I29" s="58">
        <f t="shared" si="23"/>
        <v>1044.4738403179285</v>
      </c>
      <c r="J29" s="58">
        <f t="shared" si="23"/>
        <v>1246.1462150368632</v>
      </c>
      <c r="K29" s="58">
        <f t="shared" si="23"/>
        <v>1477.2194619091679</v>
      </c>
      <c r="L29" s="58">
        <f t="shared" si="23"/>
        <v>1737.6935809348436</v>
      </c>
      <c r="M29" s="58">
        <f t="shared" si="23"/>
        <v>2027.5685721138886</v>
      </c>
      <c r="N29" s="58">
        <f t="shared" si="23"/>
        <v>2346.8444354463045</v>
      </c>
      <c r="O29" s="58">
        <f t="shared" si="23"/>
        <v>2695.5211709320915</v>
      </c>
      <c r="P29" s="58">
        <f t="shared" si="23"/>
        <v>3073.5987785712487</v>
      </c>
      <c r="Q29" s="58">
        <f t="shared" si="23"/>
        <v>3481.0772583637759</v>
      </c>
      <c r="R29" s="58">
        <f t="shared" si="23"/>
        <v>3917.9566103096736</v>
      </c>
      <c r="S29" s="58">
        <f t="shared" si="23"/>
        <v>4384.2368344089427</v>
      </c>
      <c r="T29" s="58">
        <f t="shared" si="23"/>
        <v>4879.9179306615815</v>
      </c>
      <c r="U29" s="58">
        <f t="shared" si="23"/>
        <v>5404.9998990675913</v>
      </c>
      <c r="V29" s="58">
        <f t="shared" si="23"/>
        <v>5959.4827396269693</v>
      </c>
      <c r="W29" s="58">
        <f t="shared" si="23"/>
        <v>6543.3664523397192</v>
      </c>
      <c r="X29" s="58">
        <f t="shared" si="23"/>
        <v>7156.6510372058401</v>
      </c>
      <c r="Y29" s="58">
        <f t="shared" si="23"/>
        <v>7799.3364942253302</v>
      </c>
      <c r="Z29" s="58">
        <f t="shared" si="23"/>
        <v>8471.4228233981903</v>
      </c>
      <c r="AA29" s="58">
        <f t="shared" si="23"/>
        <v>9172.9100247244241</v>
      </c>
      <c r="AB29" s="58">
        <f t="shared" si="23"/>
        <v>9903.7980982040262</v>
      </c>
      <c r="AC29" s="58">
        <f t="shared" si="23"/>
        <v>10664.087043836998</v>
      </c>
      <c r="AD29" s="58">
        <f t="shared" si="23"/>
        <v>11453.776861623342</v>
      </c>
      <c r="AE29" s="58">
        <f t="shared" si="23"/>
        <v>12272.867551563055</v>
      </c>
      <c r="AF29" s="58">
        <f t="shared" si="23"/>
        <v>13121.359113656137</v>
      </c>
      <c r="AG29" s="58">
        <f t="shared" si="23"/>
        <v>13999.25154790259</v>
      </c>
      <c r="AH29" s="58">
        <f t="shared" si="23"/>
        <v>14906.544854302418</v>
      </c>
      <c r="AI29" s="58">
        <f t="shared" si="23"/>
        <v>15843.23903285561</v>
      </c>
      <c r="AJ29" s="58">
        <f t="shared" si="23"/>
        <v>16809.334083562175</v>
      </c>
      <c r="AK29" s="58">
        <f t="shared" si="23"/>
        <v>17804.830006422111</v>
      </c>
      <c r="AL29" s="58">
        <f t="shared" si="23"/>
        <v>18829.726801435416</v>
      </c>
      <c r="AM29" s="58">
        <f t="shared" si="23"/>
        <v>19884.024468602096</v>
      </c>
      <c r="AN29" s="58">
        <f t="shared" si="23"/>
        <v>20967.723007922141</v>
      </c>
      <c r="AO29" s="58">
        <f t="shared" si="23"/>
        <v>22080.822419395558</v>
      </c>
      <c r="AP29" s="58">
        <f t="shared" si="23"/>
        <v>23223.322703022346</v>
      </c>
      <c r="AQ29" s="58">
        <f t="shared" si="23"/>
        <v>24395.223858802503</v>
      </c>
    </row>
    <row r="30" spans="2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2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2:43" x14ac:dyDescent="0.2">
      <c r="B32" s="68"/>
      <c r="C32" s="8" t="s">
        <v>259</v>
      </c>
      <c r="D32" s="58">
        <f t="shared" ref="D32:AQ32" si="26">$B$3*D30</f>
        <v>508.45779200938591</v>
      </c>
      <c r="E32" s="58">
        <f t="shared" si="26"/>
        <v>508.45779200938591</v>
      </c>
      <c r="F32" s="58">
        <f t="shared" si="26"/>
        <v>508.45779200938591</v>
      </c>
      <c r="G32" s="58">
        <f t="shared" si="26"/>
        <v>508.45779200938591</v>
      </c>
      <c r="H32" s="58">
        <f t="shared" si="26"/>
        <v>508.45779200938591</v>
      </c>
      <c r="I32" s="58">
        <f t="shared" si="26"/>
        <v>508.45779200938591</v>
      </c>
      <c r="J32" s="58">
        <f t="shared" si="26"/>
        <v>508.45779200938591</v>
      </c>
      <c r="K32" s="58">
        <f t="shared" si="26"/>
        <v>508.45779200938591</v>
      </c>
      <c r="L32" s="58">
        <f t="shared" si="26"/>
        <v>508.45779200938591</v>
      </c>
      <c r="M32" s="58">
        <f t="shared" si="26"/>
        <v>508.45779200938591</v>
      </c>
      <c r="N32" s="58">
        <f t="shared" si="26"/>
        <v>508.45779200938591</v>
      </c>
      <c r="O32" s="58">
        <f t="shared" si="26"/>
        <v>508.45779200938591</v>
      </c>
      <c r="P32" s="58">
        <f t="shared" si="26"/>
        <v>508.45779200938591</v>
      </c>
      <c r="Q32" s="58">
        <f t="shared" si="26"/>
        <v>508.45779200938591</v>
      </c>
      <c r="R32" s="58">
        <f t="shared" si="26"/>
        <v>508.45779200938591</v>
      </c>
      <c r="S32" s="58">
        <f t="shared" si="26"/>
        <v>508.45779200938591</v>
      </c>
      <c r="T32" s="58">
        <f t="shared" si="26"/>
        <v>508.45779200938591</v>
      </c>
      <c r="U32" s="58">
        <f t="shared" si="26"/>
        <v>508.45779200938591</v>
      </c>
      <c r="V32" s="58">
        <f t="shared" si="26"/>
        <v>508.45779200938591</v>
      </c>
      <c r="W32" s="58">
        <f t="shared" si="26"/>
        <v>508.45779200938591</v>
      </c>
      <c r="X32" s="58">
        <f t="shared" si="26"/>
        <v>508.45779200938591</v>
      </c>
      <c r="Y32" s="58">
        <f t="shared" si="26"/>
        <v>508.45779200938591</v>
      </c>
      <c r="Z32" s="58">
        <f t="shared" si="26"/>
        <v>508.45779200938591</v>
      </c>
      <c r="AA32" s="58">
        <f t="shared" si="26"/>
        <v>508.45779200938591</v>
      </c>
      <c r="AB32" s="58">
        <f t="shared" si="26"/>
        <v>508.45779200938591</v>
      </c>
      <c r="AC32" s="58">
        <f t="shared" si="26"/>
        <v>508.45779200938591</v>
      </c>
      <c r="AD32" s="58">
        <f t="shared" si="26"/>
        <v>508.45779200938591</v>
      </c>
      <c r="AE32" s="58">
        <f t="shared" si="26"/>
        <v>508.45779200938591</v>
      </c>
      <c r="AF32" s="58">
        <f t="shared" si="26"/>
        <v>508.45779200938591</v>
      </c>
      <c r="AG32" s="58">
        <f t="shared" si="26"/>
        <v>508.45779200938591</v>
      </c>
      <c r="AH32" s="58">
        <f t="shared" si="26"/>
        <v>508.45779200938591</v>
      </c>
      <c r="AI32" s="58">
        <f t="shared" si="26"/>
        <v>508.45779200938591</v>
      </c>
      <c r="AJ32" s="58">
        <f t="shared" si="26"/>
        <v>508.45779200938591</v>
      </c>
      <c r="AK32" s="58">
        <f t="shared" si="26"/>
        <v>508.45779200938591</v>
      </c>
      <c r="AL32" s="58">
        <f t="shared" si="26"/>
        <v>508.45779200938591</v>
      </c>
      <c r="AM32" s="58">
        <f t="shared" si="26"/>
        <v>508.45779200938591</v>
      </c>
      <c r="AN32" s="58">
        <f t="shared" si="26"/>
        <v>508.45779200938591</v>
      </c>
      <c r="AO32" s="58">
        <f t="shared" si="26"/>
        <v>508.45779200938591</v>
      </c>
      <c r="AP32" s="58">
        <f t="shared" si="26"/>
        <v>508.45779200938591</v>
      </c>
      <c r="AQ32" s="58">
        <f t="shared" si="26"/>
        <v>508.45779200938591</v>
      </c>
    </row>
    <row r="33" spans="2:43" x14ac:dyDescent="0.2">
      <c r="B33" s="68"/>
      <c r="C33" s="8" t="s">
        <v>260</v>
      </c>
      <c r="D33" s="58">
        <f t="shared" ref="D33:AQ33" si="27">$B$12*$B$3*D31</f>
        <v>45.761201280844737</v>
      </c>
      <c r="E33" s="58">
        <f t="shared" si="27"/>
        <v>45.761201280844737</v>
      </c>
      <c r="F33" s="58">
        <f t="shared" si="27"/>
        <v>45.761201280844737</v>
      </c>
      <c r="G33" s="58">
        <f t="shared" si="27"/>
        <v>45.761201280844737</v>
      </c>
      <c r="H33" s="58">
        <f t="shared" si="27"/>
        <v>45.761201280844737</v>
      </c>
      <c r="I33" s="58">
        <f t="shared" si="27"/>
        <v>45.761201280844737</v>
      </c>
      <c r="J33" s="58">
        <f t="shared" si="27"/>
        <v>45.761201280844737</v>
      </c>
      <c r="K33" s="58">
        <f t="shared" si="27"/>
        <v>45.761201280844737</v>
      </c>
      <c r="L33" s="58">
        <f t="shared" si="27"/>
        <v>45.761201280844737</v>
      </c>
      <c r="M33" s="58">
        <f t="shared" si="27"/>
        <v>45.761201280844737</v>
      </c>
      <c r="N33" s="58">
        <f t="shared" si="27"/>
        <v>45.761201280844737</v>
      </c>
      <c r="O33" s="58">
        <f t="shared" si="27"/>
        <v>45.761201280844737</v>
      </c>
      <c r="P33" s="58">
        <f t="shared" si="27"/>
        <v>45.761201280844737</v>
      </c>
      <c r="Q33" s="58">
        <f t="shared" si="27"/>
        <v>45.761201280844737</v>
      </c>
      <c r="R33" s="58">
        <f t="shared" si="27"/>
        <v>45.761201280844737</v>
      </c>
      <c r="S33" s="58">
        <f t="shared" si="27"/>
        <v>45.761201280844737</v>
      </c>
      <c r="T33" s="58">
        <f t="shared" si="27"/>
        <v>45.761201280844737</v>
      </c>
      <c r="U33" s="58">
        <f t="shared" si="27"/>
        <v>45.761201280844737</v>
      </c>
      <c r="V33" s="58">
        <f t="shared" si="27"/>
        <v>45.761201280844737</v>
      </c>
      <c r="W33" s="58">
        <f t="shared" si="27"/>
        <v>45.761201280844737</v>
      </c>
      <c r="X33" s="58">
        <f t="shared" si="27"/>
        <v>45.761201280844737</v>
      </c>
      <c r="Y33" s="58">
        <f t="shared" si="27"/>
        <v>45.761201280844737</v>
      </c>
      <c r="Z33" s="58">
        <f t="shared" si="27"/>
        <v>45.761201280844737</v>
      </c>
      <c r="AA33" s="58">
        <f t="shared" si="27"/>
        <v>45.761201280844737</v>
      </c>
      <c r="AB33" s="58">
        <f t="shared" si="27"/>
        <v>45.761201280844737</v>
      </c>
      <c r="AC33" s="58">
        <f t="shared" si="27"/>
        <v>45.761201280844737</v>
      </c>
      <c r="AD33" s="58">
        <f t="shared" si="27"/>
        <v>45.761201280844737</v>
      </c>
      <c r="AE33" s="58">
        <f t="shared" si="27"/>
        <v>45.761201280844737</v>
      </c>
      <c r="AF33" s="58">
        <f t="shared" si="27"/>
        <v>45.761201280844737</v>
      </c>
      <c r="AG33" s="58">
        <f t="shared" si="27"/>
        <v>45.761201280844737</v>
      </c>
      <c r="AH33" s="58">
        <f t="shared" si="27"/>
        <v>45.761201280844737</v>
      </c>
      <c r="AI33" s="58">
        <f t="shared" si="27"/>
        <v>45.761201280844737</v>
      </c>
      <c r="AJ33" s="58">
        <f t="shared" si="27"/>
        <v>45.761201280844737</v>
      </c>
      <c r="AK33" s="58">
        <f t="shared" si="27"/>
        <v>45.761201280844737</v>
      </c>
      <c r="AL33" s="58">
        <f t="shared" si="27"/>
        <v>45.761201280844737</v>
      </c>
      <c r="AM33" s="58">
        <f t="shared" si="27"/>
        <v>45.761201280844737</v>
      </c>
      <c r="AN33" s="58">
        <f t="shared" si="27"/>
        <v>45.761201280844737</v>
      </c>
      <c r="AO33" s="58">
        <f t="shared" si="27"/>
        <v>45.761201280844737</v>
      </c>
      <c r="AP33" s="58">
        <f t="shared" si="27"/>
        <v>45.761201280844737</v>
      </c>
      <c r="AQ33" s="58">
        <f t="shared" si="27"/>
        <v>45.761201280844737</v>
      </c>
    </row>
    <row r="34" spans="2:43" x14ac:dyDescent="0.2">
      <c r="B34" s="68"/>
      <c r="C34" s="8" t="s">
        <v>267</v>
      </c>
      <c r="D34" s="58">
        <f t="shared" ref="D34:AQ34" si="28">D$7+D$9+D32+D33</f>
        <v>628.4312267303502</v>
      </c>
      <c r="E34" s="58">
        <f t="shared" si="28"/>
        <v>686.28807731626284</v>
      </c>
      <c r="F34" s="58">
        <f t="shared" si="28"/>
        <v>775.26078056080814</v>
      </c>
      <c r="G34" s="58">
        <f t="shared" si="28"/>
        <v>895.34933646398622</v>
      </c>
      <c r="H34" s="58">
        <f t="shared" si="28"/>
        <v>1046.5537450257968</v>
      </c>
      <c r="I34" s="58">
        <f t="shared" si="28"/>
        <v>1228.8740062462402</v>
      </c>
      <c r="J34" s="58">
        <f t="shared" si="28"/>
        <v>1442.3101201253164</v>
      </c>
      <c r="K34" s="58">
        <f t="shared" si="28"/>
        <v>1686.8620866630251</v>
      </c>
      <c r="L34" s="58">
        <f t="shared" si="28"/>
        <v>1962.5299058593669</v>
      </c>
      <c r="M34" s="58">
        <f t="shared" si="28"/>
        <v>2269.3135777143407</v>
      </c>
      <c r="N34" s="58">
        <f t="shared" si="28"/>
        <v>2607.2131022279473</v>
      </c>
      <c r="O34" s="58">
        <f t="shared" si="28"/>
        <v>2976.2284794001871</v>
      </c>
      <c r="P34" s="58">
        <f t="shared" si="28"/>
        <v>3376.3597092310592</v>
      </c>
      <c r="Q34" s="58">
        <f t="shared" si="28"/>
        <v>3807.6067917205646</v>
      </c>
      <c r="R34" s="58">
        <f t="shared" si="28"/>
        <v>4269.9697268687014</v>
      </c>
      <c r="S34" s="58">
        <f t="shared" si="28"/>
        <v>4763.4485146754723</v>
      </c>
      <c r="T34" s="58">
        <f t="shared" si="28"/>
        <v>5288.0431551408756</v>
      </c>
      <c r="U34" s="58">
        <f t="shared" si="28"/>
        <v>5843.753648264912</v>
      </c>
      <c r="V34" s="58">
        <f t="shared" si="28"/>
        <v>6430.579994047579</v>
      </c>
      <c r="W34" s="58">
        <f t="shared" si="28"/>
        <v>7048.5221924888801</v>
      </c>
      <c r="X34" s="58">
        <f t="shared" si="28"/>
        <v>7697.5802435888145</v>
      </c>
      <c r="Y34" s="58">
        <f t="shared" si="28"/>
        <v>8377.7541473473775</v>
      </c>
      <c r="Z34" s="58">
        <f t="shared" si="28"/>
        <v>9089.0439037645756</v>
      </c>
      <c r="AA34" s="58">
        <f t="shared" si="28"/>
        <v>9831.4495128404087</v>
      </c>
      <c r="AB34" s="58">
        <f t="shared" si="28"/>
        <v>10604.970974574873</v>
      </c>
      <c r="AC34" s="58">
        <f t="shared" si="28"/>
        <v>11409.608288967971</v>
      </c>
      <c r="AD34" s="58">
        <f t="shared" si="28"/>
        <v>12245.361456019702</v>
      </c>
      <c r="AE34" s="58">
        <f t="shared" si="28"/>
        <v>13112.230475730063</v>
      </c>
      <c r="AF34" s="58">
        <f t="shared" si="28"/>
        <v>14010.215348099058</v>
      </c>
      <c r="AG34" s="58">
        <f t="shared" si="28"/>
        <v>14939.316073126683</v>
      </c>
      <c r="AH34" s="58">
        <f t="shared" si="28"/>
        <v>15899.532650812947</v>
      </c>
      <c r="AI34" s="58">
        <f t="shared" si="28"/>
        <v>16890.865081157841</v>
      </c>
      <c r="AJ34" s="58">
        <f t="shared" si="28"/>
        <v>17913.313364161368</v>
      </c>
      <c r="AK34" s="58">
        <f t="shared" si="28"/>
        <v>18966.877499823528</v>
      </c>
      <c r="AL34" s="58">
        <f t="shared" si="28"/>
        <v>20051.557488144317</v>
      </c>
      <c r="AM34" s="58">
        <f t="shared" si="28"/>
        <v>21167.353329123747</v>
      </c>
      <c r="AN34" s="58">
        <f t="shared" si="28"/>
        <v>22314.2650227618</v>
      </c>
      <c r="AO34" s="58">
        <f t="shared" si="28"/>
        <v>23492.292569058489</v>
      </c>
      <c r="AP34" s="58">
        <f t="shared" si="28"/>
        <v>24701.435968013811</v>
      </c>
      <c r="AQ34" s="58">
        <f t="shared" si="28"/>
        <v>25941.695219627763</v>
      </c>
    </row>
    <row r="35" spans="2:43" x14ac:dyDescent="0.2">
      <c r="B35" s="68"/>
      <c r="C35" s="8" t="s">
        <v>268</v>
      </c>
      <c r="D35" s="58">
        <f t="shared" ref="D35:AQ35" si="29">D34*$B$11</f>
        <v>593.79462799836597</v>
      </c>
      <c r="E35" s="58">
        <f t="shared" si="29"/>
        <v>648.46264195044841</v>
      </c>
      <c r="F35" s="58">
        <f t="shared" si="29"/>
        <v>732.53152805590116</v>
      </c>
      <c r="G35" s="58">
        <f t="shared" si="29"/>
        <v>846.00128631472444</v>
      </c>
      <c r="H35" s="58">
        <f t="shared" si="29"/>
        <v>988.87191672691802</v>
      </c>
      <c r="I35" s="58">
        <f t="shared" si="29"/>
        <v>1161.1434192924821</v>
      </c>
      <c r="J35" s="58">
        <f t="shared" si="29"/>
        <v>1362.8157940114168</v>
      </c>
      <c r="K35" s="58">
        <f t="shared" si="29"/>
        <v>1593.8890408837215</v>
      </c>
      <c r="L35" s="58">
        <f t="shared" si="29"/>
        <v>1854.3631599093972</v>
      </c>
      <c r="M35" s="58">
        <f t="shared" si="29"/>
        <v>2144.2381510884425</v>
      </c>
      <c r="N35" s="58">
        <f t="shared" si="29"/>
        <v>2463.5140144208585</v>
      </c>
      <c r="O35" s="58">
        <f t="shared" si="29"/>
        <v>2812.1907499066456</v>
      </c>
      <c r="P35" s="58">
        <f t="shared" si="29"/>
        <v>3190.2683575458022</v>
      </c>
      <c r="Q35" s="58">
        <f t="shared" si="29"/>
        <v>3597.7468373383304</v>
      </c>
      <c r="R35" s="58">
        <f t="shared" si="29"/>
        <v>4034.6261892842272</v>
      </c>
      <c r="S35" s="58">
        <f t="shared" si="29"/>
        <v>4500.9064133834963</v>
      </c>
      <c r="T35" s="58">
        <f t="shared" si="29"/>
        <v>4996.5875096361351</v>
      </c>
      <c r="U35" s="58">
        <f t="shared" si="29"/>
        <v>5521.6694780421449</v>
      </c>
      <c r="V35" s="58">
        <f t="shared" si="29"/>
        <v>6076.1523186015229</v>
      </c>
      <c r="W35" s="58">
        <f t="shared" si="29"/>
        <v>6660.0360313142728</v>
      </c>
      <c r="X35" s="58">
        <f t="shared" si="29"/>
        <v>7273.3206161803937</v>
      </c>
      <c r="Y35" s="58">
        <f t="shared" si="29"/>
        <v>7916.0060731998819</v>
      </c>
      <c r="Z35" s="58">
        <f t="shared" si="29"/>
        <v>8588.0924023727421</v>
      </c>
      <c r="AA35" s="58">
        <f t="shared" si="29"/>
        <v>9289.5796036989741</v>
      </c>
      <c r="AB35" s="58">
        <f t="shared" si="29"/>
        <v>10020.467677178576</v>
      </c>
      <c r="AC35" s="58">
        <f t="shared" si="29"/>
        <v>10780.75662281155</v>
      </c>
      <c r="AD35" s="58">
        <f t="shared" si="29"/>
        <v>11570.446440597894</v>
      </c>
      <c r="AE35" s="58">
        <f t="shared" si="29"/>
        <v>12389.537130537605</v>
      </c>
      <c r="AF35" s="58">
        <f t="shared" si="29"/>
        <v>13238.028692630689</v>
      </c>
      <c r="AG35" s="58">
        <f t="shared" si="29"/>
        <v>14115.921126877141</v>
      </c>
      <c r="AH35" s="58">
        <f t="shared" si="29"/>
        <v>15023.214433276968</v>
      </c>
      <c r="AI35" s="58">
        <f t="shared" si="29"/>
        <v>15959.908611830164</v>
      </c>
      <c r="AJ35" s="58">
        <f t="shared" si="29"/>
        <v>16926.003662536728</v>
      </c>
      <c r="AK35" s="58">
        <f t="shared" si="29"/>
        <v>17921.499585396668</v>
      </c>
      <c r="AL35" s="58">
        <f t="shared" si="29"/>
        <v>18946.396380409969</v>
      </c>
      <c r="AM35" s="58">
        <f t="shared" si="29"/>
        <v>20000.694047576653</v>
      </c>
      <c r="AN35" s="58">
        <f t="shared" si="29"/>
        <v>21084.392586896698</v>
      </c>
      <c r="AO35" s="58">
        <f t="shared" si="29"/>
        <v>22197.491998370115</v>
      </c>
      <c r="AP35" s="58">
        <f t="shared" si="29"/>
        <v>23339.992281996903</v>
      </c>
      <c r="AQ35" s="58">
        <f t="shared" si="29"/>
        <v>24511.893437777057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259</v>
      </c>
      <c r="D38" s="58">
        <f t="shared" ref="D38:AQ38" si="32">$B$3*D36</f>
        <v>628.80664205777441</v>
      </c>
      <c r="E38" s="58">
        <f t="shared" si="32"/>
        <v>628.80664205777441</v>
      </c>
      <c r="F38" s="58">
        <f t="shared" si="32"/>
        <v>628.80664205777441</v>
      </c>
      <c r="G38" s="58">
        <f t="shared" si="32"/>
        <v>628.80664205777441</v>
      </c>
      <c r="H38" s="58">
        <f t="shared" si="32"/>
        <v>628.80664205777441</v>
      </c>
      <c r="I38" s="58">
        <f t="shared" si="32"/>
        <v>628.80664205777441</v>
      </c>
      <c r="J38" s="58">
        <f t="shared" si="32"/>
        <v>628.80664205777441</v>
      </c>
      <c r="K38" s="58">
        <f t="shared" si="32"/>
        <v>628.80664205777441</v>
      </c>
      <c r="L38" s="58">
        <f t="shared" si="32"/>
        <v>628.80664205777441</v>
      </c>
      <c r="M38" s="58">
        <f t="shared" si="32"/>
        <v>628.80664205777441</v>
      </c>
      <c r="N38" s="58">
        <f t="shared" si="32"/>
        <v>628.80664205777441</v>
      </c>
      <c r="O38" s="58">
        <f t="shared" si="32"/>
        <v>628.80664205777441</v>
      </c>
      <c r="P38" s="58">
        <f t="shared" si="32"/>
        <v>628.80664205777441</v>
      </c>
      <c r="Q38" s="58">
        <f t="shared" si="32"/>
        <v>628.80664205777441</v>
      </c>
      <c r="R38" s="58">
        <f t="shared" si="32"/>
        <v>628.80664205777441</v>
      </c>
      <c r="S38" s="58">
        <f t="shared" si="32"/>
        <v>628.80664205777441</v>
      </c>
      <c r="T38" s="58">
        <f t="shared" si="32"/>
        <v>628.80664205777441</v>
      </c>
      <c r="U38" s="58">
        <f t="shared" si="32"/>
        <v>628.80664205777441</v>
      </c>
      <c r="V38" s="58">
        <f t="shared" si="32"/>
        <v>628.80664205777441</v>
      </c>
      <c r="W38" s="58">
        <f t="shared" si="32"/>
        <v>628.80664205777441</v>
      </c>
      <c r="X38" s="58">
        <f t="shared" si="32"/>
        <v>628.80664205777441</v>
      </c>
      <c r="Y38" s="58">
        <f t="shared" si="32"/>
        <v>628.80664205777441</v>
      </c>
      <c r="Z38" s="58">
        <f t="shared" si="32"/>
        <v>628.80664205777441</v>
      </c>
      <c r="AA38" s="58">
        <f t="shared" si="32"/>
        <v>628.80664205777441</v>
      </c>
      <c r="AB38" s="58">
        <f t="shared" si="32"/>
        <v>628.80664205777441</v>
      </c>
      <c r="AC38" s="58">
        <f t="shared" si="32"/>
        <v>628.80664205777441</v>
      </c>
      <c r="AD38" s="58">
        <f t="shared" si="32"/>
        <v>628.80664205777441</v>
      </c>
      <c r="AE38" s="58">
        <f t="shared" si="32"/>
        <v>628.80664205777441</v>
      </c>
      <c r="AF38" s="58">
        <f t="shared" si="32"/>
        <v>628.80664205777441</v>
      </c>
      <c r="AG38" s="58">
        <f t="shared" si="32"/>
        <v>628.80664205777441</v>
      </c>
      <c r="AH38" s="58">
        <f t="shared" si="32"/>
        <v>628.80664205777441</v>
      </c>
      <c r="AI38" s="58">
        <f t="shared" si="32"/>
        <v>628.80664205777441</v>
      </c>
      <c r="AJ38" s="58">
        <f t="shared" si="32"/>
        <v>628.80664205777441</v>
      </c>
      <c r="AK38" s="58">
        <f t="shared" si="32"/>
        <v>628.80664205777441</v>
      </c>
      <c r="AL38" s="58">
        <f t="shared" si="32"/>
        <v>628.80664205777441</v>
      </c>
      <c r="AM38" s="58">
        <f t="shared" si="32"/>
        <v>628.80664205777441</v>
      </c>
      <c r="AN38" s="58">
        <f t="shared" si="32"/>
        <v>628.80664205777441</v>
      </c>
      <c r="AO38" s="58">
        <f t="shared" si="32"/>
        <v>628.80664205777441</v>
      </c>
      <c r="AP38" s="58">
        <f t="shared" si="32"/>
        <v>628.80664205777441</v>
      </c>
      <c r="AQ38" s="58">
        <f t="shared" si="32"/>
        <v>628.80664205777441</v>
      </c>
    </row>
    <row r="39" spans="2:43" x14ac:dyDescent="0.2">
      <c r="B39" s="68"/>
      <c r="C39" s="8" t="s">
        <v>260</v>
      </c>
      <c r="D39" s="58">
        <f t="shared" ref="D39:AQ39" si="33">$B$12*$B$3*D37</f>
        <v>45.274078228159759</v>
      </c>
      <c r="E39" s="58">
        <f t="shared" si="33"/>
        <v>45.274078228159759</v>
      </c>
      <c r="F39" s="58">
        <f t="shared" si="33"/>
        <v>45.274078228159759</v>
      </c>
      <c r="G39" s="58">
        <f t="shared" si="33"/>
        <v>45.274078228159759</v>
      </c>
      <c r="H39" s="58">
        <f t="shared" si="33"/>
        <v>45.274078228159759</v>
      </c>
      <c r="I39" s="58">
        <f t="shared" si="33"/>
        <v>45.274078228159759</v>
      </c>
      <c r="J39" s="58">
        <f t="shared" si="33"/>
        <v>45.274078228159759</v>
      </c>
      <c r="K39" s="58">
        <f t="shared" si="33"/>
        <v>45.274078228159759</v>
      </c>
      <c r="L39" s="58">
        <f t="shared" si="33"/>
        <v>45.274078228159759</v>
      </c>
      <c r="M39" s="58">
        <f t="shared" si="33"/>
        <v>45.274078228159759</v>
      </c>
      <c r="N39" s="58">
        <f t="shared" si="33"/>
        <v>45.274078228159759</v>
      </c>
      <c r="O39" s="58">
        <f t="shared" si="33"/>
        <v>45.274078228159759</v>
      </c>
      <c r="P39" s="58">
        <f t="shared" si="33"/>
        <v>45.274078228159759</v>
      </c>
      <c r="Q39" s="58">
        <f t="shared" si="33"/>
        <v>45.274078228159759</v>
      </c>
      <c r="R39" s="58">
        <f t="shared" si="33"/>
        <v>45.274078228159759</v>
      </c>
      <c r="S39" s="58">
        <f t="shared" si="33"/>
        <v>45.274078228159759</v>
      </c>
      <c r="T39" s="58">
        <f t="shared" si="33"/>
        <v>45.274078228159759</v>
      </c>
      <c r="U39" s="58">
        <f t="shared" si="33"/>
        <v>45.274078228159759</v>
      </c>
      <c r="V39" s="58">
        <f t="shared" si="33"/>
        <v>45.274078228159759</v>
      </c>
      <c r="W39" s="58">
        <f t="shared" si="33"/>
        <v>45.274078228159759</v>
      </c>
      <c r="X39" s="58">
        <f t="shared" si="33"/>
        <v>45.274078228159759</v>
      </c>
      <c r="Y39" s="58">
        <f t="shared" si="33"/>
        <v>45.274078228159759</v>
      </c>
      <c r="Z39" s="58">
        <f t="shared" si="33"/>
        <v>45.274078228159759</v>
      </c>
      <c r="AA39" s="58">
        <f t="shared" si="33"/>
        <v>45.274078228159759</v>
      </c>
      <c r="AB39" s="58">
        <f t="shared" si="33"/>
        <v>45.274078228159759</v>
      </c>
      <c r="AC39" s="58">
        <f t="shared" si="33"/>
        <v>45.274078228159759</v>
      </c>
      <c r="AD39" s="58">
        <f t="shared" si="33"/>
        <v>45.274078228159759</v>
      </c>
      <c r="AE39" s="58">
        <f t="shared" si="33"/>
        <v>45.274078228159759</v>
      </c>
      <c r="AF39" s="58">
        <f t="shared" si="33"/>
        <v>45.274078228159759</v>
      </c>
      <c r="AG39" s="58">
        <f t="shared" si="33"/>
        <v>45.274078228159759</v>
      </c>
      <c r="AH39" s="58">
        <f t="shared" si="33"/>
        <v>45.274078228159759</v>
      </c>
      <c r="AI39" s="58">
        <f t="shared" si="33"/>
        <v>45.274078228159759</v>
      </c>
      <c r="AJ39" s="58">
        <f t="shared" si="33"/>
        <v>45.274078228159759</v>
      </c>
      <c r="AK39" s="58">
        <f t="shared" si="33"/>
        <v>45.274078228159759</v>
      </c>
      <c r="AL39" s="58">
        <f t="shared" si="33"/>
        <v>45.274078228159759</v>
      </c>
      <c r="AM39" s="58">
        <f t="shared" si="33"/>
        <v>45.274078228159759</v>
      </c>
      <c r="AN39" s="58">
        <f t="shared" si="33"/>
        <v>45.274078228159759</v>
      </c>
      <c r="AO39" s="58">
        <f t="shared" si="33"/>
        <v>45.274078228159759</v>
      </c>
      <c r="AP39" s="58">
        <f t="shared" si="33"/>
        <v>45.274078228159759</v>
      </c>
      <c r="AQ39" s="58">
        <f t="shared" si="33"/>
        <v>45.274078228159759</v>
      </c>
    </row>
    <row r="40" spans="2:43" x14ac:dyDescent="0.2">
      <c r="B40" s="68"/>
      <c r="C40" s="8" t="s">
        <v>269</v>
      </c>
      <c r="D40" s="58">
        <f t="shared" ref="D40:AQ40" si="34">D$7+D$9+D38+D39</f>
        <v>748.29295372605372</v>
      </c>
      <c r="E40" s="58">
        <f t="shared" si="34"/>
        <v>806.14980431196636</v>
      </c>
      <c r="F40" s="58">
        <f t="shared" si="34"/>
        <v>895.12250755651178</v>
      </c>
      <c r="G40" s="58">
        <f t="shared" si="34"/>
        <v>1015.2110634596897</v>
      </c>
      <c r="H40" s="58">
        <f t="shared" si="34"/>
        <v>1166.4154720215006</v>
      </c>
      <c r="I40" s="58">
        <f t="shared" si="34"/>
        <v>1348.7357332419438</v>
      </c>
      <c r="J40" s="58">
        <f t="shared" si="34"/>
        <v>1562.1718471210202</v>
      </c>
      <c r="K40" s="58">
        <f t="shared" si="34"/>
        <v>1806.7238136587289</v>
      </c>
      <c r="L40" s="58">
        <f t="shared" si="34"/>
        <v>2082.3916328550704</v>
      </c>
      <c r="M40" s="58">
        <f t="shared" si="34"/>
        <v>2389.1753047100442</v>
      </c>
      <c r="N40" s="58">
        <f t="shared" si="34"/>
        <v>2727.0748292236508</v>
      </c>
      <c r="O40" s="58">
        <f t="shared" si="34"/>
        <v>3096.0902063958906</v>
      </c>
      <c r="P40" s="58">
        <f t="shared" si="34"/>
        <v>3496.2214362267628</v>
      </c>
      <c r="Q40" s="58">
        <f t="shared" si="34"/>
        <v>3927.4685187162677</v>
      </c>
      <c r="R40" s="58">
        <f t="shared" si="34"/>
        <v>4389.8314538644045</v>
      </c>
      <c r="S40" s="58">
        <f t="shared" si="34"/>
        <v>4883.3102416711754</v>
      </c>
      <c r="T40" s="58">
        <f t="shared" si="34"/>
        <v>5407.9048821365786</v>
      </c>
      <c r="U40" s="58">
        <f t="shared" si="34"/>
        <v>5963.6153752606151</v>
      </c>
      <c r="V40" s="58">
        <f t="shared" si="34"/>
        <v>6550.4417210432821</v>
      </c>
      <c r="W40" s="58">
        <f t="shared" si="34"/>
        <v>7168.3839194845832</v>
      </c>
      <c r="X40" s="58">
        <f t="shared" si="34"/>
        <v>7817.4419705845175</v>
      </c>
      <c r="Y40" s="58">
        <f t="shared" si="34"/>
        <v>8497.6158743430824</v>
      </c>
      <c r="Z40" s="58">
        <f t="shared" si="34"/>
        <v>9208.9056307602805</v>
      </c>
      <c r="AA40" s="58">
        <f t="shared" si="34"/>
        <v>9951.3112398361136</v>
      </c>
      <c r="AB40" s="58">
        <f t="shared" si="34"/>
        <v>10724.832701570578</v>
      </c>
      <c r="AC40" s="58">
        <f t="shared" si="34"/>
        <v>11529.470015963676</v>
      </c>
      <c r="AD40" s="58">
        <f t="shared" si="34"/>
        <v>12365.223183015407</v>
      </c>
      <c r="AE40" s="58">
        <f t="shared" si="34"/>
        <v>13232.092202725767</v>
      </c>
      <c r="AF40" s="58">
        <f t="shared" si="34"/>
        <v>14130.077075094763</v>
      </c>
      <c r="AG40" s="58">
        <f t="shared" si="34"/>
        <v>15059.177800122388</v>
      </c>
      <c r="AH40" s="58">
        <f t="shared" si="34"/>
        <v>16019.394377808652</v>
      </c>
      <c r="AI40" s="58">
        <f t="shared" si="34"/>
        <v>17010.726808153544</v>
      </c>
      <c r="AJ40" s="58">
        <f t="shared" si="34"/>
        <v>18033.175091157067</v>
      </c>
      <c r="AK40" s="58">
        <f t="shared" si="34"/>
        <v>19086.739226819227</v>
      </c>
      <c r="AL40" s="58">
        <f t="shared" si="34"/>
        <v>20171.419215140017</v>
      </c>
      <c r="AM40" s="58">
        <f t="shared" si="34"/>
        <v>21287.215056119447</v>
      </c>
      <c r="AN40" s="58">
        <f t="shared" si="34"/>
        <v>22434.126749757499</v>
      </c>
      <c r="AO40" s="58">
        <f t="shared" si="34"/>
        <v>23612.154296054188</v>
      </c>
      <c r="AP40" s="58">
        <f t="shared" si="34"/>
        <v>24821.297695009511</v>
      </c>
      <c r="AQ40" s="58">
        <f t="shared" si="34"/>
        <v>26061.556946623463</v>
      </c>
    </row>
    <row r="41" spans="2:43" x14ac:dyDescent="0.2">
      <c r="B41" s="68"/>
      <c r="C41" s="8" t="s">
        <v>270</v>
      </c>
      <c r="D41" s="58">
        <f t="shared" ref="D41:AQ41" si="35">D40*$B$11</f>
        <v>707.05005924572947</v>
      </c>
      <c r="E41" s="58">
        <f t="shared" si="35"/>
        <v>761.71807319781192</v>
      </c>
      <c r="F41" s="58">
        <f t="shared" si="35"/>
        <v>845.78695930326478</v>
      </c>
      <c r="G41" s="58">
        <f t="shared" si="35"/>
        <v>959.25671756208794</v>
      </c>
      <c r="H41" s="58">
        <f t="shared" si="35"/>
        <v>1102.1273479742817</v>
      </c>
      <c r="I41" s="58">
        <f t="shared" si="35"/>
        <v>1274.3988505398456</v>
      </c>
      <c r="J41" s="58">
        <f t="shared" si="35"/>
        <v>1476.0712252587805</v>
      </c>
      <c r="K41" s="58">
        <f t="shared" si="35"/>
        <v>1707.1444721310852</v>
      </c>
      <c r="L41" s="58">
        <f t="shared" si="35"/>
        <v>1967.6185911567607</v>
      </c>
      <c r="M41" s="58">
        <f t="shared" si="35"/>
        <v>2257.493582335806</v>
      </c>
      <c r="N41" s="58">
        <f t="shared" si="35"/>
        <v>2576.769445668222</v>
      </c>
      <c r="O41" s="58">
        <f t="shared" si="35"/>
        <v>2925.4461811540086</v>
      </c>
      <c r="P41" s="58">
        <f t="shared" si="35"/>
        <v>3303.5237887931657</v>
      </c>
      <c r="Q41" s="58">
        <f t="shared" si="35"/>
        <v>3711.0022685856934</v>
      </c>
      <c r="R41" s="58">
        <f t="shared" si="35"/>
        <v>4147.8816205315907</v>
      </c>
      <c r="S41" s="58">
        <f t="shared" si="35"/>
        <v>4614.1618446308594</v>
      </c>
      <c r="T41" s="58">
        <f t="shared" si="35"/>
        <v>5109.8429408834982</v>
      </c>
      <c r="U41" s="58">
        <f t="shared" si="35"/>
        <v>5634.9249092895079</v>
      </c>
      <c r="V41" s="58">
        <f t="shared" si="35"/>
        <v>6189.4077498488859</v>
      </c>
      <c r="W41" s="58">
        <f t="shared" si="35"/>
        <v>6773.2914625616359</v>
      </c>
      <c r="X41" s="58">
        <f t="shared" si="35"/>
        <v>7386.5760474277567</v>
      </c>
      <c r="Y41" s="58">
        <f t="shared" si="35"/>
        <v>8029.2615044472468</v>
      </c>
      <c r="Z41" s="58">
        <f t="shared" si="35"/>
        <v>8701.347833620106</v>
      </c>
      <c r="AA41" s="58">
        <f t="shared" si="35"/>
        <v>9402.8350349463399</v>
      </c>
      <c r="AB41" s="58">
        <f t="shared" si="35"/>
        <v>10133.723108425942</v>
      </c>
      <c r="AC41" s="58">
        <f t="shared" si="35"/>
        <v>10894.012054058914</v>
      </c>
      <c r="AD41" s="58">
        <f t="shared" si="35"/>
        <v>11683.701871845258</v>
      </c>
      <c r="AE41" s="58">
        <f t="shared" si="35"/>
        <v>12502.792561784971</v>
      </c>
      <c r="AF41" s="58">
        <f t="shared" si="35"/>
        <v>13351.284123878055</v>
      </c>
      <c r="AG41" s="58">
        <f t="shared" si="35"/>
        <v>14229.176558124505</v>
      </c>
      <c r="AH41" s="58">
        <f t="shared" si="35"/>
        <v>15136.469864524333</v>
      </c>
      <c r="AI41" s="58">
        <f t="shared" si="35"/>
        <v>16073.164043077526</v>
      </c>
      <c r="AJ41" s="58">
        <f t="shared" si="35"/>
        <v>17039.259093784091</v>
      </c>
      <c r="AK41" s="58">
        <f t="shared" si="35"/>
        <v>18034.755016644027</v>
      </c>
      <c r="AL41" s="58">
        <f t="shared" si="35"/>
        <v>19059.651811657332</v>
      </c>
      <c r="AM41" s="58">
        <f t="shared" si="35"/>
        <v>20113.949478824012</v>
      </c>
      <c r="AN41" s="58">
        <f t="shared" si="35"/>
        <v>21197.648018144057</v>
      </c>
      <c r="AO41" s="58">
        <f t="shared" si="35"/>
        <v>22310.747429617473</v>
      </c>
      <c r="AP41" s="58">
        <f t="shared" si="35"/>
        <v>23453.247713244262</v>
      </c>
      <c r="AQ41" s="58">
        <f t="shared" si="35"/>
        <v>24625.148869024419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31"/>
  <sheetViews>
    <sheetView windowProtection="1" topLeftCell="A7" zoomScaleNormal="100" workbookViewId="0">
      <selection activeCell="A21" sqref="A21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4.6376917523761902E-3</v>
      </c>
      <c r="G4" s="9"/>
      <c r="H4" s="84">
        <f>60/(H2*$B$31)</f>
        <v>8.6276477407912205E-3</v>
      </c>
      <c r="I4" s="9"/>
      <c r="J4" s="84">
        <f>60/(J2*$B$31)</f>
        <v>1.2971779507231765E-2</v>
      </c>
      <c r="K4" s="9"/>
      <c r="L4" s="84">
        <f>60/(L2*$B$31)</f>
        <v>1.7491420577646199E-2</v>
      </c>
      <c r="M4" s="9"/>
      <c r="N4" s="85">
        <f>60/(N2*$B$31)</f>
        <v>2.1979959720587156E-2</v>
      </c>
    </row>
    <row r="5" spans="1:14" ht="60" x14ac:dyDescent="0.2">
      <c r="A5" s="79" t="s">
        <v>271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132.37751800000001</v>
      </c>
      <c r="F6" s="90">
        <f t="shared" ref="F6:F24" si="1">D6*$F$4</f>
        <v>35.942111080915474</v>
      </c>
      <c r="G6" s="90">
        <f t="shared" ref="G6:G24" si="2">C6*$G$3</f>
        <v>71.157995999999997</v>
      </c>
      <c r="H6" s="90">
        <f t="shared" ref="H6:H24" si="3">D6*$H$4</f>
        <v>66.864269991131962</v>
      </c>
      <c r="I6" s="90">
        <f t="shared" ref="I6:I24" si="4">C6*$I$3</f>
        <v>47.327826000000002</v>
      </c>
      <c r="J6" s="90">
        <f t="shared" ref="J6:J24" si="5">D6*$J$4</f>
        <v>100.53129118104617</v>
      </c>
      <c r="K6" s="90">
        <f t="shared" ref="K6:K24" si="6">C6*$K$3</f>
        <v>35.098699999999994</v>
      </c>
      <c r="L6" s="90">
        <f t="shared" ref="L6:L24" si="7">D6*$L$4</f>
        <v>135.55850947675805</v>
      </c>
      <c r="M6" s="90">
        <f t="shared" ref="M6:M24" si="8">C6*$M$3</f>
        <v>27.931176000000001</v>
      </c>
      <c r="N6" s="91">
        <f t="shared" ref="N6:N24" si="9">D6*$N$4</f>
        <v>170.34468783455046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198.56627699999999</v>
      </c>
      <c r="F7" s="90">
        <f t="shared" si="1"/>
        <v>29.681227215207617</v>
      </c>
      <c r="G7" s="90">
        <f t="shared" si="2"/>
        <v>106.736994</v>
      </c>
      <c r="H7" s="90">
        <f t="shared" si="3"/>
        <v>55.216945541063808</v>
      </c>
      <c r="I7" s="90">
        <f t="shared" si="4"/>
        <v>70.991738999999995</v>
      </c>
      <c r="J7" s="90">
        <f t="shared" si="5"/>
        <v>83.019388846283292</v>
      </c>
      <c r="K7" s="90">
        <f t="shared" si="6"/>
        <v>52.648049999999991</v>
      </c>
      <c r="L7" s="90">
        <f t="shared" si="7"/>
        <v>111.94509169693568</v>
      </c>
      <c r="M7" s="90">
        <f t="shared" si="8"/>
        <v>41.896763999999997</v>
      </c>
      <c r="N7" s="91">
        <f t="shared" si="9"/>
        <v>140.67174221175779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264.75503600000002</v>
      </c>
      <c r="F8" s="90">
        <f t="shared" si="1"/>
        <v>23.188458761880952</v>
      </c>
      <c r="G8" s="90">
        <f t="shared" si="2"/>
        <v>142.31599199999999</v>
      </c>
      <c r="H8" s="90">
        <f t="shared" si="3"/>
        <v>43.138238703956105</v>
      </c>
      <c r="I8" s="90">
        <f t="shared" si="4"/>
        <v>94.655652000000003</v>
      </c>
      <c r="J8" s="90">
        <f t="shared" si="5"/>
        <v>64.858897536158821</v>
      </c>
      <c r="K8" s="90">
        <f t="shared" si="6"/>
        <v>70.197399999999988</v>
      </c>
      <c r="L8" s="90">
        <f t="shared" si="7"/>
        <v>87.457102888230992</v>
      </c>
      <c r="M8" s="90">
        <f t="shared" si="8"/>
        <v>55.862352000000001</v>
      </c>
      <c r="N8" s="91">
        <f t="shared" si="9"/>
        <v>109.89979860293577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330.94379500000002</v>
      </c>
      <c r="F9" s="90">
        <f t="shared" si="1"/>
        <v>21.333382060930475</v>
      </c>
      <c r="G9" s="90">
        <f t="shared" si="2"/>
        <v>177.89499000000001</v>
      </c>
      <c r="H9" s="90">
        <f t="shared" si="3"/>
        <v>39.687179607639614</v>
      </c>
      <c r="I9" s="90">
        <f t="shared" si="4"/>
        <v>118.31956500000001</v>
      </c>
      <c r="J9" s="90">
        <f t="shared" si="5"/>
        <v>59.670185733266116</v>
      </c>
      <c r="K9" s="90">
        <f t="shared" si="6"/>
        <v>87.746749999999992</v>
      </c>
      <c r="L9" s="90">
        <f t="shared" si="7"/>
        <v>80.460534657172516</v>
      </c>
      <c r="M9" s="90">
        <f t="shared" si="8"/>
        <v>69.827939999999998</v>
      </c>
      <c r="N9" s="91">
        <f t="shared" si="9"/>
        <v>101.10781471470092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397.13255399999997</v>
      </c>
      <c r="F10" s="90">
        <f t="shared" si="1"/>
        <v>19.014536184742379</v>
      </c>
      <c r="G10" s="90">
        <f t="shared" si="2"/>
        <v>213.47398799999999</v>
      </c>
      <c r="H10" s="90">
        <f t="shared" si="3"/>
        <v>35.373355737244005</v>
      </c>
      <c r="I10" s="90">
        <f t="shared" si="4"/>
        <v>141.98347799999999</v>
      </c>
      <c r="J10" s="90">
        <f t="shared" si="5"/>
        <v>53.184295979650237</v>
      </c>
      <c r="K10" s="90">
        <f t="shared" si="6"/>
        <v>105.29609999999998</v>
      </c>
      <c r="L10" s="90">
        <f t="shared" si="7"/>
        <v>71.714824368349412</v>
      </c>
      <c r="M10" s="90">
        <f t="shared" si="8"/>
        <v>83.793527999999995</v>
      </c>
      <c r="N10" s="91">
        <f t="shared" si="9"/>
        <v>90.117834854407334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463.32131299999998</v>
      </c>
      <c r="F11" s="90">
        <f t="shared" si="1"/>
        <v>18.086997834267141</v>
      </c>
      <c r="G11" s="90">
        <f t="shared" si="2"/>
        <v>249.052986</v>
      </c>
      <c r="H11" s="90">
        <f t="shared" si="3"/>
        <v>33.647826189085762</v>
      </c>
      <c r="I11" s="90">
        <f t="shared" si="4"/>
        <v>165.647391</v>
      </c>
      <c r="J11" s="90">
        <f t="shared" si="5"/>
        <v>50.589940078203881</v>
      </c>
      <c r="K11" s="90">
        <f t="shared" si="6"/>
        <v>122.84544999999997</v>
      </c>
      <c r="L11" s="90">
        <f t="shared" si="7"/>
        <v>68.216540252820181</v>
      </c>
      <c r="M11" s="90">
        <f t="shared" si="8"/>
        <v>97.759116000000006</v>
      </c>
      <c r="N11" s="91">
        <f t="shared" si="9"/>
        <v>85.721842910289908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529.51007200000004</v>
      </c>
      <c r="F12" s="90">
        <f t="shared" si="1"/>
        <v>17.159459483791903</v>
      </c>
      <c r="G12" s="90">
        <f t="shared" si="2"/>
        <v>284.63198399999999</v>
      </c>
      <c r="H12" s="90">
        <f t="shared" si="3"/>
        <v>31.922296640927517</v>
      </c>
      <c r="I12" s="90">
        <f t="shared" si="4"/>
        <v>189.31130400000001</v>
      </c>
      <c r="J12" s="90">
        <f t="shared" si="5"/>
        <v>47.995584176757532</v>
      </c>
      <c r="K12" s="90">
        <f t="shared" si="6"/>
        <v>140.39479999999998</v>
      </c>
      <c r="L12" s="90">
        <f t="shared" si="7"/>
        <v>64.718256137290936</v>
      </c>
      <c r="M12" s="90">
        <f t="shared" si="8"/>
        <v>111.724704</v>
      </c>
      <c r="N12" s="91">
        <f t="shared" si="9"/>
        <v>81.325850966172482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595.69883100000004</v>
      </c>
      <c r="F13" s="90">
        <f t="shared" si="1"/>
        <v>16.231921133316664</v>
      </c>
      <c r="G13" s="90">
        <f t="shared" si="2"/>
        <v>320.210982</v>
      </c>
      <c r="H13" s="90">
        <f t="shared" si="3"/>
        <v>30.196767092769271</v>
      </c>
      <c r="I13" s="90">
        <f t="shared" si="4"/>
        <v>212.97521700000001</v>
      </c>
      <c r="J13" s="90">
        <f t="shared" si="5"/>
        <v>45.401228275311176</v>
      </c>
      <c r="K13" s="90">
        <f t="shared" si="6"/>
        <v>157.94414999999998</v>
      </c>
      <c r="L13" s="90">
        <f t="shared" si="7"/>
        <v>61.219972021761698</v>
      </c>
      <c r="M13" s="90">
        <f t="shared" si="8"/>
        <v>125.690292</v>
      </c>
      <c r="N13" s="91">
        <f t="shared" si="9"/>
        <v>76.929859022055041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661.88759000000005</v>
      </c>
      <c r="F14" s="90">
        <f t="shared" si="1"/>
        <v>15.768151958079047</v>
      </c>
      <c r="G14" s="90">
        <f t="shared" si="2"/>
        <v>355.78998000000001</v>
      </c>
      <c r="H14" s="90">
        <f t="shared" si="3"/>
        <v>29.33400231869015</v>
      </c>
      <c r="I14" s="90">
        <f t="shared" si="4"/>
        <v>236.63913000000002</v>
      </c>
      <c r="J14" s="90">
        <f t="shared" si="5"/>
        <v>44.104050324588002</v>
      </c>
      <c r="K14" s="90">
        <f t="shared" si="6"/>
        <v>175.49349999999998</v>
      </c>
      <c r="L14" s="90">
        <f t="shared" si="7"/>
        <v>59.470829963997076</v>
      </c>
      <c r="M14" s="90">
        <f t="shared" si="8"/>
        <v>139.65588</v>
      </c>
      <c r="N14" s="91">
        <f t="shared" si="9"/>
        <v>74.731863049996335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728.07634899999994</v>
      </c>
      <c r="F15" s="90">
        <f t="shared" si="1"/>
        <v>15.536267370460237</v>
      </c>
      <c r="G15" s="90">
        <f t="shared" si="2"/>
        <v>391.36897799999997</v>
      </c>
      <c r="H15" s="90">
        <f t="shared" si="3"/>
        <v>28.902619931650587</v>
      </c>
      <c r="I15" s="90">
        <f t="shared" si="4"/>
        <v>260.303043</v>
      </c>
      <c r="J15" s="90">
        <f t="shared" si="5"/>
        <v>43.455461349226411</v>
      </c>
      <c r="K15" s="90">
        <f t="shared" si="6"/>
        <v>193.04284999999996</v>
      </c>
      <c r="L15" s="90">
        <f t="shared" si="7"/>
        <v>58.596258935114768</v>
      </c>
      <c r="M15" s="90">
        <f t="shared" si="8"/>
        <v>153.62146799999999</v>
      </c>
      <c r="N15" s="91">
        <f t="shared" si="9"/>
        <v>73.632865063966975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794.26510799999994</v>
      </c>
      <c r="F16" s="90">
        <f t="shared" si="1"/>
        <v>15.072498195222618</v>
      </c>
      <c r="G16" s="90">
        <f t="shared" si="2"/>
        <v>426.94797599999998</v>
      </c>
      <c r="H16" s="90">
        <f t="shared" si="3"/>
        <v>28.039855157571466</v>
      </c>
      <c r="I16" s="90">
        <f t="shared" si="4"/>
        <v>283.96695599999998</v>
      </c>
      <c r="J16" s="90">
        <f t="shared" si="5"/>
        <v>42.158283398503237</v>
      </c>
      <c r="K16" s="90">
        <f t="shared" si="6"/>
        <v>210.59219999999996</v>
      </c>
      <c r="L16" s="90">
        <f t="shared" si="7"/>
        <v>56.847116877350146</v>
      </c>
      <c r="M16" s="90">
        <f t="shared" si="8"/>
        <v>167.58705599999999</v>
      </c>
      <c r="N16" s="91">
        <f t="shared" si="9"/>
        <v>71.434869091908254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860.45386699999995</v>
      </c>
      <c r="F17" s="90">
        <f t="shared" si="1"/>
        <v>14.608729019984999</v>
      </c>
      <c r="G17" s="90">
        <f t="shared" si="2"/>
        <v>462.526974</v>
      </c>
      <c r="H17" s="90">
        <f t="shared" si="3"/>
        <v>27.177090383492345</v>
      </c>
      <c r="I17" s="90">
        <f t="shared" si="4"/>
        <v>307.63086900000002</v>
      </c>
      <c r="J17" s="90">
        <f t="shared" si="5"/>
        <v>40.861105447780055</v>
      </c>
      <c r="K17" s="90">
        <f t="shared" si="6"/>
        <v>228.14154999999997</v>
      </c>
      <c r="L17" s="90">
        <f t="shared" si="7"/>
        <v>55.097974819585524</v>
      </c>
      <c r="M17" s="90">
        <f t="shared" si="8"/>
        <v>181.55264399999999</v>
      </c>
      <c r="N17" s="91">
        <f t="shared" si="9"/>
        <v>69.236873119849548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926.64262599999995</v>
      </c>
      <c r="F18" s="90">
        <f t="shared" si="1"/>
        <v>14.14495984474738</v>
      </c>
      <c r="G18" s="90">
        <f t="shared" si="2"/>
        <v>498.10597200000001</v>
      </c>
      <c r="H18" s="90">
        <f t="shared" si="3"/>
        <v>26.314325609413224</v>
      </c>
      <c r="I18" s="90">
        <f t="shared" si="4"/>
        <v>331.294782</v>
      </c>
      <c r="J18" s="90">
        <f t="shared" si="5"/>
        <v>39.563927497056881</v>
      </c>
      <c r="K18" s="90">
        <f t="shared" si="6"/>
        <v>245.69089999999994</v>
      </c>
      <c r="L18" s="90">
        <f t="shared" si="7"/>
        <v>53.348832761820908</v>
      </c>
      <c r="M18" s="90">
        <f t="shared" si="8"/>
        <v>195.51823200000001</v>
      </c>
      <c r="N18" s="91">
        <f t="shared" si="9"/>
        <v>67.038877147790828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992.83138499999995</v>
      </c>
      <c r="F19" s="90">
        <f t="shared" si="1"/>
        <v>13.91307525712857</v>
      </c>
      <c r="G19" s="90">
        <f t="shared" si="2"/>
        <v>533.68497000000002</v>
      </c>
      <c r="H19" s="90">
        <f t="shared" si="3"/>
        <v>25.882943222373662</v>
      </c>
      <c r="I19" s="90">
        <f t="shared" si="4"/>
        <v>354.95869500000003</v>
      </c>
      <c r="J19" s="90">
        <f t="shared" si="5"/>
        <v>38.915338521695297</v>
      </c>
      <c r="K19" s="90">
        <f t="shared" si="6"/>
        <v>263.24024999999995</v>
      </c>
      <c r="L19" s="90">
        <f t="shared" si="7"/>
        <v>52.474261732938594</v>
      </c>
      <c r="M19" s="90">
        <f t="shared" si="8"/>
        <v>209.48382000000001</v>
      </c>
      <c r="N19" s="91">
        <f t="shared" si="9"/>
        <v>65.939879161761468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1059.0201440000001</v>
      </c>
      <c r="F20" s="90">
        <f t="shared" si="1"/>
        <v>13.68119066950976</v>
      </c>
      <c r="G20" s="90">
        <f t="shared" si="2"/>
        <v>569.26396799999998</v>
      </c>
      <c r="H20" s="90">
        <f t="shared" si="3"/>
        <v>25.451560835334099</v>
      </c>
      <c r="I20" s="90">
        <f t="shared" si="4"/>
        <v>378.62260800000001</v>
      </c>
      <c r="J20" s="90">
        <f t="shared" si="5"/>
        <v>38.266749546333706</v>
      </c>
      <c r="K20" s="90">
        <f t="shared" si="6"/>
        <v>280.78959999999995</v>
      </c>
      <c r="L20" s="90">
        <f t="shared" si="7"/>
        <v>51.599690704056286</v>
      </c>
      <c r="M20" s="90">
        <f t="shared" si="8"/>
        <v>223.44940800000001</v>
      </c>
      <c r="N20" s="91">
        <f t="shared" si="9"/>
        <v>64.840881175732108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1125.208903</v>
      </c>
      <c r="F21" s="90">
        <f t="shared" si="1"/>
        <v>13.449306081890951</v>
      </c>
      <c r="G21" s="90">
        <f t="shared" si="2"/>
        <v>604.84296600000005</v>
      </c>
      <c r="H21" s="90">
        <f t="shared" si="3"/>
        <v>25.020178448294541</v>
      </c>
      <c r="I21" s="90">
        <f t="shared" si="4"/>
        <v>402.28652099999999</v>
      </c>
      <c r="J21" s="90">
        <f t="shared" si="5"/>
        <v>37.618160570972115</v>
      </c>
      <c r="K21" s="90">
        <f t="shared" si="6"/>
        <v>298.33894999999995</v>
      </c>
      <c r="L21" s="90">
        <f t="shared" si="7"/>
        <v>50.725119675173978</v>
      </c>
      <c r="M21" s="90">
        <f t="shared" si="8"/>
        <v>237.414996</v>
      </c>
      <c r="N21" s="91">
        <f t="shared" si="9"/>
        <v>63.741883189702754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1191.3976620000001</v>
      </c>
      <c r="F22" s="90">
        <f t="shared" si="1"/>
        <v>13.217421494272141</v>
      </c>
      <c r="G22" s="90">
        <f t="shared" si="2"/>
        <v>640.421964</v>
      </c>
      <c r="H22" s="90">
        <f t="shared" si="3"/>
        <v>24.588796061254978</v>
      </c>
      <c r="I22" s="90">
        <f t="shared" si="4"/>
        <v>425.95043400000003</v>
      </c>
      <c r="J22" s="90">
        <f t="shared" si="5"/>
        <v>36.969571595610532</v>
      </c>
      <c r="K22" s="90">
        <f t="shared" si="6"/>
        <v>315.88829999999996</v>
      </c>
      <c r="L22" s="90">
        <f t="shared" si="7"/>
        <v>49.850548646291664</v>
      </c>
      <c r="M22" s="90">
        <f t="shared" si="8"/>
        <v>251.380584</v>
      </c>
      <c r="N22" s="91">
        <f t="shared" si="9"/>
        <v>62.642885203673394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1257.586421</v>
      </c>
      <c r="F23" s="90">
        <f t="shared" si="1"/>
        <v>12.985536906653332</v>
      </c>
      <c r="G23" s="90">
        <f t="shared" si="2"/>
        <v>676.00096199999996</v>
      </c>
      <c r="H23" s="90">
        <f t="shared" si="3"/>
        <v>24.157413674215416</v>
      </c>
      <c r="I23" s="90">
        <f t="shared" si="4"/>
        <v>449.61434700000001</v>
      </c>
      <c r="J23" s="90">
        <f t="shared" si="5"/>
        <v>36.320982620248941</v>
      </c>
      <c r="K23" s="90">
        <f t="shared" si="6"/>
        <v>333.43764999999996</v>
      </c>
      <c r="L23" s="90">
        <f t="shared" si="7"/>
        <v>48.975977617409356</v>
      </c>
      <c r="M23" s="90">
        <f t="shared" si="8"/>
        <v>265.34617200000002</v>
      </c>
      <c r="N23" s="91">
        <f t="shared" si="9"/>
        <v>61.543887217644034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1323.7751800000001</v>
      </c>
      <c r="F24" s="96">
        <f t="shared" si="1"/>
        <v>12.753652319034524</v>
      </c>
      <c r="G24" s="96">
        <f t="shared" si="2"/>
        <v>711.57996000000003</v>
      </c>
      <c r="H24" s="96">
        <f t="shared" si="3"/>
        <v>23.726031287175857</v>
      </c>
      <c r="I24" s="96">
        <f t="shared" si="4"/>
        <v>473.27826000000005</v>
      </c>
      <c r="J24" s="96">
        <f t="shared" si="5"/>
        <v>35.67239364488735</v>
      </c>
      <c r="K24" s="96">
        <f t="shared" si="6"/>
        <v>350.98699999999997</v>
      </c>
      <c r="L24" s="96">
        <f t="shared" si="7"/>
        <v>48.101406588527048</v>
      </c>
      <c r="M24" s="96">
        <f t="shared" si="8"/>
        <v>279.31175999999999</v>
      </c>
      <c r="N24" s="97">
        <f t="shared" si="9"/>
        <v>60.444889231614681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x14ac:dyDescent="0.2">
      <c r="A31" s="105" t="s">
        <v>256</v>
      </c>
      <c r="B31" s="106">
        <f>1/(((($B$30*25.4)+((2*$B$28*$B$29/100)))*3.141592653589)/1000)/Meters2miles</f>
        <v>889.35782199773575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AA39"/>
  <sheetViews>
    <sheetView windowProtection="1" zoomScaleNormal="100" workbookViewId="0">
      <selection activeCell="D41" sqref="D41"/>
    </sheetView>
  </sheetViews>
  <sheetFormatPr defaultRowHeight="15" x14ac:dyDescent="0.2"/>
  <cols>
    <col min="1" max="1" width="84.5" style="16"/>
    <col min="2" max="2" width="3.8984375" style="8"/>
    <col min="3" max="3" width="30.69921875"/>
    <col min="4" max="4" width="11.5"/>
    <col min="5" max="1025" width="8.59765625"/>
  </cols>
  <sheetData>
    <row r="1" spans="1:27" x14ac:dyDescent="0.2">
      <c r="A1" s="114" t="s">
        <v>272</v>
      </c>
      <c r="B1" s="115"/>
      <c r="C1" s="54" t="s">
        <v>273</v>
      </c>
      <c r="D1" s="54">
        <v>5</v>
      </c>
      <c r="E1" s="54">
        <v>10</v>
      </c>
      <c r="F1" s="54">
        <v>15</v>
      </c>
      <c r="G1" s="54">
        <v>20</v>
      </c>
      <c r="H1" s="54">
        <v>25</v>
      </c>
      <c r="I1" s="54">
        <v>30</v>
      </c>
      <c r="J1" s="54">
        <v>35</v>
      </c>
      <c r="K1" s="54">
        <v>40</v>
      </c>
      <c r="L1" s="54">
        <v>45</v>
      </c>
      <c r="M1" s="54">
        <v>50</v>
      </c>
      <c r="N1" s="54">
        <v>55</v>
      </c>
      <c r="O1" s="54">
        <v>60</v>
      </c>
      <c r="P1" s="54">
        <v>65</v>
      </c>
      <c r="Q1" s="54">
        <v>70</v>
      </c>
      <c r="R1" s="54">
        <v>75</v>
      </c>
      <c r="S1" s="54">
        <v>80</v>
      </c>
      <c r="T1" s="54">
        <v>85</v>
      </c>
      <c r="U1" s="54">
        <v>90</v>
      </c>
      <c r="V1" s="54">
        <v>95</v>
      </c>
      <c r="W1" s="54">
        <v>100</v>
      </c>
      <c r="X1" s="54">
        <v>105</v>
      </c>
      <c r="Y1" s="54">
        <v>110</v>
      </c>
      <c r="Z1" s="54">
        <v>115</v>
      </c>
      <c r="AA1" s="54">
        <v>120</v>
      </c>
    </row>
    <row r="2" spans="1:27" x14ac:dyDescent="0.2">
      <c r="A2" s="116">
        <v>2454</v>
      </c>
      <c r="B2" s="68"/>
      <c r="C2" s="8" t="s">
        <v>188</v>
      </c>
      <c r="D2" s="8">
        <v>1.4999999999999999E-2</v>
      </c>
      <c r="E2" s="8">
        <v>1.4999999999999999E-2</v>
      </c>
      <c r="F2" s="8">
        <v>1.4999999999999999E-2</v>
      </c>
      <c r="G2" s="8">
        <v>1.4999999999999999E-2</v>
      </c>
      <c r="H2" s="8">
        <v>1.4999999999999999E-2</v>
      </c>
      <c r="I2" s="8">
        <v>1.4999999999999999E-2</v>
      </c>
      <c r="J2" s="8">
        <v>1.4999999999999999E-2</v>
      </c>
      <c r="K2" s="8">
        <v>1.4999999999999999E-2</v>
      </c>
      <c r="L2" s="8">
        <v>1.4999999999999999E-2</v>
      </c>
      <c r="M2" s="8">
        <v>1.4999999999999999E-2</v>
      </c>
      <c r="N2" s="8">
        <v>1.4999999999999999E-2</v>
      </c>
      <c r="O2" s="8">
        <v>1.4999999999999999E-2</v>
      </c>
      <c r="P2" s="8">
        <v>1.4999999999999999E-2</v>
      </c>
      <c r="Q2" s="8">
        <v>1.4999999999999999E-2</v>
      </c>
      <c r="R2" s="8">
        <v>1.4999999999999999E-2</v>
      </c>
      <c r="S2" s="8">
        <v>1.4999999999999999E-2</v>
      </c>
      <c r="T2" s="8">
        <v>1.4999999999999999E-2</v>
      </c>
      <c r="U2" s="8">
        <v>1.4999999999999999E-2</v>
      </c>
      <c r="V2" s="8">
        <v>1.4999999999999999E-2</v>
      </c>
      <c r="W2" s="8">
        <v>1.4999999999999999E-2</v>
      </c>
      <c r="X2" s="8">
        <v>1.4999999999999999E-2</v>
      </c>
      <c r="Y2" s="8">
        <v>1.4999999999999999E-2</v>
      </c>
      <c r="Z2" s="8">
        <v>1.4999999999999999E-2</v>
      </c>
      <c r="AA2" s="8">
        <v>1.4999999999999999E-2</v>
      </c>
    </row>
    <row r="3" spans="1:27" x14ac:dyDescent="0.2">
      <c r="A3" s="117" t="s">
        <v>249</v>
      </c>
      <c r="B3" s="118"/>
      <c r="C3" s="8" t="s">
        <v>190</v>
      </c>
      <c r="D3" s="8">
        <v>3.0000000000000001E-3</v>
      </c>
      <c r="E3" s="8">
        <v>3.0000000000000001E-3</v>
      </c>
      <c r="F3" s="8">
        <v>3.0000000000000001E-3</v>
      </c>
      <c r="G3" s="8">
        <v>3.0000000000000001E-3</v>
      </c>
      <c r="H3" s="8">
        <v>3.0000000000000001E-3</v>
      </c>
      <c r="I3" s="8">
        <v>3.0000000000000001E-3</v>
      </c>
      <c r="J3" s="8">
        <v>3.0000000000000001E-3</v>
      </c>
      <c r="K3" s="8">
        <v>3.0000000000000001E-3</v>
      </c>
      <c r="L3" s="8">
        <v>3.0000000000000001E-3</v>
      </c>
      <c r="M3" s="8">
        <v>3.0000000000000001E-3</v>
      </c>
      <c r="N3" s="8">
        <v>3.0000000000000001E-3</v>
      </c>
      <c r="O3" s="8">
        <v>3.0000000000000001E-3</v>
      </c>
      <c r="P3" s="8">
        <v>3.0000000000000001E-3</v>
      </c>
      <c r="Q3" s="8">
        <v>3.0000000000000001E-3</v>
      </c>
      <c r="R3" s="8">
        <v>3.0000000000000001E-3</v>
      </c>
      <c r="S3" s="8">
        <v>3.0000000000000001E-3</v>
      </c>
      <c r="T3" s="8">
        <v>3.0000000000000001E-3</v>
      </c>
      <c r="U3" s="8">
        <v>3.0000000000000001E-3</v>
      </c>
      <c r="V3" s="8">
        <v>3.0000000000000001E-3</v>
      </c>
      <c r="W3" s="8">
        <v>3.0000000000000001E-3</v>
      </c>
      <c r="X3" s="8">
        <v>3.0000000000000001E-3</v>
      </c>
      <c r="Y3" s="8">
        <v>3.0000000000000001E-3</v>
      </c>
      <c r="Z3" s="8">
        <v>3.0000000000000001E-3</v>
      </c>
      <c r="AA3" s="8">
        <v>3.0000000000000001E-3</v>
      </c>
    </row>
    <row r="4" spans="1:27" x14ac:dyDescent="0.2">
      <c r="A4" s="55">
        <v>21.957999999999998</v>
      </c>
      <c r="B4" s="68"/>
      <c r="C4" s="8" t="s">
        <v>274</v>
      </c>
      <c r="D4">
        <f t="shared" ref="D4:AA4" si="0">$A$2*SUM(D2:D3)</f>
        <v>44.171999999999997</v>
      </c>
      <c r="E4" s="8">
        <f t="shared" si="0"/>
        <v>44.171999999999997</v>
      </c>
      <c r="F4" s="8">
        <f t="shared" si="0"/>
        <v>44.171999999999997</v>
      </c>
      <c r="G4" s="8">
        <f t="shared" si="0"/>
        <v>44.171999999999997</v>
      </c>
      <c r="H4" s="8">
        <f t="shared" si="0"/>
        <v>44.171999999999997</v>
      </c>
      <c r="I4" s="8">
        <f t="shared" si="0"/>
        <v>44.171999999999997</v>
      </c>
      <c r="J4" s="8">
        <f t="shared" si="0"/>
        <v>44.171999999999997</v>
      </c>
      <c r="K4" s="8">
        <f t="shared" si="0"/>
        <v>44.171999999999997</v>
      </c>
      <c r="L4" s="8">
        <f t="shared" si="0"/>
        <v>44.171999999999997</v>
      </c>
      <c r="M4" s="8">
        <f t="shared" si="0"/>
        <v>44.171999999999997</v>
      </c>
      <c r="N4" s="8">
        <f t="shared" si="0"/>
        <v>44.171999999999997</v>
      </c>
      <c r="O4" s="8">
        <f t="shared" si="0"/>
        <v>44.171999999999997</v>
      </c>
      <c r="P4" s="8">
        <f t="shared" si="0"/>
        <v>44.171999999999997</v>
      </c>
      <c r="Q4" s="8">
        <f t="shared" si="0"/>
        <v>44.171999999999997</v>
      </c>
      <c r="R4" s="8">
        <f t="shared" si="0"/>
        <v>44.171999999999997</v>
      </c>
      <c r="S4" s="8">
        <f t="shared" si="0"/>
        <v>44.171999999999997</v>
      </c>
      <c r="T4" s="8">
        <f t="shared" si="0"/>
        <v>44.171999999999997</v>
      </c>
      <c r="U4" s="8">
        <f t="shared" si="0"/>
        <v>44.171999999999997</v>
      </c>
      <c r="V4" s="8">
        <f t="shared" si="0"/>
        <v>44.171999999999997</v>
      </c>
      <c r="W4" s="8">
        <f t="shared" si="0"/>
        <v>44.171999999999997</v>
      </c>
      <c r="X4" s="8">
        <f t="shared" si="0"/>
        <v>44.171999999999997</v>
      </c>
      <c r="Y4" s="8">
        <f t="shared" si="0"/>
        <v>44.171999999999997</v>
      </c>
      <c r="Z4" s="8">
        <f t="shared" si="0"/>
        <v>44.171999999999997</v>
      </c>
      <c r="AA4" s="8">
        <f t="shared" si="0"/>
        <v>44.171999999999997</v>
      </c>
    </row>
    <row r="5" spans="1:27" x14ac:dyDescent="0.2">
      <c r="A5" s="117" t="s">
        <v>275</v>
      </c>
      <c r="B5" s="118"/>
      <c r="C5" s="8" t="s">
        <v>276</v>
      </c>
      <c r="D5" s="58">
        <f>(1/2)*($A$6)*(D1*(5280/3600)*D1*(5280/3600))*$A$4*$A$10</f>
        <v>14.42718282524444</v>
      </c>
      <c r="E5" s="119">
        <f t="shared" ref="E5:AA5" si="1">(1/2)*($A$6/$A$8)*(E1*(5280/3600)*E1*(5280/3600))*$A$4*$A$10</f>
        <v>1.7936421215537914</v>
      </c>
      <c r="F5" s="119">
        <f t="shared" si="1"/>
        <v>4.0356947734960311</v>
      </c>
      <c r="G5" s="119">
        <f t="shared" si="1"/>
        <v>7.1745684862151657</v>
      </c>
      <c r="H5" s="119">
        <f t="shared" si="1"/>
        <v>11.210263259711196</v>
      </c>
      <c r="I5" s="119">
        <f t="shared" si="1"/>
        <v>16.142779093984124</v>
      </c>
      <c r="J5" s="119">
        <f t="shared" si="1"/>
        <v>21.972115989033945</v>
      </c>
      <c r="K5" s="119">
        <f t="shared" si="1"/>
        <v>28.698273944860663</v>
      </c>
      <c r="L5" s="119">
        <f t="shared" si="1"/>
        <v>36.321252961464282</v>
      </c>
      <c r="M5" s="119">
        <f t="shared" si="1"/>
        <v>44.841053038844784</v>
      </c>
      <c r="N5" s="119">
        <f t="shared" si="1"/>
        <v>54.25767417700218</v>
      </c>
      <c r="O5" s="119">
        <f t="shared" si="1"/>
        <v>64.571116375936498</v>
      </c>
      <c r="P5" s="119">
        <f t="shared" si="1"/>
        <v>75.781379635647696</v>
      </c>
      <c r="Q5" s="119">
        <f t="shared" si="1"/>
        <v>87.88846395613578</v>
      </c>
      <c r="R5" s="119">
        <f t="shared" si="1"/>
        <v>100.89236933740077</v>
      </c>
      <c r="S5" s="119">
        <f t="shared" si="1"/>
        <v>114.79309577944265</v>
      </c>
      <c r="T5" s="119">
        <f t="shared" si="1"/>
        <v>129.59064328226145</v>
      </c>
      <c r="U5" s="119">
        <f t="shared" si="1"/>
        <v>145.28501184585713</v>
      </c>
      <c r="V5" s="119">
        <f t="shared" si="1"/>
        <v>161.87620147022966</v>
      </c>
      <c r="W5" s="119">
        <f t="shared" si="1"/>
        <v>179.36421215537914</v>
      </c>
      <c r="X5" s="119">
        <f t="shared" si="1"/>
        <v>197.74904390130553</v>
      </c>
      <c r="Y5" s="119">
        <f t="shared" si="1"/>
        <v>217.03069670800872</v>
      </c>
      <c r="Z5" s="119">
        <f t="shared" si="1"/>
        <v>237.20917057548891</v>
      </c>
      <c r="AA5" s="119">
        <f t="shared" si="1"/>
        <v>258.28446550374599</v>
      </c>
    </row>
    <row r="6" spans="1:27" x14ac:dyDescent="0.2">
      <c r="A6" s="55">
        <v>7.6359999999999997E-2</v>
      </c>
      <c r="B6" s="68"/>
      <c r="C6" s="8" t="s">
        <v>196</v>
      </c>
      <c r="D6" s="59">
        <f t="shared" ref="D6:AA6" si="2">((0.98*($A$12/D1)*($A$12/D1)+0.63*($A$12/D1))*$A$14)-(0.4*($A$12/D1))</f>
        <v>3.81</v>
      </c>
      <c r="E6" s="59">
        <f t="shared" si="2"/>
        <v>1.1332500000000001</v>
      </c>
      <c r="F6" s="59">
        <f t="shared" si="2"/>
        <v>0.58400000000000007</v>
      </c>
      <c r="G6" s="59">
        <f t="shared" si="2"/>
        <v>0.37368749999999995</v>
      </c>
      <c r="H6" s="59">
        <f t="shared" si="2"/>
        <v>0.26807999999999998</v>
      </c>
      <c r="I6" s="59">
        <f t="shared" si="2"/>
        <v>0.20624999999999996</v>
      </c>
      <c r="J6" s="59">
        <f t="shared" si="2"/>
        <v>0.16628571428571429</v>
      </c>
      <c r="K6" s="59">
        <f t="shared" si="2"/>
        <v>0.13860937499999998</v>
      </c>
      <c r="L6" s="59">
        <f t="shared" si="2"/>
        <v>0.11844444444444442</v>
      </c>
      <c r="M6" s="59">
        <f t="shared" si="2"/>
        <v>0.10316999999999998</v>
      </c>
      <c r="N6" s="59">
        <f t="shared" si="2"/>
        <v>9.123966942148759E-2</v>
      </c>
      <c r="O6" s="59">
        <f t="shared" si="2"/>
        <v>8.1687499999999982E-2</v>
      </c>
      <c r="P6" s="59">
        <f t="shared" si="2"/>
        <v>7.3881656804733714E-2</v>
      </c>
      <c r="Q6" s="59">
        <f t="shared" si="2"/>
        <v>6.7392857142857115E-2</v>
      </c>
      <c r="R6" s="59">
        <f t="shared" si="2"/>
        <v>6.1919999999999989E-2</v>
      </c>
      <c r="S6" s="59">
        <f t="shared" si="2"/>
        <v>5.7246093750000004E-2</v>
      </c>
      <c r="T6" s="59">
        <f t="shared" si="2"/>
        <v>5.3211072664359864E-2</v>
      </c>
      <c r="U6" s="59">
        <f t="shared" si="2"/>
        <v>4.9694444444444437E-2</v>
      </c>
      <c r="V6" s="59">
        <f t="shared" si="2"/>
        <v>4.6603878116343478E-2</v>
      </c>
      <c r="W6" s="59">
        <f t="shared" si="2"/>
        <v>4.386749999999999E-2</v>
      </c>
      <c r="X6" s="59">
        <f t="shared" si="2"/>
        <v>4.1428571428571426E-2</v>
      </c>
      <c r="Y6" s="59">
        <f t="shared" si="2"/>
        <v>3.9241735537190084E-2</v>
      </c>
      <c r="Z6" s="59">
        <f t="shared" si="2"/>
        <v>3.7270321361058595E-2</v>
      </c>
      <c r="AA6" s="59">
        <f t="shared" si="2"/>
        <v>3.5484374999999999E-2</v>
      </c>
    </row>
    <row r="7" spans="1:27" x14ac:dyDescent="0.2">
      <c r="A7" s="117" t="s">
        <v>277</v>
      </c>
      <c r="B7" s="118"/>
      <c r="C7" t="s">
        <v>278</v>
      </c>
      <c r="D7" s="58">
        <f t="shared" ref="D7:AA7" si="3">D6*D5</f>
        <v>54.967566564181318</v>
      </c>
      <c r="E7" s="58">
        <f t="shared" si="3"/>
        <v>2.0326449342508344</v>
      </c>
      <c r="F7" s="58">
        <f t="shared" si="3"/>
        <v>2.3568457477216826</v>
      </c>
      <c r="G7" s="58">
        <f t="shared" si="3"/>
        <v>2.6810465611925296</v>
      </c>
      <c r="H7" s="58">
        <f t="shared" si="3"/>
        <v>3.0052473746633774</v>
      </c>
      <c r="I7" s="58">
        <f t="shared" si="3"/>
        <v>3.3294481881342248</v>
      </c>
      <c r="J7" s="58">
        <f t="shared" si="3"/>
        <v>3.6536490016050731</v>
      </c>
      <c r="K7" s="58">
        <f t="shared" si="3"/>
        <v>3.9778498150759205</v>
      </c>
      <c r="L7" s="58">
        <f t="shared" si="3"/>
        <v>4.3020506285467688</v>
      </c>
      <c r="M7" s="58">
        <f t="shared" si="3"/>
        <v>4.6262514420176153</v>
      </c>
      <c r="N7" s="58">
        <f t="shared" si="3"/>
        <v>4.9504522554884627</v>
      </c>
      <c r="O7" s="58">
        <f t="shared" si="3"/>
        <v>5.2746530689593119</v>
      </c>
      <c r="P7" s="58">
        <f t="shared" si="3"/>
        <v>5.5988538824301592</v>
      </c>
      <c r="Q7" s="58">
        <f t="shared" si="3"/>
        <v>5.9230546959010058</v>
      </c>
      <c r="R7" s="58">
        <f t="shared" si="3"/>
        <v>6.247255509371854</v>
      </c>
      <c r="S7" s="58">
        <f t="shared" si="3"/>
        <v>6.5714563228427041</v>
      </c>
      <c r="T7" s="58">
        <f t="shared" si="3"/>
        <v>6.8956571363135524</v>
      </c>
      <c r="U7" s="58">
        <f t="shared" si="3"/>
        <v>7.2198579497843989</v>
      </c>
      <c r="V7" s="58">
        <f t="shared" si="3"/>
        <v>7.5440587632552436</v>
      </c>
      <c r="W7" s="58">
        <f t="shared" si="3"/>
        <v>7.8682595767260928</v>
      </c>
      <c r="X7" s="58">
        <f t="shared" si="3"/>
        <v>8.1924603901969419</v>
      </c>
      <c r="Y7" s="58">
        <f t="shared" si="3"/>
        <v>8.5166612036677893</v>
      </c>
      <c r="Z7" s="58">
        <f t="shared" si="3"/>
        <v>8.8408620171386367</v>
      </c>
      <c r="AA7" s="58">
        <f t="shared" si="3"/>
        <v>9.1650628306094859</v>
      </c>
    </row>
    <row r="8" spans="1:27" x14ac:dyDescent="0.2">
      <c r="A8" s="55">
        <v>32.174050000000001</v>
      </c>
      <c r="B8" s="68"/>
      <c r="C8" t="s">
        <v>279</v>
      </c>
      <c r="D8" s="58">
        <f t="shared" ref="D8:AA8" si="4">D4+D5+D7</f>
        <v>113.56674938942575</v>
      </c>
      <c r="E8" s="58">
        <f t="shared" si="4"/>
        <v>47.998287055804624</v>
      </c>
      <c r="F8" s="58">
        <f t="shared" si="4"/>
        <v>50.564540521217715</v>
      </c>
      <c r="G8" s="58">
        <f t="shared" si="4"/>
        <v>54.027615047407693</v>
      </c>
      <c r="H8" s="58">
        <f t="shared" si="4"/>
        <v>58.387510634374571</v>
      </c>
      <c r="I8" s="58">
        <f t="shared" si="4"/>
        <v>63.644227282118344</v>
      </c>
      <c r="J8" s="58">
        <f t="shared" si="4"/>
        <v>69.79776499063901</v>
      </c>
      <c r="K8" s="58">
        <f t="shared" si="4"/>
        <v>76.848123759936584</v>
      </c>
      <c r="L8" s="58">
        <f t="shared" si="4"/>
        <v>84.795303590011045</v>
      </c>
      <c r="M8" s="58">
        <f t="shared" si="4"/>
        <v>93.639304480862407</v>
      </c>
      <c r="N8" s="58">
        <f t="shared" si="4"/>
        <v>103.38012643249063</v>
      </c>
      <c r="O8" s="58">
        <f t="shared" si="4"/>
        <v>114.01776944489581</v>
      </c>
      <c r="P8" s="58">
        <f t="shared" si="4"/>
        <v>125.55223351807786</v>
      </c>
      <c r="Q8" s="58">
        <f t="shared" si="4"/>
        <v>137.98351865203679</v>
      </c>
      <c r="R8" s="58">
        <f t="shared" si="4"/>
        <v>151.31162484677262</v>
      </c>
      <c r="S8" s="58">
        <f t="shared" si="4"/>
        <v>165.53655210228536</v>
      </c>
      <c r="T8" s="58">
        <f t="shared" si="4"/>
        <v>180.65830041857501</v>
      </c>
      <c r="U8" s="58">
        <f t="shared" si="4"/>
        <v>196.67686979564152</v>
      </c>
      <c r="V8" s="58">
        <f t="shared" si="4"/>
        <v>213.59226023348489</v>
      </c>
      <c r="W8" s="58">
        <f t="shared" si="4"/>
        <v>231.40447173210524</v>
      </c>
      <c r="X8" s="58">
        <f t="shared" si="4"/>
        <v>250.11350429150247</v>
      </c>
      <c r="Y8" s="58">
        <f t="shared" si="4"/>
        <v>269.71935791167652</v>
      </c>
      <c r="Z8" s="58">
        <f t="shared" si="4"/>
        <v>290.22203259262756</v>
      </c>
      <c r="AA8" s="58">
        <f t="shared" si="4"/>
        <v>311.6215283343555</v>
      </c>
    </row>
    <row r="9" spans="1:27" x14ac:dyDescent="0.2">
      <c r="A9" s="120" t="s">
        <v>193</v>
      </c>
      <c r="B9" s="121"/>
      <c r="C9" t="s">
        <v>280</v>
      </c>
      <c r="D9" s="58">
        <f t="shared" ref="D9:AA9" si="5">D8*$A$18</f>
        <v>112.33744218358204</v>
      </c>
      <c r="E9" s="58">
        <f t="shared" si="5"/>
        <v>47.478727937813794</v>
      </c>
      <c r="F9" s="58">
        <f t="shared" si="5"/>
        <v>50.017202903850837</v>
      </c>
      <c r="G9" s="58">
        <f t="shared" si="5"/>
        <v>53.442791260080796</v>
      </c>
      <c r="H9" s="58">
        <f t="shared" si="5"/>
        <v>57.755493006503677</v>
      </c>
      <c r="I9" s="58">
        <f t="shared" si="5"/>
        <v>62.955308143119481</v>
      </c>
      <c r="J9" s="58">
        <f t="shared" si="5"/>
        <v>69.042236669928201</v>
      </c>
      <c r="K9" s="58">
        <f t="shared" si="5"/>
        <v>76.016278586929843</v>
      </c>
      <c r="L9" s="58">
        <f t="shared" si="5"/>
        <v>83.877433894124408</v>
      </c>
      <c r="M9" s="58">
        <f t="shared" si="5"/>
        <v>92.625702591511896</v>
      </c>
      <c r="N9" s="58">
        <f t="shared" si="5"/>
        <v>102.26108467909226</v>
      </c>
      <c r="O9" s="58">
        <f t="shared" si="5"/>
        <v>112.78358015686563</v>
      </c>
      <c r="P9" s="58">
        <f t="shared" si="5"/>
        <v>124.19318902483187</v>
      </c>
      <c r="Q9" s="58">
        <f t="shared" si="5"/>
        <v>136.48991128299105</v>
      </c>
      <c r="R9" s="58">
        <f t="shared" si="5"/>
        <v>149.67374693134312</v>
      </c>
      <c r="S9" s="58">
        <f t="shared" si="5"/>
        <v>163.74469596988811</v>
      </c>
      <c r="T9" s="58">
        <f t="shared" si="5"/>
        <v>178.70275839862606</v>
      </c>
      <c r="U9" s="58">
        <f t="shared" si="5"/>
        <v>194.5479342175569</v>
      </c>
      <c r="V9" s="58">
        <f t="shared" si="5"/>
        <v>211.28022342668064</v>
      </c>
      <c r="W9" s="58">
        <f t="shared" si="5"/>
        <v>228.89962602599735</v>
      </c>
      <c r="X9" s="58">
        <f t="shared" si="5"/>
        <v>247.40614201550696</v>
      </c>
      <c r="Y9" s="58">
        <f t="shared" si="5"/>
        <v>266.79977139520946</v>
      </c>
      <c r="Z9" s="58">
        <f t="shared" si="5"/>
        <v>287.08051416510494</v>
      </c>
      <c r="AA9" s="58">
        <f t="shared" si="5"/>
        <v>308.24837032519332</v>
      </c>
    </row>
    <row r="10" spans="1:27" x14ac:dyDescent="0.2">
      <c r="A10" s="55">
        <v>0.32</v>
      </c>
      <c r="B10" s="68"/>
      <c r="C10" s="63" t="s">
        <v>204</v>
      </c>
      <c r="D10" s="64">
        <f t="shared" ref="D10:AA10" si="6">SIN(ATAN(5/100))</f>
        <v>4.9937616943892239E-2</v>
      </c>
      <c r="E10" s="64">
        <f t="shared" si="6"/>
        <v>4.9937616943892239E-2</v>
      </c>
      <c r="F10" s="64">
        <f t="shared" si="6"/>
        <v>4.9937616943892239E-2</v>
      </c>
      <c r="G10" s="64">
        <f t="shared" si="6"/>
        <v>4.9937616943892239E-2</v>
      </c>
      <c r="H10" s="64">
        <f t="shared" si="6"/>
        <v>4.9937616943892239E-2</v>
      </c>
      <c r="I10" s="64">
        <f t="shared" si="6"/>
        <v>4.9937616943892239E-2</v>
      </c>
      <c r="J10" s="64">
        <f t="shared" si="6"/>
        <v>4.9937616943892239E-2</v>
      </c>
      <c r="K10" s="64">
        <f t="shared" si="6"/>
        <v>4.9937616943892239E-2</v>
      </c>
      <c r="L10" s="64">
        <f t="shared" si="6"/>
        <v>4.9937616943892239E-2</v>
      </c>
      <c r="M10" s="64">
        <f t="shared" si="6"/>
        <v>4.9937616943892239E-2</v>
      </c>
      <c r="N10" s="64">
        <f t="shared" si="6"/>
        <v>4.9937616943892239E-2</v>
      </c>
      <c r="O10" s="64">
        <f t="shared" si="6"/>
        <v>4.9937616943892239E-2</v>
      </c>
      <c r="P10" s="64">
        <f t="shared" si="6"/>
        <v>4.9937616943892239E-2</v>
      </c>
      <c r="Q10" s="64">
        <f t="shared" si="6"/>
        <v>4.9937616943892239E-2</v>
      </c>
      <c r="R10" s="64">
        <f t="shared" si="6"/>
        <v>4.9937616943892239E-2</v>
      </c>
      <c r="S10" s="64">
        <f t="shared" si="6"/>
        <v>4.9937616943892239E-2</v>
      </c>
      <c r="T10" s="64">
        <f t="shared" si="6"/>
        <v>4.9937616943892239E-2</v>
      </c>
      <c r="U10" s="64">
        <f t="shared" si="6"/>
        <v>4.9937616943892239E-2</v>
      </c>
      <c r="V10" s="64">
        <f t="shared" si="6"/>
        <v>4.9937616943892239E-2</v>
      </c>
      <c r="W10" s="64">
        <f t="shared" si="6"/>
        <v>4.9937616943892239E-2</v>
      </c>
      <c r="X10" s="64">
        <f t="shared" si="6"/>
        <v>4.9937616943892239E-2</v>
      </c>
      <c r="Y10" s="64">
        <f t="shared" si="6"/>
        <v>4.9937616943892239E-2</v>
      </c>
      <c r="Z10" s="64">
        <f t="shared" si="6"/>
        <v>4.9937616943892239E-2</v>
      </c>
      <c r="AA10" s="64">
        <f t="shared" si="6"/>
        <v>4.9937616943892239E-2</v>
      </c>
    </row>
    <row r="11" spans="1:27" x14ac:dyDescent="0.2">
      <c r="A11" s="117" t="s">
        <v>281</v>
      </c>
      <c r="B11" s="118"/>
      <c r="C11" t="s">
        <v>205</v>
      </c>
      <c r="D11" s="67">
        <f t="shared" ref="D11:AA11" si="7">COS(ATAN(5/100))</f>
        <v>0.99875233887784465</v>
      </c>
      <c r="E11" s="67">
        <f t="shared" si="7"/>
        <v>0.99875233887784465</v>
      </c>
      <c r="F11" s="67">
        <f t="shared" si="7"/>
        <v>0.99875233887784465</v>
      </c>
      <c r="G11" s="67">
        <f t="shared" si="7"/>
        <v>0.99875233887784465</v>
      </c>
      <c r="H11" s="67">
        <f t="shared" si="7"/>
        <v>0.99875233887784465</v>
      </c>
      <c r="I11" s="67">
        <f t="shared" si="7"/>
        <v>0.99875233887784465</v>
      </c>
      <c r="J11" s="67">
        <f t="shared" si="7"/>
        <v>0.99875233887784465</v>
      </c>
      <c r="K11" s="67">
        <f t="shared" si="7"/>
        <v>0.99875233887784465</v>
      </c>
      <c r="L11" s="67">
        <f t="shared" si="7"/>
        <v>0.99875233887784465</v>
      </c>
      <c r="M11" s="67">
        <f t="shared" si="7"/>
        <v>0.99875233887784465</v>
      </c>
      <c r="N11" s="67">
        <f t="shared" si="7"/>
        <v>0.99875233887784465</v>
      </c>
      <c r="O11" s="67">
        <f t="shared" si="7"/>
        <v>0.99875233887784465</v>
      </c>
      <c r="P11" s="67">
        <f t="shared" si="7"/>
        <v>0.99875233887784465</v>
      </c>
      <c r="Q11" s="67">
        <f t="shared" si="7"/>
        <v>0.99875233887784465</v>
      </c>
      <c r="R11" s="67">
        <f t="shared" si="7"/>
        <v>0.99875233887784465</v>
      </c>
      <c r="S11" s="67">
        <f t="shared" si="7"/>
        <v>0.99875233887784465</v>
      </c>
      <c r="T11" s="67">
        <f t="shared" si="7"/>
        <v>0.99875233887784465</v>
      </c>
      <c r="U11" s="67">
        <f t="shared" si="7"/>
        <v>0.99875233887784465</v>
      </c>
      <c r="V11" s="67">
        <f t="shared" si="7"/>
        <v>0.99875233887784465</v>
      </c>
      <c r="W11" s="67">
        <f t="shared" si="7"/>
        <v>0.99875233887784465</v>
      </c>
      <c r="X11" s="67">
        <f t="shared" si="7"/>
        <v>0.99875233887784465</v>
      </c>
      <c r="Y11" s="67">
        <f t="shared" si="7"/>
        <v>0.99875233887784465</v>
      </c>
      <c r="Z11" s="67">
        <f t="shared" si="7"/>
        <v>0.99875233887784465</v>
      </c>
      <c r="AA11" s="67">
        <f t="shared" si="7"/>
        <v>0.99875233887784465</v>
      </c>
    </row>
    <row r="12" spans="1:27" x14ac:dyDescent="0.2">
      <c r="A12" s="55">
        <v>7.5</v>
      </c>
      <c r="B12" s="68"/>
      <c r="C12" t="s">
        <v>282</v>
      </c>
      <c r="D12" s="58">
        <f t="shared" ref="D12:AA12" si="8">$A$2*D10</f>
        <v>122.54691198031155</v>
      </c>
      <c r="E12" s="58">
        <f t="shared" si="8"/>
        <v>122.54691198031155</v>
      </c>
      <c r="F12" s="58">
        <f t="shared" si="8"/>
        <v>122.54691198031155</v>
      </c>
      <c r="G12" s="58">
        <f t="shared" si="8"/>
        <v>122.54691198031155</v>
      </c>
      <c r="H12" s="58">
        <f t="shared" si="8"/>
        <v>122.54691198031155</v>
      </c>
      <c r="I12" s="58">
        <f t="shared" si="8"/>
        <v>122.54691198031155</v>
      </c>
      <c r="J12" s="58">
        <f t="shared" si="8"/>
        <v>122.54691198031155</v>
      </c>
      <c r="K12" s="58">
        <f t="shared" si="8"/>
        <v>122.54691198031155</v>
      </c>
      <c r="L12" s="58">
        <f t="shared" si="8"/>
        <v>122.54691198031155</v>
      </c>
      <c r="M12" s="58">
        <f t="shared" si="8"/>
        <v>122.54691198031155</v>
      </c>
      <c r="N12" s="58">
        <f t="shared" si="8"/>
        <v>122.54691198031155</v>
      </c>
      <c r="O12" s="58">
        <f t="shared" si="8"/>
        <v>122.54691198031155</v>
      </c>
      <c r="P12" s="58">
        <f t="shared" si="8"/>
        <v>122.54691198031155</v>
      </c>
      <c r="Q12" s="58">
        <f t="shared" si="8"/>
        <v>122.54691198031155</v>
      </c>
      <c r="R12" s="58">
        <f t="shared" si="8"/>
        <v>122.54691198031155</v>
      </c>
      <c r="S12" s="58">
        <f t="shared" si="8"/>
        <v>122.54691198031155</v>
      </c>
      <c r="T12" s="58">
        <f t="shared" si="8"/>
        <v>122.54691198031155</v>
      </c>
      <c r="U12" s="58">
        <f t="shared" si="8"/>
        <v>122.54691198031155</v>
      </c>
      <c r="V12" s="58">
        <f t="shared" si="8"/>
        <v>122.54691198031155</v>
      </c>
      <c r="W12" s="58">
        <f t="shared" si="8"/>
        <v>122.54691198031155</v>
      </c>
      <c r="X12" s="58">
        <f t="shared" si="8"/>
        <v>122.54691198031155</v>
      </c>
      <c r="Y12" s="58">
        <f t="shared" si="8"/>
        <v>122.54691198031155</v>
      </c>
      <c r="Z12" s="58">
        <f t="shared" si="8"/>
        <v>122.54691198031155</v>
      </c>
      <c r="AA12" s="58">
        <f t="shared" si="8"/>
        <v>122.54691198031155</v>
      </c>
    </row>
    <row r="13" spans="1:27" ht="30" x14ac:dyDescent="0.2">
      <c r="A13" s="120" t="s">
        <v>283</v>
      </c>
      <c r="B13" s="121"/>
      <c r="C13" t="s">
        <v>284</v>
      </c>
      <c r="D13" s="58">
        <f t="shared" ref="D13:AA13" si="9">$A$20*$A$2*D11</f>
        <v>44.11688831291216</v>
      </c>
      <c r="E13" s="58">
        <f t="shared" si="9"/>
        <v>44.11688831291216</v>
      </c>
      <c r="F13" s="58">
        <f t="shared" si="9"/>
        <v>44.11688831291216</v>
      </c>
      <c r="G13" s="58">
        <f t="shared" si="9"/>
        <v>44.11688831291216</v>
      </c>
      <c r="H13" s="58">
        <f t="shared" si="9"/>
        <v>44.11688831291216</v>
      </c>
      <c r="I13" s="58">
        <f t="shared" si="9"/>
        <v>44.11688831291216</v>
      </c>
      <c r="J13" s="58">
        <f t="shared" si="9"/>
        <v>44.11688831291216</v>
      </c>
      <c r="K13" s="58">
        <f t="shared" si="9"/>
        <v>44.11688831291216</v>
      </c>
      <c r="L13" s="58">
        <f t="shared" si="9"/>
        <v>44.11688831291216</v>
      </c>
      <c r="M13" s="58">
        <f t="shared" si="9"/>
        <v>44.11688831291216</v>
      </c>
      <c r="N13" s="58">
        <f t="shared" si="9"/>
        <v>44.11688831291216</v>
      </c>
      <c r="O13" s="58">
        <f t="shared" si="9"/>
        <v>44.11688831291216</v>
      </c>
      <c r="P13" s="58">
        <f t="shared" si="9"/>
        <v>44.11688831291216</v>
      </c>
      <c r="Q13" s="58">
        <f t="shared" si="9"/>
        <v>44.11688831291216</v>
      </c>
      <c r="R13" s="58">
        <f t="shared" si="9"/>
        <v>44.11688831291216</v>
      </c>
      <c r="S13" s="58">
        <f t="shared" si="9"/>
        <v>44.11688831291216</v>
      </c>
      <c r="T13" s="58">
        <f t="shared" si="9"/>
        <v>44.11688831291216</v>
      </c>
      <c r="U13" s="58">
        <f t="shared" si="9"/>
        <v>44.11688831291216</v>
      </c>
      <c r="V13" s="58">
        <f t="shared" si="9"/>
        <v>44.11688831291216</v>
      </c>
      <c r="W13" s="58">
        <f t="shared" si="9"/>
        <v>44.11688831291216</v>
      </c>
      <c r="X13" s="58">
        <f t="shared" si="9"/>
        <v>44.11688831291216</v>
      </c>
      <c r="Y13" s="58">
        <f t="shared" si="9"/>
        <v>44.11688831291216</v>
      </c>
      <c r="Z13" s="58">
        <f t="shared" si="9"/>
        <v>44.11688831291216</v>
      </c>
      <c r="AA13" s="58">
        <f t="shared" si="9"/>
        <v>44.11688831291216</v>
      </c>
    </row>
    <row r="14" spans="1:27" x14ac:dyDescent="0.2">
      <c r="A14" s="55">
        <v>1.4</v>
      </c>
      <c r="B14" s="68"/>
      <c r="C14" t="s">
        <v>285</v>
      </c>
      <c r="D14" s="58">
        <f t="shared" ref="D14:AA14" si="10">D$5+D$7+D12+D13</f>
        <v>236.05854968264944</v>
      </c>
      <c r="E14" s="122">
        <f t="shared" si="10"/>
        <v>170.49008734902833</v>
      </c>
      <c r="F14" s="122">
        <f t="shared" si="10"/>
        <v>173.05634081444143</v>
      </c>
      <c r="G14" s="122">
        <f t="shared" si="10"/>
        <v>176.51941534063141</v>
      </c>
      <c r="H14" s="122">
        <f t="shared" si="10"/>
        <v>180.87931092759828</v>
      </c>
      <c r="I14" s="122">
        <f t="shared" si="10"/>
        <v>186.13602757534204</v>
      </c>
      <c r="J14" s="122">
        <f t="shared" si="10"/>
        <v>192.28956528386271</v>
      </c>
      <c r="K14" s="122">
        <f t="shared" si="10"/>
        <v>199.33992405316027</v>
      </c>
      <c r="L14" s="122">
        <f t="shared" si="10"/>
        <v>207.28710388323475</v>
      </c>
      <c r="M14" s="122">
        <f t="shared" si="10"/>
        <v>216.13110477408608</v>
      </c>
      <c r="N14" s="122">
        <f t="shared" si="10"/>
        <v>225.87192672571436</v>
      </c>
      <c r="O14" s="122">
        <f t="shared" si="10"/>
        <v>236.5095697381195</v>
      </c>
      <c r="P14" s="122">
        <f t="shared" si="10"/>
        <v>248.04403381130155</v>
      </c>
      <c r="Q14" s="122">
        <f t="shared" si="10"/>
        <v>260.47531894526048</v>
      </c>
      <c r="R14" s="122">
        <f t="shared" si="10"/>
        <v>273.80342513999636</v>
      </c>
      <c r="S14" s="122">
        <f t="shared" si="10"/>
        <v>288.0283523955091</v>
      </c>
      <c r="T14" s="122">
        <f t="shared" si="10"/>
        <v>303.15010071179876</v>
      </c>
      <c r="U14" s="122">
        <f t="shared" si="10"/>
        <v>319.16867008886527</v>
      </c>
      <c r="V14" s="122">
        <f t="shared" si="10"/>
        <v>336.08406052670864</v>
      </c>
      <c r="W14" s="122">
        <f t="shared" si="10"/>
        <v>353.89627202532898</v>
      </c>
      <c r="X14" s="122">
        <f t="shared" si="10"/>
        <v>372.60530458472618</v>
      </c>
      <c r="Y14" s="122">
        <f t="shared" si="10"/>
        <v>392.21115820490024</v>
      </c>
      <c r="Z14" s="122">
        <f t="shared" si="10"/>
        <v>412.71383288585128</v>
      </c>
      <c r="AA14" s="122">
        <f t="shared" si="10"/>
        <v>434.11332862757922</v>
      </c>
    </row>
    <row r="15" spans="1:27" x14ac:dyDescent="0.2">
      <c r="A15" s="117" t="s">
        <v>286</v>
      </c>
      <c r="B15" s="118"/>
      <c r="C15" t="s">
        <v>287</v>
      </c>
      <c r="D15" s="58">
        <f t="shared" ref="D15:AA15" si="11">D14*$A$18</f>
        <v>233.50332574883035</v>
      </c>
      <c r="E15" s="122">
        <f t="shared" si="11"/>
        <v>168.64461150306209</v>
      </c>
      <c r="F15" s="122">
        <f t="shared" si="11"/>
        <v>171.18308646909915</v>
      </c>
      <c r="G15" s="122">
        <f t="shared" si="11"/>
        <v>174.60867482532913</v>
      </c>
      <c r="H15" s="122">
        <f t="shared" si="11"/>
        <v>178.92137657175201</v>
      </c>
      <c r="I15" s="122">
        <f t="shared" si="11"/>
        <v>184.12119170836777</v>
      </c>
      <c r="J15" s="122">
        <f t="shared" si="11"/>
        <v>190.20812023517649</v>
      </c>
      <c r="K15" s="122">
        <f t="shared" si="11"/>
        <v>197.18216215217814</v>
      </c>
      <c r="L15" s="122">
        <f t="shared" si="11"/>
        <v>205.04331745937273</v>
      </c>
      <c r="M15" s="122">
        <f t="shared" si="11"/>
        <v>213.79158615676019</v>
      </c>
      <c r="N15" s="122">
        <f t="shared" si="11"/>
        <v>223.4269682443406</v>
      </c>
      <c r="O15" s="122">
        <f t="shared" si="11"/>
        <v>233.94946372211393</v>
      </c>
      <c r="P15" s="122">
        <f t="shared" si="11"/>
        <v>245.35907259008016</v>
      </c>
      <c r="Q15" s="122">
        <f t="shared" si="11"/>
        <v>257.65579484823934</v>
      </c>
      <c r="R15" s="122">
        <f t="shared" si="11"/>
        <v>270.83963049659144</v>
      </c>
      <c r="S15" s="122">
        <f t="shared" si="11"/>
        <v>284.91057953513649</v>
      </c>
      <c r="T15" s="122">
        <f t="shared" si="11"/>
        <v>299.86864196387444</v>
      </c>
      <c r="U15" s="122">
        <f t="shared" si="11"/>
        <v>315.71381778280528</v>
      </c>
      <c r="V15" s="122">
        <f t="shared" si="11"/>
        <v>332.44610699192896</v>
      </c>
      <c r="W15" s="122">
        <f t="shared" si="11"/>
        <v>350.0655095912457</v>
      </c>
      <c r="X15" s="122">
        <f t="shared" si="11"/>
        <v>368.57202558075528</v>
      </c>
      <c r="Y15" s="122">
        <f t="shared" si="11"/>
        <v>387.96565496045775</v>
      </c>
      <c r="Z15" s="122">
        <f t="shared" si="11"/>
        <v>408.24639773035324</v>
      </c>
      <c r="AA15" s="122">
        <f t="shared" si="11"/>
        <v>429.41425389044167</v>
      </c>
    </row>
    <row r="16" spans="1:27" x14ac:dyDescent="0.2">
      <c r="A16" s="123">
        <f>(5280*12)/(($B$24+((2*$B$22*$B$23/100)/25.4))*3.141592653589)</f>
        <v>849.53582996798627</v>
      </c>
      <c r="B16" s="124"/>
      <c r="C16" s="63" t="s">
        <v>210</v>
      </c>
      <c r="D16" s="64">
        <f t="shared" ref="D16:AA16" si="12">SIN(ATAN(10/100))</f>
        <v>9.9503719020998929E-2</v>
      </c>
      <c r="E16" s="64">
        <f t="shared" si="12"/>
        <v>9.9503719020998929E-2</v>
      </c>
      <c r="F16" s="64">
        <f t="shared" si="12"/>
        <v>9.9503719020998929E-2</v>
      </c>
      <c r="G16" s="64">
        <f t="shared" si="12"/>
        <v>9.9503719020998929E-2</v>
      </c>
      <c r="H16" s="64">
        <f t="shared" si="12"/>
        <v>9.9503719020998929E-2</v>
      </c>
      <c r="I16" s="64">
        <f t="shared" si="12"/>
        <v>9.9503719020998929E-2</v>
      </c>
      <c r="J16" s="64">
        <f t="shared" si="12"/>
        <v>9.9503719020998929E-2</v>
      </c>
      <c r="K16" s="64">
        <f t="shared" si="12"/>
        <v>9.9503719020998929E-2</v>
      </c>
      <c r="L16" s="64">
        <f t="shared" si="12"/>
        <v>9.9503719020998929E-2</v>
      </c>
      <c r="M16" s="64">
        <f t="shared" si="12"/>
        <v>9.9503719020998929E-2</v>
      </c>
      <c r="N16" s="64">
        <f t="shared" si="12"/>
        <v>9.9503719020998929E-2</v>
      </c>
      <c r="O16" s="64">
        <f t="shared" si="12"/>
        <v>9.9503719020998929E-2</v>
      </c>
      <c r="P16" s="64">
        <f t="shared" si="12"/>
        <v>9.9503719020998929E-2</v>
      </c>
      <c r="Q16" s="64">
        <f t="shared" si="12"/>
        <v>9.9503719020998929E-2</v>
      </c>
      <c r="R16" s="64">
        <f t="shared" si="12"/>
        <v>9.9503719020998929E-2</v>
      </c>
      <c r="S16" s="64">
        <f t="shared" si="12"/>
        <v>9.9503719020998929E-2</v>
      </c>
      <c r="T16" s="64">
        <f t="shared" si="12"/>
        <v>9.9503719020998929E-2</v>
      </c>
      <c r="U16" s="64">
        <f t="shared" si="12"/>
        <v>9.9503719020998929E-2</v>
      </c>
      <c r="V16" s="64">
        <f t="shared" si="12"/>
        <v>9.9503719020998929E-2</v>
      </c>
      <c r="W16" s="64">
        <f t="shared" si="12"/>
        <v>9.9503719020998929E-2</v>
      </c>
      <c r="X16" s="64">
        <f t="shared" si="12"/>
        <v>9.9503719020998929E-2</v>
      </c>
      <c r="Y16" s="64">
        <f t="shared" si="12"/>
        <v>9.9503719020998929E-2</v>
      </c>
      <c r="Z16" s="64">
        <f t="shared" si="12"/>
        <v>9.9503719020998929E-2</v>
      </c>
      <c r="AA16" s="64">
        <f t="shared" si="12"/>
        <v>9.9503719020998929E-2</v>
      </c>
    </row>
    <row r="17" spans="1:27" x14ac:dyDescent="0.2">
      <c r="A17" s="120" t="s">
        <v>201</v>
      </c>
      <c r="B17" s="121"/>
      <c r="C17" s="8" t="s">
        <v>211</v>
      </c>
      <c r="D17" s="67">
        <f t="shared" ref="D17:AA17" si="13">COS(ATAN(10/100))</f>
        <v>0.99503719020998915</v>
      </c>
      <c r="E17" s="67">
        <f t="shared" si="13"/>
        <v>0.99503719020998915</v>
      </c>
      <c r="F17" s="67">
        <f t="shared" si="13"/>
        <v>0.99503719020998915</v>
      </c>
      <c r="G17" s="67">
        <f t="shared" si="13"/>
        <v>0.99503719020998915</v>
      </c>
      <c r="H17" s="67">
        <f t="shared" si="13"/>
        <v>0.99503719020998915</v>
      </c>
      <c r="I17" s="67">
        <f t="shared" si="13"/>
        <v>0.99503719020998915</v>
      </c>
      <c r="J17" s="67">
        <f t="shared" si="13"/>
        <v>0.99503719020998915</v>
      </c>
      <c r="K17" s="67">
        <f t="shared" si="13"/>
        <v>0.99503719020998915</v>
      </c>
      <c r="L17" s="67">
        <f t="shared" si="13"/>
        <v>0.99503719020998915</v>
      </c>
      <c r="M17" s="67">
        <f t="shared" si="13"/>
        <v>0.99503719020998915</v>
      </c>
      <c r="N17" s="67">
        <f t="shared" si="13"/>
        <v>0.99503719020998915</v>
      </c>
      <c r="O17" s="67">
        <f t="shared" si="13"/>
        <v>0.99503719020998915</v>
      </c>
      <c r="P17" s="67">
        <f t="shared" si="13"/>
        <v>0.99503719020998915</v>
      </c>
      <c r="Q17" s="67">
        <f t="shared" si="13"/>
        <v>0.99503719020998915</v>
      </c>
      <c r="R17" s="67">
        <f t="shared" si="13"/>
        <v>0.99503719020998915</v>
      </c>
      <c r="S17" s="67">
        <f t="shared" si="13"/>
        <v>0.99503719020998915</v>
      </c>
      <c r="T17" s="67">
        <f t="shared" si="13"/>
        <v>0.99503719020998915</v>
      </c>
      <c r="U17" s="67">
        <f t="shared" si="13"/>
        <v>0.99503719020998915</v>
      </c>
      <c r="V17" s="67">
        <f t="shared" si="13"/>
        <v>0.99503719020998915</v>
      </c>
      <c r="W17" s="67">
        <f t="shared" si="13"/>
        <v>0.99503719020998915</v>
      </c>
      <c r="X17" s="67">
        <f t="shared" si="13"/>
        <v>0.99503719020998915</v>
      </c>
      <c r="Y17" s="67">
        <f t="shared" si="13"/>
        <v>0.99503719020998915</v>
      </c>
      <c r="Z17" s="67">
        <f t="shared" si="13"/>
        <v>0.99503719020998915</v>
      </c>
      <c r="AA17" s="67">
        <f t="shared" si="13"/>
        <v>0.99503719020998915</v>
      </c>
    </row>
    <row r="18" spans="1:27" x14ac:dyDescent="0.2">
      <c r="A18" s="125">
        <f>840.34/A16</f>
        <v>0.98917546542053114</v>
      </c>
      <c r="B18" s="126"/>
      <c r="C18" s="8" t="s">
        <v>282</v>
      </c>
      <c r="D18" s="58">
        <f t="shared" ref="D18:AA18" si="14">$A$2*D16</f>
        <v>244.18212647753137</v>
      </c>
      <c r="E18" s="58">
        <f t="shared" si="14"/>
        <v>244.18212647753137</v>
      </c>
      <c r="F18" s="58">
        <f t="shared" si="14"/>
        <v>244.18212647753137</v>
      </c>
      <c r="G18" s="58">
        <f t="shared" si="14"/>
        <v>244.18212647753137</v>
      </c>
      <c r="H18" s="58">
        <f t="shared" si="14"/>
        <v>244.18212647753137</v>
      </c>
      <c r="I18" s="58">
        <f t="shared" si="14"/>
        <v>244.18212647753137</v>
      </c>
      <c r="J18" s="58">
        <f t="shared" si="14"/>
        <v>244.18212647753137</v>
      </c>
      <c r="K18" s="58">
        <f t="shared" si="14"/>
        <v>244.18212647753137</v>
      </c>
      <c r="L18" s="58">
        <f t="shared" si="14"/>
        <v>244.18212647753137</v>
      </c>
      <c r="M18" s="58">
        <f t="shared" si="14"/>
        <v>244.18212647753137</v>
      </c>
      <c r="N18" s="58">
        <f t="shared" si="14"/>
        <v>244.18212647753137</v>
      </c>
      <c r="O18" s="58">
        <f t="shared" si="14"/>
        <v>244.18212647753137</v>
      </c>
      <c r="P18" s="58">
        <f t="shared" si="14"/>
        <v>244.18212647753137</v>
      </c>
      <c r="Q18" s="58">
        <f t="shared" si="14"/>
        <v>244.18212647753137</v>
      </c>
      <c r="R18" s="58">
        <f t="shared" si="14"/>
        <v>244.18212647753137</v>
      </c>
      <c r="S18" s="58">
        <f t="shared" si="14"/>
        <v>244.18212647753137</v>
      </c>
      <c r="T18" s="58">
        <f t="shared" si="14"/>
        <v>244.18212647753137</v>
      </c>
      <c r="U18" s="58">
        <f t="shared" si="14"/>
        <v>244.18212647753137</v>
      </c>
      <c r="V18" s="58">
        <f t="shared" si="14"/>
        <v>244.18212647753137</v>
      </c>
      <c r="W18" s="58">
        <f t="shared" si="14"/>
        <v>244.18212647753137</v>
      </c>
      <c r="X18" s="58">
        <f t="shared" si="14"/>
        <v>244.18212647753137</v>
      </c>
      <c r="Y18" s="58">
        <f t="shared" si="14"/>
        <v>244.18212647753137</v>
      </c>
      <c r="Z18" s="58">
        <f t="shared" si="14"/>
        <v>244.18212647753137</v>
      </c>
      <c r="AA18" s="58">
        <f t="shared" si="14"/>
        <v>244.18212647753137</v>
      </c>
    </row>
    <row r="19" spans="1:27" ht="30" x14ac:dyDescent="0.2">
      <c r="A19" s="120" t="s">
        <v>288</v>
      </c>
      <c r="B19" s="121"/>
      <c r="C19" s="8" t="s">
        <v>284</v>
      </c>
      <c r="D19" s="58">
        <f t="shared" ref="D19:AA19" si="15">$A$20*$A$2*D17</f>
        <v>43.952782765955646</v>
      </c>
      <c r="E19" s="58">
        <f t="shared" si="15"/>
        <v>43.952782765955646</v>
      </c>
      <c r="F19" s="58">
        <f t="shared" si="15"/>
        <v>43.952782765955646</v>
      </c>
      <c r="G19" s="58">
        <f t="shared" si="15"/>
        <v>43.952782765955646</v>
      </c>
      <c r="H19" s="58">
        <f t="shared" si="15"/>
        <v>43.952782765955646</v>
      </c>
      <c r="I19" s="58">
        <f t="shared" si="15"/>
        <v>43.952782765955646</v>
      </c>
      <c r="J19" s="58">
        <f t="shared" si="15"/>
        <v>43.952782765955646</v>
      </c>
      <c r="K19" s="58">
        <f t="shared" si="15"/>
        <v>43.952782765955646</v>
      </c>
      <c r="L19" s="58">
        <f t="shared" si="15"/>
        <v>43.952782765955646</v>
      </c>
      <c r="M19" s="58">
        <f t="shared" si="15"/>
        <v>43.952782765955646</v>
      </c>
      <c r="N19" s="58">
        <f t="shared" si="15"/>
        <v>43.952782765955646</v>
      </c>
      <c r="O19" s="58">
        <f t="shared" si="15"/>
        <v>43.952782765955646</v>
      </c>
      <c r="P19" s="58">
        <f t="shared" si="15"/>
        <v>43.952782765955646</v>
      </c>
      <c r="Q19" s="58">
        <f t="shared" si="15"/>
        <v>43.952782765955646</v>
      </c>
      <c r="R19" s="58">
        <f t="shared" si="15"/>
        <v>43.952782765955646</v>
      </c>
      <c r="S19" s="58">
        <f t="shared" si="15"/>
        <v>43.952782765955646</v>
      </c>
      <c r="T19" s="58">
        <f t="shared" si="15"/>
        <v>43.952782765955646</v>
      </c>
      <c r="U19" s="58">
        <f t="shared" si="15"/>
        <v>43.952782765955646</v>
      </c>
      <c r="V19" s="58">
        <f t="shared" si="15"/>
        <v>43.952782765955646</v>
      </c>
      <c r="W19" s="58">
        <f t="shared" si="15"/>
        <v>43.952782765955646</v>
      </c>
      <c r="X19" s="58">
        <f t="shared" si="15"/>
        <v>43.952782765955646</v>
      </c>
      <c r="Y19" s="58">
        <f t="shared" si="15"/>
        <v>43.952782765955646</v>
      </c>
      <c r="Z19" s="58">
        <f t="shared" si="15"/>
        <v>43.952782765955646</v>
      </c>
      <c r="AA19" s="58">
        <f t="shared" si="15"/>
        <v>43.952782765955646</v>
      </c>
    </row>
    <row r="20" spans="1:27" x14ac:dyDescent="0.2">
      <c r="A20" s="55">
        <f>0.015+0.002+0.001</f>
        <v>1.8000000000000002E-2</v>
      </c>
      <c r="B20" s="68"/>
      <c r="C20" s="8" t="s">
        <v>289</v>
      </c>
      <c r="D20" s="58">
        <f t="shared" ref="D20:AA20" si="16">D$5+D$7+D18+D19</f>
        <v>357.5296586329128</v>
      </c>
      <c r="E20" s="122">
        <f t="shared" si="16"/>
        <v>291.9611962992916</v>
      </c>
      <c r="F20" s="122">
        <f t="shared" si="16"/>
        <v>294.52744976470473</v>
      </c>
      <c r="G20" s="122">
        <f t="shared" si="16"/>
        <v>297.99052429089471</v>
      </c>
      <c r="H20" s="122">
        <f t="shared" si="16"/>
        <v>302.35041987786161</v>
      </c>
      <c r="I20" s="122">
        <f t="shared" si="16"/>
        <v>307.60713652560537</v>
      </c>
      <c r="J20" s="122">
        <f t="shared" si="16"/>
        <v>313.76067423412604</v>
      </c>
      <c r="K20" s="122">
        <f t="shared" si="16"/>
        <v>320.81103300342357</v>
      </c>
      <c r="L20" s="122">
        <f t="shared" si="16"/>
        <v>328.75821283349808</v>
      </c>
      <c r="M20" s="122">
        <f t="shared" si="16"/>
        <v>337.60221372434938</v>
      </c>
      <c r="N20" s="122">
        <f t="shared" si="16"/>
        <v>347.34303567597766</v>
      </c>
      <c r="O20" s="122">
        <f t="shared" si="16"/>
        <v>357.98067868838285</v>
      </c>
      <c r="P20" s="122">
        <f t="shared" si="16"/>
        <v>369.51514276156485</v>
      </c>
      <c r="Q20" s="122">
        <f t="shared" si="16"/>
        <v>381.94642789552381</v>
      </c>
      <c r="R20" s="122">
        <f t="shared" si="16"/>
        <v>395.27453409025964</v>
      </c>
      <c r="S20" s="122">
        <f t="shared" si="16"/>
        <v>409.49946134577237</v>
      </c>
      <c r="T20" s="122">
        <f t="shared" si="16"/>
        <v>424.62120966206203</v>
      </c>
      <c r="U20" s="122">
        <f t="shared" si="16"/>
        <v>440.63977903912854</v>
      </c>
      <c r="V20" s="122">
        <f t="shared" si="16"/>
        <v>457.55516947697191</v>
      </c>
      <c r="W20" s="122">
        <f t="shared" si="16"/>
        <v>475.36738097559225</v>
      </c>
      <c r="X20" s="122">
        <f t="shared" si="16"/>
        <v>494.07641353498951</v>
      </c>
      <c r="Y20" s="122">
        <f t="shared" si="16"/>
        <v>513.68226715516357</v>
      </c>
      <c r="Z20" s="122">
        <f t="shared" si="16"/>
        <v>534.1849418361146</v>
      </c>
      <c r="AA20" s="122">
        <f t="shared" si="16"/>
        <v>555.58443757784244</v>
      </c>
    </row>
    <row r="21" spans="1:27" x14ac:dyDescent="0.2">
      <c r="A21" s="114" t="s">
        <v>242</v>
      </c>
      <c r="B21" s="101"/>
      <c r="C21" s="8" t="s">
        <v>290</v>
      </c>
      <c r="D21" s="58">
        <f t="shared" ref="D21:AA21" si="17">D20*$A$18</f>
        <v>353.65956647985513</v>
      </c>
      <c r="E21" s="122">
        <f t="shared" si="17"/>
        <v>288.80085223408685</v>
      </c>
      <c r="F21" s="122">
        <f t="shared" si="17"/>
        <v>291.33932720012388</v>
      </c>
      <c r="G21" s="122">
        <f t="shared" si="17"/>
        <v>294.76491555635386</v>
      </c>
      <c r="H21" s="122">
        <f t="shared" si="17"/>
        <v>299.07761730277679</v>
      </c>
      <c r="I21" s="122">
        <f t="shared" si="17"/>
        <v>304.27743243939256</v>
      </c>
      <c r="J21" s="122">
        <f t="shared" si="17"/>
        <v>310.36436096620128</v>
      </c>
      <c r="K21" s="122">
        <f t="shared" si="17"/>
        <v>317.33840288320289</v>
      </c>
      <c r="L21" s="122">
        <f t="shared" si="17"/>
        <v>325.19955819039751</v>
      </c>
      <c r="M21" s="122">
        <f t="shared" si="17"/>
        <v>333.94782688778491</v>
      </c>
      <c r="N21" s="122">
        <f t="shared" si="17"/>
        <v>343.58320897536538</v>
      </c>
      <c r="O21" s="122">
        <f t="shared" si="17"/>
        <v>354.10570445313874</v>
      </c>
      <c r="P21" s="122">
        <f t="shared" si="17"/>
        <v>365.51531332110494</v>
      </c>
      <c r="Q21" s="122">
        <f t="shared" si="17"/>
        <v>377.81203557926409</v>
      </c>
      <c r="R21" s="122">
        <f t="shared" si="17"/>
        <v>390.99587122761619</v>
      </c>
      <c r="S21" s="122">
        <f t="shared" si="17"/>
        <v>405.06682026616119</v>
      </c>
      <c r="T21" s="122">
        <f t="shared" si="17"/>
        <v>420.02488269489913</v>
      </c>
      <c r="U21" s="122">
        <f t="shared" si="17"/>
        <v>435.87005851382997</v>
      </c>
      <c r="V21" s="122">
        <f t="shared" si="17"/>
        <v>452.60234772295371</v>
      </c>
      <c r="W21" s="122">
        <f t="shared" si="17"/>
        <v>470.2217503222704</v>
      </c>
      <c r="X21" s="122">
        <f t="shared" si="17"/>
        <v>488.72826631178009</v>
      </c>
      <c r="Y21" s="122">
        <f t="shared" si="17"/>
        <v>508.12189569148256</v>
      </c>
      <c r="Z21" s="122">
        <f t="shared" si="17"/>
        <v>528.40263846137805</v>
      </c>
      <c r="AA21" s="122">
        <f t="shared" si="17"/>
        <v>549.57049462146631</v>
      </c>
    </row>
    <row r="22" spans="1:27" x14ac:dyDescent="0.2">
      <c r="A22" s="127" t="s">
        <v>291</v>
      </c>
      <c r="B22" s="68">
        <v>185</v>
      </c>
      <c r="C22" s="63" t="s">
        <v>214</v>
      </c>
      <c r="D22" s="64">
        <f t="shared" ref="D22:AA22" si="18">SIN(ATAN(15/100))</f>
        <v>0.14834045293024464</v>
      </c>
      <c r="E22" s="64">
        <f t="shared" si="18"/>
        <v>0.14834045293024464</v>
      </c>
      <c r="F22" s="64">
        <f t="shared" si="18"/>
        <v>0.14834045293024464</v>
      </c>
      <c r="G22" s="64">
        <f t="shared" si="18"/>
        <v>0.14834045293024464</v>
      </c>
      <c r="H22" s="64">
        <f t="shared" si="18"/>
        <v>0.14834045293024464</v>
      </c>
      <c r="I22" s="64">
        <f t="shared" si="18"/>
        <v>0.14834045293024464</v>
      </c>
      <c r="J22" s="64">
        <f t="shared" si="18"/>
        <v>0.14834045293024464</v>
      </c>
      <c r="K22" s="64">
        <f t="shared" si="18"/>
        <v>0.14834045293024464</v>
      </c>
      <c r="L22" s="64">
        <f t="shared" si="18"/>
        <v>0.14834045293024464</v>
      </c>
      <c r="M22" s="64">
        <f t="shared" si="18"/>
        <v>0.14834045293024464</v>
      </c>
      <c r="N22" s="64">
        <f t="shared" si="18"/>
        <v>0.14834045293024464</v>
      </c>
      <c r="O22" s="64">
        <f t="shared" si="18"/>
        <v>0.14834045293024464</v>
      </c>
      <c r="P22" s="64">
        <f t="shared" si="18"/>
        <v>0.14834045293024464</v>
      </c>
      <c r="Q22" s="64">
        <f t="shared" si="18"/>
        <v>0.14834045293024464</v>
      </c>
      <c r="R22" s="64">
        <f t="shared" si="18"/>
        <v>0.14834045293024464</v>
      </c>
      <c r="S22" s="64">
        <f t="shared" si="18"/>
        <v>0.14834045293024464</v>
      </c>
      <c r="T22" s="64">
        <f t="shared" si="18"/>
        <v>0.14834045293024464</v>
      </c>
      <c r="U22" s="64">
        <f t="shared" si="18"/>
        <v>0.14834045293024464</v>
      </c>
      <c r="V22" s="64">
        <f t="shared" si="18"/>
        <v>0.14834045293024464</v>
      </c>
      <c r="W22" s="64">
        <f t="shared" si="18"/>
        <v>0.14834045293024464</v>
      </c>
      <c r="X22" s="64">
        <f t="shared" si="18"/>
        <v>0.14834045293024464</v>
      </c>
      <c r="Y22" s="64">
        <f t="shared" si="18"/>
        <v>0.14834045293024464</v>
      </c>
      <c r="Z22" s="64">
        <f t="shared" si="18"/>
        <v>0.14834045293024464</v>
      </c>
      <c r="AA22" s="64">
        <f t="shared" si="18"/>
        <v>0.14834045293024464</v>
      </c>
    </row>
    <row r="23" spans="1:27" x14ac:dyDescent="0.2">
      <c r="A23" s="127" t="s">
        <v>292</v>
      </c>
      <c r="B23" s="68">
        <v>60</v>
      </c>
      <c r="C23" s="8" t="s">
        <v>215</v>
      </c>
      <c r="D23" s="67">
        <f t="shared" ref="D23:AA23" si="19">COS(ATAN(15/100))</f>
        <v>0.98893635286829751</v>
      </c>
      <c r="E23" s="67">
        <f t="shared" si="19"/>
        <v>0.98893635286829751</v>
      </c>
      <c r="F23" s="67">
        <f t="shared" si="19"/>
        <v>0.98893635286829751</v>
      </c>
      <c r="G23" s="67">
        <f t="shared" si="19"/>
        <v>0.98893635286829751</v>
      </c>
      <c r="H23" s="67">
        <f t="shared" si="19"/>
        <v>0.98893635286829751</v>
      </c>
      <c r="I23" s="67">
        <f t="shared" si="19"/>
        <v>0.98893635286829751</v>
      </c>
      <c r="J23" s="67">
        <f t="shared" si="19"/>
        <v>0.98893635286829751</v>
      </c>
      <c r="K23" s="67">
        <f t="shared" si="19"/>
        <v>0.98893635286829751</v>
      </c>
      <c r="L23" s="67">
        <f t="shared" si="19"/>
        <v>0.98893635286829751</v>
      </c>
      <c r="M23" s="67">
        <f t="shared" si="19"/>
        <v>0.98893635286829751</v>
      </c>
      <c r="N23" s="67">
        <f t="shared" si="19"/>
        <v>0.98893635286829751</v>
      </c>
      <c r="O23" s="67">
        <f t="shared" si="19"/>
        <v>0.98893635286829751</v>
      </c>
      <c r="P23" s="67">
        <f t="shared" si="19"/>
        <v>0.98893635286829751</v>
      </c>
      <c r="Q23" s="67">
        <f t="shared" si="19"/>
        <v>0.98893635286829751</v>
      </c>
      <c r="R23" s="67">
        <f t="shared" si="19"/>
        <v>0.98893635286829751</v>
      </c>
      <c r="S23" s="67">
        <f t="shared" si="19"/>
        <v>0.98893635286829751</v>
      </c>
      <c r="T23" s="67">
        <f t="shared" si="19"/>
        <v>0.98893635286829751</v>
      </c>
      <c r="U23" s="67">
        <f t="shared" si="19"/>
        <v>0.98893635286829751</v>
      </c>
      <c r="V23" s="67">
        <f t="shared" si="19"/>
        <v>0.98893635286829751</v>
      </c>
      <c r="W23" s="67">
        <f t="shared" si="19"/>
        <v>0.98893635286829751</v>
      </c>
      <c r="X23" s="67">
        <f t="shared" si="19"/>
        <v>0.98893635286829751</v>
      </c>
      <c r="Y23" s="67">
        <f t="shared" si="19"/>
        <v>0.98893635286829751</v>
      </c>
      <c r="Z23" s="67">
        <f t="shared" si="19"/>
        <v>0.98893635286829751</v>
      </c>
      <c r="AA23" s="67">
        <f t="shared" si="19"/>
        <v>0.98893635286829751</v>
      </c>
    </row>
    <row r="24" spans="1:27" x14ac:dyDescent="0.2">
      <c r="A24" s="128" t="s">
        <v>245</v>
      </c>
      <c r="B24" s="66">
        <v>15</v>
      </c>
      <c r="C24" s="8" t="s">
        <v>282</v>
      </c>
      <c r="D24" s="58">
        <f t="shared" ref="D24:AA24" si="20">$A$2*D22</f>
        <v>364.02747149082035</v>
      </c>
      <c r="E24" s="58">
        <f t="shared" si="20"/>
        <v>364.02747149082035</v>
      </c>
      <c r="F24" s="58">
        <f t="shared" si="20"/>
        <v>364.02747149082035</v>
      </c>
      <c r="G24" s="58">
        <f t="shared" si="20"/>
        <v>364.02747149082035</v>
      </c>
      <c r="H24" s="58">
        <f t="shared" si="20"/>
        <v>364.02747149082035</v>
      </c>
      <c r="I24" s="58">
        <f t="shared" si="20"/>
        <v>364.02747149082035</v>
      </c>
      <c r="J24" s="58">
        <f t="shared" si="20"/>
        <v>364.02747149082035</v>
      </c>
      <c r="K24" s="58">
        <f t="shared" si="20"/>
        <v>364.02747149082035</v>
      </c>
      <c r="L24" s="58">
        <f t="shared" si="20"/>
        <v>364.02747149082035</v>
      </c>
      <c r="M24" s="58">
        <f t="shared" si="20"/>
        <v>364.02747149082035</v>
      </c>
      <c r="N24" s="58">
        <f t="shared" si="20"/>
        <v>364.02747149082035</v>
      </c>
      <c r="O24" s="58">
        <f t="shared" si="20"/>
        <v>364.02747149082035</v>
      </c>
      <c r="P24" s="58">
        <f t="shared" si="20"/>
        <v>364.02747149082035</v>
      </c>
      <c r="Q24" s="58">
        <f t="shared" si="20"/>
        <v>364.02747149082035</v>
      </c>
      <c r="R24" s="58">
        <f t="shared" si="20"/>
        <v>364.02747149082035</v>
      </c>
      <c r="S24" s="58">
        <f t="shared" si="20"/>
        <v>364.02747149082035</v>
      </c>
      <c r="T24" s="58">
        <f t="shared" si="20"/>
        <v>364.02747149082035</v>
      </c>
      <c r="U24" s="58">
        <f t="shared" si="20"/>
        <v>364.02747149082035</v>
      </c>
      <c r="V24" s="58">
        <f t="shared" si="20"/>
        <v>364.02747149082035</v>
      </c>
      <c r="W24" s="58">
        <f t="shared" si="20"/>
        <v>364.02747149082035</v>
      </c>
      <c r="X24" s="58">
        <f t="shared" si="20"/>
        <v>364.02747149082035</v>
      </c>
      <c r="Y24" s="58">
        <f t="shared" si="20"/>
        <v>364.02747149082035</v>
      </c>
      <c r="Z24" s="58">
        <f t="shared" si="20"/>
        <v>364.02747149082035</v>
      </c>
      <c r="AA24" s="58">
        <f t="shared" si="20"/>
        <v>364.02747149082035</v>
      </c>
    </row>
    <row r="25" spans="1:27" ht="30" x14ac:dyDescent="0.2">
      <c r="C25" s="8" t="s">
        <v>284</v>
      </c>
      <c r="D25" s="58">
        <f t="shared" ref="D25:AA25" si="21">$A$20*$A$2*D23</f>
        <v>43.683296578898442</v>
      </c>
      <c r="E25" s="58">
        <f t="shared" si="21"/>
        <v>43.683296578898442</v>
      </c>
      <c r="F25" s="58">
        <f t="shared" si="21"/>
        <v>43.683296578898442</v>
      </c>
      <c r="G25" s="58">
        <f t="shared" si="21"/>
        <v>43.683296578898442</v>
      </c>
      <c r="H25" s="58">
        <f t="shared" si="21"/>
        <v>43.683296578898442</v>
      </c>
      <c r="I25" s="58">
        <f t="shared" si="21"/>
        <v>43.683296578898442</v>
      </c>
      <c r="J25" s="58">
        <f t="shared" si="21"/>
        <v>43.683296578898442</v>
      </c>
      <c r="K25" s="58">
        <f t="shared" si="21"/>
        <v>43.683296578898442</v>
      </c>
      <c r="L25" s="58">
        <f t="shared" si="21"/>
        <v>43.683296578898442</v>
      </c>
      <c r="M25" s="58">
        <f t="shared" si="21"/>
        <v>43.683296578898442</v>
      </c>
      <c r="N25" s="58">
        <f t="shared" si="21"/>
        <v>43.683296578898442</v>
      </c>
      <c r="O25" s="58">
        <f t="shared" si="21"/>
        <v>43.683296578898442</v>
      </c>
      <c r="P25" s="58">
        <f t="shared" si="21"/>
        <v>43.683296578898442</v>
      </c>
      <c r="Q25" s="58">
        <f t="shared" si="21"/>
        <v>43.683296578898442</v>
      </c>
      <c r="R25" s="58">
        <f t="shared" si="21"/>
        <v>43.683296578898442</v>
      </c>
      <c r="S25" s="58">
        <f t="shared" si="21"/>
        <v>43.683296578898442</v>
      </c>
      <c r="T25" s="58">
        <f t="shared" si="21"/>
        <v>43.683296578898442</v>
      </c>
      <c r="U25" s="58">
        <f t="shared" si="21"/>
        <v>43.683296578898442</v>
      </c>
      <c r="V25" s="58">
        <f t="shared" si="21"/>
        <v>43.683296578898442</v>
      </c>
      <c r="W25" s="58">
        <f t="shared" si="21"/>
        <v>43.683296578898442</v>
      </c>
      <c r="X25" s="58">
        <f t="shared" si="21"/>
        <v>43.683296578898442</v>
      </c>
      <c r="Y25" s="58">
        <f t="shared" si="21"/>
        <v>43.683296578898442</v>
      </c>
      <c r="Z25" s="58">
        <f t="shared" si="21"/>
        <v>43.683296578898442</v>
      </c>
      <c r="AA25" s="58">
        <f t="shared" si="21"/>
        <v>43.683296578898442</v>
      </c>
    </row>
    <row r="26" spans="1:27" x14ac:dyDescent="0.2">
      <c r="C26" s="8" t="s">
        <v>293</v>
      </c>
      <c r="D26" s="58">
        <f t="shared" ref="D26:AA26" si="22">D$5+D$7+D24+D25</f>
        <v>477.10551745914449</v>
      </c>
      <c r="E26" s="122">
        <f t="shared" si="22"/>
        <v>411.53705512552341</v>
      </c>
      <c r="F26" s="122">
        <f t="shared" si="22"/>
        <v>414.10330859093648</v>
      </c>
      <c r="G26" s="122">
        <f t="shared" si="22"/>
        <v>417.56638311712646</v>
      </c>
      <c r="H26" s="122">
        <f t="shared" si="22"/>
        <v>421.92627870409336</v>
      </c>
      <c r="I26" s="122">
        <f t="shared" si="22"/>
        <v>427.18299535183712</v>
      </c>
      <c r="J26" s="122">
        <f t="shared" si="22"/>
        <v>433.33653306035779</v>
      </c>
      <c r="K26" s="122">
        <f t="shared" si="22"/>
        <v>440.38689182965538</v>
      </c>
      <c r="L26" s="122">
        <f t="shared" si="22"/>
        <v>448.33407165972983</v>
      </c>
      <c r="M26" s="122">
        <f t="shared" si="22"/>
        <v>457.17807255058119</v>
      </c>
      <c r="N26" s="122">
        <f t="shared" si="22"/>
        <v>466.91889450220941</v>
      </c>
      <c r="O26" s="122">
        <f t="shared" si="22"/>
        <v>477.55653751461455</v>
      </c>
      <c r="P26" s="122">
        <f t="shared" si="22"/>
        <v>489.09100158779665</v>
      </c>
      <c r="Q26" s="122">
        <f t="shared" si="22"/>
        <v>501.52228672175556</v>
      </c>
      <c r="R26" s="122">
        <f t="shared" si="22"/>
        <v>514.85039291649139</v>
      </c>
      <c r="S26" s="122">
        <f t="shared" si="22"/>
        <v>529.07532017200413</v>
      </c>
      <c r="T26" s="122">
        <f t="shared" si="22"/>
        <v>544.19706848829378</v>
      </c>
      <c r="U26" s="122">
        <f t="shared" si="22"/>
        <v>560.21563786536024</v>
      </c>
      <c r="V26" s="122">
        <f t="shared" si="22"/>
        <v>577.13102830320361</v>
      </c>
      <c r="W26" s="122">
        <f t="shared" si="22"/>
        <v>594.94323980182401</v>
      </c>
      <c r="X26" s="122">
        <f t="shared" si="22"/>
        <v>613.65227236122121</v>
      </c>
      <c r="Y26" s="122">
        <f t="shared" si="22"/>
        <v>633.25812598139521</v>
      </c>
      <c r="Z26" s="122">
        <f t="shared" si="22"/>
        <v>653.76080066234636</v>
      </c>
      <c r="AA26" s="122">
        <f t="shared" si="22"/>
        <v>675.1602964040743</v>
      </c>
    </row>
    <row r="27" spans="1:27" x14ac:dyDescent="0.2">
      <c r="C27" s="8" t="s">
        <v>294</v>
      </c>
      <c r="D27" s="58">
        <f t="shared" ref="D27:AA27" si="23">D26*$A$18</f>
        <v>471.9410722873526</v>
      </c>
      <c r="E27" s="122">
        <f t="shared" si="23"/>
        <v>407.08235804158437</v>
      </c>
      <c r="F27" s="122">
        <f t="shared" si="23"/>
        <v>409.6208330076214</v>
      </c>
      <c r="G27" s="122">
        <f t="shared" si="23"/>
        <v>413.04642136385138</v>
      </c>
      <c r="H27" s="122">
        <f t="shared" si="23"/>
        <v>417.35912311027431</v>
      </c>
      <c r="I27" s="122">
        <f t="shared" si="23"/>
        <v>422.55893824689008</v>
      </c>
      <c r="J27" s="122">
        <f t="shared" si="23"/>
        <v>428.6458667736988</v>
      </c>
      <c r="K27" s="122">
        <f t="shared" si="23"/>
        <v>435.61990869070047</v>
      </c>
      <c r="L27" s="122">
        <f t="shared" si="23"/>
        <v>443.48106399789503</v>
      </c>
      <c r="M27" s="122">
        <f t="shared" si="23"/>
        <v>452.22933269528249</v>
      </c>
      <c r="N27" s="122">
        <f t="shared" si="23"/>
        <v>461.86471478286285</v>
      </c>
      <c r="O27" s="122">
        <f t="shared" si="23"/>
        <v>472.38721026063621</v>
      </c>
      <c r="P27" s="122">
        <f t="shared" si="23"/>
        <v>483.79681912860246</v>
      </c>
      <c r="Q27" s="122">
        <f t="shared" si="23"/>
        <v>496.09354138676161</v>
      </c>
      <c r="R27" s="122">
        <f t="shared" si="23"/>
        <v>509.27737703511372</v>
      </c>
      <c r="S27" s="122">
        <f t="shared" si="23"/>
        <v>523.34832607365865</v>
      </c>
      <c r="T27" s="122">
        <f t="shared" si="23"/>
        <v>538.30638850239666</v>
      </c>
      <c r="U27" s="122">
        <f t="shared" si="23"/>
        <v>554.15156432132744</v>
      </c>
      <c r="V27" s="122">
        <f t="shared" si="23"/>
        <v>570.88385353045112</v>
      </c>
      <c r="W27" s="122">
        <f t="shared" si="23"/>
        <v>588.50325612976792</v>
      </c>
      <c r="X27" s="122">
        <f t="shared" si="23"/>
        <v>607.0097721192775</v>
      </c>
      <c r="Y27" s="122">
        <f t="shared" si="23"/>
        <v>626.40340149897997</v>
      </c>
      <c r="Z27" s="122">
        <f t="shared" si="23"/>
        <v>646.68414426887557</v>
      </c>
      <c r="AA27" s="122">
        <f t="shared" si="23"/>
        <v>667.85200042896395</v>
      </c>
    </row>
    <row r="28" spans="1:27" x14ac:dyDescent="0.2">
      <c r="C28" s="63" t="s">
        <v>218</v>
      </c>
      <c r="D28" s="64">
        <f t="shared" ref="D28:AA28" si="24">SIN(ATAN(20/100))</f>
        <v>0.19611613513818404</v>
      </c>
      <c r="E28" s="64">
        <f t="shared" si="24"/>
        <v>0.19611613513818404</v>
      </c>
      <c r="F28" s="64">
        <f t="shared" si="24"/>
        <v>0.19611613513818404</v>
      </c>
      <c r="G28" s="64">
        <f t="shared" si="24"/>
        <v>0.19611613513818404</v>
      </c>
      <c r="H28" s="64">
        <f t="shared" si="24"/>
        <v>0.19611613513818404</v>
      </c>
      <c r="I28" s="64">
        <f t="shared" si="24"/>
        <v>0.19611613513818404</v>
      </c>
      <c r="J28" s="64">
        <f t="shared" si="24"/>
        <v>0.19611613513818404</v>
      </c>
      <c r="K28" s="64">
        <f t="shared" si="24"/>
        <v>0.19611613513818404</v>
      </c>
      <c r="L28" s="64">
        <f t="shared" si="24"/>
        <v>0.19611613513818404</v>
      </c>
      <c r="M28" s="64">
        <f t="shared" si="24"/>
        <v>0.19611613513818404</v>
      </c>
      <c r="N28" s="64">
        <f t="shared" si="24"/>
        <v>0.19611613513818404</v>
      </c>
      <c r="O28" s="64">
        <f t="shared" si="24"/>
        <v>0.19611613513818404</v>
      </c>
      <c r="P28" s="64">
        <f t="shared" si="24"/>
        <v>0.19611613513818404</v>
      </c>
      <c r="Q28" s="64">
        <f t="shared" si="24"/>
        <v>0.19611613513818404</v>
      </c>
      <c r="R28" s="64">
        <f t="shared" si="24"/>
        <v>0.19611613513818404</v>
      </c>
      <c r="S28" s="64">
        <f t="shared" si="24"/>
        <v>0.19611613513818404</v>
      </c>
      <c r="T28" s="64">
        <f t="shared" si="24"/>
        <v>0.19611613513818404</v>
      </c>
      <c r="U28" s="64">
        <f t="shared" si="24"/>
        <v>0.19611613513818404</v>
      </c>
      <c r="V28" s="64">
        <f t="shared" si="24"/>
        <v>0.19611613513818404</v>
      </c>
      <c r="W28" s="64">
        <f t="shared" si="24"/>
        <v>0.19611613513818404</v>
      </c>
      <c r="X28" s="64">
        <f t="shared" si="24"/>
        <v>0.19611613513818404</v>
      </c>
      <c r="Y28" s="64">
        <f t="shared" si="24"/>
        <v>0.19611613513818404</v>
      </c>
      <c r="Z28" s="64">
        <f t="shared" si="24"/>
        <v>0.19611613513818404</v>
      </c>
      <c r="AA28" s="64">
        <f t="shared" si="24"/>
        <v>0.19611613513818404</v>
      </c>
    </row>
    <row r="29" spans="1:27" x14ac:dyDescent="0.2">
      <c r="C29" s="8" t="s">
        <v>219</v>
      </c>
      <c r="D29" s="67">
        <f t="shared" ref="D29:AA29" si="25">COS(ATAN(20/100))</f>
        <v>0.98058067569092011</v>
      </c>
      <c r="E29" s="67">
        <f t="shared" si="25"/>
        <v>0.98058067569092011</v>
      </c>
      <c r="F29" s="67">
        <f t="shared" si="25"/>
        <v>0.98058067569092011</v>
      </c>
      <c r="G29" s="67">
        <f t="shared" si="25"/>
        <v>0.98058067569092011</v>
      </c>
      <c r="H29" s="67">
        <f t="shared" si="25"/>
        <v>0.98058067569092011</v>
      </c>
      <c r="I29" s="67">
        <f t="shared" si="25"/>
        <v>0.98058067569092011</v>
      </c>
      <c r="J29" s="67">
        <f t="shared" si="25"/>
        <v>0.98058067569092011</v>
      </c>
      <c r="K29" s="67">
        <f t="shared" si="25"/>
        <v>0.98058067569092011</v>
      </c>
      <c r="L29" s="67">
        <f t="shared" si="25"/>
        <v>0.98058067569092011</v>
      </c>
      <c r="M29" s="67">
        <f t="shared" si="25"/>
        <v>0.98058067569092011</v>
      </c>
      <c r="N29" s="67">
        <f t="shared" si="25"/>
        <v>0.98058067569092011</v>
      </c>
      <c r="O29" s="67">
        <f t="shared" si="25"/>
        <v>0.98058067569092011</v>
      </c>
      <c r="P29" s="67">
        <f t="shared" si="25"/>
        <v>0.98058067569092011</v>
      </c>
      <c r="Q29" s="67">
        <f t="shared" si="25"/>
        <v>0.98058067569092011</v>
      </c>
      <c r="R29" s="67">
        <f t="shared" si="25"/>
        <v>0.98058067569092011</v>
      </c>
      <c r="S29" s="67">
        <f t="shared" si="25"/>
        <v>0.98058067569092011</v>
      </c>
      <c r="T29" s="67">
        <f t="shared" si="25"/>
        <v>0.98058067569092011</v>
      </c>
      <c r="U29" s="67">
        <f t="shared" si="25"/>
        <v>0.98058067569092011</v>
      </c>
      <c r="V29" s="67">
        <f t="shared" si="25"/>
        <v>0.98058067569092011</v>
      </c>
      <c r="W29" s="67">
        <f t="shared" si="25"/>
        <v>0.98058067569092011</v>
      </c>
      <c r="X29" s="67">
        <f t="shared" si="25"/>
        <v>0.98058067569092011</v>
      </c>
      <c r="Y29" s="67">
        <f t="shared" si="25"/>
        <v>0.98058067569092011</v>
      </c>
      <c r="Z29" s="67">
        <f t="shared" si="25"/>
        <v>0.98058067569092011</v>
      </c>
      <c r="AA29" s="67">
        <f t="shared" si="25"/>
        <v>0.98058067569092011</v>
      </c>
    </row>
    <row r="30" spans="1:27" x14ac:dyDescent="0.2">
      <c r="C30" s="8" t="s">
        <v>282</v>
      </c>
      <c r="D30" s="58">
        <f t="shared" ref="D30:AA30" si="26">$A$2*D28</f>
        <v>481.26899562910364</v>
      </c>
      <c r="E30" s="58">
        <f t="shared" si="26"/>
        <v>481.26899562910364</v>
      </c>
      <c r="F30" s="58">
        <f t="shared" si="26"/>
        <v>481.26899562910364</v>
      </c>
      <c r="G30" s="58">
        <f t="shared" si="26"/>
        <v>481.26899562910364</v>
      </c>
      <c r="H30" s="58">
        <f t="shared" si="26"/>
        <v>481.26899562910364</v>
      </c>
      <c r="I30" s="58">
        <f t="shared" si="26"/>
        <v>481.26899562910364</v>
      </c>
      <c r="J30" s="58">
        <f t="shared" si="26"/>
        <v>481.26899562910364</v>
      </c>
      <c r="K30" s="58">
        <f t="shared" si="26"/>
        <v>481.26899562910364</v>
      </c>
      <c r="L30" s="58">
        <f t="shared" si="26"/>
        <v>481.26899562910364</v>
      </c>
      <c r="M30" s="58">
        <f t="shared" si="26"/>
        <v>481.26899562910364</v>
      </c>
      <c r="N30" s="58">
        <f t="shared" si="26"/>
        <v>481.26899562910364</v>
      </c>
      <c r="O30" s="58">
        <f t="shared" si="26"/>
        <v>481.26899562910364</v>
      </c>
      <c r="P30" s="58">
        <f t="shared" si="26"/>
        <v>481.26899562910364</v>
      </c>
      <c r="Q30" s="58">
        <f t="shared" si="26"/>
        <v>481.26899562910364</v>
      </c>
      <c r="R30" s="58">
        <f t="shared" si="26"/>
        <v>481.26899562910364</v>
      </c>
      <c r="S30" s="58">
        <f t="shared" si="26"/>
        <v>481.26899562910364</v>
      </c>
      <c r="T30" s="58">
        <f t="shared" si="26"/>
        <v>481.26899562910364</v>
      </c>
      <c r="U30" s="58">
        <f t="shared" si="26"/>
        <v>481.26899562910364</v>
      </c>
      <c r="V30" s="58">
        <f t="shared" si="26"/>
        <v>481.26899562910364</v>
      </c>
      <c r="W30" s="58">
        <f t="shared" si="26"/>
        <v>481.26899562910364</v>
      </c>
      <c r="X30" s="58">
        <f t="shared" si="26"/>
        <v>481.26899562910364</v>
      </c>
      <c r="Y30" s="58">
        <f t="shared" si="26"/>
        <v>481.26899562910364</v>
      </c>
      <c r="Z30" s="58">
        <f t="shared" si="26"/>
        <v>481.26899562910364</v>
      </c>
      <c r="AA30" s="58">
        <f t="shared" si="26"/>
        <v>481.26899562910364</v>
      </c>
    </row>
    <row r="31" spans="1:27" ht="30" x14ac:dyDescent="0.2">
      <c r="C31" s="8" t="s">
        <v>284</v>
      </c>
      <c r="D31" s="58">
        <f t="shared" ref="D31:AA31" si="27">$A$20*$A$2*D29</f>
        <v>43.314209606619329</v>
      </c>
      <c r="E31" s="58">
        <f t="shared" si="27"/>
        <v>43.314209606619329</v>
      </c>
      <c r="F31" s="58">
        <f t="shared" si="27"/>
        <v>43.314209606619329</v>
      </c>
      <c r="G31" s="58">
        <f t="shared" si="27"/>
        <v>43.314209606619329</v>
      </c>
      <c r="H31" s="58">
        <f t="shared" si="27"/>
        <v>43.314209606619329</v>
      </c>
      <c r="I31" s="58">
        <f t="shared" si="27"/>
        <v>43.314209606619329</v>
      </c>
      <c r="J31" s="58">
        <f t="shared" si="27"/>
        <v>43.314209606619329</v>
      </c>
      <c r="K31" s="58">
        <f t="shared" si="27"/>
        <v>43.314209606619329</v>
      </c>
      <c r="L31" s="58">
        <f t="shared" si="27"/>
        <v>43.314209606619329</v>
      </c>
      <c r="M31" s="58">
        <f t="shared" si="27"/>
        <v>43.314209606619329</v>
      </c>
      <c r="N31" s="58">
        <f t="shared" si="27"/>
        <v>43.314209606619329</v>
      </c>
      <c r="O31" s="58">
        <f t="shared" si="27"/>
        <v>43.314209606619329</v>
      </c>
      <c r="P31" s="58">
        <f t="shared" si="27"/>
        <v>43.314209606619329</v>
      </c>
      <c r="Q31" s="58">
        <f t="shared" si="27"/>
        <v>43.314209606619329</v>
      </c>
      <c r="R31" s="58">
        <f t="shared" si="27"/>
        <v>43.314209606619329</v>
      </c>
      <c r="S31" s="58">
        <f t="shared" si="27"/>
        <v>43.314209606619329</v>
      </c>
      <c r="T31" s="58">
        <f t="shared" si="27"/>
        <v>43.314209606619329</v>
      </c>
      <c r="U31" s="58">
        <f t="shared" si="27"/>
        <v>43.314209606619329</v>
      </c>
      <c r="V31" s="58">
        <f t="shared" si="27"/>
        <v>43.314209606619329</v>
      </c>
      <c r="W31" s="58">
        <f t="shared" si="27"/>
        <v>43.314209606619329</v>
      </c>
      <c r="X31" s="58">
        <f t="shared" si="27"/>
        <v>43.314209606619329</v>
      </c>
      <c r="Y31" s="58">
        <f t="shared" si="27"/>
        <v>43.314209606619329</v>
      </c>
      <c r="Z31" s="58">
        <f t="shared" si="27"/>
        <v>43.314209606619329</v>
      </c>
      <c r="AA31" s="58">
        <f t="shared" si="27"/>
        <v>43.314209606619329</v>
      </c>
    </row>
    <row r="32" spans="1:27" x14ac:dyDescent="0.2">
      <c r="C32" s="8" t="s">
        <v>295</v>
      </c>
      <c r="D32" s="58">
        <f t="shared" ref="D32:AA32" si="28">D$5+D$7+D30+D31</f>
        <v>593.97795462514875</v>
      </c>
      <c r="E32" s="122">
        <f t="shared" si="28"/>
        <v>528.40949229152761</v>
      </c>
      <c r="F32" s="122">
        <f t="shared" si="28"/>
        <v>530.97574575694068</v>
      </c>
      <c r="G32" s="122">
        <f t="shared" si="28"/>
        <v>534.43882028313067</v>
      </c>
      <c r="H32" s="122">
        <f t="shared" si="28"/>
        <v>538.79871587009757</v>
      </c>
      <c r="I32" s="122">
        <f t="shared" si="28"/>
        <v>544.05543251784138</v>
      </c>
      <c r="J32" s="122">
        <f t="shared" si="28"/>
        <v>550.208970226362</v>
      </c>
      <c r="K32" s="122">
        <f t="shared" si="28"/>
        <v>557.25932899565953</v>
      </c>
      <c r="L32" s="122">
        <f t="shared" si="28"/>
        <v>565.20650882573398</v>
      </c>
      <c r="M32" s="122">
        <f t="shared" si="28"/>
        <v>574.05050971658534</v>
      </c>
      <c r="N32" s="122">
        <f t="shared" si="28"/>
        <v>583.79133166821362</v>
      </c>
      <c r="O32" s="122">
        <f t="shared" si="28"/>
        <v>594.42897468061881</v>
      </c>
      <c r="P32" s="122">
        <f t="shared" si="28"/>
        <v>605.9634387538008</v>
      </c>
      <c r="Q32" s="122">
        <f t="shared" si="28"/>
        <v>618.39472388775971</v>
      </c>
      <c r="R32" s="122">
        <f t="shared" si="28"/>
        <v>631.72283008249553</v>
      </c>
      <c r="S32" s="122">
        <f t="shared" si="28"/>
        <v>645.94775733800827</v>
      </c>
      <c r="T32" s="122">
        <f t="shared" si="28"/>
        <v>661.06950565429804</v>
      </c>
      <c r="U32" s="122">
        <f t="shared" si="28"/>
        <v>677.0880750313645</v>
      </c>
      <c r="V32" s="122">
        <f t="shared" si="28"/>
        <v>694.00346546920787</v>
      </c>
      <c r="W32" s="122">
        <f t="shared" si="28"/>
        <v>711.81567696782815</v>
      </c>
      <c r="X32" s="122">
        <f t="shared" si="28"/>
        <v>730.52470952722547</v>
      </c>
      <c r="Y32" s="122">
        <f t="shared" si="28"/>
        <v>750.13056314739947</v>
      </c>
      <c r="Z32" s="122">
        <f t="shared" si="28"/>
        <v>770.6332378283505</v>
      </c>
      <c r="AA32" s="122">
        <f t="shared" si="28"/>
        <v>792.03273357007845</v>
      </c>
    </row>
    <row r="33" spans="3:27" x14ac:dyDescent="0.2">
      <c r="C33" s="8" t="s">
        <v>296</v>
      </c>
      <c r="D33" s="58">
        <f t="shared" ref="D33:AA33" si="29">D32*$A$18</f>
        <v>587.54841971586666</v>
      </c>
      <c r="E33" s="122">
        <f t="shared" si="29"/>
        <v>522.68970547009837</v>
      </c>
      <c r="F33" s="122">
        <f t="shared" si="29"/>
        <v>525.2281804361354</v>
      </c>
      <c r="G33" s="122">
        <f t="shared" si="29"/>
        <v>528.65376879236533</v>
      </c>
      <c r="H33" s="122">
        <f t="shared" si="29"/>
        <v>532.96647053878826</v>
      </c>
      <c r="I33" s="122">
        <f t="shared" si="29"/>
        <v>538.16628567540408</v>
      </c>
      <c r="J33" s="122">
        <f t="shared" si="29"/>
        <v>544.2532142022128</v>
      </c>
      <c r="K33" s="122">
        <f t="shared" si="29"/>
        <v>551.22725611921442</v>
      </c>
      <c r="L33" s="122">
        <f t="shared" si="29"/>
        <v>559.08841142640892</v>
      </c>
      <c r="M33" s="122">
        <f t="shared" si="29"/>
        <v>567.83668012379644</v>
      </c>
      <c r="N33" s="122">
        <f t="shared" si="29"/>
        <v>577.47206221137685</v>
      </c>
      <c r="O33" s="122">
        <f t="shared" si="29"/>
        <v>587.99455768915027</v>
      </c>
      <c r="P33" s="122">
        <f t="shared" si="29"/>
        <v>599.40416655711647</v>
      </c>
      <c r="Q33" s="122">
        <f t="shared" si="29"/>
        <v>611.70088881527556</v>
      </c>
      <c r="R33" s="122">
        <f t="shared" si="29"/>
        <v>624.88472446362766</v>
      </c>
      <c r="S33" s="122">
        <f t="shared" si="29"/>
        <v>638.95567350217266</v>
      </c>
      <c r="T33" s="122">
        <f t="shared" si="29"/>
        <v>653.91373593091066</v>
      </c>
      <c r="U33" s="122">
        <f t="shared" si="29"/>
        <v>669.75891174984145</v>
      </c>
      <c r="V33" s="122">
        <f t="shared" si="29"/>
        <v>686.49120095896524</v>
      </c>
      <c r="W33" s="122">
        <f t="shared" si="29"/>
        <v>704.11060355828181</v>
      </c>
      <c r="X33" s="122">
        <f t="shared" si="29"/>
        <v>722.61711954779162</v>
      </c>
      <c r="Y33" s="122">
        <f t="shared" si="29"/>
        <v>742.01074892749398</v>
      </c>
      <c r="Z33" s="122">
        <f t="shared" si="29"/>
        <v>762.29149169738946</v>
      </c>
      <c r="AA33" s="122">
        <f t="shared" si="29"/>
        <v>783.45934785747784</v>
      </c>
    </row>
    <row r="34" spans="3:27" x14ac:dyDescent="0.2">
      <c r="C34" s="63" t="s">
        <v>222</v>
      </c>
      <c r="D34" s="64">
        <f t="shared" ref="D34:AA34" si="30">SIN(ATAN(25/100))</f>
        <v>0.24253562503633297</v>
      </c>
      <c r="E34" s="64">
        <f t="shared" si="30"/>
        <v>0.24253562503633297</v>
      </c>
      <c r="F34" s="64">
        <f t="shared" si="30"/>
        <v>0.24253562503633297</v>
      </c>
      <c r="G34" s="64">
        <f t="shared" si="30"/>
        <v>0.24253562503633297</v>
      </c>
      <c r="H34" s="64">
        <f t="shared" si="30"/>
        <v>0.24253562503633297</v>
      </c>
      <c r="I34" s="64">
        <f t="shared" si="30"/>
        <v>0.24253562503633297</v>
      </c>
      <c r="J34" s="64">
        <f t="shared" si="30"/>
        <v>0.24253562503633297</v>
      </c>
      <c r="K34" s="64">
        <f t="shared" si="30"/>
        <v>0.24253562503633297</v>
      </c>
      <c r="L34" s="64">
        <f t="shared" si="30"/>
        <v>0.24253562503633297</v>
      </c>
      <c r="M34" s="64">
        <f t="shared" si="30"/>
        <v>0.24253562503633297</v>
      </c>
      <c r="N34" s="64">
        <f t="shared" si="30"/>
        <v>0.24253562503633297</v>
      </c>
      <c r="O34" s="64">
        <f t="shared" si="30"/>
        <v>0.24253562503633297</v>
      </c>
      <c r="P34" s="64">
        <f t="shared" si="30"/>
        <v>0.24253562503633297</v>
      </c>
      <c r="Q34" s="64">
        <f t="shared" si="30"/>
        <v>0.24253562503633297</v>
      </c>
      <c r="R34" s="64">
        <f t="shared" si="30"/>
        <v>0.24253562503633297</v>
      </c>
      <c r="S34" s="64">
        <f t="shared" si="30"/>
        <v>0.24253562503633297</v>
      </c>
      <c r="T34" s="64">
        <f t="shared" si="30"/>
        <v>0.24253562503633297</v>
      </c>
      <c r="U34" s="64">
        <f t="shared" si="30"/>
        <v>0.24253562503633297</v>
      </c>
      <c r="V34" s="64">
        <f t="shared" si="30"/>
        <v>0.24253562503633297</v>
      </c>
      <c r="W34" s="64">
        <f t="shared" si="30"/>
        <v>0.24253562503633297</v>
      </c>
      <c r="X34" s="64">
        <f t="shared" si="30"/>
        <v>0.24253562503633297</v>
      </c>
      <c r="Y34" s="64">
        <f t="shared" si="30"/>
        <v>0.24253562503633297</v>
      </c>
      <c r="Z34" s="64">
        <f t="shared" si="30"/>
        <v>0.24253562503633297</v>
      </c>
      <c r="AA34" s="64">
        <f t="shared" si="30"/>
        <v>0.24253562503633297</v>
      </c>
    </row>
    <row r="35" spans="3:27" x14ac:dyDescent="0.2">
      <c r="C35" s="8" t="s">
        <v>223</v>
      </c>
      <c r="D35" s="67">
        <f t="shared" ref="D35:AA35" si="31">COS(ATAN(25/100))</f>
        <v>0.97014250014533188</v>
      </c>
      <c r="E35" s="67">
        <f t="shared" si="31"/>
        <v>0.97014250014533188</v>
      </c>
      <c r="F35" s="67">
        <f t="shared" si="31"/>
        <v>0.97014250014533188</v>
      </c>
      <c r="G35" s="67">
        <f t="shared" si="31"/>
        <v>0.97014250014533188</v>
      </c>
      <c r="H35" s="67">
        <f t="shared" si="31"/>
        <v>0.97014250014533188</v>
      </c>
      <c r="I35" s="67">
        <f t="shared" si="31"/>
        <v>0.97014250014533188</v>
      </c>
      <c r="J35" s="67">
        <f t="shared" si="31"/>
        <v>0.97014250014533188</v>
      </c>
      <c r="K35" s="67">
        <f t="shared" si="31"/>
        <v>0.97014250014533188</v>
      </c>
      <c r="L35" s="67">
        <f t="shared" si="31"/>
        <v>0.97014250014533188</v>
      </c>
      <c r="M35" s="67">
        <f t="shared" si="31"/>
        <v>0.97014250014533188</v>
      </c>
      <c r="N35" s="67">
        <f t="shared" si="31"/>
        <v>0.97014250014533188</v>
      </c>
      <c r="O35" s="67">
        <f t="shared" si="31"/>
        <v>0.97014250014533188</v>
      </c>
      <c r="P35" s="67">
        <f t="shared" si="31"/>
        <v>0.97014250014533188</v>
      </c>
      <c r="Q35" s="67">
        <f t="shared" si="31"/>
        <v>0.97014250014533188</v>
      </c>
      <c r="R35" s="67">
        <f t="shared" si="31"/>
        <v>0.97014250014533188</v>
      </c>
      <c r="S35" s="67">
        <f t="shared" si="31"/>
        <v>0.97014250014533188</v>
      </c>
      <c r="T35" s="67">
        <f t="shared" si="31"/>
        <v>0.97014250014533188</v>
      </c>
      <c r="U35" s="67">
        <f t="shared" si="31"/>
        <v>0.97014250014533188</v>
      </c>
      <c r="V35" s="67">
        <f t="shared" si="31"/>
        <v>0.97014250014533188</v>
      </c>
      <c r="W35" s="67">
        <f t="shared" si="31"/>
        <v>0.97014250014533188</v>
      </c>
      <c r="X35" s="67">
        <f t="shared" si="31"/>
        <v>0.97014250014533188</v>
      </c>
      <c r="Y35" s="67">
        <f t="shared" si="31"/>
        <v>0.97014250014533188</v>
      </c>
      <c r="Z35" s="67">
        <f t="shared" si="31"/>
        <v>0.97014250014533188</v>
      </c>
      <c r="AA35" s="67">
        <f t="shared" si="31"/>
        <v>0.97014250014533188</v>
      </c>
    </row>
    <row r="36" spans="3:27" x14ac:dyDescent="0.2">
      <c r="C36" s="8" t="s">
        <v>282</v>
      </c>
      <c r="D36" s="58">
        <f t="shared" ref="D36:AA36" si="32">$A$2*D34</f>
        <v>595.18242383916106</v>
      </c>
      <c r="E36" s="58">
        <f t="shared" si="32"/>
        <v>595.18242383916106</v>
      </c>
      <c r="F36" s="58">
        <f t="shared" si="32"/>
        <v>595.18242383916106</v>
      </c>
      <c r="G36" s="58">
        <f t="shared" si="32"/>
        <v>595.18242383916106</v>
      </c>
      <c r="H36" s="58">
        <f t="shared" si="32"/>
        <v>595.18242383916106</v>
      </c>
      <c r="I36" s="58">
        <f t="shared" si="32"/>
        <v>595.18242383916106</v>
      </c>
      <c r="J36" s="58">
        <f t="shared" si="32"/>
        <v>595.18242383916106</v>
      </c>
      <c r="K36" s="58">
        <f t="shared" si="32"/>
        <v>595.18242383916106</v>
      </c>
      <c r="L36" s="58">
        <f t="shared" si="32"/>
        <v>595.18242383916106</v>
      </c>
      <c r="M36" s="58">
        <f t="shared" si="32"/>
        <v>595.18242383916106</v>
      </c>
      <c r="N36" s="58">
        <f t="shared" si="32"/>
        <v>595.18242383916106</v>
      </c>
      <c r="O36" s="58">
        <f t="shared" si="32"/>
        <v>595.18242383916106</v>
      </c>
      <c r="P36" s="58">
        <f t="shared" si="32"/>
        <v>595.18242383916106</v>
      </c>
      <c r="Q36" s="58">
        <f t="shared" si="32"/>
        <v>595.18242383916106</v>
      </c>
      <c r="R36" s="58">
        <f t="shared" si="32"/>
        <v>595.18242383916106</v>
      </c>
      <c r="S36" s="58">
        <f t="shared" si="32"/>
        <v>595.18242383916106</v>
      </c>
      <c r="T36" s="58">
        <f t="shared" si="32"/>
        <v>595.18242383916106</v>
      </c>
      <c r="U36" s="58">
        <f t="shared" si="32"/>
        <v>595.18242383916106</v>
      </c>
      <c r="V36" s="58">
        <f t="shared" si="32"/>
        <v>595.18242383916106</v>
      </c>
      <c r="W36" s="58">
        <f t="shared" si="32"/>
        <v>595.18242383916106</v>
      </c>
      <c r="X36" s="58">
        <f t="shared" si="32"/>
        <v>595.18242383916106</v>
      </c>
      <c r="Y36" s="58">
        <f t="shared" si="32"/>
        <v>595.18242383916106</v>
      </c>
      <c r="Z36" s="58">
        <f t="shared" si="32"/>
        <v>595.18242383916106</v>
      </c>
      <c r="AA36" s="58">
        <f t="shared" si="32"/>
        <v>595.18242383916106</v>
      </c>
    </row>
    <row r="37" spans="3:27" ht="30" x14ac:dyDescent="0.2">
      <c r="C37" s="8" t="s">
        <v>284</v>
      </c>
      <c r="D37" s="58">
        <f t="shared" ref="D37:AA37" si="33">$A$20*$A$2*D35</f>
        <v>42.853134516419601</v>
      </c>
      <c r="E37" s="58">
        <f t="shared" si="33"/>
        <v>42.853134516419601</v>
      </c>
      <c r="F37" s="58">
        <f t="shared" si="33"/>
        <v>42.853134516419601</v>
      </c>
      <c r="G37" s="58">
        <f t="shared" si="33"/>
        <v>42.853134516419601</v>
      </c>
      <c r="H37" s="58">
        <f t="shared" si="33"/>
        <v>42.853134516419601</v>
      </c>
      <c r="I37" s="58">
        <f t="shared" si="33"/>
        <v>42.853134516419601</v>
      </c>
      <c r="J37" s="58">
        <f t="shared" si="33"/>
        <v>42.853134516419601</v>
      </c>
      <c r="K37" s="58">
        <f t="shared" si="33"/>
        <v>42.853134516419601</v>
      </c>
      <c r="L37" s="58">
        <f t="shared" si="33"/>
        <v>42.853134516419601</v>
      </c>
      <c r="M37" s="58">
        <f t="shared" si="33"/>
        <v>42.853134516419601</v>
      </c>
      <c r="N37" s="58">
        <f t="shared" si="33"/>
        <v>42.853134516419601</v>
      </c>
      <c r="O37" s="58">
        <f t="shared" si="33"/>
        <v>42.853134516419601</v>
      </c>
      <c r="P37" s="58">
        <f t="shared" si="33"/>
        <v>42.853134516419601</v>
      </c>
      <c r="Q37" s="58">
        <f t="shared" si="33"/>
        <v>42.853134516419601</v>
      </c>
      <c r="R37" s="58">
        <f t="shared" si="33"/>
        <v>42.853134516419601</v>
      </c>
      <c r="S37" s="58">
        <f t="shared" si="33"/>
        <v>42.853134516419601</v>
      </c>
      <c r="T37" s="58">
        <f t="shared" si="33"/>
        <v>42.853134516419601</v>
      </c>
      <c r="U37" s="58">
        <f t="shared" si="33"/>
        <v>42.853134516419601</v>
      </c>
      <c r="V37" s="58">
        <f t="shared" si="33"/>
        <v>42.853134516419601</v>
      </c>
      <c r="W37" s="58">
        <f t="shared" si="33"/>
        <v>42.853134516419601</v>
      </c>
      <c r="X37" s="58">
        <f t="shared" si="33"/>
        <v>42.853134516419601</v>
      </c>
      <c r="Y37" s="58">
        <f t="shared" si="33"/>
        <v>42.853134516419601</v>
      </c>
      <c r="Z37" s="58">
        <f t="shared" si="33"/>
        <v>42.853134516419601</v>
      </c>
      <c r="AA37" s="58">
        <f t="shared" si="33"/>
        <v>42.853134516419601</v>
      </c>
    </row>
    <row r="38" spans="3:27" x14ac:dyDescent="0.2">
      <c r="C38" s="8" t="s">
        <v>297</v>
      </c>
      <c r="D38" s="58">
        <f t="shared" ref="D38:AA38" si="34">D$5+D$7+D36+D37</f>
        <v>707.43030774500642</v>
      </c>
      <c r="E38" s="122">
        <f t="shared" si="34"/>
        <v>641.86184541138527</v>
      </c>
      <c r="F38" s="122">
        <f t="shared" si="34"/>
        <v>644.42809887679834</v>
      </c>
      <c r="G38" s="122">
        <f t="shared" si="34"/>
        <v>647.89117340298833</v>
      </c>
      <c r="H38" s="122">
        <f t="shared" si="34"/>
        <v>652.25106898995523</v>
      </c>
      <c r="I38" s="122">
        <f t="shared" si="34"/>
        <v>657.50778563769893</v>
      </c>
      <c r="J38" s="122">
        <f t="shared" si="34"/>
        <v>663.66132334621966</v>
      </c>
      <c r="K38" s="122">
        <f t="shared" si="34"/>
        <v>670.71168211551719</v>
      </c>
      <c r="L38" s="122">
        <f t="shared" si="34"/>
        <v>678.65886194559164</v>
      </c>
      <c r="M38" s="122">
        <f t="shared" si="34"/>
        <v>687.502862836443</v>
      </c>
      <c r="N38" s="122">
        <f t="shared" si="34"/>
        <v>697.24368478807128</v>
      </c>
      <c r="O38" s="122">
        <f t="shared" si="34"/>
        <v>707.88132780047647</v>
      </c>
      <c r="P38" s="122">
        <f t="shared" si="34"/>
        <v>719.41579187365846</v>
      </c>
      <c r="Q38" s="122">
        <f t="shared" si="34"/>
        <v>731.84707700761737</v>
      </c>
      <c r="R38" s="122">
        <f t="shared" si="34"/>
        <v>745.1751832023532</v>
      </c>
      <c r="S38" s="122">
        <f t="shared" si="34"/>
        <v>759.40011045786594</v>
      </c>
      <c r="T38" s="122">
        <f t="shared" si="34"/>
        <v>774.5218587741557</v>
      </c>
      <c r="U38" s="122">
        <f t="shared" si="34"/>
        <v>790.54042815122216</v>
      </c>
      <c r="V38" s="122">
        <f t="shared" si="34"/>
        <v>807.45581858906553</v>
      </c>
      <c r="W38" s="122">
        <f t="shared" si="34"/>
        <v>825.26803008768582</v>
      </c>
      <c r="X38" s="122">
        <f t="shared" si="34"/>
        <v>843.97706264708313</v>
      </c>
      <c r="Y38" s="122">
        <f t="shared" si="34"/>
        <v>863.58291626725713</v>
      </c>
      <c r="Z38" s="122">
        <f t="shared" si="34"/>
        <v>884.08559094820816</v>
      </c>
      <c r="AA38" s="122">
        <f t="shared" si="34"/>
        <v>905.48508668993611</v>
      </c>
    </row>
    <row r="39" spans="3:27" x14ac:dyDescent="0.2">
      <c r="C39" s="8" t="s">
        <v>298</v>
      </c>
      <c r="D39" s="58">
        <f t="shared" ref="D39:AA39" si="35">D38*$A$18</f>
        <v>699.77270391625632</v>
      </c>
      <c r="E39" s="122">
        <f t="shared" si="35"/>
        <v>634.91398967048804</v>
      </c>
      <c r="F39" s="122">
        <f t="shared" si="35"/>
        <v>637.45246463652506</v>
      </c>
      <c r="G39" s="122">
        <f t="shared" si="35"/>
        <v>640.87805299275499</v>
      </c>
      <c r="H39" s="122">
        <f t="shared" si="35"/>
        <v>645.19075473917792</v>
      </c>
      <c r="I39" s="122">
        <f t="shared" si="35"/>
        <v>650.39056987579363</v>
      </c>
      <c r="J39" s="122">
        <f t="shared" si="35"/>
        <v>656.47749840260246</v>
      </c>
      <c r="K39" s="122">
        <f t="shared" si="35"/>
        <v>663.45154031960408</v>
      </c>
      <c r="L39" s="122">
        <f t="shared" si="35"/>
        <v>671.31269562679859</v>
      </c>
      <c r="M39" s="122">
        <f t="shared" si="35"/>
        <v>680.0609643241861</v>
      </c>
      <c r="N39" s="122">
        <f t="shared" si="35"/>
        <v>689.69634641176651</v>
      </c>
      <c r="O39" s="122">
        <f t="shared" si="35"/>
        <v>700.21884188953993</v>
      </c>
      <c r="P39" s="122">
        <f t="shared" si="35"/>
        <v>711.62845075750613</v>
      </c>
      <c r="Q39" s="122">
        <f t="shared" si="35"/>
        <v>723.92517301566522</v>
      </c>
      <c r="R39" s="122">
        <f t="shared" si="35"/>
        <v>737.10900866401732</v>
      </c>
      <c r="S39" s="122">
        <f t="shared" si="35"/>
        <v>751.17995770256232</v>
      </c>
      <c r="T39" s="122">
        <f t="shared" si="35"/>
        <v>766.13802013130032</v>
      </c>
      <c r="U39" s="122">
        <f t="shared" si="35"/>
        <v>781.98319595023111</v>
      </c>
      <c r="V39" s="122">
        <f t="shared" si="35"/>
        <v>798.7154851593549</v>
      </c>
      <c r="W39" s="122">
        <f t="shared" si="35"/>
        <v>816.33488775867147</v>
      </c>
      <c r="X39" s="122">
        <f t="shared" si="35"/>
        <v>834.84140374818128</v>
      </c>
      <c r="Y39" s="122">
        <f t="shared" si="35"/>
        <v>854.23503312788364</v>
      </c>
      <c r="Z39" s="122">
        <f t="shared" si="35"/>
        <v>874.51577589777912</v>
      </c>
      <c r="AA39" s="122">
        <f t="shared" si="35"/>
        <v>895.6836320578675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N31"/>
  <sheetViews>
    <sheetView windowProtection="1" zoomScaleNormal="100" workbookViewId="0">
      <selection activeCell="C6" sqref="C6"/>
    </sheetView>
  </sheetViews>
  <sheetFormatPr defaultRowHeight="15" x14ac:dyDescent="0.2"/>
  <cols>
    <col min="1" max="1" width="33.59765625"/>
    <col min="2" max="2" width="13.5"/>
    <col min="3" max="3" width="12"/>
    <col min="4" max="4" width="10.09765625"/>
    <col min="5" max="5" width="13.69921875" style="16"/>
    <col min="6" max="6" width="12.59765625"/>
    <col min="7" max="7" width="13.69921875" style="16"/>
    <col min="8" max="8" width="13.5"/>
    <col min="9" max="9" width="13.69921875" style="16"/>
    <col min="10" max="10" width="12.5"/>
    <col min="11" max="11" width="13.69921875" style="16"/>
    <col min="12" max="12" width="12.5"/>
    <col min="13" max="13" width="13.69921875" style="16"/>
    <col min="14" max="14" width="12.59765625"/>
    <col min="15" max="1025" width="11.19921875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129">
        <v>13</v>
      </c>
      <c r="F2" s="130">
        <v>13</v>
      </c>
      <c r="G2" s="130">
        <v>7.16</v>
      </c>
      <c r="H2" s="130">
        <v>7.16</v>
      </c>
      <c r="I2" s="130">
        <v>4.7300000000000004</v>
      </c>
      <c r="J2" s="130">
        <v>4.7300000000000004</v>
      </c>
      <c r="K2" s="130">
        <v>3.51</v>
      </c>
      <c r="L2" s="130">
        <v>3.51</v>
      </c>
      <c r="M2" s="130">
        <v>2.76</v>
      </c>
      <c r="N2" s="131">
        <v>2.76</v>
      </c>
    </row>
    <row r="3" spans="1:14" ht="45" x14ac:dyDescent="0.2">
      <c r="A3" s="79" t="s">
        <v>233</v>
      </c>
      <c r="B3" s="80"/>
      <c r="C3" s="9"/>
      <c r="D3" s="9"/>
      <c r="E3" s="82">
        <f>E2*$B$26</f>
        <v>11.83</v>
      </c>
      <c r="F3" s="82"/>
      <c r="G3" s="82">
        <f>G2*$B$26</f>
        <v>6.5156000000000001</v>
      </c>
      <c r="H3" s="82"/>
      <c r="I3" s="82">
        <f>I2*$B$26</f>
        <v>4.3043000000000005</v>
      </c>
      <c r="J3" s="82"/>
      <c r="K3" s="82">
        <f>K2*$B$26</f>
        <v>3.1940999999999997</v>
      </c>
      <c r="L3" s="82"/>
      <c r="M3" s="82">
        <f>M2*$B$26</f>
        <v>2.5116000000000001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132">
        <f>60/(F2*$B$31)</f>
        <v>5.4328310267485018E-3</v>
      </c>
      <c r="G4" s="9"/>
      <c r="H4" s="132">
        <f>60/(H2*$B$31)</f>
        <v>9.8640786798506307E-3</v>
      </c>
      <c r="I4" s="9"/>
      <c r="J4" s="132">
        <f>60/(J2*$B$31)</f>
        <v>1.4931670898040279E-2</v>
      </c>
      <c r="K4" s="9"/>
      <c r="L4" s="132">
        <f>60/(L2*$B$31)</f>
        <v>2.0121596395364819E-2</v>
      </c>
      <c r="M4" s="9"/>
      <c r="N4" s="133">
        <f>60/(N2*$B$31)</f>
        <v>2.5589421502800917E-2</v>
      </c>
    </row>
    <row r="5" spans="1:14" ht="60" x14ac:dyDescent="0.2">
      <c r="A5" s="79" t="s">
        <v>299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118.3</v>
      </c>
      <c r="F6" s="90">
        <f t="shared" ref="F6:F24" si="1">D6*$F$4</f>
        <v>42.104440457300889</v>
      </c>
      <c r="G6" s="90">
        <f t="shared" ref="G6:G24" si="2">C6*$G$3</f>
        <v>65.156000000000006</v>
      </c>
      <c r="H6" s="90">
        <f t="shared" ref="H6:H24" si="3">D6*$H$4</f>
        <v>76.446609768842393</v>
      </c>
      <c r="I6" s="90">
        <f t="shared" ref="I6:I24" si="4">C6*$I$3</f>
        <v>43.043000000000006</v>
      </c>
      <c r="J6" s="90">
        <f t="shared" ref="J6:J24" si="5">D6*$J$4</f>
        <v>115.72044945981216</v>
      </c>
      <c r="K6" s="90">
        <f t="shared" ref="K6:K24" si="6">C6*$K$3</f>
        <v>31.940999999999995</v>
      </c>
      <c r="L6" s="90">
        <f t="shared" ref="L6:L24" si="7">D6*$L$4</f>
        <v>155.94237206407735</v>
      </c>
      <c r="M6" s="90">
        <f t="shared" ref="M6:M24" si="8">C6*$M$3</f>
        <v>25.116</v>
      </c>
      <c r="N6" s="91">
        <f t="shared" ref="N6:N24" si="9">D6*$N$4</f>
        <v>198.31801664670709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177.45</v>
      </c>
      <c r="F7" s="90">
        <f t="shared" si="1"/>
        <v>34.770118571190409</v>
      </c>
      <c r="G7" s="90">
        <f t="shared" si="2"/>
        <v>97.733999999999995</v>
      </c>
      <c r="H7" s="90">
        <f t="shared" si="3"/>
        <v>63.130103551044037</v>
      </c>
      <c r="I7" s="90">
        <f t="shared" si="4"/>
        <v>64.56450000000001</v>
      </c>
      <c r="J7" s="90">
        <f t="shared" si="5"/>
        <v>95.562693747457786</v>
      </c>
      <c r="K7" s="90">
        <f t="shared" si="6"/>
        <v>47.911499999999997</v>
      </c>
      <c r="L7" s="90">
        <f t="shared" si="7"/>
        <v>128.77821693033485</v>
      </c>
      <c r="M7" s="90">
        <f t="shared" si="8"/>
        <v>37.673999999999999</v>
      </c>
      <c r="N7" s="91">
        <f t="shared" si="9"/>
        <v>163.77229761792586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236.6</v>
      </c>
      <c r="F8" s="90">
        <f t="shared" si="1"/>
        <v>27.164155133742508</v>
      </c>
      <c r="G8" s="90">
        <f t="shared" si="2"/>
        <v>130.31200000000001</v>
      </c>
      <c r="H8" s="90">
        <f t="shared" si="3"/>
        <v>49.320393399253156</v>
      </c>
      <c r="I8" s="90">
        <f t="shared" si="4"/>
        <v>86.086000000000013</v>
      </c>
      <c r="J8" s="90">
        <f t="shared" si="5"/>
        <v>74.65835449020139</v>
      </c>
      <c r="K8" s="90">
        <f t="shared" si="6"/>
        <v>63.881999999999991</v>
      </c>
      <c r="L8" s="90">
        <f t="shared" si="7"/>
        <v>100.60798197682409</v>
      </c>
      <c r="M8" s="90">
        <f t="shared" si="8"/>
        <v>50.231999999999999</v>
      </c>
      <c r="N8" s="91">
        <f t="shared" si="9"/>
        <v>127.94710751400459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295.75</v>
      </c>
      <c r="F9" s="90">
        <f t="shared" si="1"/>
        <v>24.991022723043109</v>
      </c>
      <c r="G9" s="90">
        <f t="shared" si="2"/>
        <v>162.89000000000001</v>
      </c>
      <c r="H9" s="90">
        <f t="shared" si="3"/>
        <v>45.374761927312903</v>
      </c>
      <c r="I9" s="90">
        <f t="shared" si="4"/>
        <v>107.60750000000002</v>
      </c>
      <c r="J9" s="90">
        <f t="shared" si="5"/>
        <v>68.685686130985275</v>
      </c>
      <c r="K9" s="90">
        <f t="shared" si="6"/>
        <v>79.852499999999992</v>
      </c>
      <c r="L9" s="90">
        <f t="shared" si="7"/>
        <v>92.559343418678168</v>
      </c>
      <c r="M9" s="90">
        <f t="shared" si="8"/>
        <v>62.79</v>
      </c>
      <c r="N9" s="91">
        <f t="shared" si="9"/>
        <v>117.71133891288422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354.9</v>
      </c>
      <c r="F10" s="90">
        <f t="shared" si="1"/>
        <v>22.274607209668858</v>
      </c>
      <c r="G10" s="90">
        <f t="shared" si="2"/>
        <v>195.46799999999999</v>
      </c>
      <c r="H10" s="90">
        <f t="shared" si="3"/>
        <v>40.442722587387586</v>
      </c>
      <c r="I10" s="90">
        <f t="shared" si="4"/>
        <v>129.12900000000002</v>
      </c>
      <c r="J10" s="90">
        <f t="shared" si="5"/>
        <v>61.219850681965141</v>
      </c>
      <c r="K10" s="90">
        <f t="shared" si="6"/>
        <v>95.822999999999993</v>
      </c>
      <c r="L10" s="90">
        <f t="shared" si="7"/>
        <v>82.498545220995766</v>
      </c>
      <c r="M10" s="90">
        <f t="shared" si="8"/>
        <v>75.347999999999999</v>
      </c>
      <c r="N10" s="91">
        <f t="shared" si="9"/>
        <v>104.91662816148376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414.05</v>
      </c>
      <c r="F11" s="90">
        <f t="shared" si="1"/>
        <v>21.188041004319157</v>
      </c>
      <c r="G11" s="90">
        <f t="shared" si="2"/>
        <v>228.04599999999999</v>
      </c>
      <c r="H11" s="90">
        <f t="shared" si="3"/>
        <v>38.469906851417463</v>
      </c>
      <c r="I11" s="90">
        <f t="shared" si="4"/>
        <v>150.65050000000002</v>
      </c>
      <c r="J11" s="90">
        <f t="shared" si="5"/>
        <v>58.233516502357084</v>
      </c>
      <c r="K11" s="90">
        <f t="shared" si="6"/>
        <v>111.79349999999999</v>
      </c>
      <c r="L11" s="90">
        <f t="shared" si="7"/>
        <v>78.474225941922796</v>
      </c>
      <c r="M11" s="90">
        <f t="shared" si="8"/>
        <v>87.906000000000006</v>
      </c>
      <c r="N11" s="91">
        <f t="shared" si="9"/>
        <v>99.79874386092358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473.2</v>
      </c>
      <c r="F12" s="90">
        <f t="shared" si="1"/>
        <v>20.101474798969456</v>
      </c>
      <c r="G12" s="90">
        <f t="shared" si="2"/>
        <v>260.62400000000002</v>
      </c>
      <c r="H12" s="90">
        <f t="shared" si="3"/>
        <v>36.497091115447333</v>
      </c>
      <c r="I12" s="90">
        <f t="shared" si="4"/>
        <v>172.17200000000003</v>
      </c>
      <c r="J12" s="90">
        <f t="shared" si="5"/>
        <v>55.247182322749033</v>
      </c>
      <c r="K12" s="90">
        <f t="shared" si="6"/>
        <v>127.76399999999998</v>
      </c>
      <c r="L12" s="90">
        <f t="shared" si="7"/>
        <v>74.449906662849827</v>
      </c>
      <c r="M12" s="90">
        <f t="shared" si="8"/>
        <v>100.464</v>
      </c>
      <c r="N12" s="91">
        <f t="shared" si="9"/>
        <v>94.680859560363388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532.35</v>
      </c>
      <c r="F13" s="90">
        <f t="shared" si="1"/>
        <v>19.014908593619758</v>
      </c>
      <c r="G13" s="90">
        <f t="shared" si="2"/>
        <v>293.202</v>
      </c>
      <c r="H13" s="90">
        <f t="shared" si="3"/>
        <v>34.52427537947721</v>
      </c>
      <c r="I13" s="90">
        <f t="shared" si="4"/>
        <v>193.69350000000003</v>
      </c>
      <c r="J13" s="90">
        <f t="shared" si="5"/>
        <v>52.260848143140976</v>
      </c>
      <c r="K13" s="90">
        <f t="shared" si="6"/>
        <v>143.7345</v>
      </c>
      <c r="L13" s="90">
        <f t="shared" si="7"/>
        <v>70.425587383776872</v>
      </c>
      <c r="M13" s="90">
        <f t="shared" si="8"/>
        <v>113.02200000000001</v>
      </c>
      <c r="N13" s="91">
        <f t="shared" si="9"/>
        <v>89.56297525980321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591.5</v>
      </c>
      <c r="F14" s="90">
        <f t="shared" si="1"/>
        <v>18.471625490944906</v>
      </c>
      <c r="G14" s="90">
        <f t="shared" si="2"/>
        <v>325.78000000000003</v>
      </c>
      <c r="H14" s="90">
        <f t="shared" si="3"/>
        <v>33.537867511492145</v>
      </c>
      <c r="I14" s="90">
        <f t="shared" si="4"/>
        <v>215.21500000000003</v>
      </c>
      <c r="J14" s="90">
        <f t="shared" si="5"/>
        <v>50.76768105333695</v>
      </c>
      <c r="K14" s="90">
        <f t="shared" si="6"/>
        <v>159.70499999999998</v>
      </c>
      <c r="L14" s="90">
        <f t="shared" si="7"/>
        <v>68.41342774424038</v>
      </c>
      <c r="M14" s="90">
        <f t="shared" si="8"/>
        <v>125.58</v>
      </c>
      <c r="N14" s="91">
        <f t="shared" si="9"/>
        <v>87.004033109523121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650.65</v>
      </c>
      <c r="F15" s="90">
        <f t="shared" si="1"/>
        <v>18.199983939607481</v>
      </c>
      <c r="G15" s="90">
        <f t="shared" si="2"/>
        <v>358.358</v>
      </c>
      <c r="H15" s="90">
        <f t="shared" si="3"/>
        <v>33.044663577499612</v>
      </c>
      <c r="I15" s="90">
        <f t="shared" si="4"/>
        <v>236.73650000000004</v>
      </c>
      <c r="J15" s="90">
        <f t="shared" si="5"/>
        <v>50.021097508434934</v>
      </c>
      <c r="K15" s="90">
        <f t="shared" si="6"/>
        <v>175.67549999999997</v>
      </c>
      <c r="L15" s="90">
        <f t="shared" si="7"/>
        <v>67.407347924472148</v>
      </c>
      <c r="M15" s="90">
        <f t="shared" si="8"/>
        <v>138.13800000000001</v>
      </c>
      <c r="N15" s="91">
        <f t="shared" si="9"/>
        <v>85.724562034383069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709.8</v>
      </c>
      <c r="F16" s="90">
        <f t="shared" si="1"/>
        <v>17.656700836932632</v>
      </c>
      <c r="G16" s="90">
        <f t="shared" si="2"/>
        <v>390.93599999999998</v>
      </c>
      <c r="H16" s="90">
        <f t="shared" si="3"/>
        <v>32.058255709514548</v>
      </c>
      <c r="I16" s="90">
        <f t="shared" si="4"/>
        <v>258.25800000000004</v>
      </c>
      <c r="J16" s="90">
        <f t="shared" si="5"/>
        <v>48.527930418630902</v>
      </c>
      <c r="K16" s="90">
        <f t="shared" si="6"/>
        <v>191.64599999999999</v>
      </c>
      <c r="L16" s="90">
        <f t="shared" si="7"/>
        <v>65.395188284935656</v>
      </c>
      <c r="M16" s="90">
        <f t="shared" si="8"/>
        <v>150.696</v>
      </c>
      <c r="N16" s="91">
        <f t="shared" si="9"/>
        <v>83.165619884102981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768.95</v>
      </c>
      <c r="F17" s="90">
        <f t="shared" si="1"/>
        <v>17.11341773425778</v>
      </c>
      <c r="G17" s="90">
        <f t="shared" si="2"/>
        <v>423.51400000000001</v>
      </c>
      <c r="H17" s="90">
        <f t="shared" si="3"/>
        <v>31.071847841529486</v>
      </c>
      <c r="I17" s="90">
        <f t="shared" si="4"/>
        <v>279.77950000000004</v>
      </c>
      <c r="J17" s="90">
        <f t="shared" si="5"/>
        <v>47.034763328826877</v>
      </c>
      <c r="K17" s="90">
        <f t="shared" si="6"/>
        <v>207.61649999999997</v>
      </c>
      <c r="L17" s="90">
        <f t="shared" si="7"/>
        <v>63.383028645399179</v>
      </c>
      <c r="M17" s="90">
        <f t="shared" si="8"/>
        <v>163.25399999999999</v>
      </c>
      <c r="N17" s="91">
        <f t="shared" si="9"/>
        <v>80.606677733822892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828.1</v>
      </c>
      <c r="F18" s="90">
        <f t="shared" si="1"/>
        <v>16.570134631582931</v>
      </c>
      <c r="G18" s="90">
        <f t="shared" si="2"/>
        <v>456.09199999999998</v>
      </c>
      <c r="H18" s="90">
        <f t="shared" si="3"/>
        <v>30.085439973544425</v>
      </c>
      <c r="I18" s="90">
        <f t="shared" si="4"/>
        <v>301.30100000000004</v>
      </c>
      <c r="J18" s="90">
        <f t="shared" si="5"/>
        <v>45.541596239022851</v>
      </c>
      <c r="K18" s="90">
        <f t="shared" si="6"/>
        <v>223.58699999999999</v>
      </c>
      <c r="L18" s="90">
        <f t="shared" si="7"/>
        <v>61.370869005862701</v>
      </c>
      <c r="M18" s="90">
        <f t="shared" si="8"/>
        <v>175.81200000000001</v>
      </c>
      <c r="N18" s="91">
        <f t="shared" si="9"/>
        <v>78.047735583542789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887.25</v>
      </c>
      <c r="F19" s="90">
        <f t="shared" si="1"/>
        <v>16.298493080245507</v>
      </c>
      <c r="G19" s="90">
        <f t="shared" si="2"/>
        <v>488.67</v>
      </c>
      <c r="H19" s="90">
        <f t="shared" si="3"/>
        <v>29.592236039551892</v>
      </c>
      <c r="I19" s="90">
        <f t="shared" si="4"/>
        <v>322.82250000000005</v>
      </c>
      <c r="J19" s="90">
        <f t="shared" si="5"/>
        <v>44.795012694120835</v>
      </c>
      <c r="K19" s="90">
        <f t="shared" si="6"/>
        <v>239.55749999999998</v>
      </c>
      <c r="L19" s="90">
        <f t="shared" si="7"/>
        <v>60.364789186094455</v>
      </c>
      <c r="M19" s="90">
        <f t="shared" si="8"/>
        <v>188.37</v>
      </c>
      <c r="N19" s="91">
        <f t="shared" si="9"/>
        <v>76.768264508402751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946.4</v>
      </c>
      <c r="F20" s="90">
        <f t="shared" si="1"/>
        <v>16.026851528908079</v>
      </c>
      <c r="G20" s="90">
        <f t="shared" si="2"/>
        <v>521.24800000000005</v>
      </c>
      <c r="H20" s="90">
        <f t="shared" si="3"/>
        <v>29.09903210555936</v>
      </c>
      <c r="I20" s="90">
        <f t="shared" si="4"/>
        <v>344.34400000000005</v>
      </c>
      <c r="J20" s="90">
        <f t="shared" si="5"/>
        <v>44.048429149218819</v>
      </c>
      <c r="K20" s="90">
        <f t="shared" si="6"/>
        <v>255.52799999999996</v>
      </c>
      <c r="L20" s="90">
        <f t="shared" si="7"/>
        <v>59.358709366326217</v>
      </c>
      <c r="M20" s="90">
        <f t="shared" si="8"/>
        <v>200.928</v>
      </c>
      <c r="N20" s="91">
        <f t="shared" si="9"/>
        <v>75.4887934332627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1005.55</v>
      </c>
      <c r="F21" s="90">
        <f t="shared" si="1"/>
        <v>15.755209977570654</v>
      </c>
      <c r="G21" s="90">
        <f t="shared" si="2"/>
        <v>553.82600000000002</v>
      </c>
      <c r="H21" s="90">
        <f t="shared" si="3"/>
        <v>28.605828171566831</v>
      </c>
      <c r="I21" s="90">
        <f t="shared" si="4"/>
        <v>365.86550000000005</v>
      </c>
      <c r="J21" s="90">
        <f t="shared" si="5"/>
        <v>43.30184560431681</v>
      </c>
      <c r="K21" s="90">
        <f t="shared" si="6"/>
        <v>271.49849999999998</v>
      </c>
      <c r="L21" s="90">
        <f t="shared" si="7"/>
        <v>58.352629546557978</v>
      </c>
      <c r="M21" s="90">
        <f t="shared" si="8"/>
        <v>213.48600000000002</v>
      </c>
      <c r="N21" s="91">
        <f t="shared" si="9"/>
        <v>74.209322358122662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1064.7</v>
      </c>
      <c r="F22" s="90">
        <f t="shared" si="1"/>
        <v>15.48356842623323</v>
      </c>
      <c r="G22" s="90">
        <f t="shared" si="2"/>
        <v>586.404</v>
      </c>
      <c r="H22" s="90">
        <f t="shared" si="3"/>
        <v>28.112624237574298</v>
      </c>
      <c r="I22" s="90">
        <f t="shared" si="4"/>
        <v>387.38700000000006</v>
      </c>
      <c r="J22" s="90">
        <f t="shared" si="5"/>
        <v>42.555262059414794</v>
      </c>
      <c r="K22" s="90">
        <f t="shared" si="6"/>
        <v>287.46899999999999</v>
      </c>
      <c r="L22" s="90">
        <f t="shared" si="7"/>
        <v>57.346549726789732</v>
      </c>
      <c r="M22" s="90">
        <f t="shared" si="8"/>
        <v>226.04400000000001</v>
      </c>
      <c r="N22" s="91">
        <f t="shared" si="9"/>
        <v>72.929851282982611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1123.8499999999999</v>
      </c>
      <c r="F23" s="90">
        <f t="shared" si="1"/>
        <v>15.211926874895806</v>
      </c>
      <c r="G23" s="90">
        <f t="shared" si="2"/>
        <v>618.98199999999997</v>
      </c>
      <c r="H23" s="90">
        <f t="shared" si="3"/>
        <v>27.619420303581766</v>
      </c>
      <c r="I23" s="90">
        <f t="shared" si="4"/>
        <v>408.90850000000006</v>
      </c>
      <c r="J23" s="90">
        <f t="shared" si="5"/>
        <v>41.808678514512778</v>
      </c>
      <c r="K23" s="90">
        <f t="shared" si="6"/>
        <v>303.43949999999995</v>
      </c>
      <c r="L23" s="90">
        <f t="shared" si="7"/>
        <v>56.340469907021493</v>
      </c>
      <c r="M23" s="90">
        <f t="shared" si="8"/>
        <v>238.602</v>
      </c>
      <c r="N23" s="91">
        <f t="shared" si="9"/>
        <v>71.650380207842559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1183</v>
      </c>
      <c r="F24" s="96">
        <f t="shared" si="1"/>
        <v>14.940285323558379</v>
      </c>
      <c r="G24" s="96">
        <f t="shared" si="2"/>
        <v>651.56000000000006</v>
      </c>
      <c r="H24" s="96">
        <f t="shared" si="3"/>
        <v>27.126216369589233</v>
      </c>
      <c r="I24" s="96">
        <f t="shared" si="4"/>
        <v>430.43000000000006</v>
      </c>
      <c r="J24" s="96">
        <f t="shared" si="5"/>
        <v>41.062094969610769</v>
      </c>
      <c r="K24" s="96">
        <f t="shared" si="6"/>
        <v>319.40999999999997</v>
      </c>
      <c r="L24" s="96">
        <f t="shared" si="7"/>
        <v>55.334390087253254</v>
      </c>
      <c r="M24" s="96">
        <f t="shared" si="8"/>
        <v>251.16</v>
      </c>
      <c r="N24" s="97">
        <f t="shared" si="9"/>
        <v>70.370909132702522</v>
      </c>
    </row>
    <row r="26" spans="1:14" ht="30" x14ac:dyDescent="0.2">
      <c r="A26" s="134" t="s">
        <v>241</v>
      </c>
      <c r="B26" s="135">
        <v>0.91</v>
      </c>
    </row>
    <row r="27" spans="1:14" x14ac:dyDescent="0.2">
      <c r="A27" s="114" t="s">
        <v>242</v>
      </c>
      <c r="B27" s="101"/>
    </row>
    <row r="28" spans="1:14" ht="30" x14ac:dyDescent="0.2">
      <c r="A28" s="127" t="s">
        <v>291</v>
      </c>
      <c r="B28" s="68">
        <v>185</v>
      </c>
    </row>
    <row r="29" spans="1:14" ht="30" x14ac:dyDescent="0.2">
      <c r="A29" s="127" t="s">
        <v>292</v>
      </c>
      <c r="B29" s="68">
        <v>60</v>
      </c>
    </row>
    <row r="30" spans="1:14" ht="30" x14ac:dyDescent="0.2">
      <c r="A30" s="136" t="s">
        <v>245</v>
      </c>
      <c r="B30" s="137">
        <v>15</v>
      </c>
    </row>
    <row r="31" spans="1:14" ht="30" x14ac:dyDescent="0.2">
      <c r="A31" s="138" t="s">
        <v>286</v>
      </c>
      <c r="B31" s="139">
        <f>(5280*12)/(($B$30+((2*$B$28*$B$29/100)/25.4))*3.141592653589)</f>
        <v>849.53582996798627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"/>
  <cols>
    <col min="1" max="1" width="0.19921875" style="16"/>
    <col min="2" max="2" width="48.59765625" style="16"/>
    <col min="3" max="3" width="18.19921875" style="16"/>
    <col min="4" max="4" width="15.69921875" style="16"/>
    <col min="5" max="5" width="16.5" style="16"/>
    <col min="6" max="6" width="13.19921875" style="16"/>
    <col min="7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36" customHeight="1" x14ac:dyDescent="0.2">
      <c r="B2" s="17" t="s">
        <v>300</v>
      </c>
      <c r="C2" s="17" t="s">
        <v>301</v>
      </c>
      <c r="D2" s="17" t="s">
        <v>302</v>
      </c>
      <c r="E2" s="17" t="s">
        <v>303</v>
      </c>
      <c r="F2" s="17" t="s">
        <v>304</v>
      </c>
    </row>
    <row r="3" spans="2:6" ht="20.45" customHeight="1" x14ac:dyDescent="0.2">
      <c r="B3" s="140" t="s">
        <v>305</v>
      </c>
      <c r="C3" s="141">
        <v>3000</v>
      </c>
      <c r="D3" s="141">
        <f>C3*C12/100</f>
        <v>1800</v>
      </c>
      <c r="E3" s="141">
        <f>C3*C13/100</f>
        <v>1200</v>
      </c>
      <c r="F3" s="141">
        <v>1200</v>
      </c>
    </row>
    <row r="4" spans="2:6" ht="20.25" customHeight="1" x14ac:dyDescent="0.2">
      <c r="B4" s="17" t="s">
        <v>306</v>
      </c>
      <c r="C4" s="142">
        <v>600</v>
      </c>
      <c r="D4" s="142">
        <v>500</v>
      </c>
      <c r="E4" s="142">
        <f>C4-D4</f>
        <v>100</v>
      </c>
      <c r="F4" s="142"/>
    </row>
    <row r="5" spans="2:6" ht="20.25" customHeight="1" x14ac:dyDescent="0.2">
      <c r="B5" s="17" t="s">
        <v>307</v>
      </c>
      <c r="C5" s="141">
        <f>C3-C4</f>
        <v>2400</v>
      </c>
      <c r="D5" s="141">
        <f>D3-D4</f>
        <v>1300</v>
      </c>
      <c r="E5" s="141">
        <f>C5-D5</f>
        <v>1100</v>
      </c>
      <c r="F5" s="141"/>
    </row>
    <row r="6" spans="2:6" ht="20.25" customHeight="1" x14ac:dyDescent="0.2">
      <c r="B6" s="17" t="s">
        <v>308</v>
      </c>
      <c r="C6" s="142">
        <v>1400</v>
      </c>
      <c r="D6" s="142">
        <v>400</v>
      </c>
      <c r="E6" s="142">
        <f>C6-D6</f>
        <v>1000</v>
      </c>
      <c r="F6" s="142"/>
    </row>
    <row r="7" spans="2:6" ht="20.25" customHeight="1" x14ac:dyDescent="0.2">
      <c r="B7" s="17" t="s">
        <v>309</v>
      </c>
      <c r="C7" s="141">
        <f>C5+C6</f>
        <v>3800</v>
      </c>
      <c r="D7" s="141">
        <f>D5+D6</f>
        <v>1700</v>
      </c>
      <c r="E7" s="141">
        <f>E5+E6</f>
        <v>2100</v>
      </c>
      <c r="F7" s="141">
        <f>F3+C4-C6</f>
        <v>400</v>
      </c>
    </row>
    <row r="8" spans="2:6" ht="20.25" customHeight="1" x14ac:dyDescent="0.2">
      <c r="B8" s="17" t="s">
        <v>310</v>
      </c>
      <c r="C8" s="142">
        <f>C10*C11</f>
        <v>1200</v>
      </c>
      <c r="D8" s="142"/>
      <c r="E8" s="142"/>
      <c r="F8" s="142"/>
    </row>
    <row r="9" spans="2:6" ht="20.25" customHeight="1" x14ac:dyDescent="0.2">
      <c r="B9" s="17" t="s">
        <v>311</v>
      </c>
      <c r="C9" s="141">
        <f>C8*100/C3</f>
        <v>40</v>
      </c>
      <c r="D9" s="141"/>
      <c r="E9" s="141"/>
      <c r="F9" s="141"/>
    </row>
    <row r="10" spans="2:6" ht="20.25" customHeight="1" x14ac:dyDescent="0.2">
      <c r="B10" s="17" t="s">
        <v>312</v>
      </c>
      <c r="C10" s="142">
        <v>60</v>
      </c>
      <c r="D10" s="142"/>
      <c r="E10" s="142"/>
      <c r="F10" s="142"/>
    </row>
    <row r="11" spans="2:6" ht="20.25" customHeight="1" x14ac:dyDescent="0.2">
      <c r="B11" s="17" t="s">
        <v>313</v>
      </c>
      <c r="C11" s="141">
        <v>20</v>
      </c>
      <c r="D11" s="141"/>
      <c r="E11" s="141"/>
      <c r="F11" s="141"/>
    </row>
    <row r="12" spans="2:6" ht="20.25" customHeight="1" x14ac:dyDescent="0.2">
      <c r="B12" s="17" t="s">
        <v>314</v>
      </c>
      <c r="C12" s="142">
        <v>60</v>
      </c>
      <c r="D12" s="142"/>
      <c r="E12" s="142"/>
      <c r="F12" s="142"/>
    </row>
    <row r="13" spans="2:6" ht="20.25" customHeight="1" x14ac:dyDescent="0.2">
      <c r="B13" s="17" t="s">
        <v>315</v>
      </c>
      <c r="C13" s="141">
        <v>40</v>
      </c>
      <c r="D13" s="141"/>
      <c r="E13" s="141"/>
      <c r="F13" s="141"/>
    </row>
    <row r="14" spans="2:6" ht="20.25" customHeight="1" x14ac:dyDescent="0.2">
      <c r="B14" s="17"/>
      <c r="C14" s="142"/>
      <c r="D14" s="142"/>
      <c r="E14" s="142"/>
      <c r="F14" s="142"/>
    </row>
    <row r="15" spans="2:6" ht="20.25" customHeight="1" x14ac:dyDescent="0.2">
      <c r="B15" s="17"/>
      <c r="C15" s="141"/>
      <c r="D15" s="141"/>
      <c r="E15" s="141"/>
      <c r="F15" s="141"/>
    </row>
    <row r="16" spans="2:6" ht="36" customHeight="1" x14ac:dyDescent="0.2">
      <c r="B16" s="17" t="s">
        <v>300</v>
      </c>
      <c r="C16" s="17" t="s">
        <v>316</v>
      </c>
      <c r="D16" s="17" t="s">
        <v>317</v>
      </c>
      <c r="E16" s="17" t="s">
        <v>318</v>
      </c>
      <c r="F16" s="17" t="s">
        <v>319</v>
      </c>
    </row>
    <row r="17" spans="2:6" ht="20.25" customHeight="1" x14ac:dyDescent="0.2">
      <c r="B17" s="140" t="s">
        <v>305</v>
      </c>
      <c r="C17" s="42">
        <v>1361</v>
      </c>
      <c r="D17" s="42">
        <f>C17*C26/100</f>
        <v>816.6</v>
      </c>
      <c r="E17" s="42">
        <f>C17*C27/100</f>
        <v>544.4</v>
      </c>
      <c r="F17" s="42">
        <v>544</v>
      </c>
    </row>
    <row r="18" spans="2:6" ht="20.25" customHeight="1" x14ac:dyDescent="0.2">
      <c r="B18" s="17" t="s">
        <v>306</v>
      </c>
      <c r="C18" s="44">
        <v>272</v>
      </c>
      <c r="D18" s="44">
        <v>227</v>
      </c>
      <c r="E18" s="44">
        <f>C18-D18</f>
        <v>45</v>
      </c>
      <c r="F18" s="44"/>
    </row>
    <row r="19" spans="2:6" ht="20.25" customHeight="1" x14ac:dyDescent="0.2">
      <c r="B19" s="17" t="s">
        <v>307</v>
      </c>
      <c r="C19" s="42">
        <f>C17-C18</f>
        <v>1089</v>
      </c>
      <c r="D19" s="42">
        <f>D17-D18</f>
        <v>589.6</v>
      </c>
      <c r="E19" s="42">
        <f>C19-D19</f>
        <v>499.4</v>
      </c>
      <c r="F19" s="42"/>
    </row>
    <row r="20" spans="2:6" ht="20.25" customHeight="1" x14ac:dyDescent="0.2">
      <c r="B20" s="17" t="s">
        <v>308</v>
      </c>
      <c r="C20" s="44">
        <v>635</v>
      </c>
      <c r="D20" s="44">
        <v>181</v>
      </c>
      <c r="E20" s="44">
        <f>C20-D20</f>
        <v>454</v>
      </c>
      <c r="F20" s="44"/>
    </row>
    <row r="21" spans="2:6" ht="20.25" customHeight="1" x14ac:dyDescent="0.2">
      <c r="B21" s="17" t="s">
        <v>309</v>
      </c>
      <c r="C21" s="42">
        <f>C19+C20</f>
        <v>1724</v>
      </c>
      <c r="D21" s="42">
        <f>D19+D20</f>
        <v>770.6</v>
      </c>
      <c r="E21" s="42">
        <f>E19+E20</f>
        <v>953.4</v>
      </c>
      <c r="F21" s="42">
        <f>F17+C18-C20</f>
        <v>181</v>
      </c>
    </row>
    <row r="22" spans="2:6" ht="20.25" customHeight="1" x14ac:dyDescent="0.2">
      <c r="B22" s="17" t="s">
        <v>310</v>
      </c>
      <c r="C22" s="142">
        <f>C24*C25</f>
        <v>540</v>
      </c>
      <c r="D22" s="142"/>
      <c r="E22" s="142"/>
      <c r="F22" s="142"/>
    </row>
    <row r="23" spans="2:6" ht="20.25" customHeight="1" x14ac:dyDescent="0.2">
      <c r="B23" s="17" t="s">
        <v>311</v>
      </c>
      <c r="C23" s="42">
        <f>C22*100/C17</f>
        <v>39.676708302718588</v>
      </c>
      <c r="D23" s="141"/>
      <c r="E23" s="141"/>
      <c r="F23" s="141"/>
    </row>
    <row r="24" spans="2:6" ht="20.25" customHeight="1" x14ac:dyDescent="0.2">
      <c r="B24" s="17" t="s">
        <v>312</v>
      </c>
      <c r="C24" s="142">
        <v>27</v>
      </c>
      <c r="D24" s="142"/>
      <c r="E24" s="142"/>
      <c r="F24" s="142"/>
    </row>
    <row r="25" spans="2:6" ht="20.25" customHeight="1" x14ac:dyDescent="0.2">
      <c r="B25" s="17" t="s">
        <v>313</v>
      </c>
      <c r="C25" s="141">
        <v>20</v>
      </c>
      <c r="D25" s="141"/>
      <c r="E25" s="141"/>
      <c r="F25" s="141"/>
    </row>
    <row r="26" spans="2:6" ht="20.25" customHeight="1" x14ac:dyDescent="0.2">
      <c r="B26" s="17" t="s">
        <v>314</v>
      </c>
      <c r="C26" s="142">
        <v>60</v>
      </c>
      <c r="D26" s="142"/>
      <c r="E26" s="142"/>
      <c r="F26" s="142"/>
    </row>
    <row r="27" spans="2:6" ht="20.25" customHeight="1" x14ac:dyDescent="0.2">
      <c r="B27" s="17" t="s">
        <v>315</v>
      </c>
      <c r="C27" s="141">
        <v>40</v>
      </c>
      <c r="D27" s="141"/>
      <c r="E27" s="141"/>
      <c r="F27" s="141"/>
    </row>
    <row r="28" spans="2:6" ht="20.25" customHeight="1" x14ac:dyDescent="0.2">
      <c r="B28" s="17"/>
      <c r="C28" s="142"/>
      <c r="D28" s="142"/>
      <c r="E28" s="142"/>
      <c r="F28" s="142"/>
    </row>
    <row r="29" spans="2:6" ht="20.25" customHeight="1" x14ac:dyDescent="0.2">
      <c r="B29" s="17"/>
      <c r="C29" s="141"/>
      <c r="D29" s="141"/>
      <c r="E29" s="141"/>
      <c r="F29" s="141"/>
    </row>
    <row r="30" spans="2:6" ht="35.25" customHeight="1" x14ac:dyDescent="0.2">
      <c r="B30" s="17" t="s">
        <v>320</v>
      </c>
      <c r="C30" s="17" t="s">
        <v>321</v>
      </c>
      <c r="D30" s="17" t="s">
        <v>322</v>
      </c>
      <c r="E30" s="17" t="s">
        <v>323</v>
      </c>
      <c r="F30" s="17" t="s">
        <v>324</v>
      </c>
    </row>
    <row r="31" spans="2:6" ht="20.25" customHeight="1" x14ac:dyDescent="0.2">
      <c r="B31" s="140" t="s">
        <v>325</v>
      </c>
      <c r="C31" s="42">
        <v>1361</v>
      </c>
      <c r="D31" s="42">
        <f>C31*C40/100</f>
        <v>816.6</v>
      </c>
      <c r="E31" s="42">
        <f>C31*C41/100</f>
        <v>544.4</v>
      </c>
      <c r="F31" s="42">
        <v>544</v>
      </c>
    </row>
    <row r="32" spans="2:6" ht="28.5" customHeight="1" x14ac:dyDescent="0.2">
      <c r="B32" s="17" t="s">
        <v>326</v>
      </c>
      <c r="C32" s="44">
        <v>272</v>
      </c>
      <c r="D32" s="44">
        <v>227</v>
      </c>
      <c r="E32" s="44">
        <f>C32-D32</f>
        <v>45</v>
      </c>
      <c r="F32" s="44"/>
    </row>
    <row r="33" spans="2:6" ht="20.25" customHeight="1" x14ac:dyDescent="0.2">
      <c r="B33" s="17" t="s">
        <v>327</v>
      </c>
      <c r="C33" s="42">
        <f>C31-C32</f>
        <v>1089</v>
      </c>
      <c r="D33" s="42">
        <f>D31-D32</f>
        <v>589.6</v>
      </c>
      <c r="E33" s="42">
        <f>C33-D33</f>
        <v>499.4</v>
      </c>
      <c r="F33" s="42"/>
    </row>
    <row r="34" spans="2:6" ht="20.25" customHeight="1" x14ac:dyDescent="0.2">
      <c r="B34" s="17" t="s">
        <v>328</v>
      </c>
      <c r="C34" s="44">
        <v>635</v>
      </c>
      <c r="D34" s="44">
        <v>181</v>
      </c>
      <c r="E34" s="44">
        <f>C34-D34</f>
        <v>454</v>
      </c>
      <c r="F34" s="44"/>
    </row>
    <row r="35" spans="2:6" ht="20.25" customHeight="1" x14ac:dyDescent="0.2">
      <c r="B35" s="17" t="s">
        <v>329</v>
      </c>
      <c r="C35" s="42">
        <f>C33+C34</f>
        <v>1724</v>
      </c>
      <c r="D35" s="42">
        <f>D33+D34</f>
        <v>770.6</v>
      </c>
      <c r="E35" s="42">
        <f>E33+E34</f>
        <v>953.4</v>
      </c>
      <c r="F35" s="42">
        <f>F31+C32-C34</f>
        <v>181</v>
      </c>
    </row>
    <row r="36" spans="2:6" ht="20.25" customHeight="1" x14ac:dyDescent="0.2">
      <c r="B36" s="17" t="s">
        <v>330</v>
      </c>
      <c r="C36" s="142">
        <f>C38*C39</f>
        <v>540</v>
      </c>
      <c r="D36" s="142"/>
      <c r="E36" s="142"/>
      <c r="F36" s="142"/>
    </row>
    <row r="37" spans="2:6" ht="20.25" customHeight="1" x14ac:dyDescent="0.2">
      <c r="B37" s="17" t="s">
        <v>331</v>
      </c>
      <c r="C37" s="42">
        <f>C36*100/C31</f>
        <v>39.676708302718588</v>
      </c>
      <c r="D37" s="141"/>
      <c r="E37" s="141"/>
      <c r="F37" s="141"/>
    </row>
    <row r="38" spans="2:6" ht="20.25" customHeight="1" x14ac:dyDescent="0.2">
      <c r="B38" s="17" t="s">
        <v>332</v>
      </c>
      <c r="C38" s="142">
        <v>27</v>
      </c>
      <c r="D38" s="142"/>
      <c r="E38" s="142"/>
      <c r="F38" s="142"/>
    </row>
    <row r="39" spans="2:6" ht="20.25" customHeight="1" x14ac:dyDescent="0.2">
      <c r="B39" s="17" t="s">
        <v>333</v>
      </c>
      <c r="C39" s="141">
        <v>20</v>
      </c>
      <c r="D39" s="141"/>
      <c r="E39" s="141"/>
      <c r="F39" s="141"/>
    </row>
    <row r="40" spans="2:6" ht="20.25" customHeight="1" x14ac:dyDescent="0.2">
      <c r="B40" s="17" t="s">
        <v>334</v>
      </c>
      <c r="C40" s="142">
        <v>60</v>
      </c>
      <c r="D40" s="142"/>
      <c r="E40" s="142"/>
      <c r="F40" s="142"/>
    </row>
    <row r="41" spans="2:6" ht="20.25" customHeight="1" x14ac:dyDescent="0.2">
      <c r="B41" s="17" t="s">
        <v>335</v>
      </c>
      <c r="C41" s="141">
        <v>40</v>
      </c>
      <c r="D41" s="141"/>
      <c r="E41" s="141"/>
      <c r="F41" s="141"/>
    </row>
    <row r="42" spans="2:6" ht="20.25" customHeight="1" x14ac:dyDescent="0.2">
      <c r="B42" s="17"/>
      <c r="C42" s="142"/>
      <c r="D42" s="142"/>
      <c r="E42" s="142"/>
      <c r="F42" s="142"/>
    </row>
  </sheetData>
  <hyperlinks>
    <hyperlink ref="B3" r:id="rId1"/>
    <hyperlink ref="B17" r:id="rId2"/>
    <hyperlink ref="B31" r:id="rId3"/>
  </hyperlink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windowProtection="1" showGridLines="0" zoomScaleNormal="100" workbookViewId="0">
      <pane xSplit="1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"/>
  <cols>
    <col min="1" max="1" width="9" style="16"/>
    <col min="2" max="2" width="51.5" style="16"/>
    <col min="3" max="3" width="33" style="16"/>
    <col min="4" max="4" width="69.69921875" style="16"/>
    <col min="5" max="5" width="62" style="16"/>
    <col min="6" max="6" width="63.59765625" style="16"/>
    <col min="7" max="7" width="43.59765625" style="16"/>
    <col min="8" max="8" width="11.09765625" style="16"/>
    <col min="9" max="10" width="14" style="16"/>
    <col min="11" max="11" width="10.8984375" style="16"/>
    <col min="12" max="256" width="9" style="16"/>
    <col min="257" max="1025" width="9"/>
  </cols>
  <sheetData>
    <row r="1" spans="1:256" x14ac:dyDescent="0.2">
      <c r="A1" s="147" t="s">
        <v>336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45" customHeight="1" x14ac:dyDescent="0.2">
      <c r="A2" s="17" t="s">
        <v>337</v>
      </c>
      <c r="B2" s="17" t="s">
        <v>338</v>
      </c>
      <c r="C2" s="17" t="s">
        <v>339</v>
      </c>
      <c r="D2" s="17" t="s">
        <v>340</v>
      </c>
      <c r="E2" s="17" t="s">
        <v>341</v>
      </c>
      <c r="F2" s="17" t="s">
        <v>342</v>
      </c>
      <c r="G2" s="17" t="s">
        <v>343</v>
      </c>
      <c r="H2" s="17"/>
      <c r="I2" s="17"/>
      <c r="J2" s="17"/>
      <c r="K2" s="1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 s="17" t="s">
        <v>344</v>
      </c>
      <c r="B3" s="21" t="s">
        <v>345</v>
      </c>
      <c r="C3" s="21" t="s">
        <v>346</v>
      </c>
      <c r="D3" s="21" t="s">
        <v>347</v>
      </c>
      <c r="E3" s="21" t="s">
        <v>348</v>
      </c>
      <c r="F3" s="21" t="s">
        <v>349</v>
      </c>
      <c r="G3" s="21" t="s">
        <v>348</v>
      </c>
      <c r="H3" s="21"/>
      <c r="I3" s="21"/>
      <c r="J3" s="21"/>
      <c r="K3" s="2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 s="17" t="s">
        <v>350</v>
      </c>
      <c r="B4" s="21" t="s">
        <v>351</v>
      </c>
      <c r="C4" s="21" t="s">
        <v>352</v>
      </c>
      <c r="D4" s="21" t="s">
        <v>353</v>
      </c>
      <c r="E4" s="21" t="s">
        <v>354</v>
      </c>
      <c r="F4" s="21" t="s">
        <v>355</v>
      </c>
      <c r="G4" s="21" t="s">
        <v>354</v>
      </c>
      <c r="H4" s="21"/>
      <c r="I4" s="21"/>
      <c r="J4" s="21"/>
      <c r="K4" s="2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 s="17" t="s">
        <v>356</v>
      </c>
      <c r="B5" s="21" t="s">
        <v>357</v>
      </c>
      <c r="C5" s="21" t="s">
        <v>358</v>
      </c>
      <c r="D5" s="21" t="s">
        <v>359</v>
      </c>
      <c r="E5" s="21" t="s">
        <v>360</v>
      </c>
      <c r="F5" s="21" t="s">
        <v>361</v>
      </c>
      <c r="G5" s="21" t="s">
        <v>360</v>
      </c>
      <c r="H5" s="21"/>
      <c r="I5" s="21"/>
      <c r="J5" s="21"/>
      <c r="K5" s="2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 s="17"/>
      <c r="B6" s="21"/>
      <c r="C6" s="21"/>
      <c r="D6" s="21"/>
      <c r="E6" s="21" t="s">
        <v>362</v>
      </c>
      <c r="F6" s="21" t="s">
        <v>363</v>
      </c>
      <c r="G6" s="21" t="s">
        <v>362</v>
      </c>
      <c r="H6" s="21"/>
      <c r="I6" s="21"/>
      <c r="J6" s="21"/>
      <c r="K6" s="2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 s="17"/>
      <c r="B7" s="21"/>
      <c r="C7" s="21"/>
      <c r="D7" s="21"/>
      <c r="E7" s="21" t="s">
        <v>364</v>
      </c>
      <c r="F7" s="21" t="s">
        <v>365</v>
      </c>
      <c r="G7" s="21" t="s">
        <v>364</v>
      </c>
      <c r="H7" s="21"/>
      <c r="I7" s="21"/>
      <c r="J7" s="21"/>
      <c r="K7" s="21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 s="17" t="s">
        <v>366</v>
      </c>
      <c r="B8" s="21" t="s">
        <v>367</v>
      </c>
      <c r="C8" s="21" t="s">
        <v>368</v>
      </c>
      <c r="D8" s="21" t="s">
        <v>369</v>
      </c>
      <c r="E8" s="21" t="s">
        <v>370</v>
      </c>
      <c r="F8" s="21" t="s">
        <v>371</v>
      </c>
      <c r="G8" s="21" t="s">
        <v>370</v>
      </c>
      <c r="H8" s="21"/>
      <c r="I8" s="21"/>
      <c r="J8" s="21"/>
      <c r="K8" s="2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 s="17"/>
      <c r="B9" s="21"/>
      <c r="C9" s="21"/>
      <c r="D9" s="21"/>
      <c r="E9" s="21" t="s">
        <v>372</v>
      </c>
      <c r="F9" s="21" t="s">
        <v>373</v>
      </c>
      <c r="G9" s="21" t="s">
        <v>372</v>
      </c>
      <c r="H9" s="21"/>
      <c r="I9" s="21"/>
      <c r="J9" s="21"/>
      <c r="K9" s="2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 s="17" t="s">
        <v>374</v>
      </c>
      <c r="B10" s="21" t="s">
        <v>375</v>
      </c>
      <c r="C10" s="21" t="s">
        <v>376</v>
      </c>
      <c r="D10" s="21" t="s">
        <v>377</v>
      </c>
      <c r="E10" s="21" t="s">
        <v>376</v>
      </c>
      <c r="F10" s="21" t="s">
        <v>378</v>
      </c>
      <c r="G10" s="21" t="s">
        <v>379</v>
      </c>
      <c r="H10" s="21"/>
      <c r="I10" s="21"/>
      <c r="J10" s="21"/>
      <c r="K10" s="2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25" customHeight="1" x14ac:dyDescent="0.2">
      <c r="A11" s="17" t="s">
        <v>380</v>
      </c>
      <c r="B11" s="21" t="s">
        <v>381</v>
      </c>
      <c r="C11" s="21" t="s">
        <v>382</v>
      </c>
      <c r="D11" s="21" t="s">
        <v>383</v>
      </c>
      <c r="E11" s="21" t="s">
        <v>382</v>
      </c>
      <c r="F11" s="21" t="s">
        <v>383</v>
      </c>
      <c r="G11" s="21" t="s">
        <v>382</v>
      </c>
      <c r="H11" s="21"/>
      <c r="I11" s="21"/>
      <c r="J11" s="21"/>
      <c r="K11" s="2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25" customHeight="1" x14ac:dyDescent="0.2">
      <c r="A12" s="17"/>
      <c r="B12" s="21"/>
      <c r="C12" s="21"/>
      <c r="D12" s="21"/>
      <c r="E12" s="21" t="s">
        <v>384</v>
      </c>
      <c r="F12" s="21" t="s">
        <v>385</v>
      </c>
      <c r="G12" s="21" t="s">
        <v>384</v>
      </c>
      <c r="H12" s="21"/>
      <c r="I12" s="21"/>
      <c r="J12" s="21"/>
      <c r="K12" s="2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25" customHeight="1" x14ac:dyDescent="0.2">
      <c r="A13" s="17" t="s">
        <v>386</v>
      </c>
      <c r="B13" s="21" t="s">
        <v>387</v>
      </c>
      <c r="C13" s="21" t="s">
        <v>388</v>
      </c>
      <c r="D13" s="21" t="s">
        <v>389</v>
      </c>
      <c r="E13" s="21" t="s">
        <v>390</v>
      </c>
      <c r="F13" s="21" t="s">
        <v>391</v>
      </c>
      <c r="G13" s="21" t="s">
        <v>390</v>
      </c>
      <c r="H13" s="21"/>
      <c r="I13" s="21"/>
      <c r="J13" s="21"/>
      <c r="K13" s="2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25" customHeight="1" x14ac:dyDescent="0.2">
      <c r="A14" s="17" t="s">
        <v>392</v>
      </c>
      <c r="B14" s="21" t="s">
        <v>393</v>
      </c>
      <c r="C14" s="21" t="s">
        <v>394</v>
      </c>
      <c r="D14" s="21" t="s">
        <v>395</v>
      </c>
      <c r="E14" s="21" t="s">
        <v>396</v>
      </c>
      <c r="F14" s="21" t="s">
        <v>397</v>
      </c>
      <c r="G14" s="21" t="s">
        <v>398</v>
      </c>
      <c r="H14" s="21"/>
      <c r="I14" s="21"/>
      <c r="J14" s="21"/>
      <c r="K14" s="2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25" customHeight="1" x14ac:dyDescent="0.2">
      <c r="A15" s="17" t="s">
        <v>399</v>
      </c>
      <c r="B15" s="21" t="s">
        <v>400</v>
      </c>
      <c r="C15" s="21" t="s">
        <v>401</v>
      </c>
      <c r="D15" s="21" t="s">
        <v>402</v>
      </c>
      <c r="E15" s="21" t="s">
        <v>403</v>
      </c>
      <c r="F15" s="21" t="s">
        <v>404</v>
      </c>
      <c r="G15" s="21" t="s">
        <v>405</v>
      </c>
      <c r="H15" s="21"/>
      <c r="I15" s="21"/>
      <c r="J15" s="21"/>
      <c r="K15" s="2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1.2" customHeight="1" x14ac:dyDescent="0.2">
      <c r="A16" s="17" t="s">
        <v>406</v>
      </c>
      <c r="B16" s="21" t="s">
        <v>407</v>
      </c>
      <c r="C16" s="21" t="s">
        <v>408</v>
      </c>
      <c r="D16" s="21" t="s">
        <v>409</v>
      </c>
      <c r="E16" s="21" t="s">
        <v>410</v>
      </c>
      <c r="F16" s="21" t="s">
        <v>411</v>
      </c>
      <c r="G16" s="21" t="s">
        <v>412</v>
      </c>
      <c r="H16" s="21"/>
      <c r="I16" s="21"/>
      <c r="J16" s="21"/>
      <c r="K16" s="2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1.2" customHeight="1" x14ac:dyDescent="0.2">
      <c r="A17" s="17" t="s">
        <v>413</v>
      </c>
      <c r="B17" s="21" t="s">
        <v>414</v>
      </c>
      <c r="C17" s="21" t="s">
        <v>415</v>
      </c>
      <c r="D17" s="21" t="s">
        <v>416</v>
      </c>
      <c r="E17" s="21" t="s">
        <v>417</v>
      </c>
      <c r="F17" s="21" t="s">
        <v>418</v>
      </c>
      <c r="G17" s="21" t="s">
        <v>419</v>
      </c>
      <c r="H17" s="21"/>
      <c r="I17" s="21"/>
      <c r="J17" s="21"/>
      <c r="K17" s="2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25" customHeight="1" x14ac:dyDescent="0.2">
      <c r="A18" s="17" t="s">
        <v>420</v>
      </c>
      <c r="B18" s="21" t="s">
        <v>421</v>
      </c>
      <c r="C18" s="21" t="s">
        <v>422</v>
      </c>
      <c r="D18" s="21" t="s">
        <v>423</v>
      </c>
      <c r="E18" s="21" t="s">
        <v>424</v>
      </c>
      <c r="F18" s="21" t="s">
        <v>425</v>
      </c>
      <c r="G18" s="21" t="s">
        <v>426</v>
      </c>
      <c r="H18" s="21"/>
      <c r="I18" s="21"/>
      <c r="J18" s="21"/>
      <c r="K18" s="2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25" customHeight="1" x14ac:dyDescent="0.2">
      <c r="A19" s="17" t="s">
        <v>427</v>
      </c>
      <c r="B19" s="21" t="s">
        <v>428</v>
      </c>
      <c r="C19" s="21" t="s">
        <v>428</v>
      </c>
      <c r="D19" s="21" t="s">
        <v>429</v>
      </c>
      <c r="E19" s="21" t="s">
        <v>430</v>
      </c>
      <c r="F19" s="21" t="s">
        <v>431</v>
      </c>
      <c r="G19" s="21" t="s">
        <v>430</v>
      </c>
      <c r="H19" s="21"/>
      <c r="I19" s="21"/>
      <c r="J19" s="21"/>
      <c r="K19" s="2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25" customHeight="1" x14ac:dyDescent="0.2">
      <c r="A20" s="17" t="s">
        <v>432</v>
      </c>
      <c r="B20" s="21" t="s">
        <v>433</v>
      </c>
      <c r="C20" s="21" t="s">
        <v>433</v>
      </c>
      <c r="D20" s="21" t="s">
        <v>434</v>
      </c>
      <c r="E20" s="21" t="s">
        <v>435</v>
      </c>
      <c r="F20" s="21" t="s">
        <v>436</v>
      </c>
      <c r="G20" s="21" t="s">
        <v>435</v>
      </c>
      <c r="H20" s="21"/>
      <c r="I20" s="21"/>
      <c r="J20" s="21"/>
      <c r="K20" s="2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25" customHeight="1" x14ac:dyDescent="0.2">
      <c r="A21" s="17" t="s">
        <v>437</v>
      </c>
      <c r="B21" s="21" t="s">
        <v>438</v>
      </c>
      <c r="C21" s="21" t="s">
        <v>439</v>
      </c>
      <c r="D21" s="21" t="s">
        <v>440</v>
      </c>
      <c r="E21" s="21" t="s">
        <v>441</v>
      </c>
      <c r="F21" s="21" t="s">
        <v>442</v>
      </c>
      <c r="G21" s="21" t="s">
        <v>441</v>
      </c>
      <c r="H21" s="21"/>
      <c r="I21" s="21"/>
      <c r="J21" s="21"/>
      <c r="K21" s="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25" customHeight="1" x14ac:dyDescent="0.2">
      <c r="A22" s="17"/>
      <c r="B22" s="21"/>
      <c r="C22" s="21"/>
      <c r="D22" s="21"/>
      <c r="E22" s="21" t="s">
        <v>443</v>
      </c>
      <c r="F22" s="21" t="s">
        <v>444</v>
      </c>
      <c r="G22" s="21" t="s">
        <v>443</v>
      </c>
      <c r="H22" s="21"/>
      <c r="I22" s="21"/>
      <c r="J22" s="21"/>
      <c r="K22" s="21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25" customHeight="1" x14ac:dyDescent="0.2">
      <c r="A23" s="17" t="s">
        <v>445</v>
      </c>
      <c r="B23" s="21" t="s">
        <v>446</v>
      </c>
      <c r="C23" s="21" t="s">
        <v>447</v>
      </c>
      <c r="D23" s="21" t="s">
        <v>448</v>
      </c>
      <c r="E23" s="21" t="s">
        <v>449</v>
      </c>
      <c r="F23" s="21" t="s">
        <v>450</v>
      </c>
      <c r="G23" s="21" t="s">
        <v>449</v>
      </c>
      <c r="H23" s="21"/>
      <c r="I23" s="21"/>
      <c r="J23" s="21"/>
      <c r="K23" s="2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25" customHeight="1" x14ac:dyDescent="0.2">
      <c r="A24" s="17"/>
      <c r="B24" s="21"/>
      <c r="C24" s="21"/>
      <c r="D24" s="21"/>
      <c r="E24" s="21" t="s">
        <v>451</v>
      </c>
      <c r="F24" s="21" t="s">
        <v>452</v>
      </c>
      <c r="G24" s="21" t="s">
        <v>451</v>
      </c>
      <c r="H24" s="21"/>
      <c r="I24" s="21"/>
      <c r="J24" s="21"/>
      <c r="K24" s="21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25" customHeight="1" x14ac:dyDescent="0.2">
      <c r="A25" s="17" t="s">
        <v>453</v>
      </c>
      <c r="B25" s="21" t="s">
        <v>454</v>
      </c>
      <c r="C25" s="21" t="s">
        <v>455</v>
      </c>
      <c r="D25" s="21" t="s">
        <v>456</v>
      </c>
      <c r="E25" s="21" t="s">
        <v>457</v>
      </c>
      <c r="F25" s="21" t="s">
        <v>458</v>
      </c>
      <c r="G25" s="21" t="s">
        <v>457</v>
      </c>
      <c r="H25" s="21"/>
      <c r="I25" s="21"/>
      <c r="J25" s="21"/>
      <c r="K25" s="2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25" customHeight="1" x14ac:dyDescent="0.2">
      <c r="A26" s="17"/>
      <c r="B26" s="21"/>
      <c r="C26" s="21"/>
      <c r="D26" s="21"/>
      <c r="E26" s="21" t="s">
        <v>459</v>
      </c>
      <c r="F26" s="21" t="s">
        <v>460</v>
      </c>
      <c r="G26" s="21" t="s">
        <v>459</v>
      </c>
      <c r="H26" s="21"/>
      <c r="I26" s="21"/>
      <c r="J26" s="21"/>
      <c r="K26" s="2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20.25" customHeight="1" x14ac:dyDescent="0.2">
      <c r="A27" s="17" t="s">
        <v>461</v>
      </c>
      <c r="B27" s="21" t="s">
        <v>462</v>
      </c>
      <c r="C27" s="21" t="s">
        <v>462</v>
      </c>
      <c r="D27" s="21" t="s">
        <v>463</v>
      </c>
      <c r="E27" s="21" t="s">
        <v>464</v>
      </c>
      <c r="F27" s="21" t="s">
        <v>465</v>
      </c>
      <c r="G27" s="21" t="s">
        <v>464</v>
      </c>
      <c r="H27" s="21"/>
      <c r="I27" s="21"/>
      <c r="J27" s="21"/>
      <c r="K27" s="2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20.25" customHeight="1" x14ac:dyDescent="0.2">
      <c r="A28" s="17" t="s">
        <v>466</v>
      </c>
      <c r="B28" s="21" t="s">
        <v>467</v>
      </c>
      <c r="C28" s="21" t="s">
        <v>468</v>
      </c>
      <c r="D28" s="21" t="s">
        <v>469</v>
      </c>
      <c r="E28" s="21" t="s">
        <v>470</v>
      </c>
      <c r="F28" s="21" t="s">
        <v>471</v>
      </c>
      <c r="G28" s="21" t="s">
        <v>470</v>
      </c>
      <c r="H28" s="21"/>
      <c r="I28" s="21"/>
      <c r="J28" s="21"/>
      <c r="K28" s="2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25" customHeight="1" x14ac:dyDescent="0.2">
      <c r="A29" s="17"/>
      <c r="B29"/>
      <c r="C29" s="143"/>
      <c r="D29" s="21"/>
      <c r="E29" s="21" t="s">
        <v>472</v>
      </c>
      <c r="F29" s="21" t="s">
        <v>473</v>
      </c>
      <c r="G29" s="21" t="s">
        <v>472</v>
      </c>
      <c r="H29" s="21"/>
      <c r="I29" s="21"/>
      <c r="J29" s="21"/>
      <c r="K29" s="2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" customFormat="1" ht="20.25" customHeight="1" x14ac:dyDescent="0.2">
      <c r="A30" s="17" t="s">
        <v>474</v>
      </c>
      <c r="B30" s="21" t="s">
        <v>475</v>
      </c>
      <c r="C30" s="21"/>
      <c r="D30" s="21" t="s">
        <v>476</v>
      </c>
      <c r="E30" s="21" t="s">
        <v>477</v>
      </c>
      <c r="F30" s="21" t="s">
        <v>478</v>
      </c>
      <c r="G30" s="21" t="s">
        <v>479</v>
      </c>
      <c r="H30" s="21"/>
      <c r="I30" s="21"/>
      <c r="J30" s="21"/>
      <c r="K30" s="2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19.5" customHeight="1" x14ac:dyDescent="0.2">
      <c r="A31" s="17" t="s">
        <v>480</v>
      </c>
      <c r="B31" s="21" t="s">
        <v>481</v>
      </c>
      <c r="C31" s="9"/>
      <c r="D31" s="21" t="s">
        <v>482</v>
      </c>
      <c r="E31" s="21" t="s">
        <v>483</v>
      </c>
      <c r="F31" s="21" t="s">
        <v>484</v>
      </c>
      <c r="G31" s="21"/>
      <c r="H31" s="21"/>
      <c r="I31" s="21"/>
      <c r="J31" s="21"/>
      <c r="K31" s="2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20.25" customHeight="1" x14ac:dyDescent="0.2">
      <c r="A32" s="17" t="s">
        <v>485</v>
      </c>
      <c r="B32" s="21" t="s">
        <v>486</v>
      </c>
      <c r="C32" s="21"/>
      <c r="D32" s="21"/>
      <c r="E32" s="21" t="s">
        <v>487</v>
      </c>
      <c r="F32" s="21"/>
      <c r="G32" s="21"/>
      <c r="H32" s="21"/>
      <c r="I32" s="21"/>
      <c r="J32" s="21"/>
      <c r="K32" s="21"/>
    </row>
    <row r="33" spans="1:11" ht="20.25" customHeight="1" x14ac:dyDescent="0.2">
      <c r="A33" s="17" t="s">
        <v>488</v>
      </c>
      <c r="B33" s="21" t="s">
        <v>489</v>
      </c>
      <c r="C33" s="21"/>
      <c r="D33" s="21"/>
      <c r="E33" s="21" t="s">
        <v>490</v>
      </c>
      <c r="F33" s="21"/>
      <c r="G33" s="21"/>
      <c r="H33" s="21"/>
      <c r="I33" s="21"/>
      <c r="J33" s="21"/>
      <c r="K33" s="21"/>
    </row>
    <row r="34" spans="1:11" ht="20.25" customHeight="1" x14ac:dyDescent="0.2">
      <c r="A34" s="17" t="s">
        <v>491</v>
      </c>
      <c r="B34" s="21" t="s">
        <v>492</v>
      </c>
      <c r="C34" s="21"/>
      <c r="D34" s="21"/>
      <c r="E34" s="21" t="s">
        <v>493</v>
      </c>
      <c r="F34" s="21"/>
      <c r="G34" s="21"/>
      <c r="H34" s="21"/>
      <c r="I34" s="21"/>
      <c r="J34" s="21"/>
      <c r="K34" s="21"/>
    </row>
    <row r="35" spans="1:11" ht="20.25" customHeight="1" x14ac:dyDescent="0.2">
      <c r="A35" s="17" t="s">
        <v>494</v>
      </c>
      <c r="B35" s="21" t="s">
        <v>495</v>
      </c>
      <c r="C35" s="144"/>
      <c r="D35" s="21" t="s">
        <v>496</v>
      </c>
      <c r="E35" s="21" t="s">
        <v>497</v>
      </c>
      <c r="F35" s="21" t="s">
        <v>498</v>
      </c>
      <c r="G35" s="21" t="s">
        <v>499</v>
      </c>
      <c r="H35" s="21"/>
      <c r="I35" s="21"/>
      <c r="J35" s="21"/>
      <c r="K35" s="21"/>
    </row>
    <row r="36" spans="1:11" ht="20.25" customHeight="1" x14ac:dyDescent="0.2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20.25" customHeight="1" x14ac:dyDescent="0.2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20.25" customHeight="1" x14ac:dyDescent="0.2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20.25" customHeight="1" x14ac:dyDescent="0.2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</row>
  </sheetData>
  <mergeCells count="1">
    <mergeCell ref="A1:K1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/>
      <c r="C2" s="17" t="s">
        <v>500</v>
      </c>
      <c r="D2" s="17" t="s">
        <v>501</v>
      </c>
      <c r="E2" s="17" t="s">
        <v>502</v>
      </c>
      <c r="F2" s="17" t="s">
        <v>503</v>
      </c>
    </row>
    <row r="3" spans="2:6" ht="20.45" customHeight="1" x14ac:dyDescent="0.2">
      <c r="B3" s="17" t="s">
        <v>504</v>
      </c>
      <c r="C3" s="21">
        <v>32.174050000000001</v>
      </c>
      <c r="D3" s="27">
        <f>C3*3600/5280</f>
        <v>21.936852272727272</v>
      </c>
      <c r="E3" s="21">
        <v>9.8066499999999994</v>
      </c>
      <c r="F3" s="21">
        <f>E3*3600/1000</f>
        <v>35.303939999999997</v>
      </c>
    </row>
    <row r="4" spans="2:6" ht="20.25" customHeight="1" x14ac:dyDescent="0.2">
      <c r="B4" s="17"/>
      <c r="C4" s="19"/>
      <c r="D4" s="19"/>
      <c r="E4" s="19"/>
      <c r="F4" s="19"/>
    </row>
    <row r="5" spans="2:6" ht="20.25" customHeight="1" x14ac:dyDescent="0.2">
      <c r="B5" s="17"/>
      <c r="C5" s="21"/>
      <c r="D5" s="21"/>
      <c r="E5" s="21"/>
      <c r="F5" s="21"/>
    </row>
    <row r="6" spans="2:6" ht="20.25" customHeight="1" x14ac:dyDescent="0.2">
      <c r="B6" s="17"/>
      <c r="C6" s="19"/>
      <c r="D6" s="19"/>
      <c r="E6" s="19"/>
      <c r="F6" s="19"/>
    </row>
    <row r="7" spans="2:6" ht="20.25" customHeight="1" x14ac:dyDescent="0.2">
      <c r="B7" s="17"/>
      <c r="C7" s="21"/>
      <c r="D7" s="21"/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"/>
  <cols>
    <col min="1" max="1" width="0.19921875" style="16"/>
    <col min="2" max="4" width="12.19921875" style="16"/>
    <col min="5" max="5" width="14.59765625" style="16"/>
    <col min="6" max="12" width="12.19921875" style="16"/>
    <col min="13" max="13" width="12.19921875" style="8"/>
    <col min="14" max="257" width="12.19921875" style="16"/>
    <col min="258" max="1025" width="12.19921875"/>
  </cols>
  <sheetData>
    <row r="1" spans="2:15" ht="2.1" customHeight="1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20.45" customHeight="1" x14ac:dyDescent="0.2">
      <c r="B2" s="17"/>
      <c r="C2" s="17" t="s">
        <v>505</v>
      </c>
      <c r="D2" s="17" t="s">
        <v>506</v>
      </c>
      <c r="E2" s="17" t="s">
        <v>507</v>
      </c>
      <c r="F2" s="17"/>
      <c r="G2" s="17" t="s">
        <v>508</v>
      </c>
      <c r="H2" s="17" t="s">
        <v>6</v>
      </c>
      <c r="I2" s="17" t="s">
        <v>509</v>
      </c>
      <c r="J2" s="17"/>
      <c r="K2" s="17" t="s">
        <v>510</v>
      </c>
      <c r="L2" s="17" t="s">
        <v>511</v>
      </c>
      <c r="M2" s="17" t="s">
        <v>512</v>
      </c>
      <c r="N2" s="17" t="s">
        <v>513</v>
      </c>
      <c r="O2" s="17" t="s">
        <v>514</v>
      </c>
    </row>
    <row r="3" spans="2:15" ht="20.45" customHeight="1" x14ac:dyDescent="0.2">
      <c r="B3" s="17"/>
      <c r="C3" s="21">
        <v>1</v>
      </c>
      <c r="D3" s="21">
        <v>0.30480000000000002</v>
      </c>
      <c r="E3" s="21">
        <f>D3*E4</f>
        <v>1.8939393939393939E-4</v>
      </c>
      <c r="F3" s="21"/>
      <c r="G3" s="21">
        <v>1</v>
      </c>
      <c r="H3" s="21">
        <v>0.45359237000000002</v>
      </c>
      <c r="I3" s="21">
        <f>I4*H3</f>
        <v>4.4482216152604996</v>
      </c>
      <c r="J3" s="21"/>
      <c r="K3" s="21">
        <v>1</v>
      </c>
      <c r="L3" s="21">
        <v>0.98629999999999995</v>
      </c>
      <c r="M3" s="21">
        <f>M4*L3</f>
        <v>735.4838113699999</v>
      </c>
      <c r="N3" s="22">
        <v>1</v>
      </c>
      <c r="O3" s="22">
        <f>(N3*1.8)+32</f>
        <v>33.799999999999997</v>
      </c>
    </row>
    <row r="4" spans="2:15" ht="20.25" customHeight="1" x14ac:dyDescent="0.2">
      <c r="B4" s="17"/>
      <c r="C4" s="19">
        <f>D4/D3</f>
        <v>3.280839895013123</v>
      </c>
      <c r="D4" s="19">
        <v>1</v>
      </c>
      <c r="E4" s="19">
        <f>E5/D5</f>
        <v>6.2137119223733392E-4</v>
      </c>
      <c r="F4" s="19"/>
      <c r="G4" s="19">
        <f>H4/H3</f>
        <v>2.2046226218487757</v>
      </c>
      <c r="H4" s="19">
        <v>1</v>
      </c>
      <c r="I4" s="19">
        <v>9.8066499999999994</v>
      </c>
      <c r="J4" s="19"/>
      <c r="K4" s="19">
        <v>1.014</v>
      </c>
      <c r="L4" s="19">
        <v>1</v>
      </c>
      <c r="M4" s="19">
        <v>745.69989999999996</v>
      </c>
      <c r="N4" s="20">
        <f>(O4-32)/1.8</f>
        <v>-17.222222222222221</v>
      </c>
      <c r="O4" s="20">
        <v>1</v>
      </c>
    </row>
    <row r="5" spans="2:15" ht="20.25" customHeight="1" x14ac:dyDescent="0.2">
      <c r="B5" s="17"/>
      <c r="C5" s="21">
        <f>E5/E3</f>
        <v>5280</v>
      </c>
      <c r="D5" s="21">
        <v>1609.3440000000001</v>
      </c>
      <c r="E5" s="21">
        <v>1</v>
      </c>
      <c r="F5" s="21"/>
      <c r="G5" s="21">
        <f>I5/I3</f>
        <v>0.2248089430997105</v>
      </c>
      <c r="H5" s="21">
        <f>I5/I4</f>
        <v>0.10197162129779283</v>
      </c>
      <c r="I5" s="21">
        <v>1</v>
      </c>
      <c r="J5" s="21"/>
      <c r="K5" s="21">
        <f>M5/M3</f>
        <v>1.3596492329821382E-3</v>
      </c>
      <c r="L5" s="21">
        <f>M5/M4</f>
        <v>1.3410220384902829E-3</v>
      </c>
      <c r="M5" s="21">
        <v>1</v>
      </c>
      <c r="N5" s="21"/>
      <c r="O5" s="21"/>
    </row>
    <row r="6" spans="2:15" ht="20.25" customHeight="1" x14ac:dyDescent="0.2"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20.25" customHeight="1" x14ac:dyDescent="0.2"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20.25" customHeight="1" x14ac:dyDescent="0.2"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20.25" customHeight="1" x14ac:dyDescent="0.2"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20.25" customHeight="1" x14ac:dyDescent="0.2">
      <c r="B10" s="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20.25" customHeight="1" x14ac:dyDescent="0.2"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 t="s">
        <v>515</v>
      </c>
      <c r="C2" s="17" t="s">
        <v>516</v>
      </c>
      <c r="D2" s="17" t="s">
        <v>517</v>
      </c>
      <c r="E2" s="17"/>
      <c r="F2" s="17"/>
    </row>
    <row r="3" spans="2:6" ht="20.45" customHeight="1" x14ac:dyDescent="0.2">
      <c r="B3" s="17" t="s">
        <v>518</v>
      </c>
      <c r="C3" s="21">
        <v>0.98</v>
      </c>
      <c r="D3" s="21">
        <v>1</v>
      </c>
      <c r="E3" s="21"/>
      <c r="F3" s="21"/>
    </row>
    <row r="4" spans="2:6" ht="20.25" customHeight="1" x14ac:dyDescent="0.2">
      <c r="B4" s="17" t="s">
        <v>519</v>
      </c>
      <c r="C4" s="19">
        <v>1.1000000000000001</v>
      </c>
      <c r="D4" s="19">
        <v>1.06</v>
      </c>
      <c r="E4" s="19"/>
      <c r="F4" s="19"/>
    </row>
    <row r="5" spans="2:6" ht="20.25" customHeight="1" x14ac:dyDescent="0.2">
      <c r="B5" s="17" t="s">
        <v>520</v>
      </c>
      <c r="C5" s="21">
        <v>1.2</v>
      </c>
      <c r="D5" s="21">
        <v>1.1000000000000001</v>
      </c>
      <c r="E5" s="21"/>
      <c r="F5" s="21"/>
    </row>
    <row r="6" spans="2:6" ht="20.25" customHeight="1" x14ac:dyDescent="0.2">
      <c r="B6" s="17" t="s">
        <v>521</v>
      </c>
      <c r="C6" s="19">
        <v>1.5</v>
      </c>
      <c r="D6" s="19">
        <v>1.1499999999999999</v>
      </c>
      <c r="E6" s="19"/>
      <c r="F6" s="19"/>
    </row>
    <row r="7" spans="2:6" ht="20.25" customHeight="1" x14ac:dyDescent="0.2">
      <c r="B7" s="17" t="s">
        <v>522</v>
      </c>
      <c r="C7" s="21">
        <v>2.4</v>
      </c>
      <c r="D7" s="21">
        <v>1.2</v>
      </c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4"/>
  <sheetViews>
    <sheetView windowProtection="1" showGridLines="0" topLeftCell="A10" zoomScaleNormal="100" workbookViewId="0">
      <selection activeCell="F3" sqref="F3"/>
    </sheetView>
  </sheetViews>
  <sheetFormatPr defaultRowHeight="15" x14ac:dyDescent="0.2"/>
  <cols>
    <col min="1" max="1" width="0.19921875" style="16"/>
    <col min="2" max="2" width="16" style="16"/>
    <col min="3" max="4" width="12.19921875" style="16"/>
    <col min="5" max="5" width="14.09765625" style="16"/>
    <col min="6" max="7" width="10.09765625" style="16"/>
    <col min="8" max="8" width="10" style="16"/>
    <col min="9" max="9" width="10.19921875" style="16"/>
    <col min="10" max="10" width="10.09765625" style="16"/>
    <col min="11" max="256" width="12.19921875" style="16"/>
    <col min="257" max="1025" width="12.19921875"/>
  </cols>
  <sheetData>
    <row r="1" spans="2:10" ht="2.1" customHeight="1" x14ac:dyDescent="0.2">
      <c r="B1"/>
      <c r="C1"/>
      <c r="D1"/>
      <c r="E1"/>
      <c r="F1"/>
      <c r="G1"/>
      <c r="H1"/>
      <c r="I1"/>
      <c r="J1"/>
    </row>
    <row r="2" spans="2:10" ht="38.25" x14ac:dyDescent="0.2">
      <c r="B2" s="17"/>
      <c r="C2" s="17"/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</row>
    <row r="3" spans="2:10" ht="25.5" x14ac:dyDescent="0.2">
      <c r="B3" s="17" t="s">
        <v>39</v>
      </c>
      <c r="C3" s="18">
        <f>RefWeightKg</f>
        <v>1176</v>
      </c>
      <c r="D3" s="19">
        <v>1</v>
      </c>
      <c r="E3" s="20">
        <f>D3*Constants!$E$3/Constants!$F$3</f>
        <v>0.27777777777777779</v>
      </c>
      <c r="F3" s="20">
        <f>'Mass factors'!$D$3*$C$3*E3</f>
        <v>326.66666666666669</v>
      </c>
      <c r="G3" s="20">
        <f>'Mass factors'!$D$4*$C$3*E3</f>
        <v>346.26666666666671</v>
      </c>
      <c r="H3" s="20">
        <f>'Mass factors'!$D$5*$C$3*E3</f>
        <v>359.33333333333337</v>
      </c>
      <c r="I3" s="20">
        <f>'Mass factors'!$D$6*$C$3*E3</f>
        <v>375.66666666666663</v>
      </c>
      <c r="J3" s="20">
        <f>'Mass factors'!$D$7*$C$3*E3</f>
        <v>392.00000000000006</v>
      </c>
    </row>
    <row r="4" spans="2:10" ht="20.25" customHeight="1" x14ac:dyDescent="0.2">
      <c r="B4" s="17"/>
      <c r="C4" s="17"/>
      <c r="D4" s="21">
        <v>2</v>
      </c>
      <c r="E4" s="22">
        <f>D4*Constants!$E$3/Constants!$F$3</f>
        <v>0.55555555555555558</v>
      </c>
      <c r="F4" s="22">
        <f>'Mass factors'!$D$3*$C$3*E4</f>
        <v>653.33333333333337</v>
      </c>
      <c r="G4" s="22">
        <f>'Mass factors'!$D$4*$C$3*E4</f>
        <v>692.53333333333342</v>
      </c>
      <c r="H4" s="22">
        <f>'Mass factors'!$D$5*$C$3*E4</f>
        <v>718.66666666666674</v>
      </c>
      <c r="I4" s="22">
        <f>'Mass factors'!$D$6*$C$3*E4</f>
        <v>751.33333333333326</v>
      </c>
      <c r="J4" s="22">
        <f>'Mass factors'!$D$7*$C$3*E4</f>
        <v>784.00000000000011</v>
      </c>
    </row>
    <row r="5" spans="2:10" ht="20.25" customHeight="1" x14ac:dyDescent="0.2">
      <c r="B5" s="17"/>
      <c r="C5" s="17"/>
      <c r="D5" s="19">
        <v>3</v>
      </c>
      <c r="E5" s="20">
        <f>D5*Constants!$E$3/Constants!$F$3</f>
        <v>0.83333333333333337</v>
      </c>
      <c r="F5" s="20">
        <f>'Mass factors'!$D$3*$C$3*E5</f>
        <v>980</v>
      </c>
      <c r="G5" s="20">
        <f>'Mass factors'!$D$4*$C$3*E5</f>
        <v>1038.8000000000002</v>
      </c>
      <c r="H5" s="20">
        <f>'Mass factors'!$D$5*$C$3*E5</f>
        <v>1078.0000000000002</v>
      </c>
      <c r="I5" s="20">
        <f>'Mass factors'!$D$6*$C$3*E5</f>
        <v>1127</v>
      </c>
      <c r="J5" s="20">
        <f>'Mass factors'!$D$7*$C$3*E5</f>
        <v>1176</v>
      </c>
    </row>
    <row r="6" spans="2:10" ht="20.25" customHeight="1" x14ac:dyDescent="0.2">
      <c r="B6" s="17"/>
      <c r="C6" s="17"/>
      <c r="D6" s="21">
        <v>4</v>
      </c>
      <c r="E6" s="22">
        <f>D6*Constants!$E$3/Constants!$F$3</f>
        <v>1.1111111111111112</v>
      </c>
      <c r="F6" s="22">
        <f>'Mass factors'!$D$3*$C$3*E6</f>
        <v>1306.6666666666667</v>
      </c>
      <c r="G6" s="22">
        <f>'Mass factors'!$D$4*$C$3*E6</f>
        <v>1385.0666666666668</v>
      </c>
      <c r="H6" s="22">
        <f>'Mass factors'!$D$5*$C$3*E6</f>
        <v>1437.3333333333335</v>
      </c>
      <c r="I6" s="22">
        <f>'Mass factors'!$D$6*$C$3*E6</f>
        <v>1502.6666666666665</v>
      </c>
      <c r="J6" s="22">
        <f>'Mass factors'!$D$7*$C$3*E6</f>
        <v>1568.0000000000002</v>
      </c>
    </row>
    <row r="7" spans="2:10" ht="20.25" customHeight="1" x14ac:dyDescent="0.2">
      <c r="B7" s="17"/>
      <c r="C7" s="17"/>
      <c r="D7" s="19">
        <v>5</v>
      </c>
      <c r="E7" s="20">
        <f>D7*Constants!$E$3/Constants!$F$3</f>
        <v>1.3888888888888888</v>
      </c>
      <c r="F7" s="20">
        <f>'Mass factors'!$D$3*$C$3*E7</f>
        <v>1633.3333333333333</v>
      </c>
      <c r="G7" s="20">
        <f>'Mass factors'!$D$4*$C$3*E7</f>
        <v>1731.3333333333335</v>
      </c>
      <c r="H7" s="20">
        <f>'Mass factors'!$D$5*$C$3*E7</f>
        <v>1796.6666666666667</v>
      </c>
      <c r="I7" s="20">
        <f>'Mass factors'!$D$6*$C$3*E7</f>
        <v>1878.333333333333</v>
      </c>
      <c r="J7" s="20">
        <f>'Mass factors'!$D$7*$C$3*E7</f>
        <v>1960</v>
      </c>
    </row>
    <row r="8" spans="2:10" ht="20.25" customHeight="1" x14ac:dyDescent="0.2">
      <c r="B8" s="17"/>
      <c r="C8" s="17"/>
      <c r="D8" s="21">
        <v>6</v>
      </c>
      <c r="E8" s="22">
        <f>D8*Constants!$E$3/Constants!$F$3</f>
        <v>1.6666666666666667</v>
      </c>
      <c r="F8" s="22">
        <f>'Mass factors'!$D$3*$C$3*E8</f>
        <v>1960</v>
      </c>
      <c r="G8" s="22">
        <f>'Mass factors'!$D$4*$C$3*E8</f>
        <v>2077.6000000000004</v>
      </c>
      <c r="H8" s="22">
        <f>'Mass factors'!$D$5*$C$3*E8</f>
        <v>2156.0000000000005</v>
      </c>
      <c r="I8" s="22">
        <f>'Mass factors'!$D$6*$C$3*E8</f>
        <v>2254</v>
      </c>
      <c r="J8" s="22">
        <f>'Mass factors'!$D$7*$C$3*E8</f>
        <v>2352</v>
      </c>
    </row>
    <row r="9" spans="2:10" ht="20.25" customHeight="1" x14ac:dyDescent="0.2">
      <c r="B9" s="17"/>
      <c r="C9" s="17"/>
      <c r="D9" s="19">
        <v>7</v>
      </c>
      <c r="E9" s="20">
        <f>D9*Constants!$E$3/Constants!$F$3</f>
        <v>1.9444444444444444</v>
      </c>
      <c r="F9" s="20">
        <f>'Mass factors'!$D$3*$C$3*E9</f>
        <v>2286.6666666666665</v>
      </c>
      <c r="G9" s="20">
        <f>'Mass factors'!$D$4*$C$3*E9</f>
        <v>2423.8666666666668</v>
      </c>
      <c r="H9" s="20">
        <f>'Mass factors'!$D$5*$C$3*E9</f>
        <v>2515.3333333333335</v>
      </c>
      <c r="I9" s="20">
        <f>'Mass factors'!$D$6*$C$3*E9</f>
        <v>2629.6666666666665</v>
      </c>
      <c r="J9" s="20">
        <f>'Mass factors'!$D$7*$C$3*E9</f>
        <v>2744</v>
      </c>
    </row>
    <row r="10" spans="2:10" ht="20.25" customHeight="1" x14ac:dyDescent="0.2">
      <c r="B10" s="17"/>
      <c r="C10" s="17"/>
      <c r="D10" s="21">
        <v>8</v>
      </c>
      <c r="E10" s="22">
        <f>D10*Constants!$E$3/Constants!$F$3</f>
        <v>2.2222222222222223</v>
      </c>
      <c r="F10" s="22">
        <f>'Mass factors'!$D$3*$C$3*E10</f>
        <v>2613.3333333333335</v>
      </c>
      <c r="G10" s="22">
        <f>'Mass factors'!$D$4*$C$3*E10</f>
        <v>2770.1333333333337</v>
      </c>
      <c r="H10" s="22">
        <f>'Mass factors'!$D$5*$C$3*E10</f>
        <v>2874.666666666667</v>
      </c>
      <c r="I10" s="22">
        <f>'Mass factors'!$D$6*$C$3*E10</f>
        <v>3005.333333333333</v>
      </c>
      <c r="J10" s="22">
        <f>'Mass factors'!$D$7*$C$3*E10</f>
        <v>3136.0000000000005</v>
      </c>
    </row>
    <row r="11" spans="2:10" ht="20.25" customHeight="1" x14ac:dyDescent="0.2">
      <c r="B11" s="17"/>
      <c r="C11" s="17"/>
      <c r="D11" s="19">
        <v>9</v>
      </c>
      <c r="E11" s="20">
        <f>D11*Constants!$E$3/Constants!$F$3</f>
        <v>2.5</v>
      </c>
      <c r="F11" s="20">
        <f>'Mass factors'!$D$3*$C$3*E11</f>
        <v>2940</v>
      </c>
      <c r="G11" s="20">
        <f>'Mass factors'!$D$4*$C$3*E11</f>
        <v>3116.4000000000005</v>
      </c>
      <c r="H11" s="20">
        <f>'Mass factors'!$D$5*$C$3*E11</f>
        <v>3234.0000000000005</v>
      </c>
      <c r="I11" s="20">
        <f>'Mass factors'!$D$6*$C$3*E11</f>
        <v>3380.9999999999995</v>
      </c>
      <c r="J11" s="20">
        <f>'Mass factors'!$D$7*$C$3*E11</f>
        <v>3528</v>
      </c>
    </row>
    <row r="12" spans="2:10" ht="20.25" customHeight="1" x14ac:dyDescent="0.2">
      <c r="B12" s="17"/>
      <c r="C12" s="17"/>
      <c r="D12" s="21">
        <v>10</v>
      </c>
      <c r="E12" s="22">
        <f>D12*Constants!$E$3/Constants!$F$3</f>
        <v>2.7777777777777777</v>
      </c>
      <c r="F12" s="22">
        <f>'Mass factors'!$D$3*$C$3*E12</f>
        <v>3266.6666666666665</v>
      </c>
      <c r="G12" s="22">
        <f>'Mass factors'!$D$4*$C$3*E12</f>
        <v>3462.666666666667</v>
      </c>
      <c r="H12" s="22">
        <f>'Mass factors'!$D$5*$C$3*E12</f>
        <v>3593.3333333333335</v>
      </c>
      <c r="I12" s="22">
        <f>'Mass factors'!$D$6*$C$3*E12</f>
        <v>3756.6666666666661</v>
      </c>
      <c r="J12" s="22">
        <f>'Mass factors'!$D$7*$C$3*E12</f>
        <v>3920</v>
      </c>
    </row>
    <row r="13" spans="2:10" ht="20.25" customHeight="1" x14ac:dyDescent="0.2">
      <c r="B13" s="17"/>
      <c r="C13" s="17"/>
      <c r="D13" s="19">
        <v>11</v>
      </c>
      <c r="E13" s="20">
        <f>D13*Constants!$E$3/Constants!$F$3</f>
        <v>3.0555555555555558</v>
      </c>
      <c r="F13" s="20">
        <f>'Mass factors'!$D$3*$C$3*E13</f>
        <v>3593.3333333333335</v>
      </c>
      <c r="G13" s="20">
        <f>'Mass factors'!$D$4*$C$3*E13</f>
        <v>3808.9333333333343</v>
      </c>
      <c r="H13" s="20">
        <f>'Mass factors'!$D$5*$C$3*E13</f>
        <v>3952.6666666666674</v>
      </c>
      <c r="I13" s="20">
        <f>'Mass factors'!$D$6*$C$3*E13</f>
        <v>4132.333333333333</v>
      </c>
      <c r="J13" s="20">
        <f>'Mass factors'!$D$7*$C$3*E13</f>
        <v>4312.0000000000009</v>
      </c>
    </row>
    <row r="14" spans="2:10" ht="20.25" customHeight="1" x14ac:dyDescent="0.2">
      <c r="B14" s="17"/>
      <c r="C14" s="17"/>
      <c r="D14" s="21">
        <v>12</v>
      </c>
      <c r="E14" s="22">
        <f>D14*Constants!$E$3/Constants!$F$3</f>
        <v>3.3333333333333335</v>
      </c>
      <c r="F14" s="22">
        <f>'Mass factors'!$D$3*$C$3*E14</f>
        <v>3920</v>
      </c>
      <c r="G14" s="22">
        <f>'Mass factors'!$D$4*$C$3*E14</f>
        <v>4155.2000000000007</v>
      </c>
      <c r="H14" s="22">
        <f>'Mass factors'!$D$5*$C$3*E14</f>
        <v>4312.0000000000009</v>
      </c>
      <c r="I14" s="22">
        <f>'Mass factors'!$D$6*$C$3*E14</f>
        <v>4508</v>
      </c>
      <c r="J14" s="22">
        <f>'Mass factors'!$D$7*$C$3*E14</f>
        <v>4704</v>
      </c>
    </row>
    <row r="15" spans="2:10" ht="20.25" customHeight="1" x14ac:dyDescent="0.2">
      <c r="B15" s="17"/>
      <c r="C15" s="17"/>
      <c r="D15" s="19">
        <v>13</v>
      </c>
      <c r="E15" s="20">
        <f>D15*Constants!$E$3/Constants!$F$3</f>
        <v>3.6111111111111112</v>
      </c>
      <c r="F15" s="20">
        <f>'Mass factors'!$D$3*$C$3*E15</f>
        <v>4246.666666666667</v>
      </c>
      <c r="G15" s="20">
        <f>'Mass factors'!$D$4*$C$3*E15</f>
        <v>4501.4666666666672</v>
      </c>
      <c r="H15" s="20">
        <f>'Mass factors'!$D$5*$C$3*E15</f>
        <v>4671.3333333333339</v>
      </c>
      <c r="I15" s="20">
        <f>'Mass factors'!$D$6*$C$3*E15</f>
        <v>4883.6666666666661</v>
      </c>
      <c r="J15" s="20">
        <f>'Mass factors'!$D$7*$C$3*E15</f>
        <v>5096</v>
      </c>
    </row>
    <row r="16" spans="2:10" ht="20.25" customHeight="1" x14ac:dyDescent="0.2">
      <c r="B16" s="17"/>
      <c r="C16" s="17"/>
      <c r="D16" s="21">
        <v>14</v>
      </c>
      <c r="E16" s="22">
        <f>D16*Constants!$E$3/Constants!$F$3</f>
        <v>3.8888888888888888</v>
      </c>
      <c r="F16" s="22">
        <f>'Mass factors'!$D$3*$C$3*E16</f>
        <v>4573.333333333333</v>
      </c>
      <c r="G16" s="22">
        <f>'Mass factors'!$D$4*$C$3*E16</f>
        <v>4847.7333333333336</v>
      </c>
      <c r="H16" s="22">
        <f>'Mass factors'!$D$5*$C$3*E16</f>
        <v>5030.666666666667</v>
      </c>
      <c r="I16" s="22">
        <f>'Mass factors'!$D$6*$C$3*E16</f>
        <v>5259.333333333333</v>
      </c>
      <c r="J16" s="22">
        <f>'Mass factors'!$D$7*$C$3*E16</f>
        <v>5488</v>
      </c>
    </row>
    <row r="17" spans="2:10" ht="20.25" customHeight="1" x14ac:dyDescent="0.2">
      <c r="B17" s="17"/>
      <c r="C17" s="17"/>
      <c r="D17" s="19">
        <v>15</v>
      </c>
      <c r="E17" s="20">
        <f>D17*Constants!$E$3/Constants!$F$3</f>
        <v>4.166666666666667</v>
      </c>
      <c r="F17" s="20">
        <f>'Mass factors'!$D$3*$C$3*E17</f>
        <v>4900</v>
      </c>
      <c r="G17" s="20">
        <f>'Mass factors'!$D$4*$C$3*E17</f>
        <v>5194.0000000000009</v>
      </c>
      <c r="H17" s="20">
        <f>'Mass factors'!$D$5*$C$3*E17</f>
        <v>5390.0000000000009</v>
      </c>
      <c r="I17" s="20">
        <f>'Mass factors'!$D$6*$C$3*E17</f>
        <v>5635</v>
      </c>
      <c r="J17" s="20">
        <f>'Mass factors'!$D$7*$C$3*E17</f>
        <v>5880.0000000000009</v>
      </c>
    </row>
    <row r="18" spans="2:10" ht="32.450000000000003" customHeight="1" x14ac:dyDescent="0.2">
      <c r="B18" s="17"/>
      <c r="C18" s="17"/>
      <c r="D18" s="17" t="s">
        <v>40</v>
      </c>
      <c r="E18" s="17" t="s">
        <v>41</v>
      </c>
      <c r="F18" s="17" t="s">
        <v>42</v>
      </c>
      <c r="G18" s="17" t="s">
        <v>43</v>
      </c>
      <c r="H18" s="17" t="s">
        <v>44</v>
      </c>
      <c r="I18" s="17" t="s">
        <v>45</v>
      </c>
      <c r="J18" s="17" t="s">
        <v>46</v>
      </c>
    </row>
    <row r="19" spans="2:10" ht="20.45" customHeight="1" x14ac:dyDescent="0.2">
      <c r="B19" s="17" t="s">
        <v>47</v>
      </c>
      <c r="C19" s="23">
        <f>RefWeightLbs</f>
        <v>2592.6362032941602</v>
      </c>
      <c r="D19" s="21">
        <v>1</v>
      </c>
      <c r="E19" s="22">
        <f>D19/Constants!$D$3</f>
        <v>4.5585391539662144E-2</v>
      </c>
      <c r="F19" s="22">
        <f>'Mass factors'!$D$3*$C$19*E19</f>
        <v>118.18633644706739</v>
      </c>
      <c r="G19" s="22">
        <f>'Mass factors'!$D$4*$C$19*E19</f>
        <v>125.27751663389144</v>
      </c>
      <c r="H19" s="22">
        <f>'Mass factors'!$D$5*$C$19*E19</f>
        <v>130.00497009177414</v>
      </c>
      <c r="I19" s="22">
        <f>'Mass factors'!$D$6*$C$19*E19</f>
        <v>135.9142869141275</v>
      </c>
      <c r="J19" s="22">
        <f>'Mass factors'!$D$7*$C$19*E19</f>
        <v>141.82360373648086</v>
      </c>
    </row>
    <row r="20" spans="2:10" ht="20.25" customHeight="1" x14ac:dyDescent="0.2">
      <c r="B20" s="17"/>
      <c r="C20" s="17"/>
      <c r="D20" s="19">
        <v>2</v>
      </c>
      <c r="E20" s="20">
        <f>D20/Constants!$D$3</f>
        <v>9.1170783079324288E-2</v>
      </c>
      <c r="F20" s="20">
        <f>'Mass factors'!$D$3*$C$19*E20</f>
        <v>236.37267289413478</v>
      </c>
      <c r="G20" s="20">
        <f>'Mass factors'!$D$4*$C$19*E20</f>
        <v>250.55503326778287</v>
      </c>
      <c r="H20" s="20">
        <f>'Mass factors'!$D$5*$C$19*E20</f>
        <v>260.00994018354828</v>
      </c>
      <c r="I20" s="20">
        <f>'Mass factors'!$D$6*$C$19*E20</f>
        <v>271.828573828255</v>
      </c>
      <c r="J20" s="20">
        <f>'Mass factors'!$D$7*$C$19*E20</f>
        <v>283.64720747296172</v>
      </c>
    </row>
    <row r="21" spans="2:10" ht="20.25" customHeight="1" x14ac:dyDescent="0.2">
      <c r="B21" s="17"/>
      <c r="C21" s="17"/>
      <c r="D21" s="21">
        <v>3</v>
      </c>
      <c r="E21" s="22">
        <f>D21/Constants!$D$3</f>
        <v>0.13675617461898643</v>
      </c>
      <c r="F21" s="22">
        <f>'Mass factors'!$D$3*$C$19*E21</f>
        <v>354.55900934120217</v>
      </c>
      <c r="G21" s="22">
        <f>'Mass factors'!$D$4*$C$19*E21</f>
        <v>375.83254990167427</v>
      </c>
      <c r="H21" s="22">
        <f>'Mass factors'!$D$5*$C$19*E21</f>
        <v>390.01491027532245</v>
      </c>
      <c r="I21" s="22">
        <f>'Mass factors'!$D$6*$C$19*E21</f>
        <v>407.74286074238245</v>
      </c>
      <c r="J21" s="22">
        <f>'Mass factors'!$D$7*$C$19*E21</f>
        <v>425.47081120944256</v>
      </c>
    </row>
    <row r="22" spans="2:10" ht="20.25" customHeight="1" x14ac:dyDescent="0.2">
      <c r="B22" s="17"/>
      <c r="C22" s="17"/>
      <c r="D22" s="19">
        <v>4</v>
      </c>
      <c r="E22" s="20">
        <f>D22/Constants!$D$3</f>
        <v>0.18234156615864858</v>
      </c>
      <c r="F22" s="20">
        <f>'Mass factors'!$D$3*$C$19*E22</f>
        <v>472.74534578826956</v>
      </c>
      <c r="G22" s="20">
        <f>'Mass factors'!$D$4*$C$19*E22</f>
        <v>501.11006653556575</v>
      </c>
      <c r="H22" s="20">
        <f>'Mass factors'!$D$5*$C$19*E22</f>
        <v>520.01988036709656</v>
      </c>
      <c r="I22" s="20">
        <f>'Mass factors'!$D$6*$C$19*E22</f>
        <v>543.65714765651001</v>
      </c>
      <c r="J22" s="20">
        <f>'Mass factors'!$D$7*$C$19*E22</f>
        <v>567.29441494592345</v>
      </c>
    </row>
    <row r="23" spans="2:10" ht="20.25" customHeight="1" x14ac:dyDescent="0.2">
      <c r="B23" s="17"/>
      <c r="C23" s="17"/>
      <c r="D23" s="21">
        <v>5</v>
      </c>
      <c r="E23" s="22">
        <f>D23/Constants!$D$3</f>
        <v>0.2279269576983107</v>
      </c>
      <c r="F23" s="22">
        <f>'Mass factors'!$D$3*$C$19*E23</f>
        <v>590.93168223533689</v>
      </c>
      <c r="G23" s="22">
        <f>'Mass factors'!$D$4*$C$19*E23</f>
        <v>626.38758316945712</v>
      </c>
      <c r="H23" s="22">
        <f>'Mass factors'!$D$5*$C$19*E23</f>
        <v>650.02485045887067</v>
      </c>
      <c r="I23" s="22">
        <f>'Mass factors'!$D$6*$C$19*E23</f>
        <v>679.57143457063739</v>
      </c>
      <c r="J23" s="22">
        <f>'Mass factors'!$D$7*$C$19*E23</f>
        <v>709.11801868240423</v>
      </c>
    </row>
    <row r="24" spans="2:10" ht="20.25" customHeight="1" x14ac:dyDescent="0.2">
      <c r="B24" s="17"/>
      <c r="C24" s="17"/>
      <c r="D24" s="19">
        <v>6</v>
      </c>
      <c r="E24" s="20">
        <f>D24/Constants!$D$3</f>
        <v>0.27351234923797285</v>
      </c>
      <c r="F24" s="20">
        <f>'Mass factors'!$D$3*$C$19*E24</f>
        <v>709.11801868240434</v>
      </c>
      <c r="G24" s="20">
        <f>'Mass factors'!$D$4*$C$19*E24</f>
        <v>751.66509980334854</v>
      </c>
      <c r="H24" s="20">
        <f>'Mass factors'!$D$5*$C$19*E24</f>
        <v>780.0298205506449</v>
      </c>
      <c r="I24" s="20">
        <f>'Mass factors'!$D$6*$C$19*E24</f>
        <v>815.48572148476489</v>
      </c>
      <c r="J24" s="20">
        <f>'Mass factors'!$D$7*$C$19*E24</f>
        <v>850.94162241888512</v>
      </c>
    </row>
    <row r="25" spans="2:10" ht="20.25" customHeight="1" x14ac:dyDescent="0.2">
      <c r="B25" s="17"/>
      <c r="C25" s="17"/>
      <c r="D25" s="21">
        <v>7</v>
      </c>
      <c r="E25" s="22">
        <f>D25/Constants!$D$3</f>
        <v>0.31909774077763498</v>
      </c>
      <c r="F25" s="22">
        <f>'Mass factors'!$D$3*$C$19*E25</f>
        <v>827.30435512947167</v>
      </c>
      <c r="G25" s="22">
        <f>'Mass factors'!$D$4*$C$19*E25</f>
        <v>876.94261643723996</v>
      </c>
      <c r="H25" s="22">
        <f>'Mass factors'!$D$5*$C$19*E25</f>
        <v>910.0347906424189</v>
      </c>
      <c r="I25" s="22">
        <f>'Mass factors'!$D$6*$C$19*E25</f>
        <v>951.4000083988924</v>
      </c>
      <c r="J25" s="22">
        <f>'Mass factors'!$D$7*$C$19*E25</f>
        <v>992.76522615536601</v>
      </c>
    </row>
    <row r="26" spans="2:10" ht="20.25" customHeight="1" x14ac:dyDescent="0.2">
      <c r="B26" s="17"/>
      <c r="C26" s="17"/>
      <c r="D26" s="19">
        <v>8</v>
      </c>
      <c r="E26" s="20">
        <f>D26/Constants!$D$3</f>
        <v>0.36468313231729715</v>
      </c>
      <c r="F26" s="20">
        <f>'Mass factors'!$D$3*$C$19*E26</f>
        <v>945.49069157653912</v>
      </c>
      <c r="G26" s="20">
        <f>'Mass factors'!$D$4*$C$19*E26</f>
        <v>1002.2201330711315</v>
      </c>
      <c r="H26" s="20">
        <f>'Mass factors'!$D$5*$C$19*E26</f>
        <v>1040.0397607341931</v>
      </c>
      <c r="I26" s="20">
        <f>'Mass factors'!$D$6*$C$19*E26</f>
        <v>1087.31429531302</v>
      </c>
      <c r="J26" s="20">
        <f>'Mass factors'!$D$7*$C$19*E26</f>
        <v>1134.5888298918469</v>
      </c>
    </row>
    <row r="27" spans="2:10" ht="20.25" customHeight="1" x14ac:dyDescent="0.2">
      <c r="B27" s="17"/>
      <c r="C27" s="17"/>
      <c r="D27" s="21">
        <v>9</v>
      </c>
      <c r="E27" s="22">
        <f>D27/Constants!$D$3</f>
        <v>0.41026852385695928</v>
      </c>
      <c r="F27" s="22">
        <f>'Mass factors'!$D$3*$C$19*E27</f>
        <v>1063.6770280236065</v>
      </c>
      <c r="G27" s="22">
        <f>'Mass factors'!$D$4*$C$19*E27</f>
        <v>1127.4976497050229</v>
      </c>
      <c r="H27" s="22">
        <f>'Mass factors'!$D$5*$C$19*E27</f>
        <v>1170.0447308259672</v>
      </c>
      <c r="I27" s="22">
        <f>'Mass factors'!$D$6*$C$19*E27</f>
        <v>1223.2285822271474</v>
      </c>
      <c r="J27" s="22">
        <f>'Mass factors'!$D$7*$C$19*E27</f>
        <v>1276.4124336283278</v>
      </c>
    </row>
    <row r="28" spans="2:10" ht="20.25" customHeight="1" x14ac:dyDescent="0.2">
      <c r="B28" s="17"/>
      <c r="C28" s="17"/>
      <c r="D28" s="19">
        <v>10</v>
      </c>
      <c r="E28" s="20">
        <f>D28/Constants!$D$3</f>
        <v>0.4558539153966214</v>
      </c>
      <c r="F28" s="20">
        <f>'Mass factors'!$D$3*$C$19*E28</f>
        <v>1181.8633644706738</v>
      </c>
      <c r="G28" s="20">
        <f>'Mass factors'!$D$4*$C$19*E28</f>
        <v>1252.7751663389142</v>
      </c>
      <c r="H28" s="20">
        <f>'Mass factors'!$D$5*$C$19*E28</f>
        <v>1300.0497009177413</v>
      </c>
      <c r="I28" s="20">
        <f>'Mass factors'!$D$6*$C$19*E28</f>
        <v>1359.1428691412748</v>
      </c>
      <c r="J28" s="20">
        <f>'Mass factors'!$D$7*$C$19*E28</f>
        <v>1418.2360373648085</v>
      </c>
    </row>
    <row r="29" spans="2:10" ht="20.25" customHeight="1" x14ac:dyDescent="0.2">
      <c r="B29" s="17"/>
      <c r="C29" s="17"/>
      <c r="D29" s="21">
        <v>11</v>
      </c>
      <c r="E29" s="22">
        <f>D29/Constants!$D$3</f>
        <v>0.50143930693628358</v>
      </c>
      <c r="F29" s="22">
        <f>'Mass factors'!$D$3*$C$19*E29</f>
        <v>1300.0497009177413</v>
      </c>
      <c r="G29" s="22">
        <f>'Mass factors'!$D$4*$C$19*E29</f>
        <v>1378.0526829728058</v>
      </c>
      <c r="H29" s="22">
        <f>'Mass factors'!$D$5*$C$19*E29</f>
        <v>1430.0546710095157</v>
      </c>
      <c r="I29" s="22">
        <f>'Mass factors'!$D$6*$C$19*E29</f>
        <v>1495.0571560554024</v>
      </c>
      <c r="J29" s="22">
        <f>'Mass factors'!$D$7*$C$19*E29</f>
        <v>1560.0596411012896</v>
      </c>
    </row>
    <row r="30" spans="2:10" ht="20.25" customHeight="1" x14ac:dyDescent="0.2">
      <c r="B30" s="17"/>
      <c r="C30" s="17"/>
      <c r="D30" s="19">
        <v>12</v>
      </c>
      <c r="E30" s="20">
        <f>D30/Constants!$D$3</f>
        <v>0.5470246984759457</v>
      </c>
      <c r="F30" s="20">
        <f>'Mass factors'!$D$3*$C$19*E30</f>
        <v>1418.2360373648087</v>
      </c>
      <c r="G30" s="20">
        <f>'Mass factors'!$D$4*$C$19*E30</f>
        <v>1503.3301996066971</v>
      </c>
      <c r="H30" s="20">
        <f>'Mass factors'!$D$5*$C$19*E30</f>
        <v>1560.0596411012898</v>
      </c>
      <c r="I30" s="20">
        <f>'Mass factors'!$D$6*$C$19*E30</f>
        <v>1630.9714429695298</v>
      </c>
      <c r="J30" s="20">
        <f>'Mass factors'!$D$7*$C$19*E30</f>
        <v>1701.8832448377702</v>
      </c>
    </row>
    <row r="31" spans="2:10" ht="20.25" customHeight="1" x14ac:dyDescent="0.2">
      <c r="B31" s="17"/>
      <c r="C31" s="17"/>
      <c r="D31" s="21">
        <v>13</v>
      </c>
      <c r="E31" s="22">
        <f>D31/Constants!$D$3</f>
        <v>0.59261009001560783</v>
      </c>
      <c r="F31" s="22">
        <f>'Mass factors'!$D$3*$C$19*E31</f>
        <v>1536.422373811876</v>
      </c>
      <c r="G31" s="22">
        <f>'Mass factors'!$D$4*$C$19*E31</f>
        <v>1628.6077162405886</v>
      </c>
      <c r="H31" s="22">
        <f>'Mass factors'!$D$5*$C$19*E31</f>
        <v>1690.0646111930639</v>
      </c>
      <c r="I31" s="22">
        <f>'Mass factors'!$D$6*$C$19*E31</f>
        <v>1766.8857298836574</v>
      </c>
      <c r="J31" s="22">
        <f>'Mass factors'!$D$7*$C$19*E31</f>
        <v>1843.7068485742511</v>
      </c>
    </row>
    <row r="32" spans="2:10" ht="20.25" customHeight="1" x14ac:dyDescent="0.2">
      <c r="B32" s="17"/>
      <c r="C32" s="17"/>
      <c r="D32" s="19">
        <v>14</v>
      </c>
      <c r="E32" s="20">
        <f>D32/Constants!$D$3</f>
        <v>0.63819548155526995</v>
      </c>
      <c r="F32" s="20">
        <f>'Mass factors'!$D$3*$C$19*E32</f>
        <v>1654.6087102589433</v>
      </c>
      <c r="G32" s="20">
        <f>'Mass factors'!$D$4*$C$19*E32</f>
        <v>1753.8852328744799</v>
      </c>
      <c r="H32" s="20">
        <f>'Mass factors'!$D$5*$C$19*E32</f>
        <v>1820.0695812848378</v>
      </c>
      <c r="I32" s="20">
        <f>'Mass factors'!$D$6*$C$19*E32</f>
        <v>1902.8000167977848</v>
      </c>
      <c r="J32" s="20">
        <f>'Mass factors'!$D$7*$C$19*E32</f>
        <v>1985.530452310732</v>
      </c>
    </row>
    <row r="33" spans="2:10" ht="20.25" customHeight="1" x14ac:dyDescent="0.2">
      <c r="B33" s="17"/>
      <c r="C33" s="17"/>
      <c r="D33" s="21">
        <v>15</v>
      </c>
      <c r="E33" s="22">
        <f>D33/Constants!$D$3</f>
        <v>0.68378087309493207</v>
      </c>
      <c r="F33" s="22">
        <f>'Mass factors'!$D$3*$C$19*E33</f>
        <v>1772.7950467060107</v>
      </c>
      <c r="G33" s="22">
        <f>'Mass factors'!$D$4*$C$19*E33</f>
        <v>1879.1627495083712</v>
      </c>
      <c r="H33" s="22">
        <f>'Mass factors'!$D$5*$C$19*E33</f>
        <v>1950.0745513766119</v>
      </c>
      <c r="I33" s="22">
        <f>'Mass factors'!$D$6*$C$19*E33</f>
        <v>2038.7143037119122</v>
      </c>
      <c r="J33" s="22">
        <f>'Mass factors'!$D$7*$C$19*E33</f>
        <v>2127.3540560472129</v>
      </c>
    </row>
    <row r="34" spans="2:10" ht="20.25" customHeight="1" x14ac:dyDescent="0.2">
      <c r="B34" s="17"/>
      <c r="C34" s="17"/>
      <c r="D34" s="19"/>
      <c r="E34" s="20"/>
      <c r="F34" s="19"/>
      <c r="G34" s="19"/>
      <c r="H34" s="19"/>
      <c r="I34" s="20"/>
      <c r="J34" s="20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8"/>
  <sheetViews>
    <sheetView windowProtection="1" showGridLines="0" zoomScaleNormal="100" workbookViewId="0">
      <selection activeCell="D7" sqref="D7"/>
    </sheetView>
  </sheetViews>
  <sheetFormatPr defaultRowHeight="15" x14ac:dyDescent="0.2"/>
  <cols>
    <col min="1" max="1" width="0.19921875" style="16"/>
    <col min="2" max="2" width="16" style="16"/>
    <col min="3" max="3" width="12.19921875" style="16"/>
    <col min="4" max="4" width="12.59765625" style="16"/>
    <col min="5" max="5" width="13.19921875" style="16"/>
    <col min="6" max="6" width="13" style="16"/>
    <col min="7" max="7" width="12.19921875" style="16"/>
    <col min="8" max="8" width="9.69921875" style="16"/>
    <col min="9" max="256" width="12.19921875" style="16"/>
    <col min="257" max="1025" width="12.19921875"/>
  </cols>
  <sheetData>
    <row r="1" spans="2:9" ht="2.1" customHeight="1" x14ac:dyDescent="0.2">
      <c r="B1"/>
      <c r="C1"/>
      <c r="D1"/>
      <c r="E1"/>
      <c r="F1"/>
      <c r="G1"/>
      <c r="H1"/>
      <c r="I1"/>
    </row>
    <row r="2" spans="2:9" ht="32.25" customHeight="1" x14ac:dyDescent="0.2">
      <c r="B2" s="17"/>
      <c r="C2" s="17"/>
      <c r="D2" s="17" t="s">
        <v>48</v>
      </c>
      <c r="E2" s="17" t="s">
        <v>49</v>
      </c>
      <c r="F2" s="17" t="s">
        <v>50</v>
      </c>
      <c r="G2" s="17" t="s">
        <v>51</v>
      </c>
      <c r="H2" s="17" t="s">
        <v>52</v>
      </c>
      <c r="I2" s="17" t="s">
        <v>53</v>
      </c>
    </row>
    <row r="3" spans="2:9" ht="33.75" customHeight="1" x14ac:dyDescent="0.2">
      <c r="B3" s="17" t="s">
        <v>39</v>
      </c>
      <c r="C3" s="18">
        <f>RefWeightKg</f>
        <v>1176</v>
      </c>
      <c r="D3" s="19">
        <v>1</v>
      </c>
      <c r="E3" s="24">
        <f t="shared" ref="E3:E19" si="0">INT(DEGREES(ATAN(D3/100)))</f>
        <v>0</v>
      </c>
      <c r="F3" s="24">
        <f t="shared" ref="F3:F19" si="1">(DEGREES(ATAN(D3/100))-E3)*60</f>
        <v>34.376321861009153</v>
      </c>
      <c r="G3" s="25">
        <f t="shared" ref="G3:G19" si="2">SIN(ATAN(D3/100))</f>
        <v>9.9995000374968751E-3</v>
      </c>
      <c r="H3" s="25">
        <f>$C$3*Constants!$E$3*G3</f>
        <v>115.32043812223722</v>
      </c>
      <c r="I3" s="19"/>
    </row>
    <row r="4" spans="2:9" ht="20.25" customHeight="1" x14ac:dyDescent="0.2">
      <c r="B4" s="17"/>
      <c r="C4" s="17"/>
      <c r="D4" s="21">
        <v>2</v>
      </c>
      <c r="E4" s="26">
        <f t="shared" si="0"/>
        <v>1</v>
      </c>
      <c r="F4" s="26">
        <f t="shared" si="1"/>
        <v>8.7457702905062096</v>
      </c>
      <c r="G4" s="27">
        <f t="shared" si="2"/>
        <v>1.9996001199600141E-2</v>
      </c>
      <c r="H4" s="28">
        <f>$C$3*Constants!$E$3*G4</f>
        <v>230.60629135293306</v>
      </c>
      <c r="I4" s="21"/>
    </row>
    <row r="5" spans="2:9" ht="20.25" customHeight="1" x14ac:dyDescent="0.2">
      <c r="B5" s="17"/>
      <c r="C5" s="17"/>
      <c r="D5" s="19">
        <v>3</v>
      </c>
      <c r="E5" s="24">
        <f t="shared" si="0"/>
        <v>1</v>
      </c>
      <c r="F5" s="24">
        <f t="shared" si="1"/>
        <v>43.101480099327432</v>
      </c>
      <c r="G5" s="25">
        <f t="shared" si="2"/>
        <v>2.9986509105671005E-2</v>
      </c>
      <c r="H5" s="29">
        <f>$C$3*Constants!$E$3*G5</f>
        <v>345.8230266368472</v>
      </c>
      <c r="I5" s="19">
        <v>1</v>
      </c>
    </row>
    <row r="6" spans="2:9" ht="20.25" customHeight="1" x14ac:dyDescent="0.2">
      <c r="B6" s="17"/>
      <c r="C6" s="17"/>
      <c r="D6" s="21">
        <v>4</v>
      </c>
      <c r="E6" s="26">
        <f t="shared" si="0"/>
        <v>2</v>
      </c>
      <c r="F6" s="26">
        <f t="shared" si="1"/>
        <v>17.436602558311776</v>
      </c>
      <c r="G6" s="27">
        <f t="shared" si="2"/>
        <v>3.9968038348871582E-2</v>
      </c>
      <c r="H6" s="28">
        <f>$C$3*Constants!$E$3*G6</f>
        <v>460.93621441017871</v>
      </c>
      <c r="I6" s="21"/>
    </row>
    <row r="7" spans="2:9" ht="20.25" customHeight="1" x14ac:dyDescent="0.2">
      <c r="B7" s="17"/>
      <c r="C7" s="17"/>
      <c r="D7" s="19">
        <v>5</v>
      </c>
      <c r="E7" s="24">
        <f t="shared" si="0"/>
        <v>2</v>
      </c>
      <c r="F7" s="24">
        <f t="shared" si="1"/>
        <v>51.744313566704875</v>
      </c>
      <c r="G7" s="25">
        <f t="shared" si="2"/>
        <v>4.9937616943892239E-2</v>
      </c>
      <c r="H7" s="29">
        <f>$C$3*Constants!$E$3*G7</f>
        <v>575.91157989451733</v>
      </c>
      <c r="I7" s="19"/>
    </row>
    <row r="8" spans="2:9" ht="20.25" customHeight="1" x14ac:dyDescent="0.2">
      <c r="B8" s="17"/>
      <c r="C8" s="17"/>
      <c r="D8" s="21">
        <v>6</v>
      </c>
      <c r="E8" s="26">
        <f t="shared" si="0"/>
        <v>3</v>
      </c>
      <c r="F8" s="26">
        <f t="shared" si="1"/>
        <v>26.01782174703132</v>
      </c>
      <c r="G8" s="27">
        <f t="shared" si="2"/>
        <v>5.9892290727946718E-2</v>
      </c>
      <c r="H8" s="28">
        <f>$C$3*Constants!$E$3*G8</f>
        <v>690.71505385184912</v>
      </c>
      <c r="I8" s="21">
        <v>2</v>
      </c>
    </row>
    <row r="9" spans="2:9" ht="20.25" customHeight="1" x14ac:dyDescent="0.2">
      <c r="B9" s="17"/>
      <c r="C9" s="17"/>
      <c r="D9" s="19">
        <v>7</v>
      </c>
      <c r="E9" s="24">
        <f t="shared" si="0"/>
        <v>4</v>
      </c>
      <c r="F9" s="24">
        <f t="shared" si="1"/>
        <v>0.25037644256329372</v>
      </c>
      <c r="G9" s="25">
        <f t="shared" si="2"/>
        <v>6.9829127699913882E-2</v>
      </c>
      <c r="H9" s="29">
        <f>$C$3*Constants!$E$3*G9</f>
        <v>805.31282262623188</v>
      </c>
      <c r="I9" s="19"/>
    </row>
    <row r="10" spans="2:9" ht="20.25" customHeight="1" x14ac:dyDescent="0.2">
      <c r="B10" s="17"/>
      <c r="C10" s="17"/>
      <c r="D10" s="21">
        <v>8</v>
      </c>
      <c r="E10" s="26">
        <f t="shared" si="0"/>
        <v>4</v>
      </c>
      <c r="F10" s="26">
        <f t="shared" si="1"/>
        <v>34.435275594051674</v>
      </c>
      <c r="G10" s="27">
        <f t="shared" si="2"/>
        <v>7.9745222282890008E-2</v>
      </c>
      <c r="H10" s="28">
        <f>$C$3*Constants!$E$3*G10</f>
        <v>919.6713773021919</v>
      </c>
      <c r="I10" s="21"/>
    </row>
    <row r="11" spans="2:9" ht="20.25" customHeight="1" x14ac:dyDescent="0.2">
      <c r="B11" s="17"/>
      <c r="C11" s="17"/>
      <c r="D11" s="19">
        <v>9</v>
      </c>
      <c r="E11" s="24">
        <f t="shared" si="0"/>
        <v>5</v>
      </c>
      <c r="F11" s="24">
        <f t="shared" si="1"/>
        <v>8.565873473054495</v>
      </c>
      <c r="G11" s="25">
        <f t="shared" si="2"/>
        <v>8.9637699495890594E-2</v>
      </c>
      <c r="H11" s="29">
        <f>$C$3*Constants!$E$3*G11</f>
        <v>1033.7575618153776</v>
      </c>
      <c r="I11" s="19">
        <v>3</v>
      </c>
    </row>
    <row r="12" spans="2:9" ht="20.25" customHeight="1" x14ac:dyDescent="0.2">
      <c r="B12" s="17"/>
      <c r="C12" s="17"/>
      <c r="D12" s="21">
        <v>10</v>
      </c>
      <c r="E12" s="26">
        <f t="shared" si="0"/>
        <v>5</v>
      </c>
      <c r="F12" s="26">
        <f t="shared" si="1"/>
        <v>42.635588249978582</v>
      </c>
      <c r="G12" s="27">
        <f t="shared" si="2"/>
        <v>9.9503719020998929E-2</v>
      </c>
      <c r="H12" s="28">
        <f>$C$3*Constants!$E$3*G12</f>
        <v>1147.5386198574402</v>
      </c>
      <c r="I12" s="21">
        <v>4</v>
      </c>
    </row>
    <row r="13" spans="2:9" ht="20.25" customHeight="1" x14ac:dyDescent="0.2">
      <c r="B13" s="17"/>
      <c r="C13" s="17"/>
      <c r="D13" s="19">
        <v>15</v>
      </c>
      <c r="E13" s="24">
        <f t="shared" si="0"/>
        <v>8</v>
      </c>
      <c r="F13" s="24">
        <f t="shared" si="1"/>
        <v>31.845936596888009</v>
      </c>
      <c r="G13" s="25">
        <f t="shared" si="2"/>
        <v>0.14834045293024464</v>
      </c>
      <c r="H13" s="29">
        <f>$C$3*Constants!$E$3*G13</f>
        <v>1710.7541336085792</v>
      </c>
      <c r="I13" s="19">
        <v>5</v>
      </c>
    </row>
    <row r="14" spans="2:9" ht="20.25" customHeight="1" x14ac:dyDescent="0.2">
      <c r="B14" s="17"/>
      <c r="C14" s="17"/>
      <c r="D14" s="21">
        <v>20</v>
      </c>
      <c r="E14" s="26">
        <f t="shared" si="0"/>
        <v>11</v>
      </c>
      <c r="F14" s="26">
        <f t="shared" si="1"/>
        <v>18.595948441212897</v>
      </c>
      <c r="G14" s="27">
        <f t="shared" si="2"/>
        <v>0.19611613513818404</v>
      </c>
      <c r="H14" s="28">
        <f>$C$3*Constants!$E$3*G14</f>
        <v>2261.7329408637779</v>
      </c>
      <c r="I14" s="21">
        <v>7</v>
      </c>
    </row>
    <row r="15" spans="2:9" ht="20.25" customHeight="1" x14ac:dyDescent="0.2">
      <c r="B15" s="17"/>
      <c r="C15" s="17"/>
      <c r="D15" s="19">
        <v>25</v>
      </c>
      <c r="E15" s="24">
        <f t="shared" si="0"/>
        <v>14</v>
      </c>
      <c r="F15" s="24">
        <f t="shared" si="1"/>
        <v>2.174608075588722</v>
      </c>
      <c r="G15" s="25">
        <f t="shared" si="2"/>
        <v>0.24253562503633297</v>
      </c>
      <c r="H15" s="29">
        <f>$C$3*Constants!$E$3*G15</f>
        <v>2797.0712970207642</v>
      </c>
      <c r="I15" s="19">
        <v>8</v>
      </c>
    </row>
    <row r="16" spans="2:9" ht="20.25" customHeight="1" x14ac:dyDescent="0.2">
      <c r="B16" s="17"/>
      <c r="C16" s="17"/>
      <c r="D16" s="21">
        <v>30</v>
      </c>
      <c r="E16" s="26">
        <f t="shared" si="0"/>
        <v>16</v>
      </c>
      <c r="F16" s="26">
        <f t="shared" si="1"/>
        <v>41.954654039617267</v>
      </c>
      <c r="G16" s="27">
        <f t="shared" si="2"/>
        <v>0.28734788556634544</v>
      </c>
      <c r="H16" s="28">
        <f>$C$3*Constants!$E$3*G16</f>
        <v>3313.874086979301</v>
      </c>
      <c r="I16" s="21">
        <v>9</v>
      </c>
    </row>
    <row r="17" spans="2:9" ht="20.25" customHeight="1" x14ac:dyDescent="0.2">
      <c r="B17" s="17"/>
      <c r="C17" s="17"/>
      <c r="D17" s="19">
        <v>35</v>
      </c>
      <c r="E17" s="24">
        <f t="shared" si="0"/>
        <v>19</v>
      </c>
      <c r="F17" s="24">
        <f t="shared" si="1"/>
        <v>17.402773151324098</v>
      </c>
      <c r="G17" s="25">
        <f t="shared" si="2"/>
        <v>0.33035042472810605</v>
      </c>
      <c r="H17" s="29">
        <f>$C$3*Constants!$E$3*G17</f>
        <v>3809.8060473680202</v>
      </c>
      <c r="I17" s="19">
        <v>10</v>
      </c>
    </row>
    <row r="18" spans="2:9" ht="20.25" customHeight="1" x14ac:dyDescent="0.2">
      <c r="B18" s="17"/>
      <c r="C18" s="17"/>
      <c r="D18" s="21">
        <v>40</v>
      </c>
      <c r="E18" s="26">
        <f t="shared" si="0"/>
        <v>21</v>
      </c>
      <c r="F18" s="26">
        <f t="shared" si="1"/>
        <v>48.084569181108705</v>
      </c>
      <c r="G18" s="27">
        <f t="shared" si="2"/>
        <v>0.37139067635410372</v>
      </c>
      <c r="H18" s="28">
        <f>$C$3*Constants!$E$3*G18</f>
        <v>4283.1076904911342</v>
      </c>
      <c r="I18" s="21">
        <v>11</v>
      </c>
    </row>
    <row r="19" spans="2:9" ht="20.25" customHeight="1" x14ac:dyDescent="0.2">
      <c r="B19" s="17"/>
      <c r="C19" s="17"/>
      <c r="D19" s="19">
        <v>45</v>
      </c>
      <c r="E19" s="24">
        <f t="shared" si="0"/>
        <v>24</v>
      </c>
      <c r="F19" s="24">
        <f t="shared" si="1"/>
        <v>13.664719077250211</v>
      </c>
      <c r="G19" s="25">
        <f t="shared" si="2"/>
        <v>0.41036467732879789</v>
      </c>
      <c r="H19" s="29">
        <f>$C$3*Constants!$E$3*G19</f>
        <v>4732.5800492015123</v>
      </c>
      <c r="I19" s="19">
        <v>12</v>
      </c>
    </row>
    <row r="20" spans="2:9" ht="32.450000000000003" customHeight="1" x14ac:dyDescent="0.2">
      <c r="B20" s="17"/>
      <c r="C20" s="17"/>
      <c r="D20" s="17" t="s">
        <v>48</v>
      </c>
      <c r="E20" s="17" t="s">
        <v>49</v>
      </c>
      <c r="F20" s="17" t="s">
        <v>50</v>
      </c>
      <c r="G20" s="17" t="s">
        <v>51</v>
      </c>
      <c r="H20" s="17" t="s">
        <v>54</v>
      </c>
      <c r="I20" s="17" t="s">
        <v>40</v>
      </c>
    </row>
    <row r="21" spans="2:9" ht="20.45" customHeight="1" x14ac:dyDescent="0.2">
      <c r="B21" s="17" t="s">
        <v>47</v>
      </c>
      <c r="C21" s="23">
        <f>RefWeightLbs</f>
        <v>2592.6362032941602</v>
      </c>
      <c r="D21" s="21">
        <v>1</v>
      </c>
      <c r="E21" s="26">
        <f t="shared" ref="E21:E37" si="3">INT(DEGREES(ATAN(D21/100)))</f>
        <v>0</v>
      </c>
      <c r="F21" s="26">
        <f t="shared" ref="F21:F37" si="4">(DEGREES(ATAN(D21/100))-E21)*60</f>
        <v>34.376321861009153</v>
      </c>
      <c r="G21" s="27">
        <f t="shared" ref="G21:G37" si="5">SIN(ATAN(D21/100))</f>
        <v>9.9995000374968751E-3</v>
      </c>
      <c r="H21" s="28">
        <f t="shared" ref="H21:H37" si="6">$C$21*G21</f>
        <v>25.92506581205571</v>
      </c>
      <c r="I21" s="21"/>
    </row>
    <row r="22" spans="2:9" ht="20.25" customHeight="1" x14ac:dyDescent="0.2">
      <c r="B22" s="17"/>
      <c r="C22" s="17"/>
      <c r="D22" s="19">
        <v>2</v>
      </c>
      <c r="E22" s="24">
        <f t="shared" si="3"/>
        <v>1</v>
      </c>
      <c r="F22" s="24">
        <f t="shared" si="4"/>
        <v>8.7457702905062096</v>
      </c>
      <c r="G22" s="25">
        <f t="shared" si="5"/>
        <v>1.9996001199600141E-2</v>
      </c>
      <c r="H22" s="29">
        <f t="shared" si="6"/>
        <v>51.842356631196786</v>
      </c>
      <c r="I22" s="19"/>
    </row>
    <row r="23" spans="2:9" ht="20.25" customHeight="1" x14ac:dyDescent="0.2">
      <c r="B23" s="17"/>
      <c r="C23" s="17"/>
      <c r="D23" s="21">
        <v>3</v>
      </c>
      <c r="E23" s="26">
        <f t="shared" si="3"/>
        <v>1</v>
      </c>
      <c r="F23" s="26">
        <f t="shared" si="4"/>
        <v>43.101480099327432</v>
      </c>
      <c r="G23" s="27">
        <f t="shared" si="5"/>
        <v>2.9986509105671005E-2</v>
      </c>
      <c r="H23" s="28">
        <f t="shared" si="6"/>
        <v>77.744109117772638</v>
      </c>
      <c r="I23" s="21"/>
    </row>
    <row r="24" spans="2:9" ht="20.25" customHeight="1" x14ac:dyDescent="0.2">
      <c r="B24" s="17"/>
      <c r="C24" s="17"/>
      <c r="D24" s="19">
        <v>4</v>
      </c>
      <c r="E24" s="24">
        <f t="shared" si="3"/>
        <v>2</v>
      </c>
      <c r="F24" s="24">
        <f t="shared" si="4"/>
        <v>17.436602558311776</v>
      </c>
      <c r="G24" s="25">
        <f t="shared" si="5"/>
        <v>3.9968038348871582E-2</v>
      </c>
      <c r="H24" s="29">
        <f t="shared" si="6"/>
        <v>103.62258319793381</v>
      </c>
      <c r="I24" s="19"/>
    </row>
    <row r="25" spans="2:9" ht="20.25" customHeight="1" x14ac:dyDescent="0.2">
      <c r="B25" s="17"/>
      <c r="C25" s="17"/>
      <c r="D25" s="21">
        <v>5</v>
      </c>
      <c r="E25" s="26">
        <f t="shared" si="3"/>
        <v>2</v>
      </c>
      <c r="F25" s="26">
        <f t="shared" si="4"/>
        <v>51.744313566704875</v>
      </c>
      <c r="G25" s="27">
        <f t="shared" si="5"/>
        <v>4.9937616943892239E-2</v>
      </c>
      <c r="H25" s="28">
        <f t="shared" si="6"/>
        <v>129.4700735949709</v>
      </c>
      <c r="I25" s="21">
        <v>1</v>
      </c>
    </row>
    <row r="26" spans="2:9" ht="20.25" customHeight="1" x14ac:dyDescent="0.2">
      <c r="B26" s="17"/>
      <c r="C26" s="17"/>
      <c r="D26" s="19">
        <v>6</v>
      </c>
      <c r="E26" s="24">
        <f t="shared" si="3"/>
        <v>3</v>
      </c>
      <c r="F26" s="24">
        <f t="shared" si="4"/>
        <v>26.01782174703132</v>
      </c>
      <c r="G26" s="25">
        <f t="shared" si="5"/>
        <v>5.9892290727946718E-2</v>
      </c>
      <c r="H26" s="29">
        <f t="shared" si="6"/>
        <v>155.2789212394938</v>
      </c>
      <c r="I26" s="19"/>
    </row>
    <row r="27" spans="2:9" ht="20.25" customHeight="1" x14ac:dyDescent="0.2">
      <c r="B27" s="17"/>
      <c r="C27" s="17"/>
      <c r="D27" s="21">
        <v>7</v>
      </c>
      <c r="E27" s="26">
        <f t="shared" si="3"/>
        <v>4</v>
      </c>
      <c r="F27" s="26">
        <f t="shared" si="4"/>
        <v>0.25037644256329372</v>
      </c>
      <c r="G27" s="27">
        <f t="shared" si="5"/>
        <v>6.9829127699913882E-2</v>
      </c>
      <c r="H27" s="28">
        <f t="shared" si="6"/>
        <v>181.04152451924779</v>
      </c>
      <c r="I27" s="21"/>
    </row>
    <row r="28" spans="2:9" ht="20.25" customHeight="1" x14ac:dyDescent="0.2">
      <c r="B28" s="17"/>
      <c r="C28" s="17"/>
      <c r="D28" s="19">
        <v>8</v>
      </c>
      <c r="E28" s="24">
        <f t="shared" si="3"/>
        <v>4</v>
      </c>
      <c r="F28" s="24">
        <f t="shared" si="4"/>
        <v>34.435275594051674</v>
      </c>
      <c r="G28" s="25">
        <f t="shared" si="5"/>
        <v>7.9745222282890008E-2</v>
      </c>
      <c r="H28" s="29">
        <f t="shared" si="6"/>
        <v>206.75035033036082</v>
      </c>
      <c r="I28" s="19"/>
    </row>
    <row r="29" spans="2:9" ht="20.25" customHeight="1" x14ac:dyDescent="0.2">
      <c r="B29" s="17"/>
      <c r="C29" s="17"/>
      <c r="D29" s="21">
        <v>9</v>
      </c>
      <c r="E29" s="26">
        <f t="shared" si="3"/>
        <v>5</v>
      </c>
      <c r="F29" s="26">
        <f t="shared" si="4"/>
        <v>8.565873473054495</v>
      </c>
      <c r="G29" s="27">
        <f t="shared" si="5"/>
        <v>8.9637699495890594E-2</v>
      </c>
      <c r="H29" s="28">
        <f t="shared" si="6"/>
        <v>232.39794489304865</v>
      </c>
      <c r="I29" s="21"/>
    </row>
    <row r="30" spans="2:9" ht="20.25" customHeight="1" x14ac:dyDescent="0.2">
      <c r="B30" s="17"/>
      <c r="C30" s="17"/>
      <c r="D30" s="19">
        <v>10</v>
      </c>
      <c r="E30" s="24">
        <f t="shared" si="3"/>
        <v>5</v>
      </c>
      <c r="F30" s="24">
        <f t="shared" si="4"/>
        <v>42.635588249978582</v>
      </c>
      <c r="G30" s="25">
        <f t="shared" si="5"/>
        <v>9.9503719020998929E-2</v>
      </c>
      <c r="H30" s="29">
        <f t="shared" si="6"/>
        <v>257.97694429625159</v>
      </c>
      <c r="I30" s="19">
        <v>2</v>
      </c>
    </row>
    <row r="31" spans="2:9" ht="20.25" customHeight="1" x14ac:dyDescent="0.2">
      <c r="B31" s="17"/>
      <c r="C31" s="17"/>
      <c r="D31" s="21">
        <v>15</v>
      </c>
      <c r="E31" s="26">
        <f t="shared" si="3"/>
        <v>8</v>
      </c>
      <c r="F31" s="26">
        <f t="shared" si="4"/>
        <v>31.845936596888009</v>
      </c>
      <c r="G31" s="27">
        <f t="shared" si="5"/>
        <v>0.14834045293024464</v>
      </c>
      <c r="H31" s="28">
        <f t="shared" si="6"/>
        <v>384.59282868000554</v>
      </c>
      <c r="I31" s="21">
        <v>3</v>
      </c>
    </row>
    <row r="32" spans="2:9" ht="20.25" customHeight="1" x14ac:dyDescent="0.2">
      <c r="B32" s="17"/>
      <c r="C32" s="17"/>
      <c r="D32" s="19">
        <v>20</v>
      </c>
      <c r="E32" s="24">
        <f t="shared" si="3"/>
        <v>11</v>
      </c>
      <c r="F32" s="24">
        <f t="shared" si="4"/>
        <v>18.595948441212897</v>
      </c>
      <c r="G32" s="25">
        <f t="shared" si="5"/>
        <v>0.19611613513818404</v>
      </c>
      <c r="H32" s="29">
        <f t="shared" si="6"/>
        <v>508.45779200938591</v>
      </c>
      <c r="I32" s="19">
        <v>4</v>
      </c>
    </row>
    <row r="33" spans="2:9" ht="20.25" customHeight="1" x14ac:dyDescent="0.2">
      <c r="B33" s="17"/>
      <c r="C33" s="17"/>
      <c r="D33" s="21">
        <v>25</v>
      </c>
      <c r="E33" s="26">
        <f t="shared" si="3"/>
        <v>14</v>
      </c>
      <c r="F33" s="26">
        <f t="shared" si="4"/>
        <v>2.174608075588722</v>
      </c>
      <c r="G33" s="27">
        <f t="shared" si="5"/>
        <v>0.24253562503633297</v>
      </c>
      <c r="H33" s="28">
        <f t="shared" si="6"/>
        <v>628.80664205777441</v>
      </c>
      <c r="I33" s="21">
        <v>5</v>
      </c>
    </row>
    <row r="34" spans="2:9" ht="20.25" customHeight="1" x14ac:dyDescent="0.2">
      <c r="B34" s="17"/>
      <c r="C34" s="17"/>
      <c r="D34" s="19">
        <v>30</v>
      </c>
      <c r="E34" s="24">
        <f t="shared" si="3"/>
        <v>16</v>
      </c>
      <c r="F34" s="24">
        <f t="shared" si="4"/>
        <v>41.954654039617267</v>
      </c>
      <c r="G34" s="25">
        <f t="shared" si="5"/>
        <v>0.28734788556634544</v>
      </c>
      <c r="H34" s="29">
        <f t="shared" si="6"/>
        <v>744.9885310593346</v>
      </c>
      <c r="I34" s="19">
        <v>6</v>
      </c>
    </row>
    <row r="35" spans="2:9" ht="20.25" customHeight="1" x14ac:dyDescent="0.2">
      <c r="B35" s="17"/>
      <c r="C35" s="17"/>
      <c r="D35" s="21">
        <v>35</v>
      </c>
      <c r="E35" s="26">
        <f t="shared" si="3"/>
        <v>19</v>
      </c>
      <c r="F35" s="26">
        <f t="shared" si="4"/>
        <v>17.402773151324098</v>
      </c>
      <c r="G35" s="27">
        <f t="shared" si="5"/>
        <v>0.33035042472810605</v>
      </c>
      <c r="H35" s="28">
        <f t="shared" si="6"/>
        <v>856.47847092369011</v>
      </c>
      <c r="I35" s="21"/>
    </row>
    <row r="36" spans="2:9" ht="20.25" customHeight="1" x14ac:dyDescent="0.2">
      <c r="B36" s="17"/>
      <c r="C36" s="17"/>
      <c r="D36" s="19">
        <v>40</v>
      </c>
      <c r="E36" s="24">
        <f t="shared" si="3"/>
        <v>21</v>
      </c>
      <c r="F36" s="24">
        <f t="shared" si="4"/>
        <v>48.084569181108705</v>
      </c>
      <c r="G36" s="25">
        <f t="shared" si="5"/>
        <v>0.37139067635410372</v>
      </c>
      <c r="H36" s="29">
        <f t="shared" si="6"/>
        <v>962.88091308155367</v>
      </c>
      <c r="I36" s="19">
        <v>7</v>
      </c>
    </row>
    <row r="37" spans="2:9" ht="20.25" customHeight="1" x14ac:dyDescent="0.2">
      <c r="B37" s="17"/>
      <c r="C37" s="17"/>
      <c r="D37" s="21">
        <v>45</v>
      </c>
      <c r="E37" s="26">
        <f t="shared" si="3"/>
        <v>24</v>
      </c>
      <c r="F37" s="26">
        <f t="shared" si="4"/>
        <v>13.664719077250211</v>
      </c>
      <c r="G37" s="27">
        <f t="shared" si="5"/>
        <v>0.41036467732879789</v>
      </c>
      <c r="H37" s="28">
        <f t="shared" si="6"/>
        <v>1063.9263189957676</v>
      </c>
      <c r="I37" s="21">
        <v>8</v>
      </c>
    </row>
    <row r="38" spans="2:9" ht="20.25" customHeight="1" x14ac:dyDescent="0.2">
      <c r="B38" s="17"/>
      <c r="C38" s="17"/>
      <c r="D38" s="19"/>
      <c r="E38" s="19"/>
      <c r="F38" s="19"/>
      <c r="G38" s="19"/>
      <c r="H38" s="19"/>
      <c r="I38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W79"/>
  <sheetViews>
    <sheetView windowProtection="1" showGridLines="0" zoomScaleNormal="100" workbookViewId="0">
      <pane xSplit="3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RowHeight="15" x14ac:dyDescent="0.2"/>
  <cols>
    <col min="1" max="1" width="0.19921875" style="16"/>
    <col min="2" max="2" width="31.59765625" style="16"/>
    <col min="3" max="3" width="23.69921875" style="16"/>
    <col min="4" max="4" width="0" style="16" hidden="1"/>
    <col min="5" max="5" width="16.69921875" style="16"/>
    <col min="6" max="6" width="18" style="16"/>
    <col min="7" max="9" width="17.19921875" style="16"/>
    <col min="10" max="10" width="38.3984375" style="16"/>
    <col min="11" max="13" width="17.19921875" style="16"/>
    <col min="14" max="15" width="17.5" style="16"/>
    <col min="16" max="16" width="16.3984375" style="16"/>
    <col min="17" max="26" width="3.5" style="16"/>
    <col min="27" max="256" width="12.19921875" style="16"/>
    <col min="257" max="1025" width="12.19921875"/>
  </cols>
  <sheetData>
    <row r="1" spans="1:256" ht="2.1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0" customHeight="1" x14ac:dyDescent="0.2">
      <c r="A2"/>
      <c r="B2" s="17" t="s">
        <v>55</v>
      </c>
      <c r="C2" s="17" t="s">
        <v>56</v>
      </c>
      <c r="D2" s="17" t="s">
        <v>57</v>
      </c>
      <c r="E2" s="17" t="s">
        <v>58</v>
      </c>
      <c r="F2" s="17"/>
      <c r="G2" s="17"/>
      <c r="H2" s="17" t="s">
        <v>59</v>
      </c>
      <c r="I2" s="17" t="s">
        <v>60</v>
      </c>
      <c r="J2" s="17" t="s">
        <v>61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/>
      <c r="B3" s="17" t="s">
        <v>62</v>
      </c>
      <c r="C3" s="17" t="s">
        <v>63</v>
      </c>
      <c r="D3" s="21">
        <v>0.17</v>
      </c>
      <c r="E3" s="21">
        <v>1.95</v>
      </c>
      <c r="F3" s="21"/>
      <c r="G3" s="21"/>
      <c r="H3" s="30" t="s">
        <v>64</v>
      </c>
      <c r="I3" s="30" t="s">
        <v>65</v>
      </c>
      <c r="J3" s="21" t="s">
        <v>66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/>
      <c r="B4" s="17" t="s">
        <v>67</v>
      </c>
      <c r="C4" s="17" t="s">
        <v>68</v>
      </c>
      <c r="D4" s="19">
        <v>0.2</v>
      </c>
      <c r="E4" s="19">
        <v>1.46</v>
      </c>
      <c r="F4" s="19"/>
      <c r="G4" s="19"/>
      <c r="H4" s="17" t="s">
        <v>69</v>
      </c>
      <c r="I4" s="17" t="s">
        <v>70</v>
      </c>
      <c r="J4" s="19" t="s">
        <v>71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/>
      <c r="B5" s="17" t="s">
        <v>72</v>
      </c>
      <c r="C5" s="17" t="s">
        <v>73</v>
      </c>
      <c r="D5" s="21">
        <v>0.32</v>
      </c>
      <c r="E5" s="21">
        <v>0.85</v>
      </c>
      <c r="F5" s="21"/>
      <c r="G5" s="21"/>
      <c r="H5" s="30" t="s">
        <v>74</v>
      </c>
      <c r="I5" s="30" t="s">
        <v>75</v>
      </c>
      <c r="J5" s="21" t="s">
        <v>76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/>
      <c r="B6" s="17" t="s">
        <v>77</v>
      </c>
      <c r="C6" s="17" t="s">
        <v>78</v>
      </c>
      <c r="D6" s="19">
        <v>0.5</v>
      </c>
      <c r="E6" s="19">
        <v>0.5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/>
      <c r="B7" s="17" t="s">
        <v>79</v>
      </c>
      <c r="C7" s="17" t="s">
        <v>80</v>
      </c>
      <c r="D7" s="21">
        <v>0.55000000000000004</v>
      </c>
      <c r="E7" s="21">
        <v>0.45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/>
      <c r="B8" s="17" t="s">
        <v>81</v>
      </c>
      <c r="C8" s="17" t="s">
        <v>82</v>
      </c>
      <c r="D8" s="19">
        <v>0.63</v>
      </c>
      <c r="E8" s="19">
        <v>0.38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/>
      <c r="B9" s="17" t="s">
        <v>83</v>
      </c>
      <c r="C9" s="17" t="s">
        <v>84</v>
      </c>
      <c r="D9" s="21">
        <v>0.74</v>
      </c>
      <c r="E9" s="21">
        <v>0.32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/>
      <c r="B10" s="17" t="s">
        <v>85</v>
      </c>
      <c r="C10" s="17" t="s">
        <v>86</v>
      </c>
      <c r="D10" s="19">
        <v>2.7</v>
      </c>
      <c r="E10" s="19">
        <v>7.0000000000000007E-2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8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8" customHeight="1" x14ac:dyDescent="0.2">
      <c r="A12"/>
      <c r="B12" s="145" t="s">
        <v>87</v>
      </c>
      <c r="C12" s="145"/>
      <c r="D12" s="145"/>
      <c r="E12" s="145"/>
      <c r="F12" s="14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8.25" x14ac:dyDescent="0.2">
      <c r="A13"/>
      <c r="B13" s="17" t="s">
        <v>88</v>
      </c>
      <c r="C13" s="17" t="s">
        <v>89</v>
      </c>
      <c r="D13" s="17" t="s">
        <v>57</v>
      </c>
      <c r="E13" s="17" t="s">
        <v>90</v>
      </c>
      <c r="F13" s="17" t="s">
        <v>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8" customHeight="1" x14ac:dyDescent="0.2">
      <c r="A14"/>
      <c r="B14" s="17" t="s">
        <v>92</v>
      </c>
      <c r="C14" s="17" t="s">
        <v>93</v>
      </c>
      <c r="D14" s="21">
        <v>0.17</v>
      </c>
      <c r="E14" s="31">
        <v>0.14000000000000001</v>
      </c>
      <c r="F14" s="32">
        <f t="shared" ref="F14:F20" si="0">E14*100/$E$21</f>
        <v>33.333333333333336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8" customHeight="1" x14ac:dyDescent="0.2">
      <c r="A15"/>
      <c r="B15" s="17" t="s">
        <v>94</v>
      </c>
      <c r="C15" s="17" t="s">
        <v>95</v>
      </c>
      <c r="D15" s="19">
        <v>0.2</v>
      </c>
      <c r="E15" s="33">
        <v>0.09</v>
      </c>
      <c r="F15" s="32">
        <f t="shared" si="0"/>
        <v>21.428571428571427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8" customHeight="1" x14ac:dyDescent="0.2">
      <c r="A16"/>
      <c r="B16" s="17" t="s">
        <v>96</v>
      </c>
      <c r="C16" s="17" t="s">
        <v>97</v>
      </c>
      <c r="D16" s="21">
        <v>0.32</v>
      </c>
      <c r="E16" s="31">
        <v>0.06</v>
      </c>
      <c r="F16" s="32">
        <f t="shared" si="0"/>
        <v>14.285714285714285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" customHeight="1" x14ac:dyDescent="0.2">
      <c r="A17"/>
      <c r="B17" s="17" t="s">
        <v>98</v>
      </c>
      <c r="C17" s="17" t="s">
        <v>99</v>
      </c>
      <c r="D17" s="19">
        <v>0.5</v>
      </c>
      <c r="E17" s="33">
        <v>0.05</v>
      </c>
      <c r="F17" s="32">
        <f t="shared" si="0"/>
        <v>11.904761904761903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" customHeight="1" x14ac:dyDescent="0.2">
      <c r="A18"/>
      <c r="B18" s="17" t="s">
        <v>100</v>
      </c>
      <c r="C18" s="17" t="s">
        <v>101</v>
      </c>
      <c r="D18" s="21">
        <v>0.55000000000000004</v>
      </c>
      <c r="E18" s="31">
        <v>0.03</v>
      </c>
      <c r="F18" s="32">
        <f t="shared" si="0"/>
        <v>7.1428571428571423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" customHeight="1" x14ac:dyDescent="0.2">
      <c r="A19"/>
      <c r="B19" s="17" t="s">
        <v>102</v>
      </c>
      <c r="C19" s="17" t="s">
        <v>103</v>
      </c>
      <c r="D19" s="19">
        <v>0.63</v>
      </c>
      <c r="E19" s="33">
        <v>2.5000000000000001E-2</v>
      </c>
      <c r="F19" s="32">
        <f t="shared" si="0"/>
        <v>5.9523809523809517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8" customHeight="1" x14ac:dyDescent="0.2">
      <c r="A20"/>
      <c r="B20" s="17" t="s">
        <v>104</v>
      </c>
      <c r="C20" s="17" t="s">
        <v>105</v>
      </c>
      <c r="D20" s="21">
        <v>0.74</v>
      </c>
      <c r="E20" s="31">
        <v>2.5000000000000001E-2</v>
      </c>
      <c r="F20" s="32">
        <f t="shared" si="0"/>
        <v>5.9523809523809517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8" customHeight="1" x14ac:dyDescent="0.2">
      <c r="A21"/>
      <c r="B21" s="17" t="s">
        <v>106</v>
      </c>
      <c r="C21" s="17" t="s">
        <v>107</v>
      </c>
      <c r="D21" s="19">
        <v>2.7</v>
      </c>
      <c r="E21" s="33">
        <f>SUM(E14:E20)</f>
        <v>0.42000000000000004</v>
      </c>
      <c r="F21" s="34">
        <f>SUM(F14:F20)</f>
        <v>99.999999999999972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34" spans="1:257" ht="38.25" x14ac:dyDescent="0.2">
      <c r="A34"/>
      <c r="B34"/>
      <c r="C34"/>
      <c r="D34"/>
      <c r="E34"/>
      <c r="F34" s="17" t="s">
        <v>108</v>
      </c>
      <c r="G34" s="17"/>
      <c r="H34" s="17" t="s">
        <v>109</v>
      </c>
      <c r="I34" s="17" t="s">
        <v>109</v>
      </c>
      <c r="J34" s="17" t="s">
        <v>109</v>
      </c>
      <c r="K34" s="17" t="s">
        <v>109</v>
      </c>
      <c r="L34" s="17" t="s">
        <v>109</v>
      </c>
      <c r="M34" s="17" t="s">
        <v>109</v>
      </c>
      <c r="N34" s="17" t="s">
        <v>109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36.75" customHeight="1" x14ac:dyDescent="0.2">
      <c r="A35"/>
      <c r="B35"/>
      <c r="C35"/>
      <c r="D35"/>
      <c r="E35"/>
      <c r="F35" s="17" t="s">
        <v>110</v>
      </c>
      <c r="G35" s="17"/>
      <c r="H35" s="35" t="s">
        <v>111</v>
      </c>
      <c r="I35" s="35" t="s">
        <v>112</v>
      </c>
      <c r="J35" s="35" t="s">
        <v>113</v>
      </c>
      <c r="K35" s="35" t="s">
        <v>114</v>
      </c>
      <c r="L35" s="35" t="s">
        <v>115</v>
      </c>
      <c r="M35" s="35" t="s">
        <v>116</v>
      </c>
      <c r="N35" s="35" t="s">
        <v>117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s="8" customFormat="1" ht="18" customHeight="1" x14ac:dyDescent="0.2">
      <c r="A36" s="36"/>
      <c r="F36" s="146">
        <v>7.5</v>
      </c>
      <c r="G36" s="146"/>
      <c r="H36" s="38">
        <v>5</v>
      </c>
      <c r="I36" s="38">
        <v>10</v>
      </c>
      <c r="J36" s="38">
        <v>20</v>
      </c>
      <c r="K36" s="38">
        <v>30</v>
      </c>
      <c r="L36" s="38">
        <v>45</v>
      </c>
      <c r="M36" s="38">
        <v>60</v>
      </c>
      <c r="N36" s="38">
        <v>75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</row>
    <row r="37" spans="1:257" ht="25.5" x14ac:dyDescent="0.2">
      <c r="A37"/>
      <c r="B37"/>
      <c r="C37"/>
      <c r="D37"/>
      <c r="E37"/>
      <c r="F37" s="17" t="s">
        <v>118</v>
      </c>
      <c r="G37" s="37">
        <v>1.2</v>
      </c>
      <c r="H37" s="33">
        <f t="shared" ref="H37:N37" si="1">((0.98*($F$36/H36)*($F$36/H36)+0.63*($F$36/H36))*$G37)-(0.4*($F$36/H36))</f>
        <v>3.18</v>
      </c>
      <c r="I37" s="33">
        <f t="shared" si="1"/>
        <v>0.9285000000000001</v>
      </c>
      <c r="J37" s="33">
        <f t="shared" si="1"/>
        <v>0.298875</v>
      </c>
      <c r="K37" s="33">
        <f t="shared" si="1"/>
        <v>0.16250000000000001</v>
      </c>
      <c r="L37" s="33">
        <f t="shared" si="1"/>
        <v>9.1999999999999985E-2</v>
      </c>
      <c r="M37" s="33">
        <f t="shared" si="1"/>
        <v>6.2874999999999986E-2</v>
      </c>
      <c r="N37" s="33">
        <f t="shared" si="1"/>
        <v>4.7359999999999999E-2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25.5" x14ac:dyDescent="0.2">
      <c r="A38"/>
      <c r="B38"/>
      <c r="C38"/>
      <c r="D38"/>
      <c r="E38"/>
      <c r="F38" s="17" t="s">
        <v>119</v>
      </c>
      <c r="G38" s="37">
        <v>1.4</v>
      </c>
      <c r="H38" s="31">
        <f t="shared" ref="H38:N38" si="2">((0.98*($F$36/H36)*($F$36/H36)+0.63*($F$36/H36))*$G38)-(0.4*($F$36/H36))</f>
        <v>3.81</v>
      </c>
      <c r="I38" s="31">
        <f t="shared" si="2"/>
        <v>1.1332500000000001</v>
      </c>
      <c r="J38" s="31">
        <f t="shared" si="2"/>
        <v>0.37368749999999995</v>
      </c>
      <c r="K38" s="31">
        <f t="shared" si="2"/>
        <v>0.20624999999999996</v>
      </c>
      <c r="L38" s="31">
        <f t="shared" si="2"/>
        <v>0.11844444444444442</v>
      </c>
      <c r="M38" s="31">
        <f t="shared" si="2"/>
        <v>8.1687499999999982E-2</v>
      </c>
      <c r="N38" s="31">
        <f t="shared" si="2"/>
        <v>6.1919999999999989E-2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38.25" x14ac:dyDescent="0.2">
      <c r="A39"/>
      <c r="B39"/>
      <c r="C39"/>
      <c r="D39"/>
      <c r="E39"/>
      <c r="F39" s="17" t="s">
        <v>120</v>
      </c>
      <c r="G39" s="37">
        <v>1.6</v>
      </c>
      <c r="H39" s="33">
        <f t="shared" ref="H39:N39" si="3">((0.98*($F$36/H36)*($F$36/H36)+0.63*($F$36/H36))*$G39)-(0.4*($F$36/H36))</f>
        <v>4.4400000000000013</v>
      </c>
      <c r="I39" s="33">
        <f t="shared" si="3"/>
        <v>1.3380000000000003</v>
      </c>
      <c r="J39" s="33">
        <f t="shared" si="3"/>
        <v>0.44850000000000001</v>
      </c>
      <c r="K39" s="33">
        <f t="shared" si="3"/>
        <v>0.25</v>
      </c>
      <c r="L39" s="33">
        <f t="shared" si="3"/>
        <v>0.1448888888888889</v>
      </c>
      <c r="M39" s="33">
        <f t="shared" si="3"/>
        <v>0.10049999999999999</v>
      </c>
      <c r="N39" s="33">
        <f t="shared" si="3"/>
        <v>7.6480000000000006E-2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8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7" ht="18" customHeight="1" x14ac:dyDescent="0.2">
      <c r="A41"/>
      <c r="B41"/>
      <c r="C41"/>
      <c r="D41"/>
      <c r="E41"/>
      <c r="F41" s="39" t="s">
        <v>121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7" ht="18" customHeight="1" x14ac:dyDescent="0.2">
      <c r="A42"/>
      <c r="B42"/>
      <c r="C42"/>
      <c r="D42"/>
      <c r="E42"/>
      <c r="F42" s="17" t="s">
        <v>122</v>
      </c>
      <c r="G42" s="40" t="s">
        <v>123</v>
      </c>
      <c r="H42" s="40" t="s">
        <v>124</v>
      </c>
      <c r="I42" s="40" t="s">
        <v>125</v>
      </c>
      <c r="J42" s="40" t="s">
        <v>126</v>
      </c>
      <c r="K42" s="40" t="s">
        <v>127</v>
      </c>
      <c r="L42" s="40" t="s">
        <v>128</v>
      </c>
      <c r="M42" s="40" t="s">
        <v>129</v>
      </c>
      <c r="N42" s="40" t="s">
        <v>130</v>
      </c>
      <c r="O42" s="40" t="s">
        <v>131</v>
      </c>
      <c r="P42" s="40" t="s">
        <v>132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 s="36"/>
    </row>
    <row r="43" spans="1:257" s="8" customFormat="1" ht="18" customHeight="1" x14ac:dyDescent="0.2">
      <c r="A43" s="36"/>
      <c r="B43" s="36"/>
      <c r="C43" s="36"/>
      <c r="D43" s="36"/>
      <c r="E43" s="36"/>
      <c r="F43" s="17"/>
      <c r="G43" s="40"/>
      <c r="H43" s="40"/>
      <c r="I43" s="40"/>
      <c r="J43" s="40">
        <v>5</v>
      </c>
      <c r="K43" s="40">
        <v>10</v>
      </c>
      <c r="L43" s="40">
        <v>20</v>
      </c>
      <c r="M43" s="40">
        <v>30</v>
      </c>
      <c r="N43" s="40">
        <v>45</v>
      </c>
      <c r="O43" s="40">
        <v>60</v>
      </c>
      <c r="P43" s="40">
        <v>75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</row>
    <row r="44" spans="1:257" ht="25.5" x14ac:dyDescent="0.2">
      <c r="B44"/>
      <c r="C44"/>
      <c r="E44"/>
      <c r="F44" s="17" t="s">
        <v>133</v>
      </c>
      <c r="G44" s="41">
        <v>0.3</v>
      </c>
      <c r="H44" s="42">
        <v>18</v>
      </c>
      <c r="I44" s="41">
        <f>H44*0.3048*0.3048</f>
        <v>1.6722547200000002</v>
      </c>
      <c r="J44" s="41">
        <f t="shared" ref="J44:P48" si="4">(1/2)*(0.07636/32.17405)*(J$43*J$43*(5280/3600)*(5280/3600))*$H44*$G44</f>
        <v>0.34460914929889147</v>
      </c>
      <c r="K44" s="41">
        <f t="shared" si="4"/>
        <v>1.3784365971955659</v>
      </c>
      <c r="L44" s="41">
        <f t="shared" si="4"/>
        <v>5.5137463887822635</v>
      </c>
      <c r="M44" s="41">
        <f t="shared" si="4"/>
        <v>12.405929374760092</v>
      </c>
      <c r="N44" s="41">
        <f t="shared" si="4"/>
        <v>27.913341093210214</v>
      </c>
      <c r="O44" s="41">
        <f t="shared" si="4"/>
        <v>49.623717499040367</v>
      </c>
      <c r="P44" s="41">
        <f t="shared" si="4"/>
        <v>77.537058592250574</v>
      </c>
      <c r="IW44" s="36"/>
    </row>
    <row r="45" spans="1:257" ht="25.5" x14ac:dyDescent="0.2">
      <c r="B45"/>
      <c r="C45"/>
      <c r="E45"/>
      <c r="F45" s="17" t="s">
        <v>134</v>
      </c>
      <c r="G45" s="43">
        <v>0.32</v>
      </c>
      <c r="H45" s="44">
        <v>22</v>
      </c>
      <c r="I45" s="43">
        <f>H45*0.3048*0.3048</f>
        <v>2.0438668800000004</v>
      </c>
      <c r="J45" s="41">
        <f t="shared" si="4"/>
        <v>0.44926822427114738</v>
      </c>
      <c r="K45" s="41">
        <f t="shared" si="4"/>
        <v>1.7970728970845895</v>
      </c>
      <c r="L45" s="41">
        <f t="shared" si="4"/>
        <v>7.188291588338358</v>
      </c>
      <c r="M45" s="41">
        <f t="shared" si="4"/>
        <v>16.173656073761308</v>
      </c>
      <c r="N45" s="41">
        <f t="shared" si="4"/>
        <v>36.390726165962946</v>
      </c>
      <c r="O45" s="41">
        <f t="shared" si="4"/>
        <v>64.69462429504523</v>
      </c>
      <c r="P45" s="41">
        <f t="shared" si="4"/>
        <v>101.08535046100816</v>
      </c>
      <c r="IW45" s="36"/>
    </row>
    <row r="46" spans="1:257" ht="18" customHeight="1" x14ac:dyDescent="0.2">
      <c r="B46"/>
      <c r="C46"/>
      <c r="E46"/>
      <c r="F46" s="17" t="s">
        <v>135</v>
      </c>
      <c r="G46" s="41">
        <v>0.34</v>
      </c>
      <c r="H46" s="42">
        <v>26</v>
      </c>
      <c r="I46" s="41">
        <f>H46*0.3048*0.3048</f>
        <v>2.4154790400000001</v>
      </c>
      <c r="J46" s="41">
        <f t="shared" si="4"/>
        <v>0.56413794070411116</v>
      </c>
      <c r="K46" s="41">
        <f t="shared" si="4"/>
        <v>2.2565517628164447</v>
      </c>
      <c r="L46" s="41">
        <f t="shared" si="4"/>
        <v>9.0262070512657786</v>
      </c>
      <c r="M46" s="41">
        <f t="shared" si="4"/>
        <v>20.308965865348004</v>
      </c>
      <c r="N46" s="41">
        <f t="shared" si="4"/>
        <v>45.695173197033021</v>
      </c>
      <c r="O46" s="41">
        <f t="shared" si="4"/>
        <v>81.235863461392015</v>
      </c>
      <c r="P46" s="41">
        <f t="shared" si="4"/>
        <v>126.93103665842504</v>
      </c>
      <c r="IW46" s="36"/>
    </row>
    <row r="47" spans="1:257" ht="18" customHeight="1" x14ac:dyDescent="0.2">
      <c r="B47"/>
      <c r="C47"/>
      <c r="E47"/>
      <c r="F47" s="17" t="s">
        <v>136</v>
      </c>
      <c r="G47" s="43">
        <v>0.45</v>
      </c>
      <c r="H47" s="44">
        <v>24</v>
      </c>
      <c r="I47" s="43">
        <f>H47*0.3048*0.3048</f>
        <v>2.2296729600000003</v>
      </c>
      <c r="J47" s="41">
        <f t="shared" si="4"/>
        <v>0.68921829859778294</v>
      </c>
      <c r="K47" s="41">
        <f t="shared" si="4"/>
        <v>2.7568731943911318</v>
      </c>
      <c r="L47" s="41">
        <f t="shared" si="4"/>
        <v>11.027492777564527</v>
      </c>
      <c r="M47" s="41">
        <f t="shared" si="4"/>
        <v>24.811858749520187</v>
      </c>
      <c r="N47" s="41">
        <f t="shared" si="4"/>
        <v>55.826682186420427</v>
      </c>
      <c r="O47" s="41">
        <f t="shared" si="4"/>
        <v>99.247434998080749</v>
      </c>
      <c r="P47" s="41">
        <f t="shared" si="4"/>
        <v>155.07411718450115</v>
      </c>
      <c r="IW47" s="36"/>
    </row>
    <row r="48" spans="1:257" ht="18" customHeight="1" x14ac:dyDescent="0.2">
      <c r="B48"/>
      <c r="C48"/>
      <c r="E48"/>
      <c r="F48" s="17" t="s">
        <v>137</v>
      </c>
      <c r="G48" s="41">
        <v>0.6</v>
      </c>
      <c r="H48" s="42">
        <v>18</v>
      </c>
      <c r="I48" s="41">
        <f>H48*0.3048*0.3048</f>
        <v>1.6722547200000002</v>
      </c>
      <c r="J48" s="41">
        <f t="shared" si="4"/>
        <v>0.68921829859778294</v>
      </c>
      <c r="K48" s="41">
        <f t="shared" si="4"/>
        <v>2.7568731943911318</v>
      </c>
      <c r="L48" s="41">
        <f t="shared" si="4"/>
        <v>11.027492777564527</v>
      </c>
      <c r="M48" s="41">
        <f t="shared" si="4"/>
        <v>24.811858749520184</v>
      </c>
      <c r="N48" s="41">
        <f t="shared" si="4"/>
        <v>55.826682186420427</v>
      </c>
      <c r="O48" s="41">
        <f t="shared" si="4"/>
        <v>99.247434998080735</v>
      </c>
      <c r="P48" s="41">
        <f t="shared" si="4"/>
        <v>155.07411718450115</v>
      </c>
      <c r="IW48" s="36"/>
    </row>
    <row r="49" spans="2:11" ht="18" customHeight="1" x14ac:dyDescent="0.2">
      <c r="B49"/>
      <c r="C49"/>
      <c r="E49"/>
      <c r="F49"/>
      <c r="G49"/>
      <c r="H49"/>
      <c r="I49"/>
      <c r="J49"/>
      <c r="K49"/>
    </row>
    <row r="50" spans="2:11" ht="18" customHeight="1" x14ac:dyDescent="0.2">
      <c r="B50" s="36" t="s">
        <v>138</v>
      </c>
      <c r="C50"/>
      <c r="E50"/>
      <c r="F50"/>
      <c r="G50"/>
      <c r="H50"/>
      <c r="I50"/>
      <c r="J50"/>
      <c r="K50"/>
    </row>
    <row r="51" spans="2:11" ht="18" customHeight="1" x14ac:dyDescent="0.2">
      <c r="B51" s="39" t="s">
        <v>139</v>
      </c>
      <c r="C51"/>
      <c r="E51"/>
      <c r="F51"/>
      <c r="G51"/>
      <c r="H51"/>
      <c r="I51"/>
      <c r="J51"/>
      <c r="K51"/>
    </row>
    <row r="52" spans="2:11" ht="18" customHeight="1" x14ac:dyDescent="0.2">
      <c r="B52" s="39" t="s">
        <v>140</v>
      </c>
      <c r="C52"/>
      <c r="E52"/>
      <c r="F52"/>
      <c r="G52"/>
      <c r="H52"/>
      <c r="I52"/>
      <c r="J52"/>
      <c r="K52"/>
    </row>
    <row r="53" spans="2:11" ht="18" customHeight="1" x14ac:dyDescent="0.2">
      <c r="B53" s="36" t="s">
        <v>141</v>
      </c>
      <c r="C53"/>
      <c r="E53"/>
      <c r="F53"/>
      <c r="G53" s="39"/>
      <c r="H53"/>
      <c r="I53"/>
      <c r="J53"/>
      <c r="K53"/>
    </row>
    <row r="54" spans="2:11" ht="18" customHeight="1" x14ac:dyDescent="0.2">
      <c r="B54"/>
      <c r="C54"/>
      <c r="E54"/>
      <c r="F54"/>
      <c r="G54"/>
      <c r="H54"/>
      <c r="I54"/>
      <c r="J54"/>
      <c r="K54"/>
    </row>
    <row r="55" spans="2:11" ht="25.5" x14ac:dyDescent="0.2">
      <c r="B55" s="17" t="s">
        <v>142</v>
      </c>
      <c r="C55" s="17" t="s">
        <v>143</v>
      </c>
      <c r="E55"/>
      <c r="F55"/>
      <c r="G55"/>
      <c r="H55"/>
      <c r="I55"/>
      <c r="J55"/>
      <c r="K55"/>
    </row>
    <row r="56" spans="2:11" ht="30" customHeight="1" x14ac:dyDescent="0.2">
      <c r="B56" s="17" t="s">
        <v>144</v>
      </c>
      <c r="C56" s="31">
        <v>1.4999999999999999E-2</v>
      </c>
      <c r="E56"/>
      <c r="F56"/>
      <c r="G56"/>
      <c r="H56"/>
      <c r="I56"/>
      <c r="J56"/>
      <c r="K56"/>
    </row>
    <row r="57" spans="2:11" ht="29.25" customHeight="1" x14ac:dyDescent="0.2">
      <c r="B57" s="17" t="s">
        <v>145</v>
      </c>
      <c r="C57" s="33">
        <v>0.08</v>
      </c>
      <c r="E57"/>
      <c r="F57"/>
      <c r="G57"/>
      <c r="H57"/>
      <c r="I57"/>
      <c r="J57"/>
      <c r="K57"/>
    </row>
    <row r="58" spans="2:11" ht="18" customHeight="1" x14ac:dyDescent="0.2">
      <c r="B58" s="17" t="s">
        <v>146</v>
      </c>
      <c r="C58" s="31">
        <v>0.3</v>
      </c>
      <c r="E58"/>
      <c r="F58"/>
      <c r="G58"/>
      <c r="H58"/>
      <c r="I58"/>
      <c r="J58"/>
      <c r="K58"/>
    </row>
    <row r="59" spans="2:11" ht="18" customHeight="1" x14ac:dyDescent="0.2">
      <c r="B59"/>
      <c r="C59"/>
      <c r="E59"/>
      <c r="F59"/>
      <c r="G59"/>
      <c r="H59"/>
      <c r="I59"/>
      <c r="J59"/>
      <c r="K59"/>
    </row>
    <row r="60" spans="2:11" ht="18" customHeight="1" x14ac:dyDescent="0.2">
      <c r="B60" s="36" t="s">
        <v>147</v>
      </c>
      <c r="C60"/>
      <c r="E60"/>
      <c r="F60"/>
      <c r="G60"/>
      <c r="H60"/>
      <c r="I60"/>
      <c r="J60"/>
      <c r="K60"/>
    </row>
    <row r="61" spans="2:11" ht="18" customHeight="1" x14ac:dyDescent="0.2">
      <c r="B61" s="36" t="s">
        <v>148</v>
      </c>
      <c r="C61"/>
      <c r="E61"/>
      <c r="F61"/>
      <c r="G61"/>
      <c r="H61"/>
      <c r="I61"/>
      <c r="J61"/>
      <c r="K61"/>
    </row>
    <row r="62" spans="2:11" ht="18" customHeight="1" x14ac:dyDescent="0.2">
      <c r="B62" s="39" t="s">
        <v>149</v>
      </c>
      <c r="C62"/>
      <c r="E62"/>
      <c r="F62"/>
      <c r="G62"/>
      <c r="H62"/>
      <c r="I62"/>
      <c r="J62"/>
      <c r="K62"/>
    </row>
    <row r="63" spans="2:11" ht="18" customHeight="1" x14ac:dyDescent="0.2">
      <c r="B63" s="39" t="s">
        <v>150</v>
      </c>
      <c r="C63"/>
      <c r="E63"/>
      <c r="F63"/>
      <c r="G63"/>
      <c r="H63"/>
      <c r="I63"/>
      <c r="J63"/>
      <c r="K63"/>
    </row>
    <row r="64" spans="2:11" ht="18" customHeight="1" x14ac:dyDescent="0.2">
      <c r="B64" s="39"/>
      <c r="C64"/>
      <c r="E64"/>
      <c r="F64"/>
      <c r="G64"/>
      <c r="H64"/>
      <c r="I64"/>
      <c r="J64"/>
      <c r="K64"/>
    </row>
    <row r="65" spans="2:11" ht="18" customHeight="1" x14ac:dyDescent="0.2">
      <c r="B65"/>
      <c r="C65"/>
      <c r="E65"/>
      <c r="F65"/>
      <c r="G65"/>
      <c r="H65"/>
      <c r="I65"/>
      <c r="J65"/>
      <c r="K65"/>
    </row>
    <row r="66" spans="2:11" ht="25.5" x14ac:dyDescent="0.2">
      <c r="B66" s="17" t="s">
        <v>151</v>
      </c>
      <c r="C66" s="31">
        <v>2E-3</v>
      </c>
      <c r="E66"/>
      <c r="F66"/>
      <c r="G66"/>
      <c r="H66"/>
      <c r="I66"/>
      <c r="J66"/>
      <c r="K66"/>
    </row>
    <row r="67" spans="2:11" ht="38.25" x14ac:dyDescent="0.2">
      <c r="B67" s="17" t="s">
        <v>152</v>
      </c>
      <c r="C67" s="33">
        <v>1E-3</v>
      </c>
      <c r="E67"/>
      <c r="F67"/>
      <c r="G67"/>
      <c r="H67"/>
      <c r="I67"/>
      <c r="J67"/>
      <c r="K67"/>
    </row>
    <row r="68" spans="2:11" ht="18" customHeight="1" x14ac:dyDescent="0.2">
      <c r="B68" s="17" t="s">
        <v>106</v>
      </c>
      <c r="C68" s="31">
        <f>SUM(C66:C67)</f>
        <v>3.0000000000000001E-3</v>
      </c>
      <c r="E68"/>
      <c r="F68"/>
      <c r="G68"/>
      <c r="H68"/>
      <c r="I68"/>
      <c r="J68"/>
      <c r="K68"/>
    </row>
    <row r="69" spans="2:11" ht="18" customHeight="1" x14ac:dyDescent="0.2">
      <c r="C69"/>
      <c r="E69"/>
      <c r="F69"/>
      <c r="G69"/>
      <c r="H69"/>
      <c r="I69"/>
      <c r="J69"/>
      <c r="K69"/>
    </row>
    <row r="70" spans="2:11" ht="18" customHeight="1" x14ac:dyDescent="0.2">
      <c r="C70"/>
      <c r="E70"/>
      <c r="F70"/>
      <c r="G70"/>
      <c r="H70"/>
      <c r="I70"/>
      <c r="J70"/>
      <c r="K70"/>
    </row>
    <row r="71" spans="2:11" ht="33" customHeight="1" x14ac:dyDescent="0.2">
      <c r="C71" s="17" t="s">
        <v>153</v>
      </c>
      <c r="E71"/>
      <c r="F71"/>
      <c r="G71"/>
      <c r="H71"/>
      <c r="I71"/>
      <c r="J71"/>
      <c r="K71"/>
    </row>
    <row r="72" spans="2:11" ht="25.5" x14ac:dyDescent="0.2">
      <c r="C72" s="18">
        <f>RefWeightKg</f>
        <v>1176</v>
      </c>
      <c r="E72" s="40" t="s">
        <v>126</v>
      </c>
      <c r="F72" s="40" t="s">
        <v>127</v>
      </c>
      <c r="G72" s="40" t="s">
        <v>128</v>
      </c>
      <c r="H72" s="40" t="s">
        <v>129</v>
      </c>
      <c r="I72" s="40" t="s">
        <v>130</v>
      </c>
      <c r="J72" s="40" t="s">
        <v>131</v>
      </c>
      <c r="K72" s="40" t="s">
        <v>132</v>
      </c>
    </row>
    <row r="73" spans="2:11" ht="25.5" x14ac:dyDescent="0.2">
      <c r="C73" s="17" t="s">
        <v>154</v>
      </c>
      <c r="E73" s="31">
        <v>0.56999999999999995</v>
      </c>
      <c r="F73" s="31">
        <v>2.2599999999999998</v>
      </c>
      <c r="G73" s="31">
        <v>9.0399999999999991</v>
      </c>
      <c r="H73" s="31">
        <v>20.350000000000001</v>
      </c>
      <c r="I73" s="31">
        <v>45.78</v>
      </c>
      <c r="J73" s="31">
        <v>81.39</v>
      </c>
      <c r="K73" s="31">
        <v>127.17</v>
      </c>
    </row>
    <row r="74" spans="2:11" ht="18" customHeight="1" x14ac:dyDescent="0.2">
      <c r="C74" s="17" t="s">
        <v>155</v>
      </c>
      <c r="E74" s="33">
        <v>3.81</v>
      </c>
      <c r="F74" s="33">
        <v>1.133</v>
      </c>
      <c r="G74" s="33">
        <v>0.374</v>
      </c>
      <c r="H74" s="33">
        <v>0.20599999999999999</v>
      </c>
      <c r="I74" s="33">
        <v>0.185</v>
      </c>
      <c r="J74" s="33">
        <v>8.2000000000000003E-2</v>
      </c>
      <c r="K74" s="33">
        <v>6.2E-2</v>
      </c>
    </row>
    <row r="75" spans="2:11" ht="25.5" x14ac:dyDescent="0.2">
      <c r="C75" s="17" t="s">
        <v>156</v>
      </c>
      <c r="E75" s="31">
        <v>3.0000000000000001E-3</v>
      </c>
      <c r="F75" s="31">
        <v>3.0000000000000001E-3</v>
      </c>
      <c r="G75" s="31">
        <v>3.0000000000000001E-3</v>
      </c>
      <c r="H75" s="31">
        <v>3.0000000000000001E-3</v>
      </c>
      <c r="I75" s="31">
        <v>3.0000000000000001E-3</v>
      </c>
      <c r="J75" s="31">
        <v>3.0000000000000001E-3</v>
      </c>
      <c r="K75" s="31">
        <v>3.0000000000000001E-3</v>
      </c>
    </row>
    <row r="76" spans="2:11" ht="25.5" x14ac:dyDescent="0.2">
      <c r="C76" s="17" t="s">
        <v>157</v>
      </c>
      <c r="E76" s="31">
        <f t="shared" ref="E76:K76" si="5">E75*$C$72*2.2046</f>
        <v>7.7778288000000009</v>
      </c>
      <c r="F76" s="31">
        <f t="shared" si="5"/>
        <v>7.7778288000000009</v>
      </c>
      <c r="G76" s="31">
        <f t="shared" si="5"/>
        <v>7.7778288000000009</v>
      </c>
      <c r="H76" s="31">
        <f t="shared" si="5"/>
        <v>7.7778288000000009</v>
      </c>
      <c r="I76" s="31">
        <f t="shared" si="5"/>
        <v>7.7778288000000009</v>
      </c>
      <c r="J76" s="31">
        <f t="shared" si="5"/>
        <v>7.7778288000000009</v>
      </c>
      <c r="K76" s="31">
        <f t="shared" si="5"/>
        <v>7.7778288000000009</v>
      </c>
    </row>
    <row r="77" spans="2:11" ht="38.25" x14ac:dyDescent="0.2">
      <c r="C77" s="17" t="s">
        <v>158</v>
      </c>
      <c r="E77" s="33">
        <f t="shared" ref="E77:K77" si="6">(E73*E74)+E73+(E75*$C$72*2.2046)</f>
        <v>10.5195288</v>
      </c>
      <c r="F77" s="33">
        <f t="shared" si="6"/>
        <v>12.598408800000001</v>
      </c>
      <c r="G77" s="33">
        <f t="shared" si="6"/>
        <v>20.198788799999999</v>
      </c>
      <c r="H77" s="33">
        <f t="shared" si="6"/>
        <v>32.3199288</v>
      </c>
      <c r="I77" s="33">
        <f t="shared" si="6"/>
        <v>62.027128800000007</v>
      </c>
      <c r="J77" s="33">
        <f t="shared" si="6"/>
        <v>95.841808799999995</v>
      </c>
      <c r="K77" s="33">
        <f t="shared" si="6"/>
        <v>142.83236880000001</v>
      </c>
    </row>
    <row r="78" spans="2:11" ht="38.25" x14ac:dyDescent="0.2">
      <c r="C78" s="17" t="s">
        <v>159</v>
      </c>
      <c r="E78" s="31">
        <f t="shared" ref="E78:K78" si="7">E77*0.4536*9.80665</f>
        <v>46.79398251151747</v>
      </c>
      <c r="F78" s="31">
        <f t="shared" si="7"/>
        <v>56.041457014704676</v>
      </c>
      <c r="G78" s="31">
        <f t="shared" si="7"/>
        <v>89.85020031135187</v>
      </c>
      <c r="H78" s="31">
        <f t="shared" si="7"/>
        <v>143.76862422209345</v>
      </c>
      <c r="I78" s="31">
        <f t="shared" si="7"/>
        <v>275.91505622446147</v>
      </c>
      <c r="J78" s="31">
        <f t="shared" si="7"/>
        <v>426.33277688820061</v>
      </c>
      <c r="K78" s="31">
        <f t="shared" si="7"/>
        <v>635.36071764980704</v>
      </c>
    </row>
    <row r="79" spans="2:11" ht="25.5" x14ac:dyDescent="0.2">
      <c r="C79" s="17" t="s">
        <v>160</v>
      </c>
      <c r="E79" s="31">
        <f t="shared" ref="E79:K79" si="8">E76*0.4536*9.80665</f>
        <v>34.598088161969471</v>
      </c>
      <c r="F79" s="31">
        <f t="shared" si="8"/>
        <v>34.598088161969471</v>
      </c>
      <c r="G79" s="31">
        <f t="shared" si="8"/>
        <v>34.598088161969471</v>
      </c>
      <c r="H79" s="31">
        <f t="shared" si="8"/>
        <v>34.598088161969471</v>
      </c>
      <c r="I79" s="31">
        <f t="shared" si="8"/>
        <v>34.598088161969471</v>
      </c>
      <c r="J79" s="31">
        <f t="shared" si="8"/>
        <v>34.598088161969471</v>
      </c>
      <c r="K79" s="31">
        <f t="shared" si="8"/>
        <v>34.598088161969471</v>
      </c>
    </row>
  </sheetData>
  <mergeCells count="2">
    <mergeCell ref="B12:F12"/>
    <mergeCell ref="F36:G36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F14"/>
  <sheetViews>
    <sheetView windowProtection="1" zoomScaleNormal="100" workbookViewId="0">
      <selection activeCell="E7" sqref="E7"/>
    </sheetView>
  </sheetViews>
  <sheetFormatPr defaultRowHeight="15" x14ac:dyDescent="0.2"/>
  <cols>
    <col min="1" max="1" width="29.3984375"/>
    <col min="2" max="2" width="20.09765625"/>
    <col min="3" max="3" width="23.19921875"/>
    <col min="4" max="4" width="19.796875"/>
    <col min="5" max="5" width="17.19921875"/>
    <col min="6" max="6" width="20.09765625"/>
    <col min="7" max="7" width="18.5"/>
    <col min="8" max="1025" width="11.19921875"/>
  </cols>
  <sheetData>
    <row r="1" spans="1:6" ht="45" x14ac:dyDescent="0.2">
      <c r="A1" s="45" t="s">
        <v>161</v>
      </c>
      <c r="B1" s="45" t="s">
        <v>162</v>
      </c>
      <c r="C1" s="45" t="s">
        <v>163</v>
      </c>
      <c r="D1" s="45" t="s">
        <v>164</v>
      </c>
      <c r="E1" s="45" t="s">
        <v>165</v>
      </c>
      <c r="F1" s="45" t="s">
        <v>166</v>
      </c>
    </row>
    <row r="2" spans="1:6" ht="30" x14ac:dyDescent="0.2">
      <c r="A2" s="9" t="s">
        <v>167</v>
      </c>
      <c r="B2" s="46">
        <v>0.96</v>
      </c>
      <c r="C2" s="47" t="s">
        <v>168</v>
      </c>
      <c r="D2" s="46">
        <v>0.97</v>
      </c>
      <c r="E2" s="46">
        <v>0.98</v>
      </c>
      <c r="F2" s="46">
        <f>B2*D2*E2</f>
        <v>0.91257599999999994</v>
      </c>
    </row>
    <row r="3" spans="1:6" ht="30" x14ac:dyDescent="0.2">
      <c r="A3" s="9" t="s">
        <v>169</v>
      </c>
      <c r="B3" s="46">
        <v>0.96</v>
      </c>
      <c r="C3" s="46">
        <v>0.99</v>
      </c>
      <c r="D3" s="46">
        <v>0.97</v>
      </c>
      <c r="E3" s="46">
        <v>0.98</v>
      </c>
      <c r="F3" s="46">
        <f>B3*C3*D3*E3</f>
        <v>0.90345023999999996</v>
      </c>
    </row>
    <row r="6" spans="1:6" ht="97.5" customHeight="1" x14ac:dyDescent="0.2">
      <c r="A6" s="45" t="s">
        <v>170</v>
      </c>
      <c r="B6" s="45" t="s">
        <v>171</v>
      </c>
      <c r="C6" s="45" t="s">
        <v>172</v>
      </c>
      <c r="D6" s="45" t="s">
        <v>173</v>
      </c>
      <c r="E6" s="45" t="s">
        <v>174</v>
      </c>
      <c r="F6" s="45" t="s">
        <v>175</v>
      </c>
    </row>
    <row r="7" spans="1:6" x14ac:dyDescent="0.2">
      <c r="A7" s="9" t="s">
        <v>176</v>
      </c>
      <c r="B7" s="46">
        <v>12.01</v>
      </c>
      <c r="C7" s="48">
        <f>TrasmRt1st</f>
        <v>3.5830000000000002</v>
      </c>
      <c r="D7" s="49">
        <f>C7/C8</f>
        <v>1.8603322949117342</v>
      </c>
      <c r="E7" s="48">
        <f>DiffRatio</f>
        <v>4.0599999999999996</v>
      </c>
      <c r="F7" s="49">
        <f>C7*E7</f>
        <v>14.54698</v>
      </c>
    </row>
    <row r="8" spans="1:6" x14ac:dyDescent="0.2">
      <c r="A8" s="9" t="s">
        <v>177</v>
      </c>
      <c r="B8" s="46">
        <v>7.82</v>
      </c>
      <c r="C8" s="48">
        <f>TrasmRt2nd</f>
        <v>1.9259999999999999</v>
      </c>
      <c r="D8" s="49">
        <f>C8/C9</f>
        <v>1.503512880562061</v>
      </c>
      <c r="E8" s="48">
        <f>DiffRatio</f>
        <v>4.0599999999999996</v>
      </c>
      <c r="F8" s="49">
        <f>C8*E8</f>
        <v>7.8195599999999992</v>
      </c>
    </row>
    <row r="9" spans="1:6" x14ac:dyDescent="0.2">
      <c r="A9" s="9" t="s">
        <v>178</v>
      </c>
      <c r="B9" s="46">
        <v>5.16</v>
      </c>
      <c r="C9" s="48">
        <f>TrasmRt3rd</f>
        <v>1.2809999999999999</v>
      </c>
      <c r="D9" s="49">
        <f>C9/C10</f>
        <v>1.348421052631579</v>
      </c>
      <c r="E9" s="48">
        <f>DiffRatio</f>
        <v>4.0599999999999996</v>
      </c>
      <c r="F9" s="49">
        <f>C9*E9</f>
        <v>5.2008599999999996</v>
      </c>
    </row>
    <row r="10" spans="1:6" x14ac:dyDescent="0.2">
      <c r="A10" s="9" t="s">
        <v>179</v>
      </c>
      <c r="B10" s="46">
        <v>3.81</v>
      </c>
      <c r="C10" s="48">
        <f>TrasmRt4th</f>
        <v>0.95</v>
      </c>
      <c r="D10" s="49">
        <f>C10/C11</f>
        <v>1.2566137566137565</v>
      </c>
      <c r="E10" s="48">
        <f>DiffRatio</f>
        <v>4.0599999999999996</v>
      </c>
      <c r="F10" s="49">
        <f>C10*E10</f>
        <v>3.8569999999999993</v>
      </c>
    </row>
    <row r="11" spans="1:6" x14ac:dyDescent="0.2">
      <c r="A11" s="9" t="s">
        <v>180</v>
      </c>
      <c r="B11" s="46">
        <v>2.79</v>
      </c>
      <c r="C11" s="48">
        <f>TrasmRt5th</f>
        <v>0.75600000000000001</v>
      </c>
      <c r="D11" s="49" t="s">
        <v>181</v>
      </c>
      <c r="E11" s="48">
        <f>DiffRatio</f>
        <v>4.0599999999999996</v>
      </c>
      <c r="F11" s="49">
        <f>C11*E11</f>
        <v>3.0693599999999996</v>
      </c>
    </row>
    <row r="13" spans="1:6" x14ac:dyDescent="0.2">
      <c r="A13" s="50" t="s">
        <v>182</v>
      </c>
    </row>
    <row r="14" spans="1:6" x14ac:dyDescent="0.2">
      <c r="A14" s="50" t="s">
        <v>183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Q41"/>
  <sheetViews>
    <sheetView windowProtection="1" zoomScaleNormal="100" workbookViewId="0">
      <selection activeCell="B12" sqref="B12"/>
    </sheetView>
  </sheetViews>
  <sheetFormatPr defaultRowHeight="15" x14ac:dyDescent="0.2"/>
  <cols>
    <col min="1" max="1" width="66.5"/>
    <col min="2" max="2" width="9.3984375"/>
    <col min="3" max="3" width="30.69921875"/>
    <col min="4" max="7" width="8.59765625"/>
    <col min="8" max="8" width="9.5"/>
    <col min="9" max="1025" width="8.59765625"/>
  </cols>
  <sheetData>
    <row r="1" spans="1:43" s="8" customFormat="1" ht="18" x14ac:dyDescent="0.2">
      <c r="A1" s="51" t="s">
        <v>184</v>
      </c>
    </row>
    <row r="3" spans="1:43" x14ac:dyDescent="0.2">
      <c r="A3" s="52" t="s">
        <v>185</v>
      </c>
      <c r="B3" s="53">
        <f>RefWeightKg</f>
        <v>1176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187</v>
      </c>
      <c r="B4" s="56">
        <f>VFrontArea</f>
        <v>2.13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189</v>
      </c>
      <c r="B5" s="56">
        <f>AirDensity</f>
        <v>1.2250000000000001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191</v>
      </c>
      <c r="B6" s="56">
        <f>G_ms2</f>
        <v>9.8066499999999994</v>
      </c>
      <c r="C6" s="8" t="s">
        <v>192</v>
      </c>
      <c r="D6" s="57">
        <f t="shared" ref="D6:AQ6" si="0">$B$3*$B$6*SUM(D4:D5)</f>
        <v>207.58716719999998</v>
      </c>
      <c r="E6" s="57">
        <f t="shared" si="0"/>
        <v>207.58716719999998</v>
      </c>
      <c r="F6" s="57">
        <f t="shared" si="0"/>
        <v>207.58716719999998</v>
      </c>
      <c r="G6" s="57">
        <f t="shared" si="0"/>
        <v>207.58716719999998</v>
      </c>
      <c r="H6" s="57">
        <f t="shared" si="0"/>
        <v>207.58716719999998</v>
      </c>
      <c r="I6" s="57">
        <f t="shared" si="0"/>
        <v>207.58716719999998</v>
      </c>
      <c r="J6" s="57">
        <f t="shared" si="0"/>
        <v>207.58716719999998</v>
      </c>
      <c r="K6" s="57">
        <f t="shared" si="0"/>
        <v>207.58716719999998</v>
      </c>
      <c r="L6" s="57">
        <f t="shared" si="0"/>
        <v>207.58716719999998</v>
      </c>
      <c r="M6" s="57">
        <f t="shared" si="0"/>
        <v>207.58716719999998</v>
      </c>
      <c r="N6" s="57">
        <f t="shared" si="0"/>
        <v>207.58716719999998</v>
      </c>
      <c r="O6" s="57">
        <f t="shared" si="0"/>
        <v>207.58716719999998</v>
      </c>
      <c r="P6" s="57">
        <f t="shared" si="0"/>
        <v>207.58716719999998</v>
      </c>
      <c r="Q6" s="57">
        <f t="shared" si="0"/>
        <v>207.58716719999998</v>
      </c>
      <c r="R6" s="57">
        <f t="shared" si="0"/>
        <v>207.58716719999998</v>
      </c>
      <c r="S6" s="57">
        <f t="shared" si="0"/>
        <v>207.58716719999998</v>
      </c>
      <c r="T6" s="57">
        <f t="shared" si="0"/>
        <v>207.58716719999998</v>
      </c>
      <c r="U6" s="57">
        <f t="shared" si="0"/>
        <v>207.58716719999998</v>
      </c>
      <c r="V6" s="57">
        <f t="shared" si="0"/>
        <v>207.58716719999998</v>
      </c>
      <c r="W6" s="57">
        <f t="shared" si="0"/>
        <v>207.58716719999998</v>
      </c>
      <c r="X6" s="57">
        <f t="shared" si="0"/>
        <v>207.58716719999998</v>
      </c>
      <c r="Y6" s="57">
        <f t="shared" si="0"/>
        <v>207.58716719999998</v>
      </c>
      <c r="Z6" s="57">
        <f t="shared" si="0"/>
        <v>207.58716719999998</v>
      </c>
      <c r="AA6" s="57">
        <f t="shared" si="0"/>
        <v>207.58716719999998</v>
      </c>
      <c r="AB6" s="57">
        <f t="shared" si="0"/>
        <v>207.58716719999998</v>
      </c>
      <c r="AC6" s="57">
        <f t="shared" si="0"/>
        <v>207.58716719999998</v>
      </c>
      <c r="AD6" s="57">
        <f t="shared" si="0"/>
        <v>207.58716719999998</v>
      </c>
      <c r="AE6" s="57">
        <f t="shared" si="0"/>
        <v>207.58716719999998</v>
      </c>
      <c r="AF6" s="57">
        <f t="shared" si="0"/>
        <v>207.58716719999998</v>
      </c>
      <c r="AG6" s="57">
        <f t="shared" si="0"/>
        <v>207.58716719999998</v>
      </c>
      <c r="AH6" s="57">
        <f t="shared" si="0"/>
        <v>207.58716719999998</v>
      </c>
      <c r="AI6" s="57">
        <f t="shared" si="0"/>
        <v>207.58716719999998</v>
      </c>
      <c r="AJ6" s="57">
        <f t="shared" si="0"/>
        <v>207.58716719999998</v>
      </c>
      <c r="AK6" s="57">
        <f t="shared" si="0"/>
        <v>207.58716719999998</v>
      </c>
      <c r="AL6" s="57">
        <f t="shared" si="0"/>
        <v>207.58716719999998</v>
      </c>
      <c r="AM6" s="57">
        <f t="shared" si="0"/>
        <v>207.58716719999998</v>
      </c>
      <c r="AN6" s="57">
        <f t="shared" si="0"/>
        <v>207.58716719999998</v>
      </c>
      <c r="AO6" s="57">
        <f t="shared" si="0"/>
        <v>207.58716719999998</v>
      </c>
      <c r="AP6" s="57">
        <f t="shared" si="0"/>
        <v>207.58716719999998</v>
      </c>
      <c r="AQ6" s="57">
        <f t="shared" si="0"/>
        <v>207.58716719999998</v>
      </c>
    </row>
    <row r="7" spans="1:43" ht="30" x14ac:dyDescent="0.2">
      <c r="A7" s="55" t="s">
        <v>193</v>
      </c>
      <c r="B7" s="56">
        <f>DragCoeff</f>
        <v>0.33</v>
      </c>
      <c r="C7" s="8" t="s">
        <v>194</v>
      </c>
      <c r="D7" s="58">
        <f t="shared" ref="D7:AQ7" si="1">(1/2)*($B$5)*(D3*(1000/3600)*D3*(1000/3600))*$B$4*$B$7</f>
        <v>0.83049045138888899</v>
      </c>
      <c r="E7" s="58">
        <f t="shared" si="1"/>
        <v>3.321961805555556</v>
      </c>
      <c r="F7" s="58">
        <f t="shared" si="1"/>
        <v>7.474414062500002</v>
      </c>
      <c r="G7" s="58">
        <f t="shared" si="1"/>
        <v>13.287847222222224</v>
      </c>
      <c r="H7" s="58">
        <f t="shared" si="1"/>
        <v>20.762261284722225</v>
      </c>
      <c r="I7" s="58">
        <f t="shared" si="1"/>
        <v>29.897656250000008</v>
      </c>
      <c r="J7" s="58">
        <f t="shared" si="1"/>
        <v>40.694032118055567</v>
      </c>
      <c r="K7" s="58">
        <f t="shared" si="1"/>
        <v>53.151388888888896</v>
      </c>
      <c r="L7" s="58">
        <f t="shared" si="1"/>
        <v>67.269726562499997</v>
      </c>
      <c r="M7" s="58">
        <f t="shared" si="1"/>
        <v>83.0490451388889</v>
      </c>
      <c r="N7" s="58">
        <f t="shared" si="1"/>
        <v>100.48934461805557</v>
      </c>
      <c r="O7" s="58">
        <f t="shared" si="1"/>
        <v>119.59062500000003</v>
      </c>
      <c r="P7" s="58">
        <f t="shared" si="1"/>
        <v>140.35288628472227</v>
      </c>
      <c r="Q7" s="58">
        <f t="shared" si="1"/>
        <v>162.77612847222227</v>
      </c>
      <c r="R7" s="58">
        <f t="shared" si="1"/>
        <v>186.86035156250006</v>
      </c>
      <c r="S7" s="58">
        <f t="shared" si="1"/>
        <v>212.60555555555558</v>
      </c>
      <c r="T7" s="58">
        <f t="shared" si="1"/>
        <v>240.0117404513889</v>
      </c>
      <c r="U7" s="58">
        <f t="shared" si="1"/>
        <v>269.07890624999999</v>
      </c>
      <c r="V7" s="58">
        <f t="shared" si="1"/>
        <v>299.80705295138887</v>
      </c>
      <c r="W7" s="58">
        <f t="shared" si="1"/>
        <v>332.1961805555556</v>
      </c>
      <c r="X7" s="58">
        <f t="shared" si="1"/>
        <v>366.24628906250007</v>
      </c>
      <c r="Y7" s="58">
        <f t="shared" si="1"/>
        <v>401.95737847222227</v>
      </c>
      <c r="Z7" s="58">
        <f t="shared" si="1"/>
        <v>439.32944878472233</v>
      </c>
      <c r="AA7" s="58">
        <f t="shared" si="1"/>
        <v>478.36250000000013</v>
      </c>
      <c r="AB7" s="58">
        <f t="shared" si="1"/>
        <v>519.05653211805566</v>
      </c>
      <c r="AC7" s="58">
        <f t="shared" si="1"/>
        <v>561.4115451388891</v>
      </c>
      <c r="AD7" s="58">
        <f t="shared" si="1"/>
        <v>605.42753906250016</v>
      </c>
      <c r="AE7" s="58">
        <f t="shared" si="1"/>
        <v>651.10451388888907</v>
      </c>
      <c r="AF7" s="58">
        <f t="shared" si="1"/>
        <v>698.44246961805561</v>
      </c>
      <c r="AG7" s="58">
        <f t="shared" si="1"/>
        <v>747.44140625000023</v>
      </c>
      <c r="AH7" s="58">
        <f t="shared" si="1"/>
        <v>798.10132378472235</v>
      </c>
      <c r="AI7" s="58">
        <f t="shared" si="1"/>
        <v>850.42222222222233</v>
      </c>
      <c r="AJ7" s="58">
        <f t="shared" si="1"/>
        <v>904.40410156249993</v>
      </c>
      <c r="AK7" s="58">
        <f t="shared" si="1"/>
        <v>960.04696180555561</v>
      </c>
      <c r="AL7" s="58">
        <f t="shared" si="1"/>
        <v>1017.3508029513889</v>
      </c>
      <c r="AM7" s="58">
        <f t="shared" si="1"/>
        <v>1076.315625</v>
      </c>
      <c r="AN7" s="58">
        <f t="shared" si="1"/>
        <v>1136.9414279513892</v>
      </c>
      <c r="AO7" s="58">
        <f t="shared" si="1"/>
        <v>1199.2282118055555</v>
      </c>
      <c r="AP7" s="58">
        <f t="shared" si="1"/>
        <v>1263.1759765625002</v>
      </c>
      <c r="AQ7" s="58">
        <f t="shared" si="1"/>
        <v>1328.7847222222224</v>
      </c>
    </row>
    <row r="8" spans="1:43" ht="30" x14ac:dyDescent="0.2">
      <c r="A8" s="55" t="s">
        <v>195</v>
      </c>
      <c r="B8" s="56">
        <f>RelWindSpeed</f>
        <v>12</v>
      </c>
      <c r="C8" s="8" t="s">
        <v>196</v>
      </c>
      <c r="D8" s="59">
        <f t="shared" ref="D8:AQ8" si="2">((0.98*($B$8/D3)*($B$8/D3)+0.63*($B$8/D3))*$B$9)-(0.4*($B$8/D3))</f>
        <v>9.0595199999999991</v>
      </c>
      <c r="E8" s="59">
        <f t="shared" si="2"/>
        <v>2.5540799999999995</v>
      </c>
      <c r="F8" s="59">
        <f t="shared" si="2"/>
        <v>1.2636800000000001</v>
      </c>
      <c r="G8" s="59">
        <f t="shared" si="2"/>
        <v>0.78311999999999982</v>
      </c>
      <c r="H8" s="59">
        <f t="shared" si="2"/>
        <v>0.54746879999999987</v>
      </c>
      <c r="I8" s="59">
        <f t="shared" si="2"/>
        <v>0.41232000000000002</v>
      </c>
      <c r="J8" s="59">
        <f t="shared" si="2"/>
        <v>0.32653714285714286</v>
      </c>
      <c r="K8" s="59">
        <f t="shared" si="2"/>
        <v>0.26807999999999998</v>
      </c>
      <c r="L8" s="59">
        <f t="shared" si="2"/>
        <v>0.22609777777777773</v>
      </c>
      <c r="M8" s="59">
        <f t="shared" si="2"/>
        <v>0.1947072</v>
      </c>
      <c r="N8" s="59">
        <f t="shared" si="2"/>
        <v>0.1704753719008264</v>
      </c>
      <c r="O8" s="59">
        <f t="shared" si="2"/>
        <v>0.15128</v>
      </c>
      <c r="P8" s="59">
        <f t="shared" si="2"/>
        <v>0.13574627218934909</v>
      </c>
      <c r="Q8" s="59">
        <f t="shared" si="2"/>
        <v>0.12294857142857142</v>
      </c>
      <c r="R8" s="59">
        <f t="shared" si="2"/>
        <v>0.11224319999999999</v>
      </c>
      <c r="S8" s="59">
        <f t="shared" si="2"/>
        <v>0.10316999999999998</v>
      </c>
      <c r="T8" s="59">
        <f t="shared" si="2"/>
        <v>9.5392110726643595E-2</v>
      </c>
      <c r="U8" s="59">
        <f t="shared" si="2"/>
        <v>8.8657777777777752E-2</v>
      </c>
      <c r="V8" s="59">
        <f t="shared" si="2"/>
        <v>8.277540166204983E-2</v>
      </c>
      <c r="W8" s="59">
        <f t="shared" si="2"/>
        <v>7.759679999999998E-2</v>
      </c>
      <c r="X8" s="59">
        <f t="shared" si="2"/>
        <v>7.3005714285714257E-2</v>
      </c>
      <c r="Y8" s="59">
        <f t="shared" si="2"/>
        <v>6.8909752066115673E-2</v>
      </c>
      <c r="Z8" s="59">
        <f t="shared" si="2"/>
        <v>6.5234631379962174E-2</v>
      </c>
      <c r="AA8" s="59">
        <f t="shared" si="2"/>
        <v>6.1919999999999989E-2</v>
      </c>
      <c r="AB8" s="59">
        <f t="shared" si="2"/>
        <v>5.8916351999999977E-2</v>
      </c>
      <c r="AC8" s="59">
        <f t="shared" si="2"/>
        <v>5.6182721893491126E-2</v>
      </c>
      <c r="AD8" s="59">
        <f t="shared" si="2"/>
        <v>5.3684938271604928E-2</v>
      </c>
      <c r="AE8" s="59">
        <f t="shared" si="2"/>
        <v>5.1394285714285705E-2</v>
      </c>
      <c r="AF8" s="59">
        <f t="shared" si="2"/>
        <v>4.9286468489892966E-2</v>
      </c>
      <c r="AG8" s="59">
        <f t="shared" si="2"/>
        <v>4.7340799999999988E-2</v>
      </c>
      <c r="AH8" s="59">
        <f t="shared" si="2"/>
        <v>4.5539562955254936E-2</v>
      </c>
      <c r="AI8" s="59">
        <f t="shared" si="2"/>
        <v>4.386749999999999E-2</v>
      </c>
      <c r="AJ8" s="59">
        <f t="shared" si="2"/>
        <v>4.2311404958677669E-2</v>
      </c>
      <c r="AK8" s="59">
        <f t="shared" si="2"/>
        <v>4.0859792387543246E-2</v>
      </c>
      <c r="AL8" s="59">
        <f t="shared" si="2"/>
        <v>3.9502628571428569E-2</v>
      </c>
      <c r="AM8" s="59">
        <f t="shared" si="2"/>
        <v>3.8231111111111105E-2</v>
      </c>
      <c r="AN8" s="59">
        <f t="shared" si="2"/>
        <v>3.7037487216946677E-2</v>
      </c>
      <c r="AO8" s="59">
        <f t="shared" si="2"/>
        <v>3.5914903047091412E-2</v>
      </c>
      <c r="AP8" s="59">
        <f t="shared" si="2"/>
        <v>3.4857278106508877E-2</v>
      </c>
      <c r="AQ8" s="59">
        <f t="shared" si="2"/>
        <v>3.3859199999999999E-2</v>
      </c>
    </row>
    <row r="9" spans="1:43" x14ac:dyDescent="0.2">
      <c r="A9" s="55" t="s">
        <v>197</v>
      </c>
      <c r="B9" s="56">
        <f>CRW</f>
        <v>1.4</v>
      </c>
      <c r="C9" s="8" t="s">
        <v>198</v>
      </c>
      <c r="D9" s="58">
        <f t="shared" ref="D9:AQ9" si="3">D8*D7</f>
        <v>7.5238448541666667</v>
      </c>
      <c r="E9" s="58">
        <f t="shared" si="3"/>
        <v>8.4845562083333323</v>
      </c>
      <c r="F9" s="58">
        <f t="shared" si="3"/>
        <v>9.4452675625000033</v>
      </c>
      <c r="G9" s="58">
        <f t="shared" si="3"/>
        <v>10.405978916666665</v>
      </c>
      <c r="H9" s="58">
        <f t="shared" si="3"/>
        <v>11.366690270833333</v>
      </c>
      <c r="I9" s="58">
        <f t="shared" si="3"/>
        <v>12.327401625000004</v>
      </c>
      <c r="J9" s="58">
        <f t="shared" si="3"/>
        <v>13.288112979166671</v>
      </c>
      <c r="K9" s="58">
        <f t="shared" si="3"/>
        <v>14.248824333333335</v>
      </c>
      <c r="L9" s="58">
        <f t="shared" si="3"/>
        <v>15.209535687499995</v>
      </c>
      <c r="M9" s="58">
        <f t="shared" si="3"/>
        <v>16.17024704166667</v>
      </c>
      <c r="N9" s="58">
        <f t="shared" si="3"/>
        <v>17.130958395833332</v>
      </c>
      <c r="O9" s="58">
        <f t="shared" si="3"/>
        <v>18.091669750000005</v>
      </c>
      <c r="P9" s="58">
        <f t="shared" si="3"/>
        <v>19.05238110416667</v>
      </c>
      <c r="Q9" s="58">
        <f t="shared" si="3"/>
        <v>20.013092458333336</v>
      </c>
      <c r="R9" s="58">
        <f t="shared" si="3"/>
        <v>20.973803812500005</v>
      </c>
      <c r="S9" s="58">
        <f t="shared" si="3"/>
        <v>21.934515166666667</v>
      </c>
      <c r="T9" s="58">
        <f t="shared" si="3"/>
        <v>22.895226520833333</v>
      </c>
      <c r="U9" s="58">
        <f t="shared" si="3"/>
        <v>23.855937874999992</v>
      </c>
      <c r="V9" s="58">
        <f t="shared" si="3"/>
        <v>24.816649229166657</v>
      </c>
      <c r="W9" s="58">
        <f t="shared" si="3"/>
        <v>25.77736058333333</v>
      </c>
      <c r="X9" s="58">
        <f t="shared" si="3"/>
        <v>26.738071937499996</v>
      </c>
      <c r="Y9" s="58">
        <f t="shared" si="3"/>
        <v>27.698783291666658</v>
      </c>
      <c r="Z9" s="58">
        <f t="shared" si="3"/>
        <v>28.659494645833334</v>
      </c>
      <c r="AA9" s="58">
        <f t="shared" si="3"/>
        <v>29.620206000000003</v>
      </c>
      <c r="AB9" s="58">
        <f t="shared" si="3"/>
        <v>30.580917354166662</v>
      </c>
      <c r="AC9" s="58">
        <f t="shared" si="3"/>
        <v>31.541628708333345</v>
      </c>
      <c r="AD9" s="58">
        <f t="shared" si="3"/>
        <v>32.502340062500004</v>
      </c>
      <c r="AE9" s="58">
        <f t="shared" si="3"/>
        <v>33.463051416666673</v>
      </c>
      <c r="AF9" s="58">
        <f t="shared" si="3"/>
        <v>34.423762770833321</v>
      </c>
      <c r="AG9" s="58">
        <f t="shared" si="3"/>
        <v>35.384474125000004</v>
      </c>
      <c r="AH9" s="58">
        <f t="shared" si="3"/>
        <v>36.345185479166666</v>
      </c>
      <c r="AI9" s="58">
        <f t="shared" si="3"/>
        <v>37.305896833333328</v>
      </c>
      <c r="AJ9" s="58">
        <f t="shared" si="3"/>
        <v>38.266608187499983</v>
      </c>
      <c r="AK9" s="58">
        <f t="shared" si="3"/>
        <v>39.22731954166666</v>
      </c>
      <c r="AL9" s="58">
        <f t="shared" si="3"/>
        <v>40.188030895833329</v>
      </c>
      <c r="AM9" s="58">
        <f t="shared" si="3"/>
        <v>41.148742249999991</v>
      </c>
      <c r="AN9" s="58">
        <f t="shared" si="3"/>
        <v>42.109453604166681</v>
      </c>
      <c r="AO9" s="58">
        <f t="shared" si="3"/>
        <v>43.070164958333329</v>
      </c>
      <c r="AP9" s="58">
        <f t="shared" si="3"/>
        <v>44.030876312500006</v>
      </c>
      <c r="AQ9" s="58">
        <f t="shared" si="3"/>
        <v>44.991587666666675</v>
      </c>
    </row>
    <row r="10" spans="1:43" x14ac:dyDescent="0.2">
      <c r="A10" s="55" t="s">
        <v>199</v>
      </c>
      <c r="B10" s="60">
        <f>(1000)/((((TireDiam*25.4)+((2*TireSection*TireSidewRatio/100)))*3.141592653589)/1000)</f>
        <v>552.6213301803316</v>
      </c>
      <c r="C10" s="8" t="s">
        <v>200</v>
      </c>
      <c r="D10" s="58">
        <f t="shared" ref="D10:AQ10" si="4">D6+D7+D9</f>
        <v>215.94150250555555</v>
      </c>
      <c r="E10" s="58">
        <f t="shared" si="4"/>
        <v>219.39368521388889</v>
      </c>
      <c r="F10" s="58">
        <f t="shared" si="4"/>
        <v>224.50684882499996</v>
      </c>
      <c r="G10" s="58">
        <f t="shared" si="4"/>
        <v>231.28099333888886</v>
      </c>
      <c r="H10" s="58">
        <f t="shared" si="4"/>
        <v>239.71611875555556</v>
      </c>
      <c r="I10" s="58">
        <f t="shared" si="4"/>
        <v>249.81222507499999</v>
      </c>
      <c r="J10" s="58">
        <f t="shared" si="4"/>
        <v>261.56931229722221</v>
      </c>
      <c r="K10" s="58">
        <f t="shared" si="4"/>
        <v>274.9873804222222</v>
      </c>
      <c r="L10" s="58">
        <f t="shared" si="4"/>
        <v>290.06642944999999</v>
      </c>
      <c r="M10" s="58">
        <f t="shared" si="4"/>
        <v>306.80645938055557</v>
      </c>
      <c r="N10" s="58">
        <f t="shared" si="4"/>
        <v>325.20747021388888</v>
      </c>
      <c r="O10" s="58">
        <f t="shared" si="4"/>
        <v>345.26946194999999</v>
      </c>
      <c r="P10" s="58">
        <f t="shared" si="4"/>
        <v>366.99243458888895</v>
      </c>
      <c r="Q10" s="58">
        <f t="shared" si="4"/>
        <v>390.3763881305556</v>
      </c>
      <c r="R10" s="58">
        <f t="shared" si="4"/>
        <v>415.42132257500009</v>
      </c>
      <c r="S10" s="58">
        <f t="shared" si="4"/>
        <v>442.12723792222221</v>
      </c>
      <c r="T10" s="58">
        <f t="shared" si="4"/>
        <v>470.49413417222223</v>
      </c>
      <c r="U10" s="58">
        <f t="shared" si="4"/>
        <v>500.52201132499999</v>
      </c>
      <c r="V10" s="58">
        <f t="shared" si="4"/>
        <v>532.21086938055544</v>
      </c>
      <c r="W10" s="58">
        <f t="shared" si="4"/>
        <v>565.56070833888896</v>
      </c>
      <c r="X10" s="58">
        <f t="shared" si="4"/>
        <v>600.57152819999999</v>
      </c>
      <c r="Y10" s="58">
        <f t="shared" si="4"/>
        <v>637.24332896388898</v>
      </c>
      <c r="Z10" s="58">
        <f t="shared" si="4"/>
        <v>675.5761106305556</v>
      </c>
      <c r="AA10" s="58">
        <f t="shared" si="4"/>
        <v>715.56987320000019</v>
      </c>
      <c r="AB10" s="58">
        <f t="shared" si="4"/>
        <v>757.22461667222228</v>
      </c>
      <c r="AC10" s="58">
        <f t="shared" si="4"/>
        <v>800.54034104722234</v>
      </c>
      <c r="AD10" s="58">
        <f t="shared" si="4"/>
        <v>845.51704632500014</v>
      </c>
      <c r="AE10" s="58">
        <f t="shared" si="4"/>
        <v>892.15473250555567</v>
      </c>
      <c r="AF10" s="58">
        <f t="shared" si="4"/>
        <v>940.45339958888894</v>
      </c>
      <c r="AG10" s="58">
        <f t="shared" si="4"/>
        <v>990.41304757500018</v>
      </c>
      <c r="AH10" s="58">
        <f t="shared" si="4"/>
        <v>1042.0336764638889</v>
      </c>
      <c r="AI10" s="58">
        <f t="shared" si="4"/>
        <v>1095.3152862555555</v>
      </c>
      <c r="AJ10" s="58">
        <f t="shared" si="4"/>
        <v>1150.2578769499999</v>
      </c>
      <c r="AK10" s="58">
        <f t="shared" si="4"/>
        <v>1206.8614485472224</v>
      </c>
      <c r="AL10" s="58">
        <f t="shared" si="4"/>
        <v>1265.1260010472224</v>
      </c>
      <c r="AM10" s="58">
        <f t="shared" si="4"/>
        <v>1325.05153445</v>
      </c>
      <c r="AN10" s="58">
        <f t="shared" si="4"/>
        <v>1386.6380487555559</v>
      </c>
      <c r="AO10" s="58">
        <f t="shared" si="4"/>
        <v>1449.8855439638889</v>
      </c>
      <c r="AP10" s="58">
        <f t="shared" si="4"/>
        <v>1514.7940200750002</v>
      </c>
      <c r="AQ10" s="58">
        <f t="shared" si="4"/>
        <v>1581.3634770888891</v>
      </c>
    </row>
    <row r="11" spans="1:43" x14ac:dyDescent="0.2">
      <c r="A11" s="55" t="s">
        <v>201</v>
      </c>
      <c r="B11" s="61">
        <f>159.15/$B$10</f>
        <v>0.28799105519156509</v>
      </c>
      <c r="C11" s="8" t="s">
        <v>202</v>
      </c>
      <c r="D11" s="58">
        <f t="shared" ref="D11:AQ11" si="5">D10*$B$11</f>
        <v>62.189221166226936</v>
      </c>
      <c r="E11" s="58">
        <f t="shared" si="5"/>
        <v>63.183418907113932</v>
      </c>
      <c r="F11" s="58">
        <f t="shared" si="5"/>
        <v>64.655964290844921</v>
      </c>
      <c r="G11" s="58">
        <f t="shared" si="5"/>
        <v>66.606857317419937</v>
      </c>
      <c r="H11" s="58">
        <f t="shared" si="5"/>
        <v>69.036097986838968</v>
      </c>
      <c r="I11" s="58">
        <f t="shared" si="5"/>
        <v>71.943686299101998</v>
      </c>
      <c r="J11" s="58">
        <f t="shared" si="5"/>
        <v>75.329622254209042</v>
      </c>
      <c r="K11" s="58">
        <f t="shared" si="5"/>
        <v>79.1939058521601</v>
      </c>
      <c r="L11" s="58">
        <f t="shared" si="5"/>
        <v>83.536537092955172</v>
      </c>
      <c r="M11" s="58">
        <f t="shared" si="5"/>
        <v>88.357515976594257</v>
      </c>
      <c r="N11" s="58">
        <f t="shared" si="5"/>
        <v>93.656842503077328</v>
      </c>
      <c r="O11" s="58">
        <f t="shared" si="5"/>
        <v>99.434516672404428</v>
      </c>
      <c r="P11" s="58">
        <f t="shared" si="5"/>
        <v>105.69053848457555</v>
      </c>
      <c r="Q11" s="58">
        <f t="shared" si="5"/>
        <v>112.42490793959067</v>
      </c>
      <c r="R11" s="58">
        <f t="shared" si="5"/>
        <v>119.63762503744982</v>
      </c>
      <c r="S11" s="58">
        <f t="shared" si="5"/>
        <v>127.32868977815292</v>
      </c>
      <c r="T11" s="58">
        <f t="shared" si="5"/>
        <v>135.49810216170007</v>
      </c>
      <c r="U11" s="58">
        <f t="shared" si="5"/>
        <v>144.14586218809123</v>
      </c>
      <c r="V11" s="58">
        <f t="shared" si="5"/>
        <v>153.27196985732638</v>
      </c>
      <c r="W11" s="58">
        <f t="shared" si="5"/>
        <v>162.87642516940562</v>
      </c>
      <c r="X11" s="58">
        <f t="shared" si="5"/>
        <v>172.95922812432877</v>
      </c>
      <c r="Y11" s="58">
        <f t="shared" si="5"/>
        <v>183.52037872209601</v>
      </c>
      <c r="Z11" s="58">
        <f t="shared" si="5"/>
        <v>194.55987696270722</v>
      </c>
      <c r="AA11" s="58">
        <f t="shared" si="5"/>
        <v>206.07772284616249</v>
      </c>
      <c r="AB11" s="58">
        <f t="shared" si="5"/>
        <v>218.0739163724617</v>
      </c>
      <c r="AC11" s="58">
        <f t="shared" si="5"/>
        <v>230.54845754160496</v>
      </c>
      <c r="AD11" s="58">
        <f t="shared" si="5"/>
        <v>243.50134635359223</v>
      </c>
      <c r="AE11" s="58">
        <f t="shared" si="5"/>
        <v>256.93258280842349</v>
      </c>
      <c r="AF11" s="58">
        <f t="shared" si="5"/>
        <v>270.84216690609873</v>
      </c>
      <c r="AG11" s="58">
        <f t="shared" si="5"/>
        <v>285.23009864661805</v>
      </c>
      <c r="AH11" s="58">
        <f t="shared" si="5"/>
        <v>300.09637802998134</v>
      </c>
      <c r="AI11" s="58">
        <f t="shared" si="5"/>
        <v>315.4410050561886</v>
      </c>
      <c r="AJ11" s="58">
        <f t="shared" si="5"/>
        <v>331.26397972523989</v>
      </c>
      <c r="AK11" s="58">
        <f t="shared" si="5"/>
        <v>347.56530203713533</v>
      </c>
      <c r="AL11" s="58">
        <f t="shared" si="5"/>
        <v>364.34497199187467</v>
      </c>
      <c r="AM11" s="58">
        <f t="shared" si="5"/>
        <v>381.60298958945793</v>
      </c>
      <c r="AN11" s="58">
        <f t="shared" si="5"/>
        <v>399.33935482988545</v>
      </c>
      <c r="AO11" s="58">
        <f t="shared" si="5"/>
        <v>417.55406771315671</v>
      </c>
      <c r="AP11" s="58">
        <f t="shared" si="5"/>
        <v>436.24712823927212</v>
      </c>
      <c r="AQ11" s="58">
        <f t="shared" si="5"/>
        <v>455.41853640823155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A14" s="8"/>
      <c r="B14" s="68"/>
      <c r="C14" s="8" t="s">
        <v>206</v>
      </c>
      <c r="D14" s="58">
        <f t="shared" ref="D14:AQ14" si="8">$B$3*$B$6*D12</f>
        <v>575.91157989451733</v>
      </c>
      <c r="E14" s="58">
        <f t="shared" si="8"/>
        <v>575.91157989451733</v>
      </c>
      <c r="F14" s="58">
        <f t="shared" si="8"/>
        <v>575.91157989451733</v>
      </c>
      <c r="G14" s="58">
        <f t="shared" si="8"/>
        <v>575.91157989451733</v>
      </c>
      <c r="H14" s="58">
        <f t="shared" si="8"/>
        <v>575.91157989451733</v>
      </c>
      <c r="I14" s="58">
        <f t="shared" si="8"/>
        <v>575.91157989451733</v>
      </c>
      <c r="J14" s="58">
        <f t="shared" si="8"/>
        <v>575.91157989451733</v>
      </c>
      <c r="K14" s="58">
        <f t="shared" si="8"/>
        <v>575.91157989451733</v>
      </c>
      <c r="L14" s="58">
        <f t="shared" si="8"/>
        <v>575.91157989451733</v>
      </c>
      <c r="M14" s="58">
        <f t="shared" si="8"/>
        <v>575.91157989451733</v>
      </c>
      <c r="N14" s="58">
        <f t="shared" si="8"/>
        <v>575.91157989451733</v>
      </c>
      <c r="O14" s="58">
        <f t="shared" si="8"/>
        <v>575.91157989451733</v>
      </c>
      <c r="P14" s="58">
        <f t="shared" si="8"/>
        <v>575.91157989451733</v>
      </c>
      <c r="Q14" s="58">
        <f t="shared" si="8"/>
        <v>575.91157989451733</v>
      </c>
      <c r="R14" s="58">
        <f t="shared" si="8"/>
        <v>575.91157989451733</v>
      </c>
      <c r="S14" s="58">
        <f t="shared" si="8"/>
        <v>575.91157989451733</v>
      </c>
      <c r="T14" s="58">
        <f t="shared" si="8"/>
        <v>575.91157989451733</v>
      </c>
      <c r="U14" s="58">
        <f t="shared" si="8"/>
        <v>575.91157989451733</v>
      </c>
      <c r="V14" s="58">
        <f t="shared" si="8"/>
        <v>575.91157989451733</v>
      </c>
      <c r="W14" s="58">
        <f t="shared" si="8"/>
        <v>575.91157989451733</v>
      </c>
      <c r="X14" s="58">
        <f t="shared" si="8"/>
        <v>575.91157989451733</v>
      </c>
      <c r="Y14" s="58">
        <f t="shared" si="8"/>
        <v>575.91157989451733</v>
      </c>
      <c r="Z14" s="58">
        <f t="shared" si="8"/>
        <v>575.91157989451733</v>
      </c>
      <c r="AA14" s="58">
        <f t="shared" si="8"/>
        <v>575.91157989451733</v>
      </c>
      <c r="AB14" s="58">
        <f t="shared" si="8"/>
        <v>575.91157989451733</v>
      </c>
      <c r="AC14" s="58">
        <f t="shared" si="8"/>
        <v>575.91157989451733</v>
      </c>
      <c r="AD14" s="58">
        <f t="shared" si="8"/>
        <v>575.91157989451733</v>
      </c>
      <c r="AE14" s="58">
        <f t="shared" si="8"/>
        <v>575.91157989451733</v>
      </c>
      <c r="AF14" s="58">
        <f t="shared" si="8"/>
        <v>575.91157989451733</v>
      </c>
      <c r="AG14" s="58">
        <f t="shared" si="8"/>
        <v>575.91157989451733</v>
      </c>
      <c r="AH14" s="58">
        <f t="shared" si="8"/>
        <v>575.91157989451733</v>
      </c>
      <c r="AI14" s="58">
        <f t="shared" si="8"/>
        <v>575.91157989451733</v>
      </c>
      <c r="AJ14" s="58">
        <f t="shared" si="8"/>
        <v>575.91157989451733</v>
      </c>
      <c r="AK14" s="58">
        <f t="shared" si="8"/>
        <v>575.91157989451733</v>
      </c>
      <c r="AL14" s="58">
        <f t="shared" si="8"/>
        <v>575.91157989451733</v>
      </c>
      <c r="AM14" s="58">
        <f t="shared" si="8"/>
        <v>575.91157989451733</v>
      </c>
      <c r="AN14" s="58">
        <f t="shared" si="8"/>
        <v>575.91157989451733</v>
      </c>
      <c r="AO14" s="58">
        <f t="shared" si="8"/>
        <v>575.91157989451733</v>
      </c>
      <c r="AP14" s="58">
        <f t="shared" si="8"/>
        <v>575.91157989451733</v>
      </c>
      <c r="AQ14" s="58">
        <f t="shared" si="8"/>
        <v>575.91157989451733</v>
      </c>
    </row>
    <row r="15" spans="1:43" x14ac:dyDescent="0.2">
      <c r="A15" s="8"/>
      <c r="B15" s="68"/>
      <c r="C15" s="8" t="s">
        <v>207</v>
      </c>
      <c r="D15" s="58">
        <f t="shared" ref="D15:AQ15" si="9">$B$12*$B$3*$B$6*D13</f>
        <v>207.32816876202619</v>
      </c>
      <c r="E15" s="58">
        <f t="shared" si="9"/>
        <v>207.32816876202619</v>
      </c>
      <c r="F15" s="58">
        <f t="shared" si="9"/>
        <v>207.32816876202619</v>
      </c>
      <c r="G15" s="58">
        <f t="shared" si="9"/>
        <v>207.32816876202619</v>
      </c>
      <c r="H15" s="58">
        <f t="shared" si="9"/>
        <v>207.32816876202619</v>
      </c>
      <c r="I15" s="58">
        <f t="shared" si="9"/>
        <v>207.32816876202619</v>
      </c>
      <c r="J15" s="58">
        <f t="shared" si="9"/>
        <v>207.32816876202619</v>
      </c>
      <c r="K15" s="58">
        <f t="shared" si="9"/>
        <v>207.32816876202619</v>
      </c>
      <c r="L15" s="58">
        <f t="shared" si="9"/>
        <v>207.32816876202619</v>
      </c>
      <c r="M15" s="58">
        <f t="shared" si="9"/>
        <v>207.32816876202619</v>
      </c>
      <c r="N15" s="58">
        <f t="shared" si="9"/>
        <v>207.32816876202619</v>
      </c>
      <c r="O15" s="58">
        <f t="shared" si="9"/>
        <v>207.32816876202619</v>
      </c>
      <c r="P15" s="58">
        <f t="shared" si="9"/>
        <v>207.32816876202619</v>
      </c>
      <c r="Q15" s="58">
        <f t="shared" si="9"/>
        <v>207.32816876202619</v>
      </c>
      <c r="R15" s="58">
        <f t="shared" si="9"/>
        <v>207.32816876202619</v>
      </c>
      <c r="S15" s="58">
        <f t="shared" si="9"/>
        <v>207.32816876202619</v>
      </c>
      <c r="T15" s="58">
        <f t="shared" si="9"/>
        <v>207.32816876202619</v>
      </c>
      <c r="U15" s="58">
        <f t="shared" si="9"/>
        <v>207.32816876202619</v>
      </c>
      <c r="V15" s="58">
        <f t="shared" si="9"/>
        <v>207.32816876202619</v>
      </c>
      <c r="W15" s="58">
        <f t="shared" si="9"/>
        <v>207.32816876202619</v>
      </c>
      <c r="X15" s="58">
        <f t="shared" si="9"/>
        <v>207.32816876202619</v>
      </c>
      <c r="Y15" s="58">
        <f t="shared" si="9"/>
        <v>207.32816876202619</v>
      </c>
      <c r="Z15" s="58">
        <f t="shared" si="9"/>
        <v>207.32816876202619</v>
      </c>
      <c r="AA15" s="58">
        <f t="shared" si="9"/>
        <v>207.32816876202619</v>
      </c>
      <c r="AB15" s="58">
        <f t="shared" si="9"/>
        <v>207.32816876202619</v>
      </c>
      <c r="AC15" s="58">
        <f t="shared" si="9"/>
        <v>207.32816876202619</v>
      </c>
      <c r="AD15" s="58">
        <f t="shared" si="9"/>
        <v>207.32816876202619</v>
      </c>
      <c r="AE15" s="58">
        <f t="shared" si="9"/>
        <v>207.32816876202619</v>
      </c>
      <c r="AF15" s="58">
        <f t="shared" si="9"/>
        <v>207.32816876202619</v>
      </c>
      <c r="AG15" s="58">
        <f t="shared" si="9"/>
        <v>207.32816876202619</v>
      </c>
      <c r="AH15" s="58">
        <f t="shared" si="9"/>
        <v>207.32816876202619</v>
      </c>
      <c r="AI15" s="58">
        <f t="shared" si="9"/>
        <v>207.32816876202619</v>
      </c>
      <c r="AJ15" s="58">
        <f t="shared" si="9"/>
        <v>207.32816876202619</v>
      </c>
      <c r="AK15" s="58">
        <f t="shared" si="9"/>
        <v>207.32816876202619</v>
      </c>
      <c r="AL15" s="58">
        <f t="shared" si="9"/>
        <v>207.32816876202619</v>
      </c>
      <c r="AM15" s="58">
        <f t="shared" si="9"/>
        <v>207.32816876202619</v>
      </c>
      <c r="AN15" s="58">
        <f t="shared" si="9"/>
        <v>207.32816876202619</v>
      </c>
      <c r="AO15" s="58">
        <f t="shared" si="9"/>
        <v>207.32816876202619</v>
      </c>
      <c r="AP15" s="58">
        <f t="shared" si="9"/>
        <v>207.32816876202619</v>
      </c>
      <c r="AQ15" s="58">
        <f t="shared" si="9"/>
        <v>207.32816876202619</v>
      </c>
    </row>
    <row r="16" spans="1:43" x14ac:dyDescent="0.2">
      <c r="A16" s="8"/>
      <c r="B16" s="68"/>
      <c r="C16" s="8" t="s">
        <v>208</v>
      </c>
      <c r="D16" s="58">
        <f t="shared" ref="D16:AQ16" si="10">D$7+D$9+D14+D15</f>
        <v>791.59408396209903</v>
      </c>
      <c r="E16" s="58">
        <f t="shared" si="10"/>
        <v>795.04626667043237</v>
      </c>
      <c r="F16" s="58">
        <f t="shared" si="10"/>
        <v>800.15943028154345</v>
      </c>
      <c r="G16" s="58">
        <f t="shared" si="10"/>
        <v>806.93357479543238</v>
      </c>
      <c r="H16" s="58">
        <f t="shared" si="10"/>
        <v>815.36870021209904</v>
      </c>
      <c r="I16" s="58">
        <f t="shared" si="10"/>
        <v>825.46480653154356</v>
      </c>
      <c r="J16" s="58">
        <f t="shared" si="10"/>
        <v>837.2218937537657</v>
      </c>
      <c r="K16" s="58">
        <f t="shared" si="10"/>
        <v>850.63996187876569</v>
      </c>
      <c r="L16" s="58">
        <f t="shared" si="10"/>
        <v>865.71901090654353</v>
      </c>
      <c r="M16" s="58">
        <f t="shared" si="10"/>
        <v>882.45904083709911</v>
      </c>
      <c r="N16" s="58">
        <f t="shared" si="10"/>
        <v>900.86005167043243</v>
      </c>
      <c r="O16" s="58">
        <f t="shared" si="10"/>
        <v>920.92204340654359</v>
      </c>
      <c r="P16" s="58">
        <f t="shared" si="10"/>
        <v>942.6450160454325</v>
      </c>
      <c r="Q16" s="58">
        <f t="shared" si="10"/>
        <v>966.02896958709914</v>
      </c>
      <c r="R16" s="58">
        <f t="shared" si="10"/>
        <v>991.07390403154352</v>
      </c>
      <c r="S16" s="58">
        <f t="shared" si="10"/>
        <v>1017.7798193787658</v>
      </c>
      <c r="T16" s="58">
        <f t="shared" si="10"/>
        <v>1046.1467156287658</v>
      </c>
      <c r="U16" s="58">
        <f t="shared" si="10"/>
        <v>1076.1745927815437</v>
      </c>
      <c r="V16" s="58">
        <f t="shared" si="10"/>
        <v>1107.8634508370992</v>
      </c>
      <c r="W16" s="58">
        <f t="shared" si="10"/>
        <v>1141.2132897954325</v>
      </c>
      <c r="X16" s="58">
        <f t="shared" si="10"/>
        <v>1176.2241096565435</v>
      </c>
      <c r="Y16" s="58">
        <f t="shared" si="10"/>
        <v>1212.8959104204325</v>
      </c>
      <c r="Z16" s="58">
        <f t="shared" si="10"/>
        <v>1251.2286920870993</v>
      </c>
      <c r="AA16" s="58">
        <f t="shared" si="10"/>
        <v>1291.2224546565437</v>
      </c>
      <c r="AB16" s="58">
        <f t="shared" si="10"/>
        <v>1332.8771981287659</v>
      </c>
      <c r="AC16" s="58">
        <f t="shared" si="10"/>
        <v>1376.1929225037659</v>
      </c>
      <c r="AD16" s="58">
        <f t="shared" si="10"/>
        <v>1421.1696277815438</v>
      </c>
      <c r="AE16" s="58">
        <f t="shared" si="10"/>
        <v>1467.8073139620994</v>
      </c>
      <c r="AF16" s="58">
        <f t="shared" si="10"/>
        <v>1516.1059810454324</v>
      </c>
      <c r="AG16" s="58">
        <f t="shared" si="10"/>
        <v>1566.0656290315439</v>
      </c>
      <c r="AH16" s="58">
        <f t="shared" si="10"/>
        <v>1617.6862579204326</v>
      </c>
      <c r="AI16" s="58">
        <f t="shared" si="10"/>
        <v>1670.9678677120994</v>
      </c>
      <c r="AJ16" s="58">
        <f t="shared" si="10"/>
        <v>1725.9104584065435</v>
      </c>
      <c r="AK16" s="58">
        <f t="shared" si="10"/>
        <v>1782.5140300037658</v>
      </c>
      <c r="AL16" s="58">
        <f t="shared" si="10"/>
        <v>1840.7785825037661</v>
      </c>
      <c r="AM16" s="58">
        <f t="shared" si="10"/>
        <v>1900.7041159065436</v>
      </c>
      <c r="AN16" s="58">
        <f t="shared" si="10"/>
        <v>1962.2906302120994</v>
      </c>
      <c r="AO16" s="58">
        <f t="shared" si="10"/>
        <v>2025.5381254204324</v>
      </c>
      <c r="AP16" s="58">
        <f t="shared" si="10"/>
        <v>2090.4466015315434</v>
      </c>
      <c r="AQ16" s="58">
        <f t="shared" si="10"/>
        <v>2157.0160585454323</v>
      </c>
    </row>
    <row r="17" spans="1:43" x14ac:dyDescent="0.2">
      <c r="A17" s="8"/>
      <c r="B17" s="68"/>
      <c r="C17" s="8" t="s">
        <v>209</v>
      </c>
      <c r="D17" s="58">
        <f t="shared" ref="D17:AQ17" si="11">D16*$B$11</f>
        <v>227.97201552364527</v>
      </c>
      <c r="E17" s="58">
        <f t="shared" si="11"/>
        <v>228.96621326453226</v>
      </c>
      <c r="F17" s="58">
        <f t="shared" si="11"/>
        <v>230.43875864826327</v>
      </c>
      <c r="G17" s="58">
        <f t="shared" si="11"/>
        <v>232.38965167483829</v>
      </c>
      <c r="H17" s="58">
        <f t="shared" si="11"/>
        <v>234.81889234425731</v>
      </c>
      <c r="I17" s="58">
        <f t="shared" si="11"/>
        <v>237.72648065652035</v>
      </c>
      <c r="J17" s="58">
        <f t="shared" si="11"/>
        <v>241.1124166116274</v>
      </c>
      <c r="K17" s="58">
        <f t="shared" si="11"/>
        <v>244.97670020957844</v>
      </c>
      <c r="L17" s="58">
        <f t="shared" si="11"/>
        <v>249.31933145037351</v>
      </c>
      <c r="M17" s="58">
        <f t="shared" si="11"/>
        <v>254.14031033401261</v>
      </c>
      <c r="N17" s="58">
        <f t="shared" si="11"/>
        <v>259.43963686049568</v>
      </c>
      <c r="O17" s="58">
        <f t="shared" si="11"/>
        <v>265.21731102982278</v>
      </c>
      <c r="P17" s="58">
        <f t="shared" si="11"/>
        <v>271.47333284199391</v>
      </c>
      <c r="Q17" s="58">
        <f t="shared" si="11"/>
        <v>278.20770229700901</v>
      </c>
      <c r="R17" s="58">
        <f t="shared" si="11"/>
        <v>285.42041939486813</v>
      </c>
      <c r="S17" s="58">
        <f t="shared" si="11"/>
        <v>293.11148413557129</v>
      </c>
      <c r="T17" s="58">
        <f t="shared" si="11"/>
        <v>301.28089651911847</v>
      </c>
      <c r="U17" s="58">
        <f t="shared" si="11"/>
        <v>309.92865654550963</v>
      </c>
      <c r="V17" s="58">
        <f t="shared" si="11"/>
        <v>319.05476421474481</v>
      </c>
      <c r="W17" s="58">
        <f t="shared" si="11"/>
        <v>328.65921952682396</v>
      </c>
      <c r="X17" s="58">
        <f t="shared" si="11"/>
        <v>338.74202248174714</v>
      </c>
      <c r="Y17" s="58">
        <f t="shared" si="11"/>
        <v>349.30317307951435</v>
      </c>
      <c r="Z17" s="58">
        <f t="shared" si="11"/>
        <v>360.34267132012559</v>
      </c>
      <c r="AA17" s="58">
        <f t="shared" si="11"/>
        <v>371.86051720358086</v>
      </c>
      <c r="AB17" s="58">
        <f t="shared" si="11"/>
        <v>383.85671072988009</v>
      </c>
      <c r="AC17" s="58">
        <f t="shared" si="11"/>
        <v>396.3312518990233</v>
      </c>
      <c r="AD17" s="58">
        <f t="shared" si="11"/>
        <v>409.28414071101059</v>
      </c>
      <c r="AE17" s="58">
        <f t="shared" si="11"/>
        <v>422.71537716584191</v>
      </c>
      <c r="AF17" s="58">
        <f t="shared" si="11"/>
        <v>436.62496126351704</v>
      </c>
      <c r="AG17" s="58">
        <f t="shared" si="11"/>
        <v>451.01289300403647</v>
      </c>
      <c r="AH17" s="58">
        <f t="shared" si="11"/>
        <v>465.87917238739971</v>
      </c>
      <c r="AI17" s="58">
        <f t="shared" si="11"/>
        <v>481.22379941360708</v>
      </c>
      <c r="AJ17" s="58">
        <f t="shared" si="11"/>
        <v>497.04677408265826</v>
      </c>
      <c r="AK17" s="58">
        <f t="shared" si="11"/>
        <v>513.34809639455364</v>
      </c>
      <c r="AL17" s="58">
        <f t="shared" si="11"/>
        <v>530.1277663492931</v>
      </c>
      <c r="AM17" s="58">
        <f t="shared" si="11"/>
        <v>547.38578394687636</v>
      </c>
      <c r="AN17" s="58">
        <f t="shared" si="11"/>
        <v>565.12214918730376</v>
      </c>
      <c r="AO17" s="58">
        <f t="shared" si="11"/>
        <v>583.33686207057508</v>
      </c>
      <c r="AP17" s="58">
        <f t="shared" si="11"/>
        <v>602.02992259669043</v>
      </c>
      <c r="AQ17" s="58">
        <f t="shared" si="11"/>
        <v>621.2013307656498</v>
      </c>
    </row>
    <row r="18" spans="1:43" x14ac:dyDescent="0.2">
      <c r="A18" s="8"/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1:43" x14ac:dyDescent="0.2">
      <c r="A19" s="8"/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1:43" x14ac:dyDescent="0.2">
      <c r="A20" s="8"/>
      <c r="B20" s="68"/>
      <c r="C20" s="8" t="s">
        <v>206</v>
      </c>
      <c r="D20" s="58">
        <f t="shared" ref="D20:AQ20" si="14">$B$3*$B$6*D18</f>
        <v>1147.5386198574402</v>
      </c>
      <c r="E20" s="58">
        <f t="shared" si="14"/>
        <v>1147.5386198574402</v>
      </c>
      <c r="F20" s="58">
        <f t="shared" si="14"/>
        <v>1147.5386198574402</v>
      </c>
      <c r="G20" s="58">
        <f t="shared" si="14"/>
        <v>1147.5386198574402</v>
      </c>
      <c r="H20" s="58">
        <f t="shared" si="14"/>
        <v>1147.5386198574402</v>
      </c>
      <c r="I20" s="58">
        <f t="shared" si="14"/>
        <v>1147.5386198574402</v>
      </c>
      <c r="J20" s="58">
        <f t="shared" si="14"/>
        <v>1147.5386198574402</v>
      </c>
      <c r="K20" s="58">
        <f t="shared" si="14"/>
        <v>1147.5386198574402</v>
      </c>
      <c r="L20" s="58">
        <f t="shared" si="14"/>
        <v>1147.5386198574402</v>
      </c>
      <c r="M20" s="58">
        <f t="shared" si="14"/>
        <v>1147.5386198574402</v>
      </c>
      <c r="N20" s="58">
        <f t="shared" si="14"/>
        <v>1147.5386198574402</v>
      </c>
      <c r="O20" s="58">
        <f t="shared" si="14"/>
        <v>1147.5386198574402</v>
      </c>
      <c r="P20" s="58">
        <f t="shared" si="14"/>
        <v>1147.5386198574402</v>
      </c>
      <c r="Q20" s="58">
        <f t="shared" si="14"/>
        <v>1147.5386198574402</v>
      </c>
      <c r="R20" s="58">
        <f t="shared" si="14"/>
        <v>1147.5386198574402</v>
      </c>
      <c r="S20" s="58">
        <f t="shared" si="14"/>
        <v>1147.5386198574402</v>
      </c>
      <c r="T20" s="58">
        <f t="shared" si="14"/>
        <v>1147.5386198574402</v>
      </c>
      <c r="U20" s="58">
        <f t="shared" si="14"/>
        <v>1147.5386198574402</v>
      </c>
      <c r="V20" s="58">
        <f t="shared" si="14"/>
        <v>1147.5386198574402</v>
      </c>
      <c r="W20" s="58">
        <f t="shared" si="14"/>
        <v>1147.5386198574402</v>
      </c>
      <c r="X20" s="58">
        <f t="shared" si="14"/>
        <v>1147.5386198574402</v>
      </c>
      <c r="Y20" s="58">
        <f t="shared" si="14"/>
        <v>1147.5386198574402</v>
      </c>
      <c r="Z20" s="58">
        <f t="shared" si="14"/>
        <v>1147.5386198574402</v>
      </c>
      <c r="AA20" s="58">
        <f t="shared" si="14"/>
        <v>1147.5386198574402</v>
      </c>
      <c r="AB20" s="58">
        <f t="shared" si="14"/>
        <v>1147.5386198574402</v>
      </c>
      <c r="AC20" s="58">
        <f t="shared" si="14"/>
        <v>1147.5386198574402</v>
      </c>
      <c r="AD20" s="58">
        <f t="shared" si="14"/>
        <v>1147.5386198574402</v>
      </c>
      <c r="AE20" s="58">
        <f t="shared" si="14"/>
        <v>1147.5386198574402</v>
      </c>
      <c r="AF20" s="58">
        <f t="shared" si="14"/>
        <v>1147.5386198574402</v>
      </c>
      <c r="AG20" s="58">
        <f t="shared" si="14"/>
        <v>1147.5386198574402</v>
      </c>
      <c r="AH20" s="58">
        <f t="shared" si="14"/>
        <v>1147.5386198574402</v>
      </c>
      <c r="AI20" s="58">
        <f t="shared" si="14"/>
        <v>1147.5386198574402</v>
      </c>
      <c r="AJ20" s="58">
        <f t="shared" si="14"/>
        <v>1147.5386198574402</v>
      </c>
      <c r="AK20" s="58">
        <f t="shared" si="14"/>
        <v>1147.5386198574402</v>
      </c>
      <c r="AL20" s="58">
        <f t="shared" si="14"/>
        <v>1147.5386198574402</v>
      </c>
      <c r="AM20" s="58">
        <f t="shared" si="14"/>
        <v>1147.5386198574402</v>
      </c>
      <c r="AN20" s="58">
        <f t="shared" si="14"/>
        <v>1147.5386198574402</v>
      </c>
      <c r="AO20" s="58">
        <f t="shared" si="14"/>
        <v>1147.5386198574402</v>
      </c>
      <c r="AP20" s="58">
        <f t="shared" si="14"/>
        <v>1147.5386198574402</v>
      </c>
      <c r="AQ20" s="58">
        <f t="shared" si="14"/>
        <v>1147.5386198574402</v>
      </c>
    </row>
    <row r="21" spans="1:43" x14ac:dyDescent="0.2">
      <c r="A21" s="8"/>
      <c r="B21" s="68"/>
      <c r="C21" s="8" t="s">
        <v>207</v>
      </c>
      <c r="D21" s="58">
        <f t="shared" ref="D21:AQ21" si="15">$B$12*$B$3*$B$6*D19</f>
        <v>206.55695157433922</v>
      </c>
      <c r="E21" s="58">
        <f t="shared" si="15"/>
        <v>206.55695157433922</v>
      </c>
      <c r="F21" s="58">
        <f t="shared" si="15"/>
        <v>206.55695157433922</v>
      </c>
      <c r="G21" s="58">
        <f t="shared" si="15"/>
        <v>206.55695157433922</v>
      </c>
      <c r="H21" s="58">
        <f t="shared" si="15"/>
        <v>206.55695157433922</v>
      </c>
      <c r="I21" s="58">
        <f t="shared" si="15"/>
        <v>206.55695157433922</v>
      </c>
      <c r="J21" s="58">
        <f t="shared" si="15"/>
        <v>206.55695157433922</v>
      </c>
      <c r="K21" s="58">
        <f t="shared" si="15"/>
        <v>206.55695157433922</v>
      </c>
      <c r="L21" s="58">
        <f t="shared" si="15"/>
        <v>206.55695157433922</v>
      </c>
      <c r="M21" s="58">
        <f t="shared" si="15"/>
        <v>206.55695157433922</v>
      </c>
      <c r="N21" s="58">
        <f t="shared" si="15"/>
        <v>206.55695157433922</v>
      </c>
      <c r="O21" s="58">
        <f t="shared" si="15"/>
        <v>206.55695157433922</v>
      </c>
      <c r="P21" s="58">
        <f t="shared" si="15"/>
        <v>206.55695157433922</v>
      </c>
      <c r="Q21" s="58">
        <f t="shared" si="15"/>
        <v>206.55695157433922</v>
      </c>
      <c r="R21" s="58">
        <f t="shared" si="15"/>
        <v>206.55695157433922</v>
      </c>
      <c r="S21" s="58">
        <f t="shared" si="15"/>
        <v>206.55695157433922</v>
      </c>
      <c r="T21" s="58">
        <f t="shared" si="15"/>
        <v>206.55695157433922</v>
      </c>
      <c r="U21" s="58">
        <f t="shared" si="15"/>
        <v>206.55695157433922</v>
      </c>
      <c r="V21" s="58">
        <f t="shared" si="15"/>
        <v>206.55695157433922</v>
      </c>
      <c r="W21" s="58">
        <f t="shared" si="15"/>
        <v>206.55695157433922</v>
      </c>
      <c r="X21" s="58">
        <f t="shared" si="15"/>
        <v>206.55695157433922</v>
      </c>
      <c r="Y21" s="58">
        <f t="shared" si="15"/>
        <v>206.55695157433922</v>
      </c>
      <c r="Z21" s="58">
        <f t="shared" si="15"/>
        <v>206.55695157433922</v>
      </c>
      <c r="AA21" s="58">
        <f t="shared" si="15"/>
        <v>206.55695157433922</v>
      </c>
      <c r="AB21" s="58">
        <f t="shared" si="15"/>
        <v>206.55695157433922</v>
      </c>
      <c r="AC21" s="58">
        <f t="shared" si="15"/>
        <v>206.55695157433922</v>
      </c>
      <c r="AD21" s="58">
        <f t="shared" si="15"/>
        <v>206.55695157433922</v>
      </c>
      <c r="AE21" s="58">
        <f t="shared" si="15"/>
        <v>206.55695157433922</v>
      </c>
      <c r="AF21" s="58">
        <f t="shared" si="15"/>
        <v>206.55695157433922</v>
      </c>
      <c r="AG21" s="58">
        <f t="shared" si="15"/>
        <v>206.55695157433922</v>
      </c>
      <c r="AH21" s="58">
        <f t="shared" si="15"/>
        <v>206.55695157433922</v>
      </c>
      <c r="AI21" s="58">
        <f t="shared" si="15"/>
        <v>206.55695157433922</v>
      </c>
      <c r="AJ21" s="58">
        <f t="shared" si="15"/>
        <v>206.55695157433922</v>
      </c>
      <c r="AK21" s="58">
        <f t="shared" si="15"/>
        <v>206.55695157433922</v>
      </c>
      <c r="AL21" s="58">
        <f t="shared" si="15"/>
        <v>206.55695157433922</v>
      </c>
      <c r="AM21" s="58">
        <f t="shared" si="15"/>
        <v>206.55695157433922</v>
      </c>
      <c r="AN21" s="58">
        <f t="shared" si="15"/>
        <v>206.55695157433922</v>
      </c>
      <c r="AO21" s="58">
        <f t="shared" si="15"/>
        <v>206.55695157433922</v>
      </c>
      <c r="AP21" s="58">
        <f t="shared" si="15"/>
        <v>206.55695157433922</v>
      </c>
      <c r="AQ21" s="58">
        <f t="shared" si="15"/>
        <v>206.55695157433922</v>
      </c>
    </row>
    <row r="22" spans="1:43" x14ac:dyDescent="0.2">
      <c r="A22" s="8"/>
      <c r="B22" s="68"/>
      <c r="C22" s="8" t="s">
        <v>212</v>
      </c>
      <c r="D22" s="58">
        <f t="shared" ref="D22:AQ22" si="16">D$7+D$9+D20+D21</f>
        <v>1362.4499067373349</v>
      </c>
      <c r="E22" s="58">
        <f t="shared" si="16"/>
        <v>1365.9020894456685</v>
      </c>
      <c r="F22" s="58">
        <f t="shared" si="16"/>
        <v>1371.0152530567793</v>
      </c>
      <c r="G22" s="58">
        <f t="shared" si="16"/>
        <v>1377.7893975706684</v>
      </c>
      <c r="H22" s="58">
        <f t="shared" si="16"/>
        <v>1386.2245229873351</v>
      </c>
      <c r="I22" s="58">
        <f t="shared" si="16"/>
        <v>1396.3206293067792</v>
      </c>
      <c r="J22" s="58">
        <f t="shared" si="16"/>
        <v>1408.0777165290015</v>
      </c>
      <c r="K22" s="58">
        <f t="shared" si="16"/>
        <v>1421.4957846540015</v>
      </c>
      <c r="L22" s="58">
        <f t="shared" si="16"/>
        <v>1436.5748336817792</v>
      </c>
      <c r="M22" s="58">
        <f t="shared" si="16"/>
        <v>1453.3148636123351</v>
      </c>
      <c r="N22" s="58">
        <f t="shared" si="16"/>
        <v>1471.7158744456683</v>
      </c>
      <c r="O22" s="58">
        <f t="shared" si="16"/>
        <v>1491.7778661817792</v>
      </c>
      <c r="P22" s="58">
        <f t="shared" si="16"/>
        <v>1513.5008388206684</v>
      </c>
      <c r="Q22" s="58">
        <f t="shared" si="16"/>
        <v>1536.8847923623348</v>
      </c>
      <c r="R22" s="58">
        <f t="shared" si="16"/>
        <v>1561.9297268067794</v>
      </c>
      <c r="S22" s="58">
        <f t="shared" si="16"/>
        <v>1588.6356421540017</v>
      </c>
      <c r="T22" s="58">
        <f t="shared" si="16"/>
        <v>1617.0025384040014</v>
      </c>
      <c r="U22" s="58">
        <f t="shared" si="16"/>
        <v>1647.0304155567792</v>
      </c>
      <c r="V22" s="58">
        <f t="shared" si="16"/>
        <v>1678.7192736123347</v>
      </c>
      <c r="W22" s="58">
        <f t="shared" si="16"/>
        <v>1712.0691125706685</v>
      </c>
      <c r="X22" s="58">
        <f t="shared" si="16"/>
        <v>1747.0799324317795</v>
      </c>
      <c r="Y22" s="58">
        <f t="shared" si="16"/>
        <v>1783.7517331956683</v>
      </c>
      <c r="Z22" s="58">
        <f t="shared" si="16"/>
        <v>1822.0845148623348</v>
      </c>
      <c r="AA22" s="58">
        <f t="shared" si="16"/>
        <v>1862.0782774317795</v>
      </c>
      <c r="AB22" s="58">
        <f t="shared" si="16"/>
        <v>1903.7330209040015</v>
      </c>
      <c r="AC22" s="58">
        <f t="shared" si="16"/>
        <v>1947.0487452790017</v>
      </c>
      <c r="AD22" s="58">
        <f t="shared" si="16"/>
        <v>1992.0254505567796</v>
      </c>
      <c r="AE22" s="58">
        <f t="shared" si="16"/>
        <v>2038.6631367373352</v>
      </c>
      <c r="AF22" s="58">
        <f t="shared" si="16"/>
        <v>2086.9618038206681</v>
      </c>
      <c r="AG22" s="58">
        <f t="shared" si="16"/>
        <v>2136.9214518067797</v>
      </c>
      <c r="AH22" s="58">
        <f t="shared" si="16"/>
        <v>2188.5420806956681</v>
      </c>
      <c r="AI22" s="58">
        <f t="shared" si="16"/>
        <v>2241.8236904873352</v>
      </c>
      <c r="AJ22" s="58">
        <f t="shared" si="16"/>
        <v>2296.766281181779</v>
      </c>
      <c r="AK22" s="58">
        <f t="shared" si="16"/>
        <v>2353.3698527790016</v>
      </c>
      <c r="AL22" s="58">
        <f t="shared" si="16"/>
        <v>2411.6344052790018</v>
      </c>
      <c r="AM22" s="58">
        <f t="shared" si="16"/>
        <v>2471.5599386817794</v>
      </c>
      <c r="AN22" s="58">
        <f t="shared" si="16"/>
        <v>2533.1464529873351</v>
      </c>
      <c r="AO22" s="58">
        <f t="shared" si="16"/>
        <v>2596.3939481956681</v>
      </c>
      <c r="AP22" s="58">
        <f t="shared" si="16"/>
        <v>2661.3024243067794</v>
      </c>
      <c r="AQ22" s="58">
        <f t="shared" si="16"/>
        <v>2727.8718813206683</v>
      </c>
    </row>
    <row r="23" spans="1:43" x14ac:dyDescent="0.2">
      <c r="A23" s="8"/>
      <c r="B23" s="68"/>
      <c r="C23" s="8" t="s">
        <v>213</v>
      </c>
      <c r="D23" s="58">
        <f t="shared" ref="D23:AQ23" si="17">D22*$B$11</f>
        <v>392.37338628693453</v>
      </c>
      <c r="E23" s="58">
        <f t="shared" si="17"/>
        <v>393.36758402782158</v>
      </c>
      <c r="F23" s="58">
        <f t="shared" si="17"/>
        <v>394.84012941155254</v>
      </c>
      <c r="G23" s="58">
        <f t="shared" si="17"/>
        <v>396.79102243812758</v>
      </c>
      <c r="H23" s="58">
        <f t="shared" si="17"/>
        <v>399.22026310754666</v>
      </c>
      <c r="I23" s="58">
        <f t="shared" si="17"/>
        <v>402.12785141980953</v>
      </c>
      <c r="J23" s="58">
        <f t="shared" si="17"/>
        <v>405.5137873749166</v>
      </c>
      <c r="K23" s="58">
        <f t="shared" si="17"/>
        <v>409.37807097286765</v>
      </c>
      <c r="L23" s="58">
        <f t="shared" si="17"/>
        <v>413.72070221366272</v>
      </c>
      <c r="M23" s="58">
        <f t="shared" si="17"/>
        <v>418.54168109730188</v>
      </c>
      <c r="N23" s="58">
        <f t="shared" si="17"/>
        <v>423.84100762378495</v>
      </c>
      <c r="O23" s="58">
        <f t="shared" si="17"/>
        <v>429.61868179311199</v>
      </c>
      <c r="P23" s="58">
        <f t="shared" si="17"/>
        <v>435.87470360528317</v>
      </c>
      <c r="Q23" s="58">
        <f t="shared" si="17"/>
        <v>442.60907306029821</v>
      </c>
      <c r="R23" s="58">
        <f t="shared" si="17"/>
        <v>449.8217901581574</v>
      </c>
      <c r="S23" s="58">
        <f t="shared" si="17"/>
        <v>457.51285489886055</v>
      </c>
      <c r="T23" s="58">
        <f t="shared" si="17"/>
        <v>465.68226728240762</v>
      </c>
      <c r="U23" s="58">
        <f t="shared" si="17"/>
        <v>474.33002730879878</v>
      </c>
      <c r="V23" s="58">
        <f t="shared" si="17"/>
        <v>483.45613497803396</v>
      </c>
      <c r="W23" s="58">
        <f t="shared" si="17"/>
        <v>493.06059029011328</v>
      </c>
      <c r="X23" s="58">
        <f t="shared" si="17"/>
        <v>503.14339324503641</v>
      </c>
      <c r="Y23" s="58">
        <f t="shared" si="17"/>
        <v>513.70454384280356</v>
      </c>
      <c r="Z23" s="58">
        <f t="shared" si="17"/>
        <v>524.7440420834148</v>
      </c>
      <c r="AA23" s="58">
        <f t="shared" si="17"/>
        <v>536.26188796687006</v>
      </c>
      <c r="AB23" s="58">
        <f t="shared" si="17"/>
        <v>548.25808149316924</v>
      </c>
      <c r="AC23" s="58">
        <f t="shared" si="17"/>
        <v>560.73262266231256</v>
      </c>
      <c r="AD23" s="58">
        <f t="shared" si="17"/>
        <v>573.6855114742998</v>
      </c>
      <c r="AE23" s="58">
        <f t="shared" si="17"/>
        <v>587.11674792913107</v>
      </c>
      <c r="AF23" s="58">
        <f t="shared" si="17"/>
        <v>601.02633202680624</v>
      </c>
      <c r="AG23" s="58">
        <f t="shared" si="17"/>
        <v>615.41426376732568</v>
      </c>
      <c r="AH23" s="58">
        <f t="shared" si="17"/>
        <v>630.28054315068891</v>
      </c>
      <c r="AI23" s="58">
        <f t="shared" si="17"/>
        <v>645.62517017689629</v>
      </c>
      <c r="AJ23" s="58">
        <f t="shared" si="17"/>
        <v>661.44814484594747</v>
      </c>
      <c r="AK23" s="58">
        <f t="shared" si="17"/>
        <v>677.7494671578429</v>
      </c>
      <c r="AL23" s="58">
        <f t="shared" si="17"/>
        <v>694.52913711258225</v>
      </c>
      <c r="AM23" s="58">
        <f t="shared" si="17"/>
        <v>711.78715471016551</v>
      </c>
      <c r="AN23" s="58">
        <f t="shared" si="17"/>
        <v>729.52351995059303</v>
      </c>
      <c r="AO23" s="58">
        <f t="shared" si="17"/>
        <v>747.73823283386423</v>
      </c>
      <c r="AP23" s="58">
        <f t="shared" si="17"/>
        <v>766.43129335997969</v>
      </c>
      <c r="AQ23" s="58">
        <f t="shared" si="17"/>
        <v>785.60270152893906</v>
      </c>
    </row>
    <row r="24" spans="1:43" x14ac:dyDescent="0.2">
      <c r="A24" s="8"/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1:43" x14ac:dyDescent="0.2">
      <c r="A25" s="8"/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1:43" x14ac:dyDescent="0.2">
      <c r="A26" s="8"/>
      <c r="B26" s="68"/>
      <c r="C26" s="8" t="s">
        <v>206</v>
      </c>
      <c r="D26" s="58">
        <f t="shared" ref="D26:AQ26" si="20">$B$3*$B$6*D24</f>
        <v>1710.7541336085792</v>
      </c>
      <c r="E26" s="58">
        <f t="shared" si="20"/>
        <v>1710.7541336085792</v>
      </c>
      <c r="F26" s="58">
        <f t="shared" si="20"/>
        <v>1710.7541336085792</v>
      </c>
      <c r="G26" s="58">
        <f t="shared" si="20"/>
        <v>1710.7541336085792</v>
      </c>
      <c r="H26" s="58">
        <f t="shared" si="20"/>
        <v>1710.7541336085792</v>
      </c>
      <c r="I26" s="58">
        <f t="shared" si="20"/>
        <v>1710.7541336085792</v>
      </c>
      <c r="J26" s="58">
        <f t="shared" si="20"/>
        <v>1710.7541336085792</v>
      </c>
      <c r="K26" s="58">
        <f t="shared" si="20"/>
        <v>1710.7541336085792</v>
      </c>
      <c r="L26" s="58">
        <f t="shared" si="20"/>
        <v>1710.7541336085792</v>
      </c>
      <c r="M26" s="58">
        <f t="shared" si="20"/>
        <v>1710.7541336085792</v>
      </c>
      <c r="N26" s="58">
        <f t="shared" si="20"/>
        <v>1710.7541336085792</v>
      </c>
      <c r="O26" s="58">
        <f t="shared" si="20"/>
        <v>1710.7541336085792</v>
      </c>
      <c r="P26" s="58">
        <f t="shared" si="20"/>
        <v>1710.7541336085792</v>
      </c>
      <c r="Q26" s="58">
        <f t="shared" si="20"/>
        <v>1710.7541336085792</v>
      </c>
      <c r="R26" s="58">
        <f t="shared" si="20"/>
        <v>1710.7541336085792</v>
      </c>
      <c r="S26" s="58">
        <f t="shared" si="20"/>
        <v>1710.7541336085792</v>
      </c>
      <c r="T26" s="58">
        <f t="shared" si="20"/>
        <v>1710.7541336085792</v>
      </c>
      <c r="U26" s="58">
        <f t="shared" si="20"/>
        <v>1710.7541336085792</v>
      </c>
      <c r="V26" s="58">
        <f t="shared" si="20"/>
        <v>1710.7541336085792</v>
      </c>
      <c r="W26" s="58">
        <f t="shared" si="20"/>
        <v>1710.7541336085792</v>
      </c>
      <c r="X26" s="58">
        <f t="shared" si="20"/>
        <v>1710.7541336085792</v>
      </c>
      <c r="Y26" s="58">
        <f t="shared" si="20"/>
        <v>1710.7541336085792</v>
      </c>
      <c r="Z26" s="58">
        <f t="shared" si="20"/>
        <v>1710.7541336085792</v>
      </c>
      <c r="AA26" s="58">
        <f t="shared" si="20"/>
        <v>1710.7541336085792</v>
      </c>
      <c r="AB26" s="58">
        <f t="shared" si="20"/>
        <v>1710.7541336085792</v>
      </c>
      <c r="AC26" s="58">
        <f t="shared" si="20"/>
        <v>1710.7541336085792</v>
      </c>
      <c r="AD26" s="58">
        <f t="shared" si="20"/>
        <v>1710.7541336085792</v>
      </c>
      <c r="AE26" s="58">
        <f t="shared" si="20"/>
        <v>1710.7541336085792</v>
      </c>
      <c r="AF26" s="58">
        <f t="shared" si="20"/>
        <v>1710.7541336085792</v>
      </c>
      <c r="AG26" s="58">
        <f t="shared" si="20"/>
        <v>1710.7541336085792</v>
      </c>
      <c r="AH26" s="58">
        <f t="shared" si="20"/>
        <v>1710.7541336085792</v>
      </c>
      <c r="AI26" s="58">
        <f t="shared" si="20"/>
        <v>1710.7541336085792</v>
      </c>
      <c r="AJ26" s="58">
        <f t="shared" si="20"/>
        <v>1710.7541336085792</v>
      </c>
      <c r="AK26" s="58">
        <f t="shared" si="20"/>
        <v>1710.7541336085792</v>
      </c>
      <c r="AL26" s="58">
        <f t="shared" si="20"/>
        <v>1710.7541336085792</v>
      </c>
      <c r="AM26" s="58">
        <f t="shared" si="20"/>
        <v>1710.7541336085792</v>
      </c>
      <c r="AN26" s="58">
        <f t="shared" si="20"/>
        <v>1710.7541336085792</v>
      </c>
      <c r="AO26" s="58">
        <f t="shared" si="20"/>
        <v>1710.7541336085792</v>
      </c>
      <c r="AP26" s="58">
        <f t="shared" si="20"/>
        <v>1710.7541336085792</v>
      </c>
      <c r="AQ26" s="58">
        <f t="shared" si="20"/>
        <v>1710.7541336085792</v>
      </c>
    </row>
    <row r="27" spans="1:43" x14ac:dyDescent="0.2">
      <c r="A27" s="8"/>
      <c r="B27" s="68"/>
      <c r="C27" s="8" t="s">
        <v>207</v>
      </c>
      <c r="D27" s="58">
        <f t="shared" ref="D27:AQ27" si="21">$B$12*$B$3*$B$6*D25</f>
        <v>205.29049603302948</v>
      </c>
      <c r="E27" s="58">
        <f t="shared" si="21"/>
        <v>205.29049603302948</v>
      </c>
      <c r="F27" s="58">
        <f t="shared" si="21"/>
        <v>205.29049603302948</v>
      </c>
      <c r="G27" s="58">
        <f t="shared" si="21"/>
        <v>205.29049603302948</v>
      </c>
      <c r="H27" s="58">
        <f t="shared" si="21"/>
        <v>205.29049603302948</v>
      </c>
      <c r="I27" s="58">
        <f t="shared" si="21"/>
        <v>205.29049603302948</v>
      </c>
      <c r="J27" s="58">
        <f t="shared" si="21"/>
        <v>205.29049603302948</v>
      </c>
      <c r="K27" s="58">
        <f t="shared" si="21"/>
        <v>205.29049603302948</v>
      </c>
      <c r="L27" s="58">
        <f t="shared" si="21"/>
        <v>205.29049603302948</v>
      </c>
      <c r="M27" s="58">
        <f t="shared" si="21"/>
        <v>205.29049603302948</v>
      </c>
      <c r="N27" s="58">
        <f t="shared" si="21"/>
        <v>205.29049603302948</v>
      </c>
      <c r="O27" s="58">
        <f t="shared" si="21"/>
        <v>205.29049603302948</v>
      </c>
      <c r="P27" s="58">
        <f t="shared" si="21"/>
        <v>205.29049603302948</v>
      </c>
      <c r="Q27" s="58">
        <f t="shared" si="21"/>
        <v>205.29049603302948</v>
      </c>
      <c r="R27" s="58">
        <f t="shared" si="21"/>
        <v>205.29049603302948</v>
      </c>
      <c r="S27" s="58">
        <f t="shared" si="21"/>
        <v>205.29049603302948</v>
      </c>
      <c r="T27" s="58">
        <f t="shared" si="21"/>
        <v>205.29049603302948</v>
      </c>
      <c r="U27" s="58">
        <f t="shared" si="21"/>
        <v>205.29049603302948</v>
      </c>
      <c r="V27" s="58">
        <f t="shared" si="21"/>
        <v>205.29049603302948</v>
      </c>
      <c r="W27" s="58">
        <f t="shared" si="21"/>
        <v>205.29049603302948</v>
      </c>
      <c r="X27" s="58">
        <f t="shared" si="21"/>
        <v>205.29049603302948</v>
      </c>
      <c r="Y27" s="58">
        <f t="shared" si="21"/>
        <v>205.29049603302948</v>
      </c>
      <c r="Z27" s="58">
        <f t="shared" si="21"/>
        <v>205.29049603302948</v>
      </c>
      <c r="AA27" s="58">
        <f t="shared" si="21"/>
        <v>205.29049603302948</v>
      </c>
      <c r="AB27" s="58">
        <f t="shared" si="21"/>
        <v>205.29049603302948</v>
      </c>
      <c r="AC27" s="58">
        <f t="shared" si="21"/>
        <v>205.29049603302948</v>
      </c>
      <c r="AD27" s="58">
        <f t="shared" si="21"/>
        <v>205.29049603302948</v>
      </c>
      <c r="AE27" s="58">
        <f t="shared" si="21"/>
        <v>205.29049603302948</v>
      </c>
      <c r="AF27" s="58">
        <f t="shared" si="21"/>
        <v>205.29049603302948</v>
      </c>
      <c r="AG27" s="58">
        <f t="shared" si="21"/>
        <v>205.29049603302948</v>
      </c>
      <c r="AH27" s="58">
        <f t="shared" si="21"/>
        <v>205.29049603302948</v>
      </c>
      <c r="AI27" s="58">
        <f t="shared" si="21"/>
        <v>205.29049603302948</v>
      </c>
      <c r="AJ27" s="58">
        <f t="shared" si="21"/>
        <v>205.29049603302948</v>
      </c>
      <c r="AK27" s="58">
        <f t="shared" si="21"/>
        <v>205.29049603302948</v>
      </c>
      <c r="AL27" s="58">
        <f t="shared" si="21"/>
        <v>205.29049603302948</v>
      </c>
      <c r="AM27" s="58">
        <f t="shared" si="21"/>
        <v>205.29049603302948</v>
      </c>
      <c r="AN27" s="58">
        <f t="shared" si="21"/>
        <v>205.29049603302948</v>
      </c>
      <c r="AO27" s="58">
        <f t="shared" si="21"/>
        <v>205.29049603302948</v>
      </c>
      <c r="AP27" s="58">
        <f t="shared" si="21"/>
        <v>205.29049603302948</v>
      </c>
      <c r="AQ27" s="58">
        <f t="shared" si="21"/>
        <v>205.29049603302948</v>
      </c>
    </row>
    <row r="28" spans="1:43" x14ac:dyDescent="0.2">
      <c r="A28" s="8"/>
      <c r="B28" s="68"/>
      <c r="C28" s="8" t="s">
        <v>216</v>
      </c>
      <c r="D28" s="58">
        <f t="shared" ref="D28:AQ28" si="22">D$7+D$9+D26+D27</f>
        <v>1924.3989649471644</v>
      </c>
      <c r="E28" s="58">
        <f t="shared" si="22"/>
        <v>1927.8511476554977</v>
      </c>
      <c r="F28" s="58">
        <f t="shared" si="22"/>
        <v>1932.9643112666088</v>
      </c>
      <c r="G28" s="58">
        <f t="shared" si="22"/>
        <v>1939.7384557804976</v>
      </c>
      <c r="H28" s="58">
        <f t="shared" si="22"/>
        <v>1948.1735811971644</v>
      </c>
      <c r="I28" s="58">
        <f t="shared" si="22"/>
        <v>1958.2696875166087</v>
      </c>
      <c r="J28" s="58">
        <f t="shared" si="22"/>
        <v>1970.0267747388309</v>
      </c>
      <c r="K28" s="58">
        <f t="shared" si="22"/>
        <v>1983.4448428638309</v>
      </c>
      <c r="L28" s="58">
        <f t="shared" si="22"/>
        <v>1998.5238918916086</v>
      </c>
      <c r="M28" s="58">
        <f t="shared" si="22"/>
        <v>2015.2639218221643</v>
      </c>
      <c r="N28" s="58">
        <f t="shared" si="22"/>
        <v>2033.6649326554975</v>
      </c>
      <c r="O28" s="58">
        <f t="shared" si="22"/>
        <v>2053.7269243916085</v>
      </c>
      <c r="P28" s="58">
        <f t="shared" si="22"/>
        <v>2075.4498970304976</v>
      </c>
      <c r="Q28" s="58">
        <f t="shared" si="22"/>
        <v>2098.833850572164</v>
      </c>
      <c r="R28" s="58">
        <f t="shared" si="22"/>
        <v>2123.8787850166086</v>
      </c>
      <c r="S28" s="58">
        <f t="shared" si="22"/>
        <v>2150.584700363831</v>
      </c>
      <c r="T28" s="58">
        <f t="shared" si="22"/>
        <v>2178.9515966138306</v>
      </c>
      <c r="U28" s="58">
        <f t="shared" si="22"/>
        <v>2208.9794737666084</v>
      </c>
      <c r="V28" s="58">
        <f t="shared" si="22"/>
        <v>2240.668331822164</v>
      </c>
      <c r="W28" s="58">
        <f t="shared" si="22"/>
        <v>2274.0181707804973</v>
      </c>
      <c r="X28" s="58">
        <f t="shared" si="22"/>
        <v>2309.0289906416087</v>
      </c>
      <c r="Y28" s="58">
        <f t="shared" si="22"/>
        <v>2345.7007914054975</v>
      </c>
      <c r="Z28" s="58">
        <f t="shared" si="22"/>
        <v>2384.033573072164</v>
      </c>
      <c r="AA28" s="58">
        <f t="shared" si="22"/>
        <v>2424.0273356416087</v>
      </c>
      <c r="AB28" s="58">
        <f t="shared" si="22"/>
        <v>2465.6820791138307</v>
      </c>
      <c r="AC28" s="58">
        <f t="shared" si="22"/>
        <v>2508.9978034888309</v>
      </c>
      <c r="AD28" s="58">
        <f t="shared" si="22"/>
        <v>2553.9745087666088</v>
      </c>
      <c r="AE28" s="58">
        <f t="shared" si="22"/>
        <v>2600.612194947164</v>
      </c>
      <c r="AF28" s="58">
        <f t="shared" si="22"/>
        <v>2648.9108620304974</v>
      </c>
      <c r="AG28" s="58">
        <f t="shared" si="22"/>
        <v>2698.8705100166085</v>
      </c>
      <c r="AH28" s="58">
        <f t="shared" si="22"/>
        <v>2750.4911389054973</v>
      </c>
      <c r="AI28" s="58">
        <f t="shared" si="22"/>
        <v>2803.7727486971639</v>
      </c>
      <c r="AJ28" s="58">
        <f t="shared" si="22"/>
        <v>2858.7153393916083</v>
      </c>
      <c r="AK28" s="58">
        <f t="shared" si="22"/>
        <v>2915.3189109888308</v>
      </c>
      <c r="AL28" s="58">
        <f t="shared" si="22"/>
        <v>2973.5834634888311</v>
      </c>
      <c r="AM28" s="58">
        <f t="shared" si="22"/>
        <v>3033.5089968916086</v>
      </c>
      <c r="AN28" s="58">
        <f t="shared" si="22"/>
        <v>3095.0955111971643</v>
      </c>
      <c r="AO28" s="58">
        <f t="shared" si="22"/>
        <v>3158.3430064054974</v>
      </c>
      <c r="AP28" s="58">
        <f t="shared" si="22"/>
        <v>3223.2514825166086</v>
      </c>
      <c r="AQ28" s="58">
        <f t="shared" si="22"/>
        <v>3289.8209395304975</v>
      </c>
    </row>
    <row r="29" spans="1:43" x14ac:dyDescent="0.2">
      <c r="B29" s="68"/>
      <c r="C29" s="8" t="s">
        <v>217</v>
      </c>
      <c r="D29" s="58">
        <f t="shared" ref="D29:AQ29" si="23">D28*$B$11</f>
        <v>554.20968852468957</v>
      </c>
      <c r="E29" s="58">
        <f t="shared" si="23"/>
        <v>555.20388626557656</v>
      </c>
      <c r="F29" s="58">
        <f t="shared" si="23"/>
        <v>556.67643164930757</v>
      </c>
      <c r="G29" s="58">
        <f t="shared" si="23"/>
        <v>558.62732467588251</v>
      </c>
      <c r="H29" s="58">
        <f t="shared" si="23"/>
        <v>561.05656534530158</v>
      </c>
      <c r="I29" s="58">
        <f t="shared" si="23"/>
        <v>563.96415365756457</v>
      </c>
      <c r="J29" s="58">
        <f t="shared" si="23"/>
        <v>567.35008961267158</v>
      </c>
      <c r="K29" s="58">
        <f t="shared" si="23"/>
        <v>571.21437321062263</v>
      </c>
      <c r="L29" s="58">
        <f t="shared" si="23"/>
        <v>575.5570044514177</v>
      </c>
      <c r="M29" s="58">
        <f t="shared" si="23"/>
        <v>580.3779833350568</v>
      </c>
      <c r="N29" s="58">
        <f t="shared" si="23"/>
        <v>585.67730986153992</v>
      </c>
      <c r="O29" s="58">
        <f t="shared" si="23"/>
        <v>591.45498403086697</v>
      </c>
      <c r="P29" s="58">
        <f t="shared" si="23"/>
        <v>597.71100584303815</v>
      </c>
      <c r="Q29" s="58">
        <f t="shared" si="23"/>
        <v>604.44537529805314</v>
      </c>
      <c r="R29" s="58">
        <f t="shared" si="23"/>
        <v>611.65809239591238</v>
      </c>
      <c r="S29" s="58">
        <f t="shared" si="23"/>
        <v>619.34915713661553</v>
      </c>
      <c r="T29" s="58">
        <f t="shared" si="23"/>
        <v>627.5185695201626</v>
      </c>
      <c r="U29" s="58">
        <f t="shared" si="23"/>
        <v>636.1663295465537</v>
      </c>
      <c r="V29" s="58">
        <f t="shared" si="23"/>
        <v>645.29243721578894</v>
      </c>
      <c r="W29" s="58">
        <f t="shared" si="23"/>
        <v>654.89689252786809</v>
      </c>
      <c r="X29" s="58">
        <f t="shared" si="23"/>
        <v>664.97969548279139</v>
      </c>
      <c r="Y29" s="58">
        <f t="shared" si="23"/>
        <v>675.54084608055859</v>
      </c>
      <c r="Z29" s="58">
        <f t="shared" si="23"/>
        <v>686.58034432116972</v>
      </c>
      <c r="AA29" s="58">
        <f t="shared" si="23"/>
        <v>698.09819020462498</v>
      </c>
      <c r="AB29" s="58">
        <f t="shared" si="23"/>
        <v>710.09438373092416</v>
      </c>
      <c r="AC29" s="58">
        <f t="shared" si="23"/>
        <v>722.56892490006749</v>
      </c>
      <c r="AD29" s="58">
        <f t="shared" si="23"/>
        <v>735.52181371205472</v>
      </c>
      <c r="AE29" s="58">
        <f t="shared" si="23"/>
        <v>748.95305016688599</v>
      </c>
      <c r="AF29" s="58">
        <f t="shared" si="23"/>
        <v>762.86263426456128</v>
      </c>
      <c r="AG29" s="58">
        <f t="shared" si="23"/>
        <v>777.25056600508049</v>
      </c>
      <c r="AH29" s="58">
        <f t="shared" si="23"/>
        <v>792.11684538844383</v>
      </c>
      <c r="AI29" s="58">
        <f t="shared" si="23"/>
        <v>807.4614724146511</v>
      </c>
      <c r="AJ29" s="58">
        <f t="shared" si="23"/>
        <v>823.28444708370239</v>
      </c>
      <c r="AK29" s="58">
        <f t="shared" si="23"/>
        <v>839.58576939559782</v>
      </c>
      <c r="AL29" s="58">
        <f t="shared" si="23"/>
        <v>856.36543935033728</v>
      </c>
      <c r="AM29" s="58">
        <f t="shared" si="23"/>
        <v>873.62345694792054</v>
      </c>
      <c r="AN29" s="58">
        <f t="shared" si="23"/>
        <v>891.35982218834795</v>
      </c>
      <c r="AO29" s="58">
        <f t="shared" si="23"/>
        <v>909.57453507161927</v>
      </c>
      <c r="AP29" s="58">
        <f t="shared" si="23"/>
        <v>928.26759559773461</v>
      </c>
      <c r="AQ29" s="58">
        <f t="shared" si="23"/>
        <v>947.43900376669399</v>
      </c>
    </row>
    <row r="30" spans="1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1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1:43" x14ac:dyDescent="0.2">
      <c r="B32" s="68"/>
      <c r="C32" s="8" t="s">
        <v>206</v>
      </c>
      <c r="D32" s="58">
        <f t="shared" ref="D32:AQ32" si="26">$B$3*$B$6*D30</f>
        <v>2261.7329408637779</v>
      </c>
      <c r="E32" s="58">
        <f t="shared" si="26"/>
        <v>2261.7329408637779</v>
      </c>
      <c r="F32" s="58">
        <f t="shared" si="26"/>
        <v>2261.7329408637779</v>
      </c>
      <c r="G32" s="58">
        <f t="shared" si="26"/>
        <v>2261.7329408637779</v>
      </c>
      <c r="H32" s="58">
        <f t="shared" si="26"/>
        <v>2261.7329408637779</v>
      </c>
      <c r="I32" s="58">
        <f t="shared" si="26"/>
        <v>2261.7329408637779</v>
      </c>
      <c r="J32" s="58">
        <f t="shared" si="26"/>
        <v>2261.7329408637779</v>
      </c>
      <c r="K32" s="58">
        <f t="shared" si="26"/>
        <v>2261.7329408637779</v>
      </c>
      <c r="L32" s="58">
        <f t="shared" si="26"/>
        <v>2261.7329408637779</v>
      </c>
      <c r="M32" s="58">
        <f t="shared" si="26"/>
        <v>2261.7329408637779</v>
      </c>
      <c r="N32" s="58">
        <f t="shared" si="26"/>
        <v>2261.7329408637779</v>
      </c>
      <c r="O32" s="58">
        <f t="shared" si="26"/>
        <v>2261.7329408637779</v>
      </c>
      <c r="P32" s="58">
        <f t="shared" si="26"/>
        <v>2261.7329408637779</v>
      </c>
      <c r="Q32" s="58">
        <f t="shared" si="26"/>
        <v>2261.7329408637779</v>
      </c>
      <c r="R32" s="58">
        <f t="shared" si="26"/>
        <v>2261.7329408637779</v>
      </c>
      <c r="S32" s="58">
        <f t="shared" si="26"/>
        <v>2261.7329408637779</v>
      </c>
      <c r="T32" s="58">
        <f t="shared" si="26"/>
        <v>2261.7329408637779</v>
      </c>
      <c r="U32" s="58">
        <f t="shared" si="26"/>
        <v>2261.7329408637779</v>
      </c>
      <c r="V32" s="58">
        <f t="shared" si="26"/>
        <v>2261.7329408637779</v>
      </c>
      <c r="W32" s="58">
        <f t="shared" si="26"/>
        <v>2261.7329408637779</v>
      </c>
      <c r="X32" s="58">
        <f t="shared" si="26"/>
        <v>2261.7329408637779</v>
      </c>
      <c r="Y32" s="58">
        <f t="shared" si="26"/>
        <v>2261.7329408637779</v>
      </c>
      <c r="Z32" s="58">
        <f t="shared" si="26"/>
        <v>2261.7329408637779</v>
      </c>
      <c r="AA32" s="58">
        <f t="shared" si="26"/>
        <v>2261.7329408637779</v>
      </c>
      <c r="AB32" s="58">
        <f t="shared" si="26"/>
        <v>2261.7329408637779</v>
      </c>
      <c r="AC32" s="58">
        <f t="shared" si="26"/>
        <v>2261.7329408637779</v>
      </c>
      <c r="AD32" s="58">
        <f t="shared" si="26"/>
        <v>2261.7329408637779</v>
      </c>
      <c r="AE32" s="58">
        <f t="shared" si="26"/>
        <v>2261.7329408637779</v>
      </c>
      <c r="AF32" s="58">
        <f t="shared" si="26"/>
        <v>2261.7329408637779</v>
      </c>
      <c r="AG32" s="58">
        <f t="shared" si="26"/>
        <v>2261.7329408637779</v>
      </c>
      <c r="AH32" s="58">
        <f t="shared" si="26"/>
        <v>2261.7329408637779</v>
      </c>
      <c r="AI32" s="58">
        <f t="shared" si="26"/>
        <v>2261.7329408637779</v>
      </c>
      <c r="AJ32" s="58">
        <f t="shared" si="26"/>
        <v>2261.7329408637779</v>
      </c>
      <c r="AK32" s="58">
        <f t="shared" si="26"/>
        <v>2261.7329408637779</v>
      </c>
      <c r="AL32" s="58">
        <f t="shared" si="26"/>
        <v>2261.7329408637779</v>
      </c>
      <c r="AM32" s="58">
        <f t="shared" si="26"/>
        <v>2261.7329408637779</v>
      </c>
      <c r="AN32" s="58">
        <f t="shared" si="26"/>
        <v>2261.7329408637779</v>
      </c>
      <c r="AO32" s="58">
        <f t="shared" si="26"/>
        <v>2261.7329408637779</v>
      </c>
      <c r="AP32" s="58">
        <f t="shared" si="26"/>
        <v>2261.7329408637779</v>
      </c>
      <c r="AQ32" s="58">
        <f t="shared" si="26"/>
        <v>2261.7329408637779</v>
      </c>
    </row>
    <row r="33" spans="2:43" x14ac:dyDescent="0.2">
      <c r="B33" s="68"/>
      <c r="C33" s="8" t="s">
        <v>207</v>
      </c>
      <c r="D33" s="58">
        <f t="shared" ref="D33:AQ33" si="27">$B$12*$B$3*$B$6*D31</f>
        <v>203.55596467774001</v>
      </c>
      <c r="E33" s="58">
        <f t="shared" si="27"/>
        <v>203.55596467774001</v>
      </c>
      <c r="F33" s="58">
        <f t="shared" si="27"/>
        <v>203.55596467774001</v>
      </c>
      <c r="G33" s="58">
        <f t="shared" si="27"/>
        <v>203.55596467774001</v>
      </c>
      <c r="H33" s="58">
        <f t="shared" si="27"/>
        <v>203.55596467774001</v>
      </c>
      <c r="I33" s="58">
        <f t="shared" si="27"/>
        <v>203.55596467774001</v>
      </c>
      <c r="J33" s="58">
        <f t="shared" si="27"/>
        <v>203.55596467774001</v>
      </c>
      <c r="K33" s="58">
        <f t="shared" si="27"/>
        <v>203.55596467774001</v>
      </c>
      <c r="L33" s="58">
        <f t="shared" si="27"/>
        <v>203.55596467774001</v>
      </c>
      <c r="M33" s="58">
        <f t="shared" si="27"/>
        <v>203.55596467774001</v>
      </c>
      <c r="N33" s="58">
        <f t="shared" si="27"/>
        <v>203.55596467774001</v>
      </c>
      <c r="O33" s="58">
        <f t="shared" si="27"/>
        <v>203.55596467774001</v>
      </c>
      <c r="P33" s="58">
        <f t="shared" si="27"/>
        <v>203.55596467774001</v>
      </c>
      <c r="Q33" s="58">
        <f t="shared" si="27"/>
        <v>203.55596467774001</v>
      </c>
      <c r="R33" s="58">
        <f t="shared" si="27"/>
        <v>203.55596467774001</v>
      </c>
      <c r="S33" s="58">
        <f t="shared" si="27"/>
        <v>203.55596467774001</v>
      </c>
      <c r="T33" s="58">
        <f t="shared" si="27"/>
        <v>203.55596467774001</v>
      </c>
      <c r="U33" s="58">
        <f t="shared" si="27"/>
        <v>203.55596467774001</v>
      </c>
      <c r="V33" s="58">
        <f t="shared" si="27"/>
        <v>203.55596467774001</v>
      </c>
      <c r="W33" s="58">
        <f t="shared" si="27"/>
        <v>203.55596467774001</v>
      </c>
      <c r="X33" s="58">
        <f t="shared" si="27"/>
        <v>203.55596467774001</v>
      </c>
      <c r="Y33" s="58">
        <f t="shared" si="27"/>
        <v>203.55596467774001</v>
      </c>
      <c r="Z33" s="58">
        <f t="shared" si="27"/>
        <v>203.55596467774001</v>
      </c>
      <c r="AA33" s="58">
        <f t="shared" si="27"/>
        <v>203.55596467774001</v>
      </c>
      <c r="AB33" s="58">
        <f t="shared" si="27"/>
        <v>203.55596467774001</v>
      </c>
      <c r="AC33" s="58">
        <f t="shared" si="27"/>
        <v>203.55596467774001</v>
      </c>
      <c r="AD33" s="58">
        <f t="shared" si="27"/>
        <v>203.55596467774001</v>
      </c>
      <c r="AE33" s="58">
        <f t="shared" si="27"/>
        <v>203.55596467774001</v>
      </c>
      <c r="AF33" s="58">
        <f t="shared" si="27"/>
        <v>203.55596467774001</v>
      </c>
      <c r="AG33" s="58">
        <f t="shared" si="27"/>
        <v>203.55596467774001</v>
      </c>
      <c r="AH33" s="58">
        <f t="shared" si="27"/>
        <v>203.55596467774001</v>
      </c>
      <c r="AI33" s="58">
        <f t="shared" si="27"/>
        <v>203.55596467774001</v>
      </c>
      <c r="AJ33" s="58">
        <f t="shared" si="27"/>
        <v>203.55596467774001</v>
      </c>
      <c r="AK33" s="58">
        <f t="shared" si="27"/>
        <v>203.55596467774001</v>
      </c>
      <c r="AL33" s="58">
        <f t="shared" si="27"/>
        <v>203.55596467774001</v>
      </c>
      <c r="AM33" s="58">
        <f t="shared" si="27"/>
        <v>203.55596467774001</v>
      </c>
      <c r="AN33" s="58">
        <f t="shared" si="27"/>
        <v>203.55596467774001</v>
      </c>
      <c r="AO33" s="58">
        <f t="shared" si="27"/>
        <v>203.55596467774001</v>
      </c>
      <c r="AP33" s="58">
        <f t="shared" si="27"/>
        <v>203.55596467774001</v>
      </c>
      <c r="AQ33" s="58">
        <f t="shared" si="27"/>
        <v>203.55596467774001</v>
      </c>
    </row>
    <row r="34" spans="2:43" x14ac:dyDescent="0.2">
      <c r="B34" s="68"/>
      <c r="C34" s="8" t="s">
        <v>220</v>
      </c>
      <c r="D34" s="58">
        <f t="shared" ref="D34:AQ34" si="28">D$7+D$9+D32+D33</f>
        <v>2473.6432408470737</v>
      </c>
      <c r="E34" s="58">
        <f t="shared" si="28"/>
        <v>2477.0954235554068</v>
      </c>
      <c r="F34" s="58">
        <f t="shared" si="28"/>
        <v>2482.2085871665181</v>
      </c>
      <c r="G34" s="58">
        <f t="shared" si="28"/>
        <v>2488.9827316804071</v>
      </c>
      <c r="H34" s="58">
        <f t="shared" si="28"/>
        <v>2497.4178570970735</v>
      </c>
      <c r="I34" s="58">
        <f t="shared" si="28"/>
        <v>2507.513963416518</v>
      </c>
      <c r="J34" s="58">
        <f t="shared" si="28"/>
        <v>2519.2710506387402</v>
      </c>
      <c r="K34" s="58">
        <f t="shared" si="28"/>
        <v>2532.6891187637402</v>
      </c>
      <c r="L34" s="58">
        <f t="shared" si="28"/>
        <v>2547.768167791518</v>
      </c>
      <c r="M34" s="58">
        <f t="shared" si="28"/>
        <v>2564.5081977220734</v>
      </c>
      <c r="N34" s="58">
        <f t="shared" si="28"/>
        <v>2582.9092085554071</v>
      </c>
      <c r="O34" s="58">
        <f t="shared" si="28"/>
        <v>2602.971200291518</v>
      </c>
      <c r="P34" s="58">
        <f t="shared" si="28"/>
        <v>2624.6941729304071</v>
      </c>
      <c r="Q34" s="58">
        <f t="shared" si="28"/>
        <v>2648.0781264720736</v>
      </c>
      <c r="R34" s="58">
        <f t="shared" si="28"/>
        <v>2673.1230609165182</v>
      </c>
      <c r="S34" s="58">
        <f t="shared" si="28"/>
        <v>2699.8289762637405</v>
      </c>
      <c r="T34" s="58">
        <f t="shared" si="28"/>
        <v>2728.1958725137401</v>
      </c>
      <c r="U34" s="58">
        <f t="shared" si="28"/>
        <v>2758.223749666518</v>
      </c>
      <c r="V34" s="58">
        <f t="shared" si="28"/>
        <v>2789.9126077220735</v>
      </c>
      <c r="W34" s="58">
        <f t="shared" si="28"/>
        <v>2823.2624466804068</v>
      </c>
      <c r="X34" s="58">
        <f t="shared" si="28"/>
        <v>2858.2732665415178</v>
      </c>
      <c r="Y34" s="58">
        <f t="shared" si="28"/>
        <v>2894.9450673054071</v>
      </c>
      <c r="Z34" s="58">
        <f t="shared" si="28"/>
        <v>2933.2778489720736</v>
      </c>
      <c r="AA34" s="58">
        <f t="shared" si="28"/>
        <v>2973.2716115415183</v>
      </c>
      <c r="AB34" s="58">
        <f t="shared" si="28"/>
        <v>3014.9263550137402</v>
      </c>
      <c r="AC34" s="58">
        <f t="shared" si="28"/>
        <v>3058.2420793887404</v>
      </c>
      <c r="AD34" s="58">
        <f t="shared" si="28"/>
        <v>3103.2187846665183</v>
      </c>
      <c r="AE34" s="58">
        <f t="shared" si="28"/>
        <v>3149.856470847074</v>
      </c>
      <c r="AF34" s="58">
        <f t="shared" si="28"/>
        <v>3198.1551379304069</v>
      </c>
      <c r="AG34" s="58">
        <f t="shared" si="28"/>
        <v>3248.1147859165185</v>
      </c>
      <c r="AH34" s="58">
        <f t="shared" si="28"/>
        <v>3299.7354148054069</v>
      </c>
      <c r="AI34" s="58">
        <f t="shared" si="28"/>
        <v>3353.0170245970739</v>
      </c>
      <c r="AJ34" s="58">
        <f t="shared" si="28"/>
        <v>3407.9596152915178</v>
      </c>
      <c r="AK34" s="58">
        <f t="shared" si="28"/>
        <v>3464.5631868887403</v>
      </c>
      <c r="AL34" s="58">
        <f t="shared" si="28"/>
        <v>3522.8277393887402</v>
      </c>
      <c r="AM34" s="58">
        <f t="shared" si="28"/>
        <v>3582.7532727915177</v>
      </c>
      <c r="AN34" s="58">
        <f t="shared" si="28"/>
        <v>3644.3397870970739</v>
      </c>
      <c r="AO34" s="58">
        <f t="shared" si="28"/>
        <v>3707.5872823054069</v>
      </c>
      <c r="AP34" s="58">
        <f t="shared" si="28"/>
        <v>3772.4957584165181</v>
      </c>
      <c r="AQ34" s="58">
        <f t="shared" si="28"/>
        <v>3839.0652154304071</v>
      </c>
    </row>
    <row r="35" spans="2:43" x14ac:dyDescent="0.2">
      <c r="B35" s="68"/>
      <c r="C35" s="8" t="s">
        <v>221</v>
      </c>
      <c r="D35" s="58">
        <f t="shared" ref="D35:AQ35" si="29">D34*$B$11</f>
        <v>712.38712709903155</v>
      </c>
      <c r="E35" s="58">
        <f t="shared" si="29"/>
        <v>713.38132483991842</v>
      </c>
      <c r="F35" s="58">
        <f t="shared" si="29"/>
        <v>714.85387022364955</v>
      </c>
      <c r="G35" s="58">
        <f t="shared" si="29"/>
        <v>716.8047632502246</v>
      </c>
      <c r="H35" s="58">
        <f t="shared" si="29"/>
        <v>719.23400391964356</v>
      </c>
      <c r="I35" s="58">
        <f t="shared" si="29"/>
        <v>722.14159223190654</v>
      </c>
      <c r="J35" s="58">
        <f t="shared" si="29"/>
        <v>725.52752818701367</v>
      </c>
      <c r="K35" s="58">
        <f t="shared" si="29"/>
        <v>729.39181178496472</v>
      </c>
      <c r="L35" s="58">
        <f t="shared" si="29"/>
        <v>733.73444302575967</v>
      </c>
      <c r="M35" s="58">
        <f t="shared" si="29"/>
        <v>738.55542190939877</v>
      </c>
      <c r="N35" s="58">
        <f t="shared" si="29"/>
        <v>743.8547484358819</v>
      </c>
      <c r="O35" s="58">
        <f t="shared" si="29"/>
        <v>749.63242260520894</v>
      </c>
      <c r="P35" s="58">
        <f t="shared" si="29"/>
        <v>755.88844441738013</v>
      </c>
      <c r="Q35" s="58">
        <f t="shared" si="29"/>
        <v>762.62281387239523</v>
      </c>
      <c r="R35" s="58">
        <f t="shared" si="29"/>
        <v>769.83553097025435</v>
      </c>
      <c r="S35" s="58">
        <f t="shared" si="29"/>
        <v>777.52659571095762</v>
      </c>
      <c r="T35" s="58">
        <f t="shared" si="29"/>
        <v>785.69600809450458</v>
      </c>
      <c r="U35" s="58">
        <f t="shared" si="29"/>
        <v>794.34376812089579</v>
      </c>
      <c r="V35" s="58">
        <f t="shared" si="29"/>
        <v>803.46987579013091</v>
      </c>
      <c r="W35" s="58">
        <f t="shared" si="29"/>
        <v>813.07433110221018</v>
      </c>
      <c r="X35" s="58">
        <f t="shared" si="29"/>
        <v>823.15713405713336</v>
      </c>
      <c r="Y35" s="58">
        <f t="shared" si="29"/>
        <v>833.71828465490057</v>
      </c>
      <c r="Z35" s="58">
        <f t="shared" si="29"/>
        <v>844.75778289551181</v>
      </c>
      <c r="AA35" s="58">
        <f t="shared" si="29"/>
        <v>856.27562877896708</v>
      </c>
      <c r="AB35" s="58">
        <f t="shared" si="29"/>
        <v>868.27182230526626</v>
      </c>
      <c r="AC35" s="58">
        <f t="shared" si="29"/>
        <v>880.74636347440958</v>
      </c>
      <c r="AD35" s="58">
        <f t="shared" si="29"/>
        <v>893.69925228639681</v>
      </c>
      <c r="AE35" s="58">
        <f t="shared" si="29"/>
        <v>907.13048874122808</v>
      </c>
      <c r="AF35" s="58">
        <f t="shared" si="29"/>
        <v>921.04007283890326</v>
      </c>
      <c r="AG35" s="58">
        <f t="shared" si="29"/>
        <v>935.42800457942269</v>
      </c>
      <c r="AH35" s="58">
        <f t="shared" si="29"/>
        <v>950.29428396278593</v>
      </c>
      <c r="AI35" s="58">
        <f t="shared" si="29"/>
        <v>965.6389109889933</v>
      </c>
      <c r="AJ35" s="58">
        <f t="shared" si="29"/>
        <v>981.46188565804448</v>
      </c>
      <c r="AK35" s="58">
        <f t="shared" si="29"/>
        <v>997.76320796993991</v>
      </c>
      <c r="AL35" s="58">
        <f t="shared" si="29"/>
        <v>1014.5428779246791</v>
      </c>
      <c r="AM35" s="58">
        <f t="shared" si="29"/>
        <v>1031.8008955222624</v>
      </c>
      <c r="AN35" s="58">
        <f t="shared" si="29"/>
        <v>1049.53726076269</v>
      </c>
      <c r="AO35" s="58">
        <f t="shared" si="29"/>
        <v>1067.7519736459612</v>
      </c>
      <c r="AP35" s="58">
        <f t="shared" si="29"/>
        <v>1086.4450341720767</v>
      </c>
      <c r="AQ35" s="58">
        <f t="shared" si="29"/>
        <v>1105.6164423410362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206</v>
      </c>
      <c r="D38" s="58">
        <f t="shared" ref="D38:AQ38" si="32">$B$3*$B$6*D36</f>
        <v>2797.0712970207642</v>
      </c>
      <c r="E38" s="58">
        <f t="shared" si="32"/>
        <v>2797.0712970207642</v>
      </c>
      <c r="F38" s="58">
        <f t="shared" si="32"/>
        <v>2797.0712970207642</v>
      </c>
      <c r="G38" s="58">
        <f t="shared" si="32"/>
        <v>2797.0712970207642</v>
      </c>
      <c r="H38" s="58">
        <f t="shared" si="32"/>
        <v>2797.0712970207642</v>
      </c>
      <c r="I38" s="58">
        <f t="shared" si="32"/>
        <v>2797.0712970207642</v>
      </c>
      <c r="J38" s="58">
        <f t="shared" si="32"/>
        <v>2797.0712970207642</v>
      </c>
      <c r="K38" s="58">
        <f t="shared" si="32"/>
        <v>2797.0712970207642</v>
      </c>
      <c r="L38" s="58">
        <f t="shared" si="32"/>
        <v>2797.0712970207642</v>
      </c>
      <c r="M38" s="58">
        <f t="shared" si="32"/>
        <v>2797.0712970207642</v>
      </c>
      <c r="N38" s="58">
        <f t="shared" si="32"/>
        <v>2797.0712970207642</v>
      </c>
      <c r="O38" s="58">
        <f t="shared" si="32"/>
        <v>2797.0712970207642</v>
      </c>
      <c r="P38" s="58">
        <f t="shared" si="32"/>
        <v>2797.0712970207642</v>
      </c>
      <c r="Q38" s="58">
        <f t="shared" si="32"/>
        <v>2797.0712970207642</v>
      </c>
      <c r="R38" s="58">
        <f t="shared" si="32"/>
        <v>2797.0712970207642</v>
      </c>
      <c r="S38" s="58">
        <f t="shared" si="32"/>
        <v>2797.0712970207642</v>
      </c>
      <c r="T38" s="58">
        <f t="shared" si="32"/>
        <v>2797.0712970207642</v>
      </c>
      <c r="U38" s="58">
        <f t="shared" si="32"/>
        <v>2797.0712970207642</v>
      </c>
      <c r="V38" s="58">
        <f t="shared" si="32"/>
        <v>2797.0712970207642</v>
      </c>
      <c r="W38" s="58">
        <f t="shared" si="32"/>
        <v>2797.0712970207642</v>
      </c>
      <c r="X38" s="58">
        <f t="shared" si="32"/>
        <v>2797.0712970207642</v>
      </c>
      <c r="Y38" s="58">
        <f t="shared" si="32"/>
        <v>2797.0712970207642</v>
      </c>
      <c r="Z38" s="58">
        <f t="shared" si="32"/>
        <v>2797.0712970207642</v>
      </c>
      <c r="AA38" s="58">
        <f t="shared" si="32"/>
        <v>2797.0712970207642</v>
      </c>
      <c r="AB38" s="58">
        <f t="shared" si="32"/>
        <v>2797.0712970207642</v>
      </c>
      <c r="AC38" s="58">
        <f t="shared" si="32"/>
        <v>2797.0712970207642</v>
      </c>
      <c r="AD38" s="58">
        <f t="shared" si="32"/>
        <v>2797.0712970207642</v>
      </c>
      <c r="AE38" s="58">
        <f t="shared" si="32"/>
        <v>2797.0712970207642</v>
      </c>
      <c r="AF38" s="58">
        <f t="shared" si="32"/>
        <v>2797.0712970207642</v>
      </c>
      <c r="AG38" s="58">
        <f t="shared" si="32"/>
        <v>2797.0712970207642</v>
      </c>
      <c r="AH38" s="58">
        <f t="shared" si="32"/>
        <v>2797.0712970207642</v>
      </c>
      <c r="AI38" s="58">
        <f t="shared" si="32"/>
        <v>2797.0712970207642</v>
      </c>
      <c r="AJ38" s="58">
        <f t="shared" si="32"/>
        <v>2797.0712970207642</v>
      </c>
      <c r="AK38" s="58">
        <f t="shared" si="32"/>
        <v>2797.0712970207642</v>
      </c>
      <c r="AL38" s="58">
        <f t="shared" si="32"/>
        <v>2797.0712970207642</v>
      </c>
      <c r="AM38" s="58">
        <f t="shared" si="32"/>
        <v>2797.0712970207642</v>
      </c>
      <c r="AN38" s="58">
        <f t="shared" si="32"/>
        <v>2797.0712970207642</v>
      </c>
      <c r="AO38" s="58">
        <f t="shared" si="32"/>
        <v>2797.0712970207642</v>
      </c>
      <c r="AP38" s="58">
        <f t="shared" si="32"/>
        <v>2797.0712970207642</v>
      </c>
      <c r="AQ38" s="58">
        <f t="shared" si="32"/>
        <v>2797.0712970207642</v>
      </c>
    </row>
    <row r="39" spans="2:43" x14ac:dyDescent="0.2">
      <c r="B39" s="68"/>
      <c r="C39" s="8" t="s">
        <v>207</v>
      </c>
      <c r="D39" s="58">
        <f t="shared" ref="D39:AQ39" si="33">$B$12*$B$3*$B$6*D37</f>
        <v>201.38913338549503</v>
      </c>
      <c r="E39" s="58">
        <f t="shared" si="33"/>
        <v>201.38913338549503</v>
      </c>
      <c r="F39" s="58">
        <f t="shared" si="33"/>
        <v>201.38913338549503</v>
      </c>
      <c r="G39" s="58">
        <f t="shared" si="33"/>
        <v>201.38913338549503</v>
      </c>
      <c r="H39" s="58">
        <f t="shared" si="33"/>
        <v>201.38913338549503</v>
      </c>
      <c r="I39" s="58">
        <f t="shared" si="33"/>
        <v>201.38913338549503</v>
      </c>
      <c r="J39" s="58">
        <f t="shared" si="33"/>
        <v>201.38913338549503</v>
      </c>
      <c r="K39" s="58">
        <f t="shared" si="33"/>
        <v>201.38913338549503</v>
      </c>
      <c r="L39" s="58">
        <f t="shared" si="33"/>
        <v>201.38913338549503</v>
      </c>
      <c r="M39" s="58">
        <f t="shared" si="33"/>
        <v>201.38913338549503</v>
      </c>
      <c r="N39" s="58">
        <f t="shared" si="33"/>
        <v>201.38913338549503</v>
      </c>
      <c r="O39" s="58">
        <f t="shared" si="33"/>
        <v>201.38913338549503</v>
      </c>
      <c r="P39" s="58">
        <f t="shared" si="33"/>
        <v>201.38913338549503</v>
      </c>
      <c r="Q39" s="58">
        <f t="shared" si="33"/>
        <v>201.38913338549503</v>
      </c>
      <c r="R39" s="58">
        <f t="shared" si="33"/>
        <v>201.38913338549503</v>
      </c>
      <c r="S39" s="58">
        <f t="shared" si="33"/>
        <v>201.38913338549503</v>
      </c>
      <c r="T39" s="58">
        <f t="shared" si="33"/>
        <v>201.38913338549503</v>
      </c>
      <c r="U39" s="58">
        <f t="shared" si="33"/>
        <v>201.38913338549503</v>
      </c>
      <c r="V39" s="58">
        <f t="shared" si="33"/>
        <v>201.38913338549503</v>
      </c>
      <c r="W39" s="58">
        <f t="shared" si="33"/>
        <v>201.38913338549503</v>
      </c>
      <c r="X39" s="58">
        <f t="shared" si="33"/>
        <v>201.38913338549503</v>
      </c>
      <c r="Y39" s="58">
        <f t="shared" si="33"/>
        <v>201.38913338549503</v>
      </c>
      <c r="Z39" s="58">
        <f t="shared" si="33"/>
        <v>201.38913338549503</v>
      </c>
      <c r="AA39" s="58">
        <f t="shared" si="33"/>
        <v>201.38913338549503</v>
      </c>
      <c r="AB39" s="58">
        <f t="shared" si="33"/>
        <v>201.38913338549503</v>
      </c>
      <c r="AC39" s="58">
        <f t="shared" si="33"/>
        <v>201.38913338549503</v>
      </c>
      <c r="AD39" s="58">
        <f t="shared" si="33"/>
        <v>201.38913338549503</v>
      </c>
      <c r="AE39" s="58">
        <f t="shared" si="33"/>
        <v>201.38913338549503</v>
      </c>
      <c r="AF39" s="58">
        <f t="shared" si="33"/>
        <v>201.38913338549503</v>
      </c>
      <c r="AG39" s="58">
        <f t="shared" si="33"/>
        <v>201.38913338549503</v>
      </c>
      <c r="AH39" s="58">
        <f t="shared" si="33"/>
        <v>201.38913338549503</v>
      </c>
      <c r="AI39" s="58">
        <f t="shared" si="33"/>
        <v>201.38913338549503</v>
      </c>
      <c r="AJ39" s="58">
        <f t="shared" si="33"/>
        <v>201.38913338549503</v>
      </c>
      <c r="AK39" s="58">
        <f t="shared" si="33"/>
        <v>201.38913338549503</v>
      </c>
      <c r="AL39" s="58">
        <f t="shared" si="33"/>
        <v>201.38913338549503</v>
      </c>
      <c r="AM39" s="58">
        <f t="shared" si="33"/>
        <v>201.38913338549503</v>
      </c>
      <c r="AN39" s="58">
        <f t="shared" si="33"/>
        <v>201.38913338549503</v>
      </c>
      <c r="AO39" s="58">
        <f t="shared" si="33"/>
        <v>201.38913338549503</v>
      </c>
      <c r="AP39" s="58">
        <f t="shared" si="33"/>
        <v>201.38913338549503</v>
      </c>
      <c r="AQ39" s="58">
        <f t="shared" si="33"/>
        <v>201.38913338549503</v>
      </c>
    </row>
    <row r="40" spans="2:43" x14ac:dyDescent="0.2">
      <c r="B40" s="68"/>
      <c r="C40" s="8" t="s">
        <v>224</v>
      </c>
      <c r="D40" s="58">
        <f t="shared" ref="D40:AQ40" si="34">D$7+D$9+D38+D39</f>
        <v>3006.8147657118147</v>
      </c>
      <c r="E40" s="58">
        <f t="shared" si="34"/>
        <v>3010.2669484201479</v>
      </c>
      <c r="F40" s="58">
        <f t="shared" si="34"/>
        <v>3015.3801120312592</v>
      </c>
      <c r="G40" s="58">
        <f t="shared" si="34"/>
        <v>3022.1542565451482</v>
      </c>
      <c r="H40" s="58">
        <f t="shared" si="34"/>
        <v>3030.5893819618145</v>
      </c>
      <c r="I40" s="58">
        <f t="shared" si="34"/>
        <v>3040.685488281259</v>
      </c>
      <c r="J40" s="58">
        <f t="shared" si="34"/>
        <v>3052.4425755034813</v>
      </c>
      <c r="K40" s="58">
        <f t="shared" si="34"/>
        <v>3065.8606436284813</v>
      </c>
      <c r="L40" s="58">
        <f t="shared" si="34"/>
        <v>3080.939692656259</v>
      </c>
      <c r="M40" s="58">
        <f t="shared" si="34"/>
        <v>3097.6797225868145</v>
      </c>
      <c r="N40" s="58">
        <f t="shared" si="34"/>
        <v>3116.0807334201481</v>
      </c>
      <c r="O40" s="58">
        <f t="shared" si="34"/>
        <v>3136.1427251562591</v>
      </c>
      <c r="P40" s="58">
        <f t="shared" si="34"/>
        <v>3157.8656977951482</v>
      </c>
      <c r="Q40" s="58">
        <f t="shared" si="34"/>
        <v>3181.2496513368146</v>
      </c>
      <c r="R40" s="58">
        <f t="shared" si="34"/>
        <v>3206.2945857812592</v>
      </c>
      <c r="S40" s="58">
        <f t="shared" si="34"/>
        <v>3233.0005011284816</v>
      </c>
      <c r="T40" s="58">
        <f t="shared" si="34"/>
        <v>3261.3673973784812</v>
      </c>
      <c r="U40" s="58">
        <f t="shared" si="34"/>
        <v>3291.395274531259</v>
      </c>
      <c r="V40" s="58">
        <f t="shared" si="34"/>
        <v>3323.0841325868146</v>
      </c>
      <c r="W40" s="58">
        <f t="shared" si="34"/>
        <v>3356.4339715451479</v>
      </c>
      <c r="X40" s="58">
        <f t="shared" si="34"/>
        <v>3391.4447914062589</v>
      </c>
      <c r="Y40" s="58">
        <f t="shared" si="34"/>
        <v>3428.1165921701481</v>
      </c>
      <c r="Z40" s="58">
        <f t="shared" si="34"/>
        <v>3466.4493738368146</v>
      </c>
      <c r="AA40" s="58">
        <f t="shared" si="34"/>
        <v>3506.4431364062593</v>
      </c>
      <c r="AB40" s="58">
        <f t="shared" si="34"/>
        <v>3548.0978798784813</v>
      </c>
      <c r="AC40" s="58">
        <f t="shared" si="34"/>
        <v>3591.4136042534815</v>
      </c>
      <c r="AD40" s="58">
        <f t="shared" si="34"/>
        <v>3636.3903095312594</v>
      </c>
      <c r="AE40" s="58">
        <f t="shared" si="34"/>
        <v>3683.027995711815</v>
      </c>
      <c r="AF40" s="58">
        <f t="shared" si="34"/>
        <v>3731.326662795148</v>
      </c>
      <c r="AG40" s="58">
        <f t="shared" si="34"/>
        <v>3781.2863107812595</v>
      </c>
      <c r="AH40" s="58">
        <f t="shared" si="34"/>
        <v>3832.9069396701479</v>
      </c>
      <c r="AI40" s="58">
        <f t="shared" si="34"/>
        <v>3886.188549461815</v>
      </c>
      <c r="AJ40" s="58">
        <f t="shared" si="34"/>
        <v>3941.1311401562589</v>
      </c>
      <c r="AK40" s="58">
        <f t="shared" si="34"/>
        <v>3997.7347117534814</v>
      </c>
      <c r="AL40" s="58">
        <f t="shared" si="34"/>
        <v>4055.9992642534812</v>
      </c>
      <c r="AM40" s="58">
        <f t="shared" si="34"/>
        <v>4115.9247976562592</v>
      </c>
      <c r="AN40" s="58">
        <f t="shared" si="34"/>
        <v>4177.5113119618154</v>
      </c>
      <c r="AO40" s="58">
        <f t="shared" si="34"/>
        <v>4240.7588071701484</v>
      </c>
      <c r="AP40" s="58">
        <f t="shared" si="34"/>
        <v>4305.6672832812601</v>
      </c>
      <c r="AQ40" s="58">
        <f t="shared" si="34"/>
        <v>4372.2367402951486</v>
      </c>
    </row>
    <row r="41" spans="2:43" x14ac:dyDescent="0.2">
      <c r="B41" s="68"/>
      <c r="C41" s="8" t="s">
        <v>225</v>
      </c>
      <c r="D41" s="58">
        <f t="shared" ref="D41:AQ41" si="35">D40*$B$11</f>
        <v>865.9357571429241</v>
      </c>
      <c r="E41" s="58">
        <f t="shared" si="35"/>
        <v>866.92995488381098</v>
      </c>
      <c r="F41" s="58">
        <f t="shared" si="35"/>
        <v>868.40250026754211</v>
      </c>
      <c r="G41" s="58">
        <f t="shared" si="35"/>
        <v>870.35339329411715</v>
      </c>
      <c r="H41" s="58">
        <f t="shared" si="35"/>
        <v>872.78263396353611</v>
      </c>
      <c r="I41" s="58">
        <f t="shared" si="35"/>
        <v>875.6902222757991</v>
      </c>
      <c r="J41" s="58">
        <f t="shared" si="35"/>
        <v>879.07615823090623</v>
      </c>
      <c r="K41" s="58">
        <f t="shared" si="35"/>
        <v>882.94044182885727</v>
      </c>
      <c r="L41" s="58">
        <f t="shared" si="35"/>
        <v>887.28307306965223</v>
      </c>
      <c r="M41" s="58">
        <f t="shared" si="35"/>
        <v>892.10405195329133</v>
      </c>
      <c r="N41" s="58">
        <f t="shared" si="35"/>
        <v>897.40337847977446</v>
      </c>
      <c r="O41" s="58">
        <f t="shared" si="35"/>
        <v>903.18105264910162</v>
      </c>
      <c r="P41" s="58">
        <f t="shared" si="35"/>
        <v>909.43707446127269</v>
      </c>
      <c r="Q41" s="58">
        <f t="shared" si="35"/>
        <v>916.17144391628779</v>
      </c>
      <c r="R41" s="58">
        <f t="shared" si="35"/>
        <v>923.38416101414691</v>
      </c>
      <c r="S41" s="58">
        <f t="shared" si="35"/>
        <v>931.07522575485018</v>
      </c>
      <c r="T41" s="58">
        <f t="shared" si="35"/>
        <v>939.24463813839714</v>
      </c>
      <c r="U41" s="58">
        <f t="shared" si="35"/>
        <v>947.89239816478835</v>
      </c>
      <c r="V41" s="58">
        <f t="shared" si="35"/>
        <v>957.01850583402359</v>
      </c>
      <c r="W41" s="58">
        <f t="shared" si="35"/>
        <v>966.62296114610274</v>
      </c>
      <c r="X41" s="58">
        <f t="shared" si="35"/>
        <v>976.70576410102592</v>
      </c>
      <c r="Y41" s="58">
        <f t="shared" si="35"/>
        <v>987.26691469879313</v>
      </c>
      <c r="Z41" s="58">
        <f t="shared" si="35"/>
        <v>998.30641293940437</v>
      </c>
      <c r="AA41" s="58">
        <f t="shared" si="35"/>
        <v>1009.8242588228596</v>
      </c>
      <c r="AB41" s="58">
        <f t="shared" si="35"/>
        <v>1021.8204523491588</v>
      </c>
      <c r="AC41" s="58">
        <f t="shared" si="35"/>
        <v>1034.2949935183021</v>
      </c>
      <c r="AD41" s="58">
        <f t="shared" si="35"/>
        <v>1047.2478823302895</v>
      </c>
      <c r="AE41" s="58">
        <f t="shared" si="35"/>
        <v>1060.6791187851206</v>
      </c>
      <c r="AF41" s="58">
        <f t="shared" si="35"/>
        <v>1074.5887028827958</v>
      </c>
      <c r="AG41" s="58">
        <f t="shared" si="35"/>
        <v>1088.9766346233152</v>
      </c>
      <c r="AH41" s="58">
        <f t="shared" si="35"/>
        <v>1103.8429140066785</v>
      </c>
      <c r="AI41" s="58">
        <f t="shared" si="35"/>
        <v>1119.1875410328857</v>
      </c>
      <c r="AJ41" s="58">
        <f t="shared" si="35"/>
        <v>1135.010515701937</v>
      </c>
      <c r="AK41" s="58">
        <f t="shared" si="35"/>
        <v>1151.3118380138324</v>
      </c>
      <c r="AL41" s="58">
        <f t="shared" si="35"/>
        <v>1168.0915079685717</v>
      </c>
      <c r="AM41" s="58">
        <f t="shared" si="35"/>
        <v>1185.3495255661551</v>
      </c>
      <c r="AN41" s="58">
        <f t="shared" si="35"/>
        <v>1203.0858908065827</v>
      </c>
      <c r="AO41" s="58">
        <f t="shared" si="35"/>
        <v>1221.3006036898539</v>
      </c>
      <c r="AP41" s="58">
        <f t="shared" si="35"/>
        <v>1239.9936642159696</v>
      </c>
      <c r="AQ41" s="58">
        <f t="shared" si="35"/>
        <v>1259.1650723849289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19"/>
  <sheetViews>
    <sheetView windowProtection="1" topLeftCell="D3" zoomScaleNormal="100" workbookViewId="0">
      <selection activeCell="C7" sqref="C7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E2*$B$14</f>
        <v>13.2377518</v>
      </c>
      <c r="F3" s="82"/>
      <c r="G3" s="81">
        <f>G2*$B$14</f>
        <v>7.1157995999999999</v>
      </c>
      <c r="H3" s="82"/>
      <c r="I3" s="81">
        <f>I2*$B$14</f>
        <v>4.7327826000000002</v>
      </c>
      <c r="J3" s="82"/>
      <c r="K3" s="81">
        <f>K2*$B$14</f>
        <v>3.5098699999999994</v>
      </c>
      <c r="L3" s="82"/>
      <c r="M3" s="81">
        <f>M2*$B$14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60/(F2*$B$19)</f>
        <v>7.4636413955361082E-3</v>
      </c>
      <c r="G4" s="9"/>
      <c r="H4" s="84">
        <f>60/(H2*$B$19)</f>
        <v>1.3884853125755908E-2</v>
      </c>
      <c r="I4" s="9"/>
      <c r="J4" s="84">
        <f>60/(J2*$B$19)</f>
        <v>2.08760555192864E-2</v>
      </c>
      <c r="K4" s="9"/>
      <c r="L4" s="84">
        <f>60/(L2*$B$19)</f>
        <v>2.8149712758111452E-2</v>
      </c>
      <c r="M4" s="9"/>
      <c r="N4" s="85">
        <f>60/(N2*$B$19)</f>
        <v>3.5373316296568626E-2</v>
      </c>
    </row>
    <row r="5" spans="1:14" ht="60" x14ac:dyDescent="0.2">
      <c r="A5" s="79" t="s">
        <v>235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308</v>
      </c>
      <c r="C6" s="88">
        <v>41.1</v>
      </c>
      <c r="D6" s="89">
        <v>7000</v>
      </c>
      <c r="E6" s="90">
        <f t="shared" ref="E6:E12" si="0">C6*$E$3</f>
        <v>544.07159897999998</v>
      </c>
      <c r="F6" s="90">
        <f t="shared" ref="F6:F12" si="1">D6*$F$4</f>
        <v>52.245489768752755</v>
      </c>
      <c r="G6" s="90">
        <f t="shared" ref="G6:G12" si="2">C6*$G$3</f>
        <v>292.45936355999999</v>
      </c>
      <c r="H6" s="90">
        <f t="shared" ref="H6:H12" si="3">D6*$H$4</f>
        <v>97.193971880291357</v>
      </c>
      <c r="I6" s="90">
        <f t="shared" ref="I6:I12" si="4">C6*$I$3</f>
        <v>194.51736486000001</v>
      </c>
      <c r="J6" s="90">
        <f t="shared" ref="J6:J12" si="5">D6*$J$4</f>
        <v>146.13238863500479</v>
      </c>
      <c r="K6" s="90">
        <f t="shared" ref="K6:K12" si="6">C6*$K$3</f>
        <v>144.25565699999999</v>
      </c>
      <c r="L6" s="90">
        <f t="shared" ref="L6:L12" si="7">D6*$L$4</f>
        <v>197.04798930678018</v>
      </c>
      <c r="M6" s="90">
        <f t="shared" ref="M6:M12" si="8">C6*$M$3</f>
        <v>114.79713336</v>
      </c>
      <c r="N6" s="91">
        <f t="shared" ref="N6:N12" si="9">D6*$N$4</f>
        <v>247.61321407598038</v>
      </c>
    </row>
    <row r="7" spans="1:14" x14ac:dyDescent="0.2">
      <c r="A7" s="79"/>
      <c r="B7" s="87">
        <v>356</v>
      </c>
      <c r="C7" s="88">
        <v>57</v>
      </c>
      <c r="D7" s="89">
        <v>6000</v>
      </c>
      <c r="E7" s="90">
        <f t="shared" si="0"/>
        <v>754.55185259999996</v>
      </c>
      <c r="F7" s="90">
        <f t="shared" si="1"/>
        <v>44.781848373216647</v>
      </c>
      <c r="G7" s="90">
        <f t="shared" si="2"/>
        <v>405.60057719999998</v>
      </c>
      <c r="H7" s="90">
        <f t="shared" si="3"/>
        <v>83.309118754535447</v>
      </c>
      <c r="I7" s="90">
        <f t="shared" si="4"/>
        <v>269.76860820000002</v>
      </c>
      <c r="J7" s="90">
        <f t="shared" si="5"/>
        <v>125.25633311571839</v>
      </c>
      <c r="K7" s="90">
        <f t="shared" si="6"/>
        <v>200.06258999999997</v>
      </c>
      <c r="L7" s="90">
        <f t="shared" si="7"/>
        <v>168.89827654866872</v>
      </c>
      <c r="M7" s="90">
        <f t="shared" si="8"/>
        <v>159.2077032</v>
      </c>
      <c r="N7" s="91">
        <f t="shared" si="9"/>
        <v>212.23989777941176</v>
      </c>
    </row>
    <row r="8" spans="1:14" x14ac:dyDescent="0.2">
      <c r="A8" s="79"/>
      <c r="B8" s="87">
        <v>240</v>
      </c>
      <c r="C8" s="88">
        <v>56.1</v>
      </c>
      <c r="D8" s="89">
        <v>5000</v>
      </c>
      <c r="E8" s="90">
        <f t="shared" si="0"/>
        <v>742.63787597999999</v>
      </c>
      <c r="F8" s="90">
        <f t="shared" si="1"/>
        <v>37.318206977680539</v>
      </c>
      <c r="G8" s="90">
        <f t="shared" si="2"/>
        <v>399.19635756000002</v>
      </c>
      <c r="H8" s="90">
        <f t="shared" si="3"/>
        <v>69.424265628779537</v>
      </c>
      <c r="I8" s="90">
        <f t="shared" si="4"/>
        <v>265.50910386000004</v>
      </c>
      <c r="J8" s="90">
        <f t="shared" si="5"/>
        <v>104.38027759643199</v>
      </c>
      <c r="K8" s="90">
        <f t="shared" si="6"/>
        <v>196.90370699999997</v>
      </c>
      <c r="L8" s="90">
        <f t="shared" si="7"/>
        <v>140.74856379055726</v>
      </c>
      <c r="M8" s="90">
        <f t="shared" si="8"/>
        <v>156.69389735999999</v>
      </c>
      <c r="N8" s="91">
        <f t="shared" si="9"/>
        <v>176.86658148284312</v>
      </c>
    </row>
    <row r="9" spans="1:14" x14ac:dyDescent="0.2">
      <c r="A9" s="79"/>
      <c r="B9" s="87">
        <v>180</v>
      </c>
      <c r="C9" s="88">
        <v>52.8</v>
      </c>
      <c r="D9" s="89">
        <v>4000</v>
      </c>
      <c r="E9" s="90">
        <f t="shared" si="0"/>
        <v>698.95329503999994</v>
      </c>
      <c r="F9" s="90">
        <f t="shared" si="1"/>
        <v>29.854565582144431</v>
      </c>
      <c r="G9" s="90">
        <f t="shared" si="2"/>
        <v>375.71421887999998</v>
      </c>
      <c r="H9" s="90">
        <f t="shared" si="3"/>
        <v>55.539412503023634</v>
      </c>
      <c r="I9" s="90">
        <f t="shared" si="4"/>
        <v>249.89092127999999</v>
      </c>
      <c r="J9" s="90">
        <f t="shared" si="5"/>
        <v>83.504222077145599</v>
      </c>
      <c r="K9" s="90">
        <f t="shared" si="6"/>
        <v>185.32113599999997</v>
      </c>
      <c r="L9" s="90">
        <f t="shared" si="7"/>
        <v>112.59885103244581</v>
      </c>
      <c r="M9" s="90">
        <f t="shared" si="8"/>
        <v>147.47660927999999</v>
      </c>
      <c r="N9" s="91">
        <f t="shared" si="9"/>
        <v>141.4932651862745</v>
      </c>
    </row>
    <row r="10" spans="1:14" x14ac:dyDescent="0.2">
      <c r="A10" s="79"/>
      <c r="B10" s="87">
        <v>124</v>
      </c>
      <c r="C10" s="88">
        <v>48</v>
      </c>
      <c r="D10" s="89">
        <v>3000</v>
      </c>
      <c r="E10" s="90">
        <f t="shared" si="0"/>
        <v>635.41208640000002</v>
      </c>
      <c r="F10" s="90">
        <f t="shared" si="1"/>
        <v>22.390924186608324</v>
      </c>
      <c r="G10" s="90">
        <f t="shared" si="2"/>
        <v>341.55838080000001</v>
      </c>
      <c r="H10" s="90">
        <f t="shared" si="3"/>
        <v>41.654559377267724</v>
      </c>
      <c r="I10" s="90">
        <f t="shared" si="4"/>
        <v>227.17356480000001</v>
      </c>
      <c r="J10" s="90">
        <f t="shared" si="5"/>
        <v>62.628166557859196</v>
      </c>
      <c r="K10" s="90">
        <f t="shared" si="6"/>
        <v>168.47375999999997</v>
      </c>
      <c r="L10" s="90">
        <f t="shared" si="7"/>
        <v>84.449138274334359</v>
      </c>
      <c r="M10" s="90">
        <f t="shared" si="8"/>
        <v>134.06964479999999</v>
      </c>
      <c r="N10" s="91">
        <f t="shared" si="9"/>
        <v>106.11994888970588</v>
      </c>
    </row>
    <row r="11" spans="1:14" x14ac:dyDescent="0.2">
      <c r="A11" s="79"/>
      <c r="B11" s="87">
        <v>74</v>
      </c>
      <c r="C11" s="88">
        <v>43.5</v>
      </c>
      <c r="D11" s="89">
        <v>2000</v>
      </c>
      <c r="E11" s="90">
        <f t="shared" si="0"/>
        <v>575.84220329999994</v>
      </c>
      <c r="F11" s="90">
        <f t="shared" si="1"/>
        <v>14.927282791072216</v>
      </c>
      <c r="G11" s="90">
        <f t="shared" si="2"/>
        <v>309.53728259999997</v>
      </c>
      <c r="H11" s="90">
        <f t="shared" si="3"/>
        <v>27.769706251511817</v>
      </c>
      <c r="I11" s="90">
        <f t="shared" si="4"/>
        <v>205.8760431</v>
      </c>
      <c r="J11" s="90">
        <f t="shared" si="5"/>
        <v>41.752111038572799</v>
      </c>
      <c r="K11" s="90">
        <f t="shared" si="6"/>
        <v>152.67934499999998</v>
      </c>
      <c r="L11" s="90">
        <f t="shared" si="7"/>
        <v>56.299425516222904</v>
      </c>
      <c r="M11" s="90">
        <f t="shared" si="8"/>
        <v>121.5006156</v>
      </c>
      <c r="N11" s="91">
        <f t="shared" si="9"/>
        <v>70.74663259313725</v>
      </c>
    </row>
    <row r="12" spans="1:14" ht="15.75" thickBot="1" x14ac:dyDescent="0.25">
      <c r="A12" s="92"/>
      <c r="B12" s="93">
        <v>40</v>
      </c>
      <c r="C12" s="94">
        <v>41.1</v>
      </c>
      <c r="D12" s="95">
        <v>1000</v>
      </c>
      <c r="E12" s="96">
        <f t="shared" si="0"/>
        <v>544.07159897999998</v>
      </c>
      <c r="F12" s="96">
        <f t="shared" si="1"/>
        <v>7.4636413955361078</v>
      </c>
      <c r="G12" s="96">
        <f t="shared" si="2"/>
        <v>292.45936355999999</v>
      </c>
      <c r="H12" s="96">
        <f t="shared" si="3"/>
        <v>13.884853125755908</v>
      </c>
      <c r="I12" s="96">
        <f t="shared" si="4"/>
        <v>194.51736486000001</v>
      </c>
      <c r="J12" s="96">
        <f t="shared" si="5"/>
        <v>20.8760555192864</v>
      </c>
      <c r="K12" s="96">
        <f t="shared" si="6"/>
        <v>144.25565699999999</v>
      </c>
      <c r="L12" s="96">
        <f t="shared" si="7"/>
        <v>28.149712758111452</v>
      </c>
      <c r="M12" s="96">
        <f t="shared" si="8"/>
        <v>114.79713336</v>
      </c>
      <c r="N12" s="97">
        <f t="shared" si="9"/>
        <v>35.373316296568625</v>
      </c>
    </row>
    <row r="13" spans="1:14" x14ac:dyDescent="0.2">
      <c r="A13"/>
      <c r="B13"/>
    </row>
    <row r="14" spans="1:14" ht="30" x14ac:dyDescent="0.2">
      <c r="A14" s="98" t="s">
        <v>241</v>
      </c>
      <c r="B14" s="99">
        <f>DriveTrainEff</f>
        <v>0.91</v>
      </c>
    </row>
    <row r="15" spans="1:14" x14ac:dyDescent="0.2">
      <c r="A15" s="100" t="s">
        <v>242</v>
      </c>
      <c r="B15" s="101"/>
    </row>
    <row r="16" spans="1:14" ht="30" x14ac:dyDescent="0.2">
      <c r="A16" s="102" t="s">
        <v>243</v>
      </c>
      <c r="B16" s="56">
        <f>TireSection</f>
        <v>195</v>
      </c>
    </row>
    <row r="17" spans="1:2" ht="30" x14ac:dyDescent="0.2">
      <c r="A17" s="102" t="s">
        <v>244</v>
      </c>
      <c r="B17" s="56">
        <f>TireSidewRatio</f>
        <v>50</v>
      </c>
    </row>
    <row r="18" spans="1:2" ht="30" x14ac:dyDescent="0.2">
      <c r="A18" s="103" t="s">
        <v>245</v>
      </c>
      <c r="B18" s="104">
        <f>TireDiam</f>
        <v>15</v>
      </c>
    </row>
    <row r="19" spans="1:2" ht="30" x14ac:dyDescent="0.2">
      <c r="A19" s="105" t="s">
        <v>199</v>
      </c>
      <c r="B19" s="106">
        <f>(1000)/(((($B$18*25.4)+((2*$B$16*$B$17/100)))*3.141592653589)/1000)</f>
        <v>552.6213301803316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18"/>
  <sheetViews>
    <sheetView windowProtection="1" topLeftCell="D1" zoomScaleNormal="100" workbookViewId="0">
      <selection activeCell="C7" sqref="C7"/>
    </sheetView>
  </sheetViews>
  <sheetFormatPr defaultRowHeight="15" x14ac:dyDescent="0.2"/>
  <cols>
    <col min="1" max="1" width="33.59765625" style="16" customWidth="1"/>
    <col min="2" max="14" width="13.69921875" style="16" customWidth="1"/>
    <col min="15" max="1025" width="8.796875" style="16"/>
  </cols>
  <sheetData>
    <row r="1" spans="1:14" ht="45.75" thickBot="1" x14ac:dyDescent="0.25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E2*$B$13</f>
        <v>13.2377518</v>
      </c>
      <c r="F3" s="82"/>
      <c r="G3" s="81">
        <f>G2*$B$13</f>
        <v>7.1157995999999999</v>
      </c>
      <c r="H3" s="82"/>
      <c r="I3" s="81">
        <f>I2*$B$13</f>
        <v>4.7327826000000002</v>
      </c>
      <c r="J3" s="82"/>
      <c r="K3" s="81">
        <f>K2*$B$13</f>
        <v>3.5098699999999994</v>
      </c>
      <c r="L3" s="82"/>
      <c r="M3" s="81">
        <f>M2*$B$13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60/(F2*$B$18)</f>
        <v>7.4636413955361082E-3</v>
      </c>
      <c r="G4" s="9"/>
      <c r="H4" s="84">
        <f>60/(H2*$B$18)</f>
        <v>1.3884853125755908E-2</v>
      </c>
      <c r="I4" s="9"/>
      <c r="J4" s="84">
        <f>60/(J2*$B$18)</f>
        <v>2.08760555192864E-2</v>
      </c>
      <c r="K4" s="9"/>
      <c r="L4" s="84">
        <f>60/(L2*$B$18)</f>
        <v>2.8149712758111452E-2</v>
      </c>
      <c r="M4" s="9"/>
      <c r="N4" s="85">
        <f>60/(N2*$B$18)</f>
        <v>3.5373316296568626E-2</v>
      </c>
    </row>
    <row r="5" spans="1:14" ht="75" x14ac:dyDescent="0.2">
      <c r="A5" s="79" t="s">
        <v>523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140</v>
      </c>
      <c r="C6" s="88">
        <v>21.2</v>
      </c>
      <c r="D6" s="89">
        <v>6000</v>
      </c>
      <c r="E6" s="90">
        <f t="shared" ref="E6:E11" si="0">C6*$E$3</f>
        <v>280.64033816</v>
      </c>
      <c r="F6" s="90">
        <f t="shared" ref="F6:F11" si="1">D6*$F$4</f>
        <v>44.781848373216647</v>
      </c>
      <c r="G6" s="90">
        <f t="shared" ref="G6:G11" si="2">C6*$G$3</f>
        <v>150.85495151999999</v>
      </c>
      <c r="H6" s="90">
        <f t="shared" ref="H6:H11" si="3">D6*$H$4</f>
        <v>83.309118754535447</v>
      </c>
      <c r="I6" s="90">
        <f t="shared" ref="I6:I11" si="4">C6*$I$3</f>
        <v>100.33499112</v>
      </c>
      <c r="J6" s="90">
        <f t="shared" ref="J6:J11" si="5">D6*$J$4</f>
        <v>125.25633311571839</v>
      </c>
      <c r="K6" s="90">
        <f t="shared" ref="K6:K11" si="6">C6*$K$3</f>
        <v>74.409243999999987</v>
      </c>
      <c r="L6" s="90">
        <f t="shared" ref="L6:L11" si="7">D6*$L$4</f>
        <v>168.89827654866872</v>
      </c>
      <c r="M6" s="90">
        <f t="shared" ref="M6:M11" si="8">C6*$M$3</f>
        <v>59.214093119999994</v>
      </c>
      <c r="N6" s="91">
        <f t="shared" ref="N6:N11" si="9">D6*$N$4</f>
        <v>212.23989777941176</v>
      </c>
    </row>
    <row r="7" spans="1:14" s="16" customFormat="1" x14ac:dyDescent="0.2">
      <c r="A7" s="79"/>
      <c r="B7" s="87">
        <v>148</v>
      </c>
      <c r="C7" s="88">
        <v>26.3</v>
      </c>
      <c r="D7" s="89">
        <v>5000</v>
      </c>
      <c r="E7" s="90">
        <f t="shared" si="0"/>
        <v>348.15287233999999</v>
      </c>
      <c r="F7" s="90">
        <f t="shared" si="1"/>
        <v>37.318206977680539</v>
      </c>
      <c r="G7" s="90">
        <f t="shared" si="2"/>
        <v>187.14552947999999</v>
      </c>
      <c r="H7" s="90">
        <f t="shared" si="3"/>
        <v>69.424265628779537</v>
      </c>
      <c r="I7" s="90">
        <f t="shared" si="4"/>
        <v>124.47218238000001</v>
      </c>
      <c r="J7" s="90">
        <f t="shared" si="5"/>
        <v>104.38027759643199</v>
      </c>
      <c r="K7" s="90">
        <f t="shared" si="6"/>
        <v>92.30958099999998</v>
      </c>
      <c r="L7" s="90">
        <f t="shared" si="7"/>
        <v>140.74856379055726</v>
      </c>
      <c r="M7" s="90">
        <f t="shared" si="8"/>
        <v>73.458992879999997</v>
      </c>
      <c r="N7" s="91">
        <f t="shared" si="9"/>
        <v>176.86658148284312</v>
      </c>
    </row>
    <row r="8" spans="1:14" s="16" customFormat="1" x14ac:dyDescent="0.2">
      <c r="A8" s="79"/>
      <c r="B8" s="87">
        <v>122</v>
      </c>
      <c r="C8" s="88">
        <v>28.7</v>
      </c>
      <c r="D8" s="89">
        <v>4000</v>
      </c>
      <c r="E8" s="90">
        <f t="shared" si="0"/>
        <v>379.92347666000001</v>
      </c>
      <c r="F8" s="90">
        <f t="shared" si="1"/>
        <v>29.854565582144431</v>
      </c>
      <c r="G8" s="90">
        <f t="shared" si="2"/>
        <v>204.22344852000001</v>
      </c>
      <c r="H8" s="90">
        <f t="shared" si="3"/>
        <v>55.539412503023634</v>
      </c>
      <c r="I8" s="90">
        <f t="shared" si="4"/>
        <v>135.83086062000001</v>
      </c>
      <c r="J8" s="90">
        <f t="shared" si="5"/>
        <v>83.504222077145599</v>
      </c>
      <c r="K8" s="90">
        <f t="shared" si="6"/>
        <v>100.73326899999998</v>
      </c>
      <c r="L8" s="90">
        <f t="shared" si="7"/>
        <v>112.59885103244581</v>
      </c>
      <c r="M8" s="90">
        <f t="shared" si="8"/>
        <v>80.162475119999996</v>
      </c>
      <c r="N8" s="91">
        <f t="shared" si="9"/>
        <v>141.4932651862745</v>
      </c>
    </row>
    <row r="9" spans="1:14" s="16" customFormat="1" x14ac:dyDescent="0.2">
      <c r="A9" s="79"/>
      <c r="B9" s="87">
        <v>78</v>
      </c>
      <c r="C9" s="88">
        <v>27.3</v>
      </c>
      <c r="D9" s="89">
        <v>3000</v>
      </c>
      <c r="E9" s="90">
        <f t="shared" si="0"/>
        <v>361.39062414</v>
      </c>
      <c r="F9" s="90">
        <f t="shared" si="1"/>
        <v>22.390924186608324</v>
      </c>
      <c r="G9" s="90">
        <f t="shared" si="2"/>
        <v>194.26132908</v>
      </c>
      <c r="H9" s="90">
        <f t="shared" si="3"/>
        <v>41.654559377267724</v>
      </c>
      <c r="I9" s="90">
        <f t="shared" si="4"/>
        <v>129.20496498</v>
      </c>
      <c r="J9" s="90">
        <f t="shared" si="5"/>
        <v>62.628166557859196</v>
      </c>
      <c r="K9" s="90">
        <f t="shared" si="6"/>
        <v>95.819450999999987</v>
      </c>
      <c r="L9" s="90">
        <f t="shared" si="7"/>
        <v>84.449138274334359</v>
      </c>
      <c r="M9" s="90">
        <f t="shared" si="8"/>
        <v>76.252110479999999</v>
      </c>
      <c r="N9" s="91">
        <f t="shared" si="9"/>
        <v>106.11994888970588</v>
      </c>
    </row>
    <row r="10" spans="1:14" s="16" customFormat="1" x14ac:dyDescent="0.2">
      <c r="A10" s="79"/>
      <c r="B10" s="87">
        <v>43</v>
      </c>
      <c r="C10" s="88">
        <v>24.2</v>
      </c>
      <c r="D10" s="89">
        <v>2000</v>
      </c>
      <c r="E10" s="90">
        <f t="shared" si="0"/>
        <v>320.35359355999998</v>
      </c>
      <c r="F10" s="90">
        <f t="shared" si="1"/>
        <v>14.927282791072216</v>
      </c>
      <c r="G10" s="90">
        <f t="shared" si="2"/>
        <v>172.20235031999999</v>
      </c>
      <c r="H10" s="90">
        <f t="shared" si="3"/>
        <v>27.769706251511817</v>
      </c>
      <c r="I10" s="90">
        <f t="shared" si="4"/>
        <v>114.53333892000001</v>
      </c>
      <c r="J10" s="90">
        <f t="shared" si="5"/>
        <v>41.752111038572799</v>
      </c>
      <c r="K10" s="90">
        <f t="shared" si="6"/>
        <v>84.938853999999978</v>
      </c>
      <c r="L10" s="90">
        <f t="shared" si="7"/>
        <v>56.299425516222904</v>
      </c>
      <c r="M10" s="90">
        <f t="shared" si="8"/>
        <v>67.593445919999994</v>
      </c>
      <c r="N10" s="91">
        <f t="shared" si="9"/>
        <v>70.74663259313725</v>
      </c>
    </row>
    <row r="11" spans="1:14" s="16" customFormat="1" ht="15.75" thickBot="1" x14ac:dyDescent="0.25">
      <c r="A11" s="92"/>
      <c r="B11" s="93">
        <v>29</v>
      </c>
      <c r="C11" s="94">
        <v>32.200000000000003</v>
      </c>
      <c r="D11" s="95">
        <v>1000</v>
      </c>
      <c r="E11" s="96">
        <f t="shared" si="0"/>
        <v>426.25560796000002</v>
      </c>
      <c r="F11" s="96">
        <f t="shared" si="1"/>
        <v>7.4636413955361078</v>
      </c>
      <c r="G11" s="96">
        <f t="shared" si="2"/>
        <v>229.12874712000001</v>
      </c>
      <c r="H11" s="96">
        <f t="shared" si="3"/>
        <v>13.884853125755908</v>
      </c>
      <c r="I11" s="96">
        <f t="shared" si="4"/>
        <v>152.39559972000001</v>
      </c>
      <c r="J11" s="96">
        <f t="shared" si="5"/>
        <v>20.8760555192864</v>
      </c>
      <c r="K11" s="96">
        <f t="shared" si="6"/>
        <v>113.01781399999999</v>
      </c>
      <c r="L11" s="96">
        <f t="shared" si="7"/>
        <v>28.149712758111452</v>
      </c>
      <c r="M11" s="96">
        <f t="shared" si="8"/>
        <v>89.938386720000011</v>
      </c>
      <c r="N11" s="97">
        <f t="shared" si="9"/>
        <v>35.373316296568625</v>
      </c>
    </row>
    <row r="12" spans="1:14" s="16" customFormat="1" ht="15.75" thickBot="1" x14ac:dyDescent="0.25">
      <c r="A12"/>
      <c r="B12"/>
    </row>
    <row r="13" spans="1:14" s="16" customFormat="1" ht="30.75" thickBot="1" x14ac:dyDescent="0.25">
      <c r="A13" s="98" t="s">
        <v>241</v>
      </c>
      <c r="B13" s="99">
        <f>DriveTrainEff</f>
        <v>0.91</v>
      </c>
    </row>
    <row r="14" spans="1:14" s="16" customFormat="1" x14ac:dyDescent="0.2">
      <c r="A14" s="100" t="s">
        <v>242</v>
      </c>
      <c r="B14" s="101"/>
    </row>
    <row r="15" spans="1:14" s="16" customFormat="1" ht="30" x14ac:dyDescent="0.2">
      <c r="A15" s="102" t="s">
        <v>243</v>
      </c>
      <c r="B15" s="56">
        <f>TireSection</f>
        <v>195</v>
      </c>
    </row>
    <row r="16" spans="1:14" s="16" customFormat="1" ht="30" x14ac:dyDescent="0.2">
      <c r="A16" s="102" t="s">
        <v>244</v>
      </c>
      <c r="B16" s="56">
        <f>TireSidewRatio</f>
        <v>50</v>
      </c>
    </row>
    <row r="17" spans="1:2" s="16" customFormat="1" ht="30" x14ac:dyDescent="0.2">
      <c r="A17" s="103" t="s">
        <v>245</v>
      </c>
      <c r="B17" s="104">
        <f>TireDiam</f>
        <v>15</v>
      </c>
    </row>
    <row r="18" spans="1:2" s="16" customFormat="1" ht="30.75" thickBot="1" x14ac:dyDescent="0.25">
      <c r="A18" s="105" t="s">
        <v>199</v>
      </c>
      <c r="B18" s="106">
        <f>(1000)/(((($B$17*25.4)+((2*$B$15*$B$16/100)))*3.141592653589)/1000)</f>
        <v>552.6213301803316</v>
      </c>
    </row>
  </sheetData>
  <pageMargins left="0.75" right="0.75" top="1" bottom="1" header="0.51180555555555496" footer="0.51180555555555496"/>
  <pageSetup paperSize="9" firstPageNumber="0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abSelected="1" topLeftCell="A34" zoomScaleNormal="100" workbookViewId="0">
      <selection activeCell="J59" sqref="J59"/>
    </sheetView>
  </sheetViews>
  <sheetFormatPr defaultRowHeight="15" x14ac:dyDescent="0.2"/>
  <cols>
    <col min="1" max="1025" width="8.5"/>
  </cols>
  <sheetData>
    <row r="1" spans="1:1" x14ac:dyDescent="0.2">
      <c r="A1" s="107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KeyParameters</vt:lpstr>
      <vt:lpstr>Acceleration Force</vt:lpstr>
      <vt:lpstr>Hill-climbing Force</vt:lpstr>
      <vt:lpstr>Coefficient of Drag</vt:lpstr>
      <vt:lpstr>Drivetrain Efficiencies</vt:lpstr>
      <vt:lpstr>Torque Required IS</vt:lpstr>
      <vt:lpstr>Torque Available IS</vt:lpstr>
      <vt:lpstr>Torque Available IS non-vent</vt:lpstr>
      <vt:lpstr>Charts</vt:lpstr>
      <vt:lpstr>Torque Required US</vt:lpstr>
      <vt:lpstr>Torque Available US</vt:lpstr>
      <vt:lpstr>Torque Required US OLD</vt:lpstr>
      <vt:lpstr>Torque Available US OLD</vt:lpstr>
      <vt:lpstr>EV Conv. Weights Compared</vt:lpstr>
      <vt:lpstr>Equations</vt:lpstr>
      <vt:lpstr>Constants</vt:lpstr>
      <vt:lpstr>Measurement Units</vt:lpstr>
      <vt:lpstr>Mass factors</vt:lpstr>
      <vt:lpstr>AirDensity</vt:lpstr>
      <vt:lpstr>CRW</vt:lpstr>
      <vt:lpstr>DiffRatio</vt:lpstr>
      <vt:lpstr>DragCoeff</vt:lpstr>
      <vt:lpstr>DriveTrainEff</vt:lpstr>
      <vt:lpstr>Ft2meters</vt:lpstr>
      <vt:lpstr>G_ms2</vt:lpstr>
      <vt:lpstr>Kg2Lbs</vt:lpstr>
      <vt:lpstr>Lbs2Kg</vt:lpstr>
      <vt:lpstr>Meters2ft</vt:lpstr>
      <vt:lpstr>Meters2miles</vt:lpstr>
      <vt:lpstr>RefWeightKg</vt:lpstr>
      <vt:lpstr>RefWeightLbs</vt:lpstr>
      <vt:lpstr>RelWindSpeed</vt:lpstr>
      <vt:lpstr>TireDiam</vt:lpstr>
      <vt:lpstr>TireSection</vt:lpstr>
      <vt:lpstr>TireSidewRatio</vt:lpstr>
      <vt:lpstr>TrasmRt1st</vt:lpstr>
      <vt:lpstr>TrasmRt2nd</vt:lpstr>
      <vt:lpstr>TrasmRt3rd</vt:lpstr>
      <vt:lpstr>TrasmRt4th</vt:lpstr>
      <vt:lpstr>TrasmRt5th</vt:lpstr>
      <vt:lpstr>VFrontArea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Vannucci, Valerio</dc:creator>
  <cp:lastModifiedBy>Trentadue, Alberto</cp:lastModifiedBy>
  <cp:revision>9</cp:revision>
  <dcterms:created xsi:type="dcterms:W3CDTF">2014-06-15T13:35:20Z</dcterms:created>
  <dcterms:modified xsi:type="dcterms:W3CDTF">2016-01-26T22:21:12Z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