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autoCompressPictures="0"/>
  <bookViews>
    <workbookView xWindow="4000" yWindow="80" windowWidth="40640" windowHeight="23260" tabRatio="734"/>
  </bookViews>
  <sheets>
    <sheet name="Equations" sheetId="1" r:id="rId1"/>
    <sheet name="Constants" sheetId="2" r:id="rId2"/>
    <sheet name="Measurement Units" sheetId="3" r:id="rId3"/>
    <sheet name="Mass factors" sheetId="4" r:id="rId4"/>
    <sheet name="Acceleration Force" sheetId="5" r:id="rId5"/>
    <sheet name="Hill-climbing Force" sheetId="6" r:id="rId6"/>
    <sheet name="EV Conv. Weights Compared" sheetId="7" r:id="rId7"/>
    <sheet name="Coefficient of Drag" sheetId="8" r:id="rId8"/>
    <sheet name="Drivetrain Efficiencies" sheetId="9" r:id="rId9"/>
    <sheet name="Torque Required US " sheetId="11" r:id="rId10"/>
    <sheet name="Torque Required IS" sheetId="12" r:id="rId11"/>
    <sheet name="Torque Available Us" sheetId="13" r:id="rId12"/>
    <sheet name="Torque Available IS" sheetId="15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5" l="1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B31" i="15"/>
  <c r="J4" i="15"/>
  <c r="A16" i="12"/>
  <c r="A18" i="12"/>
  <c r="M3" i="15"/>
  <c r="M7" i="15"/>
  <c r="K3" i="15"/>
  <c r="I3" i="15"/>
  <c r="I13" i="15"/>
  <c r="G3" i="15"/>
  <c r="E3" i="15"/>
  <c r="E23" i="15"/>
  <c r="I23" i="15"/>
  <c r="K20" i="15"/>
  <c r="K16" i="15"/>
  <c r="I15" i="15"/>
  <c r="K12" i="15"/>
  <c r="E9" i="15"/>
  <c r="K8" i="15"/>
  <c r="M3" i="13"/>
  <c r="M11" i="13"/>
  <c r="K3" i="13"/>
  <c r="K10" i="13"/>
  <c r="I3" i="13"/>
  <c r="G3" i="13"/>
  <c r="G14" i="13"/>
  <c r="E3" i="13"/>
  <c r="E6" i="13"/>
  <c r="B31" i="13"/>
  <c r="L4" i="13"/>
  <c r="L12" i="13"/>
  <c r="M10" i="13"/>
  <c r="M20" i="13"/>
  <c r="K23" i="13"/>
  <c r="I11" i="13"/>
  <c r="G7" i="13"/>
  <c r="G10" i="13"/>
  <c r="G11" i="13"/>
  <c r="G12" i="13"/>
  <c r="G13" i="13"/>
  <c r="G15" i="13"/>
  <c r="G18" i="13"/>
  <c r="G19" i="13"/>
  <c r="G20" i="13"/>
  <c r="G21" i="13"/>
  <c r="G22" i="13"/>
  <c r="G23" i="13"/>
  <c r="E10" i="13"/>
  <c r="E16" i="13"/>
  <c r="E17" i="13"/>
  <c r="E18" i="13"/>
  <c r="L19" i="13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B5" i="12"/>
  <c r="AC5" i="12"/>
  <c r="AC7" i="12"/>
  <c r="AD5" i="12"/>
  <c r="AD7" i="12"/>
  <c r="AE5" i="12"/>
  <c r="AF5" i="12"/>
  <c r="AF7" i="12"/>
  <c r="AG5" i="12"/>
  <c r="AG7" i="12"/>
  <c r="AH5" i="12"/>
  <c r="AI5" i="12"/>
  <c r="AJ5" i="12"/>
  <c r="AJ8" i="12"/>
  <c r="AK5" i="12"/>
  <c r="AK7" i="12"/>
  <c r="AL5" i="12"/>
  <c r="AL7" i="12"/>
  <c r="AM5" i="12"/>
  <c r="AM7" i="12"/>
  <c r="AN5" i="12"/>
  <c r="AN7" i="12"/>
  <c r="AO5" i="12"/>
  <c r="AO7" i="12"/>
  <c r="AP5" i="12"/>
  <c r="AQ5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Q7" i="12"/>
  <c r="AQ8" i="12"/>
  <c r="AB7" i="12"/>
  <c r="AH7" i="12"/>
  <c r="AI7" i="12"/>
  <c r="AI8" i="12"/>
  <c r="AJ7" i="12"/>
  <c r="AP7" i="12"/>
  <c r="AP8" i="12"/>
  <c r="AB8" i="12"/>
  <c r="AH8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B13" i="12"/>
  <c r="AH13" i="12"/>
  <c r="AI13" i="12"/>
  <c r="AP13" i="12"/>
  <c r="AQ13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M19" i="12"/>
  <c r="AN17" i="12"/>
  <c r="AO17" i="12"/>
  <c r="AP17" i="12"/>
  <c r="AQ17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H19" i="12"/>
  <c r="AJ19" i="12"/>
  <c r="AN19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N25" i="12"/>
  <c r="AO23" i="12"/>
  <c r="AP23" i="12"/>
  <c r="AQ23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E25" i="12"/>
  <c r="AI25" i="12"/>
  <c r="AJ25" i="12"/>
  <c r="AP25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E31" i="12"/>
  <c r="AF31" i="12"/>
  <c r="AH31" i="12"/>
  <c r="AN31" i="12"/>
  <c r="AQ31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B35" i="12"/>
  <c r="AC35" i="12"/>
  <c r="AD35" i="12"/>
  <c r="AE35" i="12"/>
  <c r="AE37" i="12"/>
  <c r="AF35" i="12"/>
  <c r="AG35" i="12"/>
  <c r="AH35" i="12"/>
  <c r="AI35" i="12"/>
  <c r="AJ35" i="12"/>
  <c r="AK35" i="12"/>
  <c r="AL35" i="12"/>
  <c r="AM35" i="12"/>
  <c r="AN35" i="12"/>
  <c r="AN37" i="12"/>
  <c r="AO35" i="12"/>
  <c r="AP35" i="12"/>
  <c r="AQ35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B37" i="12"/>
  <c r="AF37" i="12"/>
  <c r="AH37" i="12"/>
  <c r="AH38" i="12"/>
  <c r="AK37" i="12"/>
  <c r="AP37" i="12"/>
  <c r="H18" i="12"/>
  <c r="L18" i="12"/>
  <c r="M18" i="12"/>
  <c r="G19" i="12"/>
  <c r="J19" i="12"/>
  <c r="M19" i="12"/>
  <c r="P19" i="12"/>
  <c r="Q19" i="12"/>
  <c r="T19" i="12"/>
  <c r="U19" i="12"/>
  <c r="Y19" i="12"/>
  <c r="Z19" i="12"/>
  <c r="E5" i="12"/>
  <c r="E6" i="12"/>
  <c r="F5" i="12"/>
  <c r="F7" i="12"/>
  <c r="F6" i="12"/>
  <c r="G5" i="12"/>
  <c r="G6" i="12"/>
  <c r="H5" i="12"/>
  <c r="H7" i="12"/>
  <c r="H8" i="12"/>
  <c r="H6" i="12"/>
  <c r="I5" i="12"/>
  <c r="I6" i="12"/>
  <c r="J5" i="12"/>
  <c r="J7" i="12"/>
  <c r="J6" i="12"/>
  <c r="K5" i="12"/>
  <c r="K6" i="12"/>
  <c r="K7" i="12"/>
  <c r="L5" i="12"/>
  <c r="L6" i="12"/>
  <c r="L7" i="12"/>
  <c r="M5" i="12"/>
  <c r="M6" i="12"/>
  <c r="N5" i="12"/>
  <c r="N6" i="12"/>
  <c r="N7" i="12"/>
  <c r="O5" i="12"/>
  <c r="O6" i="12"/>
  <c r="O7" i="12"/>
  <c r="P5" i="12"/>
  <c r="P7" i="12"/>
  <c r="P6" i="12"/>
  <c r="Q5" i="12"/>
  <c r="Q6" i="12"/>
  <c r="R5" i="12"/>
  <c r="R6" i="12"/>
  <c r="S5" i="12"/>
  <c r="S6" i="12"/>
  <c r="T5" i="12"/>
  <c r="T7" i="12"/>
  <c r="T38" i="12"/>
  <c r="T6" i="12"/>
  <c r="U5" i="12"/>
  <c r="U6" i="12"/>
  <c r="V5" i="12"/>
  <c r="V7" i="12"/>
  <c r="V6" i="12"/>
  <c r="W5" i="12"/>
  <c r="W6" i="12"/>
  <c r="X5" i="12"/>
  <c r="X7" i="12"/>
  <c r="X6" i="12"/>
  <c r="Y5" i="12"/>
  <c r="Y6" i="12"/>
  <c r="Z5" i="12"/>
  <c r="Z7" i="12"/>
  <c r="Z14" i="12"/>
  <c r="Z6" i="12"/>
  <c r="AA5" i="12"/>
  <c r="AA6" i="12"/>
  <c r="AA7" i="12"/>
  <c r="E22" i="12"/>
  <c r="F22" i="12"/>
  <c r="G22" i="12"/>
  <c r="H22" i="12"/>
  <c r="H24" i="12"/>
  <c r="I22" i="12"/>
  <c r="I24" i="12"/>
  <c r="J22" i="12"/>
  <c r="K22" i="12"/>
  <c r="K24" i="12"/>
  <c r="L22" i="12"/>
  <c r="L24" i="12"/>
  <c r="M22" i="12"/>
  <c r="M24" i="12"/>
  <c r="N22" i="12"/>
  <c r="O22" i="12"/>
  <c r="P22" i="12"/>
  <c r="P24" i="12"/>
  <c r="Q22" i="12"/>
  <c r="Q24" i="12"/>
  <c r="R22" i="12"/>
  <c r="S22" i="12"/>
  <c r="S24" i="12"/>
  <c r="T22" i="12"/>
  <c r="T24" i="12"/>
  <c r="U22" i="12"/>
  <c r="V22" i="12"/>
  <c r="W22" i="12"/>
  <c r="X22" i="12"/>
  <c r="X24" i="12"/>
  <c r="Y22" i="12"/>
  <c r="Y24" i="12"/>
  <c r="Z22" i="12"/>
  <c r="AA22" i="12"/>
  <c r="AA24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T25" i="12"/>
  <c r="U23" i="12"/>
  <c r="V23" i="12"/>
  <c r="W23" i="12"/>
  <c r="X23" i="12"/>
  <c r="Y23" i="12"/>
  <c r="Z23" i="12"/>
  <c r="AA23" i="12"/>
  <c r="E24" i="12"/>
  <c r="F24" i="12"/>
  <c r="G24" i="12"/>
  <c r="J24" i="12"/>
  <c r="N24" i="12"/>
  <c r="O24" i="12"/>
  <c r="R24" i="12"/>
  <c r="U24" i="12"/>
  <c r="V24" i="12"/>
  <c r="W24" i="12"/>
  <c r="Z24" i="12"/>
  <c r="F25" i="12"/>
  <c r="G25" i="12"/>
  <c r="H25" i="12"/>
  <c r="K25" i="12"/>
  <c r="N25" i="12"/>
  <c r="P25" i="12"/>
  <c r="S25" i="12"/>
  <c r="V25" i="12"/>
  <c r="W25" i="12"/>
  <c r="X25" i="12"/>
  <c r="E28" i="12"/>
  <c r="F28" i="12"/>
  <c r="G28" i="12"/>
  <c r="G30" i="12"/>
  <c r="H28" i="12"/>
  <c r="I28" i="12"/>
  <c r="I30" i="12"/>
  <c r="J28" i="12"/>
  <c r="J30" i="12"/>
  <c r="K28" i="12"/>
  <c r="L28" i="12"/>
  <c r="M28" i="12"/>
  <c r="N28" i="12"/>
  <c r="O28" i="12"/>
  <c r="O30" i="12"/>
  <c r="P28" i="12"/>
  <c r="Q28" i="12"/>
  <c r="Q30" i="12"/>
  <c r="R28" i="12"/>
  <c r="R30" i="12"/>
  <c r="S28" i="12"/>
  <c r="T28" i="12"/>
  <c r="T30" i="12"/>
  <c r="U28" i="12"/>
  <c r="V28" i="12"/>
  <c r="V30" i="12"/>
  <c r="W28" i="12"/>
  <c r="W30" i="12"/>
  <c r="X28" i="12"/>
  <c r="Y28" i="12"/>
  <c r="Y30" i="12"/>
  <c r="Z28" i="12"/>
  <c r="Z30" i="12"/>
  <c r="AA28" i="12"/>
  <c r="E29" i="12"/>
  <c r="F29" i="12"/>
  <c r="G29" i="12"/>
  <c r="G31" i="12"/>
  <c r="H29" i="12"/>
  <c r="I29" i="12"/>
  <c r="J29" i="12"/>
  <c r="K29" i="12"/>
  <c r="L29" i="12"/>
  <c r="M29" i="12"/>
  <c r="M31" i="12"/>
  <c r="N29" i="12"/>
  <c r="O29" i="12"/>
  <c r="P29" i="12"/>
  <c r="Q29" i="12"/>
  <c r="R29" i="12"/>
  <c r="R31" i="12"/>
  <c r="S29" i="12"/>
  <c r="T29" i="12"/>
  <c r="U29" i="12"/>
  <c r="V29" i="12"/>
  <c r="W29" i="12"/>
  <c r="X29" i="12"/>
  <c r="Y29" i="12"/>
  <c r="Z29" i="12"/>
  <c r="Z31" i="12"/>
  <c r="AA29" i="12"/>
  <c r="E30" i="12"/>
  <c r="F30" i="12"/>
  <c r="H30" i="12"/>
  <c r="K30" i="12"/>
  <c r="L30" i="12"/>
  <c r="M30" i="12"/>
  <c r="N30" i="12"/>
  <c r="P30" i="12"/>
  <c r="S30" i="12"/>
  <c r="U30" i="12"/>
  <c r="X30" i="12"/>
  <c r="AA30" i="12"/>
  <c r="F31" i="12"/>
  <c r="I31" i="12"/>
  <c r="L31" i="12"/>
  <c r="N31" i="12"/>
  <c r="O31" i="12"/>
  <c r="T31" i="12"/>
  <c r="V31" i="12"/>
  <c r="W31" i="12"/>
  <c r="Y31" i="12"/>
  <c r="E34" i="12"/>
  <c r="E36" i="12"/>
  <c r="F34" i="12"/>
  <c r="G34" i="12"/>
  <c r="H34" i="12"/>
  <c r="H36" i="12"/>
  <c r="I34" i="12"/>
  <c r="I36" i="12"/>
  <c r="J34" i="12"/>
  <c r="J36" i="12"/>
  <c r="K34" i="12"/>
  <c r="L34" i="12"/>
  <c r="L36" i="12"/>
  <c r="M34" i="12"/>
  <c r="M36" i="12"/>
  <c r="N34" i="12"/>
  <c r="O34" i="12"/>
  <c r="P34" i="12"/>
  <c r="P36" i="12"/>
  <c r="Q34" i="12"/>
  <c r="R34" i="12"/>
  <c r="R36" i="12"/>
  <c r="S34" i="12"/>
  <c r="T34" i="12"/>
  <c r="U34" i="12"/>
  <c r="U36" i="12"/>
  <c r="V34" i="12"/>
  <c r="W34" i="12"/>
  <c r="X34" i="12"/>
  <c r="X36" i="12"/>
  <c r="Y34" i="12"/>
  <c r="Z34" i="12"/>
  <c r="Z36" i="12"/>
  <c r="AA34" i="12"/>
  <c r="E35" i="12"/>
  <c r="F35" i="12"/>
  <c r="G35" i="12"/>
  <c r="H35" i="12"/>
  <c r="I35" i="12"/>
  <c r="J35" i="12"/>
  <c r="K35" i="12"/>
  <c r="K37" i="12"/>
  <c r="L35" i="12"/>
  <c r="M35" i="12"/>
  <c r="N35" i="12"/>
  <c r="O35" i="12"/>
  <c r="P35" i="12"/>
  <c r="Q35" i="12"/>
  <c r="R35" i="12"/>
  <c r="S35" i="12"/>
  <c r="S37" i="12"/>
  <c r="T35" i="12"/>
  <c r="U35" i="12"/>
  <c r="V35" i="12"/>
  <c r="W35" i="12"/>
  <c r="X35" i="12"/>
  <c r="Y35" i="12"/>
  <c r="Z35" i="12"/>
  <c r="AA35" i="12"/>
  <c r="F36" i="12"/>
  <c r="G36" i="12"/>
  <c r="K36" i="12"/>
  <c r="N36" i="12"/>
  <c r="O36" i="12"/>
  <c r="Q36" i="12"/>
  <c r="S36" i="12"/>
  <c r="T36" i="12"/>
  <c r="V36" i="12"/>
  <c r="W36" i="12"/>
  <c r="Y36" i="12"/>
  <c r="AA36" i="12"/>
  <c r="E37" i="12"/>
  <c r="H37" i="12"/>
  <c r="J37" i="12"/>
  <c r="M37" i="12"/>
  <c r="O37" i="12"/>
  <c r="P37" i="12"/>
  <c r="T37" i="12"/>
  <c r="U37" i="12"/>
  <c r="V37" i="12"/>
  <c r="X37" i="12"/>
  <c r="Z37" i="12"/>
  <c r="D19" i="12"/>
  <c r="D5" i="12"/>
  <c r="D6" i="12"/>
  <c r="D22" i="12"/>
  <c r="D23" i="12"/>
  <c r="D24" i="12"/>
  <c r="D25" i="12"/>
  <c r="D28" i="12"/>
  <c r="D29" i="12"/>
  <c r="D30" i="12"/>
  <c r="D34" i="12"/>
  <c r="D36" i="12"/>
  <c r="D35" i="12"/>
  <c r="D37" i="12"/>
  <c r="D18" i="12"/>
  <c r="F13" i="12"/>
  <c r="H13" i="12"/>
  <c r="I13" i="12"/>
  <c r="L13" i="12"/>
  <c r="O13" i="12"/>
  <c r="P13" i="12"/>
  <c r="Q13" i="12"/>
  <c r="R13" i="12"/>
  <c r="T13" i="12"/>
  <c r="V13" i="12"/>
  <c r="X13" i="12"/>
  <c r="Y13" i="12"/>
  <c r="Z13" i="12"/>
  <c r="D13" i="12"/>
  <c r="E12" i="12"/>
  <c r="N12" i="12"/>
  <c r="O12" i="12"/>
  <c r="X12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D4" i="12"/>
  <c r="A20" i="12"/>
  <c r="AA16" i="12"/>
  <c r="AA18" i="12"/>
  <c r="AA17" i="12"/>
  <c r="Z16" i="12"/>
  <c r="Z18" i="12"/>
  <c r="Z17" i="12"/>
  <c r="Y16" i="12"/>
  <c r="Y18" i="12"/>
  <c r="Y17" i="12"/>
  <c r="X16" i="12"/>
  <c r="X18" i="12"/>
  <c r="X17" i="12"/>
  <c r="W16" i="12"/>
  <c r="W18" i="12"/>
  <c r="W17" i="12"/>
  <c r="V16" i="12"/>
  <c r="V18" i="12"/>
  <c r="V17" i="12"/>
  <c r="U16" i="12"/>
  <c r="U18" i="12"/>
  <c r="U17" i="12"/>
  <c r="T16" i="12"/>
  <c r="T18" i="12"/>
  <c r="T17" i="12"/>
  <c r="S16" i="12"/>
  <c r="S18" i="12"/>
  <c r="S17" i="12"/>
  <c r="R16" i="12"/>
  <c r="R18" i="12"/>
  <c r="R17" i="12"/>
  <c r="Q16" i="12"/>
  <c r="Q18" i="12"/>
  <c r="Q17" i="12"/>
  <c r="P16" i="12"/>
  <c r="P18" i="12"/>
  <c r="P17" i="12"/>
  <c r="O16" i="12"/>
  <c r="O18" i="12"/>
  <c r="O17" i="12"/>
  <c r="N16" i="12"/>
  <c r="N18" i="12"/>
  <c r="N17" i="12"/>
  <c r="M16" i="12"/>
  <c r="M17" i="12"/>
  <c r="L16" i="12"/>
  <c r="L17" i="12"/>
  <c r="K16" i="12"/>
  <c r="K18" i="12"/>
  <c r="K17" i="12"/>
  <c r="J16" i="12"/>
  <c r="J18" i="12"/>
  <c r="J17" i="12"/>
  <c r="I16" i="12"/>
  <c r="I18" i="12"/>
  <c r="I17" i="12"/>
  <c r="H16" i="12"/>
  <c r="H17" i="12"/>
  <c r="G16" i="12"/>
  <c r="G18" i="12"/>
  <c r="G17" i="12"/>
  <c r="F16" i="12"/>
  <c r="F18" i="12"/>
  <c r="F17" i="12"/>
  <c r="E16" i="12"/>
  <c r="E18" i="12"/>
  <c r="E17" i="12"/>
  <c r="D16" i="12"/>
  <c r="D17" i="12"/>
  <c r="AA10" i="12"/>
  <c r="AA12" i="12"/>
  <c r="AA11" i="12"/>
  <c r="Z10" i="12"/>
  <c r="Z12" i="12"/>
  <c r="Z11" i="12"/>
  <c r="Y10" i="12"/>
  <c r="Y12" i="12"/>
  <c r="Y11" i="12"/>
  <c r="X10" i="12"/>
  <c r="X11" i="12"/>
  <c r="W10" i="12"/>
  <c r="W12" i="12"/>
  <c r="W11" i="12"/>
  <c r="V10" i="12"/>
  <c r="V12" i="12"/>
  <c r="V11" i="12"/>
  <c r="U10" i="12"/>
  <c r="U12" i="12"/>
  <c r="U11" i="12"/>
  <c r="T10" i="12"/>
  <c r="T12" i="12"/>
  <c r="T11" i="12"/>
  <c r="S10" i="12"/>
  <c r="S12" i="12"/>
  <c r="S11" i="12"/>
  <c r="R10" i="12"/>
  <c r="R12" i="12"/>
  <c r="R11" i="12"/>
  <c r="Q10" i="12"/>
  <c r="Q12" i="12"/>
  <c r="Q11" i="12"/>
  <c r="P10" i="12"/>
  <c r="P12" i="12"/>
  <c r="P11" i="12"/>
  <c r="O10" i="12"/>
  <c r="O11" i="12"/>
  <c r="N10" i="12"/>
  <c r="N11" i="12"/>
  <c r="M10" i="12"/>
  <c r="M12" i="12"/>
  <c r="M11" i="12"/>
  <c r="M13" i="12"/>
  <c r="L10" i="12"/>
  <c r="L12" i="12"/>
  <c r="L11" i="12"/>
  <c r="K10" i="12"/>
  <c r="K12" i="12"/>
  <c r="K11" i="12"/>
  <c r="J10" i="12"/>
  <c r="J12" i="12"/>
  <c r="J11" i="12"/>
  <c r="I10" i="12"/>
  <c r="I12" i="12"/>
  <c r="I11" i="12"/>
  <c r="H10" i="12"/>
  <c r="H12" i="12"/>
  <c r="H11" i="12"/>
  <c r="G10" i="12"/>
  <c r="G12" i="12"/>
  <c r="G11" i="12"/>
  <c r="G13" i="12"/>
  <c r="F10" i="12"/>
  <c r="F12" i="12"/>
  <c r="F11" i="12"/>
  <c r="E10" i="12"/>
  <c r="E11" i="12"/>
  <c r="D10" i="12"/>
  <c r="D12" i="12"/>
  <c r="D11" i="12"/>
  <c r="A16" i="11"/>
  <c r="E34" i="11"/>
  <c r="E36" i="11"/>
  <c r="F34" i="11"/>
  <c r="G34" i="11"/>
  <c r="H34" i="11"/>
  <c r="H36" i="11"/>
  <c r="I34" i="11"/>
  <c r="J34" i="11"/>
  <c r="K34" i="11"/>
  <c r="L34" i="11"/>
  <c r="L36" i="11"/>
  <c r="M34" i="11"/>
  <c r="M36" i="11"/>
  <c r="N34" i="11"/>
  <c r="O34" i="11"/>
  <c r="P34" i="11"/>
  <c r="P36" i="11"/>
  <c r="Q34" i="11"/>
  <c r="R34" i="11"/>
  <c r="S34" i="11"/>
  <c r="T34" i="11"/>
  <c r="U34" i="11"/>
  <c r="U36" i="11"/>
  <c r="V34" i="11"/>
  <c r="V36" i="11"/>
  <c r="W34" i="11"/>
  <c r="X34" i="11"/>
  <c r="X36" i="11"/>
  <c r="Y34" i="11"/>
  <c r="Z34" i="11"/>
  <c r="AA34" i="11"/>
  <c r="E35" i="11"/>
  <c r="E37" i="11"/>
  <c r="F35" i="11"/>
  <c r="F37" i="11"/>
  <c r="G35" i="11"/>
  <c r="H35" i="11"/>
  <c r="I35" i="11"/>
  <c r="I37" i="11"/>
  <c r="J35" i="11"/>
  <c r="K35" i="11"/>
  <c r="L35" i="11"/>
  <c r="M35" i="11"/>
  <c r="N35" i="11"/>
  <c r="N37" i="11"/>
  <c r="O35" i="11"/>
  <c r="P35" i="11"/>
  <c r="Q35" i="11"/>
  <c r="Q37" i="11"/>
  <c r="R35" i="11"/>
  <c r="S35" i="11"/>
  <c r="S37" i="11"/>
  <c r="T35" i="11"/>
  <c r="U35" i="11"/>
  <c r="U37" i="11"/>
  <c r="V35" i="11"/>
  <c r="V37" i="11"/>
  <c r="W35" i="11"/>
  <c r="X35" i="11"/>
  <c r="Y35" i="11"/>
  <c r="Y37" i="11"/>
  <c r="Z35" i="11"/>
  <c r="AA35" i="11"/>
  <c r="D35" i="11"/>
  <c r="D34" i="11"/>
  <c r="AA36" i="11"/>
  <c r="A20" i="11"/>
  <c r="AA5" i="11"/>
  <c r="AA6" i="11"/>
  <c r="A18" i="11"/>
  <c r="Z36" i="11"/>
  <c r="Z5" i="11"/>
  <c r="Z7" i="11"/>
  <c r="Z6" i="11"/>
  <c r="Y36" i="11"/>
  <c r="Y5" i="11"/>
  <c r="Y6" i="11"/>
  <c r="X37" i="11"/>
  <c r="X5" i="11"/>
  <c r="X6" i="11"/>
  <c r="W36" i="11"/>
  <c r="W37" i="11"/>
  <c r="W5" i="11"/>
  <c r="W6" i="11"/>
  <c r="W7" i="11"/>
  <c r="W8" i="11"/>
  <c r="V5" i="11"/>
  <c r="V7" i="11"/>
  <c r="V6" i="11"/>
  <c r="U5" i="11"/>
  <c r="U7" i="11"/>
  <c r="U38" i="11"/>
  <c r="U6" i="11"/>
  <c r="T36" i="11"/>
  <c r="T5" i="11"/>
  <c r="T6" i="11"/>
  <c r="S36" i="11"/>
  <c r="S5" i="11"/>
  <c r="S7" i="11"/>
  <c r="S6" i="11"/>
  <c r="R36" i="11"/>
  <c r="R37" i="11"/>
  <c r="R5" i="11"/>
  <c r="R7" i="11"/>
  <c r="R26" i="11"/>
  <c r="R6" i="11"/>
  <c r="Q36" i="11"/>
  <c r="Q5" i="11"/>
  <c r="Q6" i="11"/>
  <c r="P5" i="11"/>
  <c r="P6" i="11"/>
  <c r="O36" i="11"/>
  <c r="O37" i="11"/>
  <c r="O5" i="11"/>
  <c r="O7" i="11"/>
  <c r="O6" i="11"/>
  <c r="N36" i="11"/>
  <c r="N5" i="11"/>
  <c r="N6" i="11"/>
  <c r="M37" i="11"/>
  <c r="M5" i="11"/>
  <c r="M6" i="11"/>
  <c r="L5" i="11"/>
  <c r="L6" i="11"/>
  <c r="K36" i="11"/>
  <c r="K37" i="11"/>
  <c r="K5" i="11"/>
  <c r="K7" i="11"/>
  <c r="K6" i="11"/>
  <c r="J36" i="11"/>
  <c r="J37" i="11"/>
  <c r="J5" i="11"/>
  <c r="J6" i="11"/>
  <c r="I36" i="11"/>
  <c r="I5" i="11"/>
  <c r="I6" i="11"/>
  <c r="H37" i="11"/>
  <c r="H5" i="11"/>
  <c r="H6" i="11"/>
  <c r="G36" i="11"/>
  <c r="G37" i="11"/>
  <c r="G5" i="11"/>
  <c r="G6" i="11"/>
  <c r="F36" i="11"/>
  <c r="F5" i="11"/>
  <c r="F6" i="11"/>
  <c r="E5" i="11"/>
  <c r="E7" i="11"/>
  <c r="E14" i="11"/>
  <c r="E6" i="11"/>
  <c r="D36" i="11"/>
  <c r="D5" i="11"/>
  <c r="D6" i="11"/>
  <c r="E28" i="11"/>
  <c r="E30" i="11"/>
  <c r="F28" i="11"/>
  <c r="G28" i="11"/>
  <c r="H28" i="11"/>
  <c r="H30" i="11"/>
  <c r="I28" i="11"/>
  <c r="J28" i="11"/>
  <c r="K28" i="11"/>
  <c r="L28" i="11"/>
  <c r="M28" i="11"/>
  <c r="M30" i="11"/>
  <c r="N28" i="11"/>
  <c r="O28" i="11"/>
  <c r="P28" i="11"/>
  <c r="P30" i="11"/>
  <c r="Q28" i="11"/>
  <c r="Q30" i="11"/>
  <c r="R28" i="11"/>
  <c r="S28" i="11"/>
  <c r="T28" i="11"/>
  <c r="U28" i="11"/>
  <c r="U30" i="11"/>
  <c r="V28" i="11"/>
  <c r="W28" i="11"/>
  <c r="X28" i="11"/>
  <c r="X30" i="11"/>
  <c r="Y28" i="11"/>
  <c r="Y30" i="11"/>
  <c r="Z28" i="11"/>
  <c r="AA28" i="11"/>
  <c r="E29" i="11"/>
  <c r="F29" i="11"/>
  <c r="G29" i="11"/>
  <c r="H29" i="11"/>
  <c r="I29" i="11"/>
  <c r="I31" i="11"/>
  <c r="J29" i="11"/>
  <c r="J31" i="11"/>
  <c r="K29" i="11"/>
  <c r="K31" i="11"/>
  <c r="L29" i="11"/>
  <c r="L31" i="11"/>
  <c r="M29" i="11"/>
  <c r="N29" i="11"/>
  <c r="N31" i="11"/>
  <c r="O29" i="11"/>
  <c r="P29" i="11"/>
  <c r="Q29" i="11"/>
  <c r="Q31" i="11"/>
  <c r="R29" i="11"/>
  <c r="R31" i="11"/>
  <c r="S29" i="11"/>
  <c r="T29" i="11"/>
  <c r="T31" i="11"/>
  <c r="U29" i="11"/>
  <c r="V29" i="11"/>
  <c r="V31" i="11"/>
  <c r="W29" i="11"/>
  <c r="X29" i="11"/>
  <c r="Y29" i="11"/>
  <c r="Y31" i="11"/>
  <c r="Z29" i="11"/>
  <c r="AA29" i="11"/>
  <c r="AA31" i="11"/>
  <c r="D29" i="11"/>
  <c r="D31" i="11"/>
  <c r="D28" i="11"/>
  <c r="AA30" i="11"/>
  <c r="Z30" i="11"/>
  <c r="Z31" i="11"/>
  <c r="X31" i="11"/>
  <c r="W30" i="11"/>
  <c r="W31" i="11"/>
  <c r="V30" i="11"/>
  <c r="U31" i="11"/>
  <c r="T30" i="11"/>
  <c r="S30" i="11"/>
  <c r="S31" i="11"/>
  <c r="R30" i="11"/>
  <c r="P31" i="11"/>
  <c r="O30" i="11"/>
  <c r="O31" i="11"/>
  <c r="N30" i="11"/>
  <c r="M31" i="11"/>
  <c r="L30" i="11"/>
  <c r="K30" i="11"/>
  <c r="J30" i="11"/>
  <c r="I30" i="11"/>
  <c r="H31" i="11"/>
  <c r="G30" i="11"/>
  <c r="G31" i="11"/>
  <c r="F30" i="11"/>
  <c r="F31" i="11"/>
  <c r="E31" i="11"/>
  <c r="D30" i="11"/>
  <c r="E22" i="11"/>
  <c r="E24" i="11"/>
  <c r="F22" i="11"/>
  <c r="G22" i="11"/>
  <c r="H22" i="11"/>
  <c r="I22" i="11"/>
  <c r="J22" i="11"/>
  <c r="K22" i="11"/>
  <c r="L22" i="11"/>
  <c r="L24" i="11"/>
  <c r="M22" i="11"/>
  <c r="N22" i="11"/>
  <c r="N24" i="11"/>
  <c r="O22" i="11"/>
  <c r="P22" i="11"/>
  <c r="P24" i="11"/>
  <c r="Q22" i="11"/>
  <c r="R22" i="11"/>
  <c r="S22" i="11"/>
  <c r="S24" i="11"/>
  <c r="T22" i="11"/>
  <c r="U22" i="11"/>
  <c r="U24" i="11"/>
  <c r="V22" i="11"/>
  <c r="V24" i="11"/>
  <c r="W22" i="11"/>
  <c r="X22" i="11"/>
  <c r="Y22" i="11"/>
  <c r="Z22" i="11"/>
  <c r="AA22" i="11"/>
  <c r="E23" i="11"/>
  <c r="E25" i="11"/>
  <c r="F23" i="11"/>
  <c r="F25" i="11"/>
  <c r="G23" i="11"/>
  <c r="G25" i="11"/>
  <c r="H23" i="11"/>
  <c r="I23" i="11"/>
  <c r="J23" i="11"/>
  <c r="J25" i="11"/>
  <c r="K23" i="11"/>
  <c r="L23" i="11"/>
  <c r="L25" i="11"/>
  <c r="M23" i="11"/>
  <c r="M25" i="11"/>
  <c r="N23" i="11"/>
  <c r="N25" i="11"/>
  <c r="O23" i="11"/>
  <c r="O25" i="11"/>
  <c r="P23" i="11"/>
  <c r="Q23" i="11"/>
  <c r="Q25" i="11"/>
  <c r="R23" i="11"/>
  <c r="S23" i="11"/>
  <c r="T23" i="11"/>
  <c r="U23" i="11"/>
  <c r="U25" i="11"/>
  <c r="V23" i="11"/>
  <c r="V25" i="11"/>
  <c r="W23" i="11"/>
  <c r="W25" i="11"/>
  <c r="X23" i="11"/>
  <c r="Y23" i="11"/>
  <c r="Z23" i="11"/>
  <c r="AA23" i="11"/>
  <c r="D23" i="11"/>
  <c r="D22" i="11"/>
  <c r="D24" i="11"/>
  <c r="AA24" i="11"/>
  <c r="AA25" i="11"/>
  <c r="Z24" i="11"/>
  <c r="Z25" i="11"/>
  <c r="Y24" i="11"/>
  <c r="Y25" i="11"/>
  <c r="X24" i="11"/>
  <c r="X25" i="11"/>
  <c r="W24" i="11"/>
  <c r="T24" i="11"/>
  <c r="T25" i="11"/>
  <c r="S25" i="11"/>
  <c r="R24" i="11"/>
  <c r="R25" i="11"/>
  <c r="Q24" i="11"/>
  <c r="P25" i="11"/>
  <c r="O24" i="11"/>
  <c r="M24" i="11"/>
  <c r="K24" i="11"/>
  <c r="K25" i="11"/>
  <c r="J24" i="11"/>
  <c r="I24" i="11"/>
  <c r="I25" i="11"/>
  <c r="H24" i="11"/>
  <c r="H25" i="11"/>
  <c r="G24" i="11"/>
  <c r="F24" i="11"/>
  <c r="D25" i="11"/>
  <c r="F16" i="11"/>
  <c r="F18" i="11"/>
  <c r="G16" i="11"/>
  <c r="G18" i="11"/>
  <c r="H16" i="11"/>
  <c r="H18" i="11"/>
  <c r="I16" i="11"/>
  <c r="I18" i="11"/>
  <c r="J16" i="11"/>
  <c r="J18" i="11"/>
  <c r="K16" i="11"/>
  <c r="K18" i="11"/>
  <c r="L16" i="11"/>
  <c r="L18" i="11"/>
  <c r="M16" i="11"/>
  <c r="M18" i="11"/>
  <c r="N16" i="11"/>
  <c r="N18" i="11"/>
  <c r="O16" i="11"/>
  <c r="O18" i="11"/>
  <c r="P16" i="11"/>
  <c r="P18" i="11"/>
  <c r="Q16" i="11"/>
  <c r="Q18" i="11"/>
  <c r="R16" i="11"/>
  <c r="R18" i="11"/>
  <c r="S16" i="11"/>
  <c r="S18" i="11"/>
  <c r="T16" i="11"/>
  <c r="T18" i="11"/>
  <c r="U16" i="11"/>
  <c r="U18" i="11"/>
  <c r="V16" i="11"/>
  <c r="V18" i="11"/>
  <c r="W16" i="11"/>
  <c r="W18" i="11"/>
  <c r="X16" i="11"/>
  <c r="X18" i="11"/>
  <c r="Y16" i="11"/>
  <c r="Y18" i="11"/>
  <c r="Z16" i="11"/>
  <c r="Z18" i="11"/>
  <c r="AA16" i="11"/>
  <c r="AA18" i="11"/>
  <c r="F17" i="11"/>
  <c r="F19" i="11"/>
  <c r="G17" i="11"/>
  <c r="G19" i="11"/>
  <c r="H17" i="11"/>
  <c r="H19" i="11"/>
  <c r="I17" i="11"/>
  <c r="I19" i="11"/>
  <c r="J17" i="11"/>
  <c r="J19" i="11"/>
  <c r="K17" i="11"/>
  <c r="K19" i="11"/>
  <c r="L17" i="11"/>
  <c r="L19" i="11"/>
  <c r="M17" i="11"/>
  <c r="M19" i="11"/>
  <c r="N17" i="11"/>
  <c r="N19" i="11"/>
  <c r="O17" i="11"/>
  <c r="O19" i="11"/>
  <c r="P17" i="11"/>
  <c r="P19" i="11"/>
  <c r="Q17" i="11"/>
  <c r="Q19" i="11"/>
  <c r="R17" i="11"/>
  <c r="R19" i="11"/>
  <c r="S17" i="11"/>
  <c r="S19" i="11"/>
  <c r="T17" i="11"/>
  <c r="T19" i="11"/>
  <c r="U17" i="11"/>
  <c r="U19" i="11"/>
  <c r="V17" i="11"/>
  <c r="V19" i="11"/>
  <c r="W17" i="11"/>
  <c r="W19" i="11"/>
  <c r="X17" i="11"/>
  <c r="X19" i="11"/>
  <c r="Y17" i="11"/>
  <c r="Y19" i="11"/>
  <c r="Z17" i="11"/>
  <c r="Z19" i="11"/>
  <c r="AA17" i="11"/>
  <c r="AA19" i="11"/>
  <c r="E16" i="11"/>
  <c r="E18" i="11"/>
  <c r="E17" i="11"/>
  <c r="E19" i="11"/>
  <c r="D16" i="11"/>
  <c r="D18" i="11"/>
  <c r="D17" i="11"/>
  <c r="D19" i="11"/>
  <c r="E10" i="11"/>
  <c r="E12" i="11"/>
  <c r="E11" i="11"/>
  <c r="E13" i="11"/>
  <c r="F10" i="11"/>
  <c r="F12" i="11"/>
  <c r="F11" i="11"/>
  <c r="F13" i="11"/>
  <c r="G10" i="11"/>
  <c r="G12" i="11"/>
  <c r="G11" i="11"/>
  <c r="G13" i="11"/>
  <c r="H10" i="11"/>
  <c r="H12" i="11"/>
  <c r="H11" i="11"/>
  <c r="H13" i="11"/>
  <c r="I10" i="11"/>
  <c r="I12" i="11"/>
  <c r="I11" i="11"/>
  <c r="I13" i="11"/>
  <c r="J10" i="11"/>
  <c r="J12" i="11"/>
  <c r="J11" i="11"/>
  <c r="J13" i="11"/>
  <c r="K10" i="11"/>
  <c r="K12" i="11"/>
  <c r="K11" i="11"/>
  <c r="K13" i="11"/>
  <c r="L10" i="11"/>
  <c r="L12" i="11"/>
  <c r="L11" i="11"/>
  <c r="L13" i="11"/>
  <c r="M10" i="11"/>
  <c r="M12" i="11"/>
  <c r="M11" i="11"/>
  <c r="M13" i="11"/>
  <c r="N10" i="11"/>
  <c r="N12" i="11"/>
  <c r="N11" i="11"/>
  <c r="N13" i="11"/>
  <c r="O10" i="11"/>
  <c r="O12" i="11"/>
  <c r="O11" i="11"/>
  <c r="O13" i="11"/>
  <c r="P10" i="11"/>
  <c r="P12" i="11"/>
  <c r="P11" i="11"/>
  <c r="P13" i="11"/>
  <c r="Q10" i="11"/>
  <c r="Q12" i="11"/>
  <c r="Q11" i="11"/>
  <c r="Q13" i="11"/>
  <c r="R10" i="11"/>
  <c r="R12" i="11"/>
  <c r="R11" i="11"/>
  <c r="R13" i="11"/>
  <c r="S10" i="11"/>
  <c r="S12" i="11"/>
  <c r="S11" i="11"/>
  <c r="S13" i="11"/>
  <c r="T10" i="11"/>
  <c r="T12" i="11"/>
  <c r="T11" i="11"/>
  <c r="T13" i="11"/>
  <c r="U10" i="11"/>
  <c r="U12" i="11"/>
  <c r="U11" i="11"/>
  <c r="U13" i="11"/>
  <c r="V10" i="11"/>
  <c r="V12" i="11"/>
  <c r="V11" i="11"/>
  <c r="V13" i="11"/>
  <c r="W10" i="11"/>
  <c r="W12" i="11"/>
  <c r="W11" i="11"/>
  <c r="W13" i="11"/>
  <c r="X10" i="11"/>
  <c r="X12" i="11"/>
  <c r="X11" i="11"/>
  <c r="X13" i="11"/>
  <c r="Y10" i="11"/>
  <c r="Y12" i="11"/>
  <c r="Y11" i="11"/>
  <c r="Y13" i="11"/>
  <c r="Z10" i="11"/>
  <c r="Z12" i="11"/>
  <c r="Z11" i="11"/>
  <c r="Z13" i="11"/>
  <c r="AA10" i="11"/>
  <c r="AA12" i="11"/>
  <c r="AA11" i="11"/>
  <c r="AA13" i="11"/>
  <c r="D10" i="11"/>
  <c r="D12" i="11"/>
  <c r="D11" i="11"/>
  <c r="D13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E4" i="11"/>
  <c r="D4" i="11"/>
  <c r="J45" i="8"/>
  <c r="K45" i="8"/>
  <c r="L45" i="8"/>
  <c r="M45" i="8"/>
  <c r="N45" i="8"/>
  <c r="O45" i="8"/>
  <c r="P45" i="8"/>
  <c r="J46" i="8"/>
  <c r="K46" i="8"/>
  <c r="L46" i="8"/>
  <c r="M46" i="8"/>
  <c r="N46" i="8"/>
  <c r="O46" i="8"/>
  <c r="P46" i="8"/>
  <c r="J47" i="8"/>
  <c r="K47" i="8"/>
  <c r="L47" i="8"/>
  <c r="M47" i="8"/>
  <c r="N47" i="8"/>
  <c r="O47" i="8"/>
  <c r="P47" i="8"/>
  <c r="J48" i="8"/>
  <c r="K48" i="8"/>
  <c r="L48" i="8"/>
  <c r="M48" i="8"/>
  <c r="N48" i="8"/>
  <c r="O48" i="8"/>
  <c r="P48" i="8"/>
  <c r="K44" i="8"/>
  <c r="L44" i="8"/>
  <c r="M44" i="8"/>
  <c r="N44" i="8"/>
  <c r="O44" i="8"/>
  <c r="P44" i="8"/>
  <c r="J44" i="8"/>
  <c r="I44" i="8"/>
  <c r="I45" i="8"/>
  <c r="I46" i="8"/>
  <c r="I47" i="8"/>
  <c r="I48" i="8"/>
  <c r="I39" i="8"/>
  <c r="J39" i="8"/>
  <c r="K39" i="8"/>
  <c r="L39" i="8"/>
  <c r="M39" i="8"/>
  <c r="N39" i="8"/>
  <c r="H39" i="8"/>
  <c r="I38" i="8"/>
  <c r="J38" i="8"/>
  <c r="K38" i="8"/>
  <c r="L38" i="8"/>
  <c r="M38" i="8"/>
  <c r="N38" i="8"/>
  <c r="H38" i="8"/>
  <c r="H37" i="8"/>
  <c r="I37" i="8"/>
  <c r="J37" i="8"/>
  <c r="K37" i="8"/>
  <c r="L37" i="8"/>
  <c r="M37" i="8"/>
  <c r="N37" i="8"/>
  <c r="D3" i="2"/>
  <c r="E14" i="5"/>
  <c r="F8" i="9"/>
  <c r="F9" i="9"/>
  <c r="F10" i="9"/>
  <c r="F11" i="9"/>
  <c r="F7" i="9"/>
  <c r="F2" i="9"/>
  <c r="F3" i="9"/>
  <c r="F77" i="8"/>
  <c r="F78" i="8"/>
  <c r="G77" i="8"/>
  <c r="H77" i="8"/>
  <c r="I77" i="8"/>
  <c r="I78" i="8"/>
  <c r="J77" i="8"/>
  <c r="K77" i="8"/>
  <c r="K78" i="8"/>
  <c r="E77" i="8"/>
  <c r="E78" i="8"/>
  <c r="F76" i="8"/>
  <c r="F79" i="8"/>
  <c r="G76" i="8"/>
  <c r="G79" i="8"/>
  <c r="H76" i="8"/>
  <c r="H79" i="8"/>
  <c r="I76" i="8"/>
  <c r="I79" i="8"/>
  <c r="J76" i="8"/>
  <c r="J79" i="8"/>
  <c r="K76" i="8"/>
  <c r="K79" i="8"/>
  <c r="E76" i="8"/>
  <c r="E79" i="8"/>
  <c r="G78" i="8"/>
  <c r="H78" i="8"/>
  <c r="J78" i="8"/>
  <c r="C68" i="8"/>
  <c r="E21" i="8"/>
  <c r="F18" i="8"/>
  <c r="N4" i="3"/>
  <c r="O3" i="3"/>
  <c r="F14" i="8"/>
  <c r="F15" i="8"/>
  <c r="F16" i="8"/>
  <c r="F19" i="8"/>
  <c r="F20" i="8"/>
  <c r="C36" i="7"/>
  <c r="C37" i="7"/>
  <c r="F35" i="7"/>
  <c r="C33" i="7"/>
  <c r="D31" i="7"/>
  <c r="D33" i="7"/>
  <c r="E33" i="7"/>
  <c r="E34" i="7"/>
  <c r="E35" i="7"/>
  <c r="D35" i="7"/>
  <c r="C35" i="7"/>
  <c r="E32" i="7"/>
  <c r="E31" i="7"/>
  <c r="C22" i="7"/>
  <c r="C23" i="7"/>
  <c r="F21" i="7"/>
  <c r="C19" i="7"/>
  <c r="D17" i="7"/>
  <c r="D19" i="7"/>
  <c r="D21" i="7"/>
  <c r="E20" i="7"/>
  <c r="E18" i="7"/>
  <c r="E17" i="7"/>
  <c r="C8" i="7"/>
  <c r="C9" i="7"/>
  <c r="F7" i="7"/>
  <c r="C5" i="7"/>
  <c r="C7" i="7"/>
  <c r="D3" i="7"/>
  <c r="D5" i="7"/>
  <c r="D7" i="7"/>
  <c r="E5" i="7"/>
  <c r="E6" i="7"/>
  <c r="E7" i="7"/>
  <c r="E4" i="7"/>
  <c r="E3" i="7"/>
  <c r="G38" i="6"/>
  <c r="H38" i="6"/>
  <c r="E38" i="6"/>
  <c r="F38" i="6"/>
  <c r="G37" i="6"/>
  <c r="H37" i="6"/>
  <c r="E37" i="6"/>
  <c r="F37" i="6"/>
  <c r="G36" i="6"/>
  <c r="H36" i="6"/>
  <c r="E36" i="6"/>
  <c r="F36" i="6"/>
  <c r="G35" i="6"/>
  <c r="H35" i="6"/>
  <c r="E35" i="6"/>
  <c r="F35" i="6"/>
  <c r="G34" i="6"/>
  <c r="H34" i="6"/>
  <c r="E34" i="6"/>
  <c r="F34" i="6"/>
  <c r="G33" i="6"/>
  <c r="H33" i="6"/>
  <c r="E33" i="6"/>
  <c r="F33" i="6"/>
  <c r="G32" i="6"/>
  <c r="H32" i="6"/>
  <c r="E32" i="6"/>
  <c r="F32" i="6"/>
  <c r="G31" i="6"/>
  <c r="H31" i="6"/>
  <c r="E31" i="6"/>
  <c r="F31" i="6"/>
  <c r="G30" i="6"/>
  <c r="H30" i="6"/>
  <c r="E30" i="6"/>
  <c r="F30" i="6"/>
  <c r="G29" i="6"/>
  <c r="H29" i="6"/>
  <c r="E29" i="6"/>
  <c r="F29" i="6"/>
  <c r="G28" i="6"/>
  <c r="H28" i="6"/>
  <c r="E28" i="6"/>
  <c r="F28" i="6"/>
  <c r="G27" i="6"/>
  <c r="H27" i="6"/>
  <c r="E27" i="6"/>
  <c r="F27" i="6"/>
  <c r="G26" i="6"/>
  <c r="H26" i="6"/>
  <c r="E26" i="6"/>
  <c r="F26" i="6"/>
  <c r="G25" i="6"/>
  <c r="H25" i="6"/>
  <c r="E25" i="6"/>
  <c r="F25" i="6"/>
  <c r="G24" i="6"/>
  <c r="H24" i="6"/>
  <c r="E24" i="6"/>
  <c r="F24" i="6"/>
  <c r="G23" i="6"/>
  <c r="H23" i="6"/>
  <c r="E23" i="6"/>
  <c r="F23" i="6"/>
  <c r="G22" i="6"/>
  <c r="H22" i="6"/>
  <c r="E22" i="6"/>
  <c r="F22" i="6"/>
  <c r="G19" i="6"/>
  <c r="H19" i="6"/>
  <c r="E19" i="6"/>
  <c r="F19" i="6"/>
  <c r="G18" i="6"/>
  <c r="H18" i="6"/>
  <c r="E18" i="6"/>
  <c r="F18" i="6"/>
  <c r="G17" i="6"/>
  <c r="H17" i="6"/>
  <c r="E17" i="6"/>
  <c r="F17" i="6"/>
  <c r="G16" i="6"/>
  <c r="H16" i="6"/>
  <c r="E16" i="6"/>
  <c r="F16" i="6"/>
  <c r="G15" i="6"/>
  <c r="H15" i="6"/>
  <c r="E15" i="6"/>
  <c r="F15" i="6"/>
  <c r="G14" i="6"/>
  <c r="H14" i="6"/>
  <c r="E14" i="6"/>
  <c r="F14" i="6"/>
  <c r="G13" i="6"/>
  <c r="H13" i="6"/>
  <c r="E13" i="6"/>
  <c r="F13" i="6"/>
  <c r="G12" i="6"/>
  <c r="H12" i="6"/>
  <c r="E12" i="6"/>
  <c r="F12" i="6"/>
  <c r="G11" i="6"/>
  <c r="H11" i="6"/>
  <c r="E11" i="6"/>
  <c r="F11" i="6"/>
  <c r="G10" i="6"/>
  <c r="H10" i="6"/>
  <c r="E10" i="6"/>
  <c r="F10" i="6"/>
  <c r="G9" i="6"/>
  <c r="H9" i="6"/>
  <c r="E9" i="6"/>
  <c r="F9" i="6"/>
  <c r="G8" i="6"/>
  <c r="H8" i="6"/>
  <c r="E8" i="6"/>
  <c r="F8" i="6"/>
  <c r="G7" i="6"/>
  <c r="H7" i="6"/>
  <c r="E7" i="6"/>
  <c r="F7" i="6"/>
  <c r="G6" i="6"/>
  <c r="H6" i="6"/>
  <c r="E6" i="6"/>
  <c r="F6" i="6"/>
  <c r="G5" i="6"/>
  <c r="H5" i="6"/>
  <c r="E5" i="6"/>
  <c r="F5" i="6"/>
  <c r="G4" i="6"/>
  <c r="H4" i="6"/>
  <c r="E4" i="6"/>
  <c r="F4" i="6"/>
  <c r="G3" i="6"/>
  <c r="H3" i="6"/>
  <c r="E3" i="6"/>
  <c r="F3" i="6"/>
  <c r="F3" i="2"/>
  <c r="E31" i="5"/>
  <c r="E24" i="5"/>
  <c r="J24" i="5"/>
  <c r="E17" i="5"/>
  <c r="J17" i="5"/>
  <c r="I17" i="5"/>
  <c r="H17" i="5"/>
  <c r="G17" i="5"/>
  <c r="F17" i="5"/>
  <c r="E16" i="5"/>
  <c r="J16" i="5"/>
  <c r="E15" i="5"/>
  <c r="F15" i="5"/>
  <c r="J15" i="5"/>
  <c r="I15" i="5"/>
  <c r="H15" i="5"/>
  <c r="G15" i="5"/>
  <c r="F14" i="5"/>
  <c r="E13" i="5"/>
  <c r="I13" i="5"/>
  <c r="E12" i="5"/>
  <c r="H12" i="5"/>
  <c r="J12" i="5"/>
  <c r="I12" i="5"/>
  <c r="G12" i="5"/>
  <c r="F12" i="5"/>
  <c r="E10" i="5"/>
  <c r="J10" i="5"/>
  <c r="I10" i="5"/>
  <c r="E9" i="5"/>
  <c r="J9" i="5"/>
  <c r="I9" i="5"/>
  <c r="H9" i="5"/>
  <c r="G9" i="5"/>
  <c r="F9" i="5"/>
  <c r="E7" i="5"/>
  <c r="J7" i="5"/>
  <c r="I7" i="5"/>
  <c r="E6" i="5"/>
  <c r="J6" i="5"/>
  <c r="I6" i="5"/>
  <c r="H6" i="5"/>
  <c r="G6" i="5"/>
  <c r="F6" i="5"/>
  <c r="E4" i="5"/>
  <c r="J4" i="5"/>
  <c r="I4" i="5"/>
  <c r="E3" i="5"/>
  <c r="F3" i="5"/>
  <c r="J3" i="5"/>
  <c r="I3" i="5"/>
  <c r="H3" i="5"/>
  <c r="G3" i="5"/>
  <c r="L5" i="3"/>
  <c r="M3" i="3"/>
  <c r="K5" i="3"/>
  <c r="H5" i="3"/>
  <c r="I3" i="3"/>
  <c r="G5" i="3"/>
  <c r="E4" i="3"/>
  <c r="E3" i="3"/>
  <c r="C5" i="3"/>
  <c r="G4" i="3"/>
  <c r="C4" i="3"/>
  <c r="U39" i="11"/>
  <c r="W9" i="11"/>
  <c r="E15" i="11"/>
  <c r="R27" i="11"/>
  <c r="D7" i="11"/>
  <c r="D14" i="11"/>
  <c r="D15" i="11"/>
  <c r="I7" i="11"/>
  <c r="I32" i="11"/>
  <c r="I33" i="11"/>
  <c r="R14" i="11"/>
  <c r="R15" i="11"/>
  <c r="G7" i="11"/>
  <c r="G14" i="11"/>
  <c r="G15" i="11"/>
  <c r="P7" i="11"/>
  <c r="P14" i="11"/>
  <c r="P15" i="11"/>
  <c r="Y7" i="11"/>
  <c r="Y8" i="11"/>
  <c r="Y9" i="11"/>
  <c r="L7" i="11"/>
  <c r="L32" i="11"/>
  <c r="L33" i="11"/>
  <c r="O8" i="11"/>
  <c r="O9" i="11"/>
  <c r="U8" i="11"/>
  <c r="U9" i="11"/>
  <c r="H7" i="11"/>
  <c r="H32" i="11"/>
  <c r="H33" i="11"/>
  <c r="R8" i="11"/>
  <c r="R9" i="11"/>
  <c r="K8" i="11"/>
  <c r="K9" i="11"/>
  <c r="F7" i="11"/>
  <c r="F38" i="11"/>
  <c r="F39" i="11"/>
  <c r="O38" i="11"/>
  <c r="O39" i="11"/>
  <c r="R20" i="11"/>
  <c r="R21" i="11"/>
  <c r="Z26" i="11"/>
  <c r="Z27" i="11"/>
  <c r="S20" i="11"/>
  <c r="S21" i="11"/>
  <c r="K14" i="11"/>
  <c r="K15" i="11"/>
  <c r="K38" i="11"/>
  <c r="K39" i="11"/>
  <c r="D26" i="11"/>
  <c r="D27" i="11"/>
  <c r="E38" i="11"/>
  <c r="E39" i="11"/>
  <c r="P32" i="11"/>
  <c r="P33" i="11"/>
  <c r="R38" i="11"/>
  <c r="R39" i="11"/>
  <c r="K20" i="11"/>
  <c r="K21" i="11"/>
  <c r="J11" i="15"/>
  <c r="J22" i="15"/>
  <c r="J10" i="15"/>
  <c r="J24" i="15"/>
  <c r="J20" i="15"/>
  <c r="J19" i="15"/>
  <c r="J8" i="15"/>
  <c r="J15" i="15"/>
  <c r="J6" i="15"/>
  <c r="J14" i="15"/>
  <c r="F4" i="15"/>
  <c r="F23" i="15"/>
  <c r="N4" i="15"/>
  <c r="N11" i="15"/>
  <c r="E7" i="15"/>
  <c r="E13" i="15"/>
  <c r="I7" i="15"/>
  <c r="E15" i="15"/>
  <c r="I8" i="15"/>
  <c r="I16" i="15"/>
  <c r="N4" i="13"/>
  <c r="N6" i="13"/>
  <c r="M9" i="13"/>
  <c r="M8" i="13"/>
  <c r="M6" i="13"/>
  <c r="M24" i="13"/>
  <c r="M15" i="13"/>
  <c r="M18" i="13"/>
  <c r="M17" i="13"/>
  <c r="M16" i="13"/>
  <c r="M23" i="13"/>
  <c r="M14" i="13"/>
  <c r="M7" i="13"/>
  <c r="M22" i="13"/>
  <c r="M13" i="13"/>
  <c r="M21" i="13"/>
  <c r="M12" i="13"/>
  <c r="L17" i="13"/>
  <c r="L13" i="13"/>
  <c r="K17" i="13"/>
  <c r="K15" i="13"/>
  <c r="G6" i="13"/>
  <c r="G17" i="13"/>
  <c r="G9" i="13"/>
  <c r="G24" i="13"/>
  <c r="G16" i="13"/>
  <c r="G8" i="13"/>
  <c r="E13" i="13"/>
  <c r="E24" i="13"/>
  <c r="AH39" i="12"/>
  <c r="T39" i="12"/>
  <c r="AI9" i="12"/>
  <c r="H9" i="12"/>
  <c r="AQ9" i="12"/>
  <c r="Z15" i="12"/>
  <c r="O32" i="12"/>
  <c r="O33" i="12"/>
  <c r="Y7" i="12"/>
  <c r="Y8" i="12"/>
  <c r="Y9" i="12"/>
  <c r="AE7" i="12"/>
  <c r="AE8" i="12"/>
  <c r="Q14" i="12"/>
  <c r="Q15" i="12"/>
  <c r="Q7" i="12"/>
  <c r="Q8" i="12"/>
  <c r="Q9" i="12"/>
  <c r="AN38" i="12"/>
  <c r="AN39" i="12"/>
  <c r="AM8" i="12"/>
  <c r="Y20" i="12"/>
  <c r="Y21" i="12"/>
  <c r="I7" i="12"/>
  <c r="I8" i="12"/>
  <c r="I9" i="12"/>
  <c r="V14" i="12"/>
  <c r="V15" i="12"/>
  <c r="U20" i="12"/>
  <c r="U21" i="12"/>
  <c r="Z8" i="12"/>
  <c r="Z9" i="12"/>
  <c r="J8" i="12"/>
  <c r="J9" i="12"/>
  <c r="AO8" i="12"/>
  <c r="AG8" i="12"/>
  <c r="R7" i="12"/>
  <c r="R8" i="12"/>
  <c r="R9" i="12"/>
  <c r="AN8" i="12"/>
  <c r="AN9" i="12"/>
  <c r="AF8" i="12"/>
  <c r="X8" i="12"/>
  <c r="X9" i="12"/>
  <c r="N32" i="12"/>
  <c r="N33" i="12"/>
  <c r="U7" i="12"/>
  <c r="E7" i="12"/>
  <c r="E38" i="12"/>
  <c r="E39" i="12"/>
  <c r="AL8" i="12"/>
  <c r="L14" i="12"/>
  <c r="L15" i="12"/>
  <c r="V8" i="12"/>
  <c r="V9" i="12"/>
  <c r="F8" i="12"/>
  <c r="F9" i="12"/>
  <c r="W7" i="12"/>
  <c r="G7" i="12"/>
  <c r="AD8" i="12"/>
  <c r="AD9" i="12"/>
  <c r="N8" i="12"/>
  <c r="N9" i="12"/>
  <c r="AC8" i="12"/>
  <c r="AC9" i="12"/>
  <c r="T8" i="12"/>
  <c r="T9" i="12"/>
  <c r="F14" i="12"/>
  <c r="F15" i="12"/>
  <c r="P20" i="12"/>
  <c r="P21" i="12"/>
  <c r="T20" i="12"/>
  <c r="T21" i="12"/>
  <c r="L8" i="12"/>
  <c r="L9" i="12"/>
  <c r="X14" i="12"/>
  <c r="M7" i="12"/>
  <c r="M26" i="12"/>
  <c r="M27" i="12"/>
  <c r="H14" i="12"/>
  <c r="AK8" i="12"/>
  <c r="AK9" i="12"/>
  <c r="S7" i="12"/>
  <c r="S38" i="12"/>
  <c r="S39" i="12"/>
  <c r="AH20" i="12"/>
  <c r="AH21" i="12"/>
  <c r="O14" i="12"/>
  <c r="O15" i="12"/>
  <c r="AN26" i="12"/>
  <c r="AN27" i="12"/>
  <c r="X26" i="12"/>
  <c r="X27" i="12"/>
  <c r="Z32" i="12"/>
  <c r="Z33" i="12"/>
  <c r="AH14" i="12"/>
  <c r="AH15" i="12"/>
  <c r="H38" i="12"/>
  <c r="H39" i="12"/>
  <c r="AP26" i="12"/>
  <c r="AP27" i="12"/>
  <c r="N26" i="12"/>
  <c r="N27" i="12"/>
  <c r="M32" i="12"/>
  <c r="M33" i="12"/>
  <c r="AP38" i="12"/>
  <c r="AP39" i="12"/>
  <c r="AN32" i="12"/>
  <c r="AN33" i="12"/>
  <c r="J31" i="5"/>
  <c r="I31" i="5"/>
  <c r="F31" i="5"/>
  <c r="G31" i="5"/>
  <c r="H31" i="5"/>
  <c r="M26" i="11"/>
  <c r="M27" i="11"/>
  <c r="M7" i="11"/>
  <c r="M32" i="11"/>
  <c r="M33" i="11"/>
  <c r="M20" i="11"/>
  <c r="M21" i="11"/>
  <c r="M14" i="11"/>
  <c r="M15" i="11"/>
  <c r="AI20" i="12"/>
  <c r="AI21" i="12"/>
  <c r="I18" i="15"/>
  <c r="M18" i="15"/>
  <c r="E18" i="15"/>
  <c r="K18" i="15"/>
  <c r="F19" i="15"/>
  <c r="F15" i="15"/>
  <c r="F24" i="15"/>
  <c r="F10" i="15"/>
  <c r="F6" i="15"/>
  <c r="F17" i="15"/>
  <c r="F12" i="15"/>
  <c r="F14" i="15"/>
  <c r="F8" i="15"/>
  <c r="F20" i="15"/>
  <c r="F18" i="15"/>
  <c r="F9" i="15"/>
  <c r="F16" i="15"/>
  <c r="F22" i="15"/>
  <c r="G11" i="15"/>
  <c r="K11" i="15"/>
  <c r="I11" i="15"/>
  <c r="M11" i="15"/>
  <c r="E11" i="15"/>
  <c r="M8" i="11"/>
  <c r="M9" i="11"/>
  <c r="G23" i="15"/>
  <c r="G15" i="15"/>
  <c r="G7" i="15"/>
  <c r="G20" i="15"/>
  <c r="G8" i="15"/>
  <c r="G12" i="15"/>
  <c r="G16" i="15"/>
  <c r="G14" i="15"/>
  <c r="H4" i="5"/>
  <c r="G4" i="5"/>
  <c r="F4" i="5"/>
  <c r="J13" i="5"/>
  <c r="F13" i="5"/>
  <c r="H13" i="5"/>
  <c r="G13" i="5"/>
  <c r="G24" i="5"/>
  <c r="I24" i="5"/>
  <c r="H24" i="5"/>
  <c r="F24" i="5"/>
  <c r="H10" i="5"/>
  <c r="G10" i="5"/>
  <c r="F10" i="5"/>
  <c r="E29" i="5"/>
  <c r="AA7" i="11"/>
  <c r="AA38" i="11"/>
  <c r="AA39" i="11"/>
  <c r="P38" i="12"/>
  <c r="P39" i="12"/>
  <c r="P26" i="12"/>
  <c r="P27" i="12"/>
  <c r="P32" i="12"/>
  <c r="P33" i="12"/>
  <c r="P14" i="12"/>
  <c r="P15" i="12"/>
  <c r="E21" i="5"/>
  <c r="O14" i="11"/>
  <c r="O15" i="11"/>
  <c r="G18" i="15"/>
  <c r="F21" i="8"/>
  <c r="N7" i="15"/>
  <c r="N22" i="15"/>
  <c r="N18" i="15"/>
  <c r="N17" i="15"/>
  <c r="N14" i="15"/>
  <c r="H16" i="5"/>
  <c r="G16" i="5"/>
  <c r="I16" i="5"/>
  <c r="F16" i="5"/>
  <c r="F7" i="5"/>
  <c r="H7" i="5"/>
  <c r="G7" i="5"/>
  <c r="E32" i="5"/>
  <c r="E28" i="5"/>
  <c r="E22" i="5"/>
  <c r="E26" i="5"/>
  <c r="E20" i="5"/>
  <c r="E34" i="5"/>
  <c r="E27" i="5"/>
  <c r="E25" i="5"/>
  <c r="E30" i="5"/>
  <c r="E33" i="5"/>
  <c r="E23" i="5"/>
  <c r="E8" i="11"/>
  <c r="E9" i="11"/>
  <c r="AQ14" i="12"/>
  <c r="AQ15" i="12"/>
  <c r="AQ32" i="12"/>
  <c r="AQ33" i="12"/>
  <c r="AQ20" i="12"/>
  <c r="AQ21" i="12"/>
  <c r="I10" i="15"/>
  <c r="M10" i="15"/>
  <c r="E10" i="15"/>
  <c r="G10" i="15"/>
  <c r="K10" i="15"/>
  <c r="G19" i="15"/>
  <c r="K19" i="15"/>
  <c r="E19" i="15"/>
  <c r="M19" i="15"/>
  <c r="I19" i="15"/>
  <c r="K26" i="12"/>
  <c r="K27" i="12"/>
  <c r="K38" i="12"/>
  <c r="K39" i="12"/>
  <c r="K32" i="12"/>
  <c r="K33" i="12"/>
  <c r="K8" i="12"/>
  <c r="K9" i="12"/>
  <c r="E19" i="7"/>
  <c r="E21" i="7"/>
  <c r="C21" i="7"/>
  <c r="J14" i="5"/>
  <c r="H14" i="5"/>
  <c r="G14" i="5"/>
  <c r="I14" i="5"/>
  <c r="V14" i="11"/>
  <c r="V15" i="11"/>
  <c r="V20" i="11"/>
  <c r="V21" i="11"/>
  <c r="V8" i="11"/>
  <c r="V9" i="11"/>
  <c r="Z8" i="11"/>
  <c r="Z9" i="11"/>
  <c r="D32" i="11"/>
  <c r="D33" i="11"/>
  <c r="I22" i="15"/>
  <c r="M22" i="15"/>
  <c r="E22" i="15"/>
  <c r="G22" i="15"/>
  <c r="E5" i="5"/>
  <c r="E8" i="5"/>
  <c r="E11" i="5"/>
  <c r="U20" i="11"/>
  <c r="U21" i="11"/>
  <c r="Z32" i="11"/>
  <c r="Z33" i="11"/>
  <c r="J7" i="11"/>
  <c r="O20" i="11"/>
  <c r="O21" i="11"/>
  <c r="T7" i="11"/>
  <c r="T20" i="11"/>
  <c r="T21" i="11"/>
  <c r="V38" i="11"/>
  <c r="V39" i="11"/>
  <c r="J20" i="12"/>
  <c r="J21" i="12"/>
  <c r="Z20" i="12"/>
  <c r="Z21" i="12"/>
  <c r="P8" i="12"/>
  <c r="P9" i="12"/>
  <c r="D7" i="12"/>
  <c r="D20" i="12"/>
  <c r="D21" i="12"/>
  <c r="AA8" i="12"/>
  <c r="AA9" i="12"/>
  <c r="L32" i="12"/>
  <c r="L33" i="12"/>
  <c r="I32" i="12"/>
  <c r="I33" i="12"/>
  <c r="AL9" i="12"/>
  <c r="AP9" i="12"/>
  <c r="AE9" i="12"/>
  <c r="AH9" i="12"/>
  <c r="AM9" i="12"/>
  <c r="AF9" i="12"/>
  <c r="AJ9" i="12"/>
  <c r="AB9" i="12"/>
  <c r="AJ20" i="12"/>
  <c r="AJ21" i="12"/>
  <c r="AJ26" i="12"/>
  <c r="AJ27" i="12"/>
  <c r="I9" i="13"/>
  <c r="I17" i="13"/>
  <c r="I6" i="13"/>
  <c r="I10" i="13"/>
  <c r="I18" i="13"/>
  <c r="I13" i="13"/>
  <c r="I21" i="13"/>
  <c r="I19" i="13"/>
  <c r="I7" i="13"/>
  <c r="I20" i="13"/>
  <c r="I12" i="13"/>
  <c r="I24" i="13"/>
  <c r="I22" i="13"/>
  <c r="I23" i="13"/>
  <c r="I8" i="13"/>
  <c r="I15" i="13"/>
  <c r="I16" i="13"/>
  <c r="I14" i="13"/>
  <c r="I38" i="11"/>
  <c r="I39" i="11"/>
  <c r="I14" i="11"/>
  <c r="I15" i="11"/>
  <c r="S32" i="11"/>
  <c r="S33" i="11"/>
  <c r="S26" i="11"/>
  <c r="S27" i="11"/>
  <c r="S38" i="11"/>
  <c r="S39" i="11"/>
  <c r="S14" i="11"/>
  <c r="S15" i="11"/>
  <c r="W26" i="12"/>
  <c r="W27" i="12"/>
  <c r="W32" i="12"/>
  <c r="W33" i="12"/>
  <c r="K22" i="15"/>
  <c r="I6" i="15"/>
  <c r="M6" i="15"/>
  <c r="E6" i="15"/>
  <c r="G6" i="15"/>
  <c r="K6" i="15"/>
  <c r="D8" i="11"/>
  <c r="D9" i="11"/>
  <c r="Z20" i="11"/>
  <c r="Z21" i="11"/>
  <c r="E8" i="12"/>
  <c r="E9" i="12"/>
  <c r="Y32" i="12"/>
  <c r="Y33" i="12"/>
  <c r="T26" i="12"/>
  <c r="T27" i="12"/>
  <c r="T14" i="12"/>
  <c r="T15" i="12"/>
  <c r="J38" i="12"/>
  <c r="J39" i="12"/>
  <c r="E20" i="11"/>
  <c r="E21" i="11"/>
  <c r="U38" i="12"/>
  <c r="U39" i="12"/>
  <c r="U8" i="12"/>
  <c r="U9" i="12"/>
  <c r="I8" i="11"/>
  <c r="I9" i="11"/>
  <c r="Z14" i="11"/>
  <c r="Z15" i="11"/>
  <c r="V26" i="11"/>
  <c r="V27" i="11"/>
  <c r="Z38" i="12"/>
  <c r="Z39" i="12"/>
  <c r="S8" i="11"/>
  <c r="S9" i="11"/>
  <c r="W32" i="11"/>
  <c r="W33" i="11"/>
  <c r="W26" i="11"/>
  <c r="W27" i="11"/>
  <c r="W38" i="11"/>
  <c r="W39" i="11"/>
  <c r="W20" i="11"/>
  <c r="W21" i="11"/>
  <c r="W8" i="12"/>
  <c r="W9" i="12"/>
  <c r="I14" i="15"/>
  <c r="M14" i="15"/>
  <c r="E14" i="15"/>
  <c r="K14" i="15"/>
  <c r="W14" i="11"/>
  <c r="W15" i="11"/>
  <c r="U14" i="11"/>
  <c r="U15" i="11"/>
  <c r="V32" i="11"/>
  <c r="V33" i="11"/>
  <c r="H26" i="11"/>
  <c r="H27" i="11"/>
  <c r="F17" i="8"/>
  <c r="N7" i="11"/>
  <c r="N14" i="11"/>
  <c r="N15" i="11"/>
  <c r="Q7" i="11"/>
  <c r="Q8" i="11"/>
  <c r="Q9" i="11"/>
  <c r="O38" i="12"/>
  <c r="O39" i="12"/>
  <c r="V26" i="12"/>
  <c r="V27" i="12"/>
  <c r="F26" i="12"/>
  <c r="F27" i="12"/>
  <c r="X7" i="11"/>
  <c r="H15" i="12"/>
  <c r="X15" i="12"/>
  <c r="V38" i="12"/>
  <c r="V39" i="12"/>
  <c r="V32" i="12"/>
  <c r="V33" i="12"/>
  <c r="F32" i="12"/>
  <c r="F33" i="12"/>
  <c r="K12" i="13"/>
  <c r="K20" i="13"/>
  <c r="K13" i="13"/>
  <c r="K21" i="13"/>
  <c r="K8" i="13"/>
  <c r="K16" i="13"/>
  <c r="K24" i="13"/>
  <c r="K11" i="13"/>
  <c r="K6" i="13"/>
  <c r="K14" i="13"/>
  <c r="K18" i="13"/>
  <c r="K19" i="13"/>
  <c r="K22" i="13"/>
  <c r="K7" i="13"/>
  <c r="K9" i="13"/>
  <c r="E32" i="11"/>
  <c r="E33" i="11"/>
  <c r="E26" i="11"/>
  <c r="E27" i="11"/>
  <c r="K32" i="11"/>
  <c r="K33" i="11"/>
  <c r="K26" i="11"/>
  <c r="K27" i="11"/>
  <c r="R32" i="11"/>
  <c r="R33" i="11"/>
  <c r="X38" i="12"/>
  <c r="X39" i="12"/>
  <c r="T32" i="12"/>
  <c r="T33" i="12"/>
  <c r="H26" i="12"/>
  <c r="H27" i="12"/>
  <c r="AM20" i="12"/>
  <c r="AM21" i="12"/>
  <c r="AP14" i="12"/>
  <c r="AP15" i="12"/>
  <c r="G32" i="11"/>
  <c r="G33" i="11"/>
  <c r="G26" i="11"/>
  <c r="G27" i="11"/>
  <c r="O32" i="11"/>
  <c r="O33" i="11"/>
  <c r="O26" i="11"/>
  <c r="O27" i="11"/>
  <c r="T37" i="11"/>
  <c r="L37" i="11"/>
  <c r="D37" i="11"/>
  <c r="AA37" i="11"/>
  <c r="Z37" i="11"/>
  <c r="Z38" i="11"/>
  <c r="Z39" i="11"/>
  <c r="P37" i="11"/>
  <c r="P38" i="11"/>
  <c r="P39" i="11"/>
  <c r="AC13" i="12"/>
  <c r="AC14" i="12"/>
  <c r="AC15" i="12"/>
  <c r="AK13" i="12"/>
  <c r="AC19" i="12"/>
  <c r="AC20" i="12"/>
  <c r="AC21" i="12"/>
  <c r="AK19" i="12"/>
  <c r="AC25" i="12"/>
  <c r="AC26" i="12"/>
  <c r="AC27" i="12"/>
  <c r="AK25" i="12"/>
  <c r="AK26" i="12"/>
  <c r="AK27" i="12"/>
  <c r="AC31" i="12"/>
  <c r="AK31" i="12"/>
  <c r="AK32" i="12"/>
  <c r="AK33" i="12"/>
  <c r="AD13" i="12"/>
  <c r="AD14" i="12"/>
  <c r="AD15" i="12"/>
  <c r="AL13" i="12"/>
  <c r="AL14" i="12"/>
  <c r="AL15" i="12"/>
  <c r="AD19" i="12"/>
  <c r="AD20" i="12"/>
  <c r="AD21" i="12"/>
  <c r="AL19" i="12"/>
  <c r="AL20" i="12"/>
  <c r="AL21" i="12"/>
  <c r="AD25" i="12"/>
  <c r="AD26" i="12"/>
  <c r="AD27" i="12"/>
  <c r="AL25" i="12"/>
  <c r="AL26" i="12"/>
  <c r="AL27" i="12"/>
  <c r="AD31" i="12"/>
  <c r="AD32" i="12"/>
  <c r="AD33" i="12"/>
  <c r="AL31" i="12"/>
  <c r="AL32" i="12"/>
  <c r="AL33" i="12"/>
  <c r="AG13" i="12"/>
  <c r="AG14" i="12"/>
  <c r="AG15" i="12"/>
  <c r="AO13" i="12"/>
  <c r="AG19" i="12"/>
  <c r="AG20" i="12"/>
  <c r="AG21" i="12"/>
  <c r="AO19" i="12"/>
  <c r="AG25" i="12"/>
  <c r="AG26" i="12"/>
  <c r="AG27" i="12"/>
  <c r="AO25" i="12"/>
  <c r="AO26" i="12"/>
  <c r="AO27" i="12"/>
  <c r="AG31" i="12"/>
  <c r="AO31" i="12"/>
  <c r="AO32" i="12"/>
  <c r="AO33" i="12"/>
  <c r="AG37" i="12"/>
  <c r="AG38" i="12"/>
  <c r="AG39" i="12"/>
  <c r="AO37" i="12"/>
  <c r="AO38" i="12"/>
  <c r="AO39" i="12"/>
  <c r="K19" i="12"/>
  <c r="K20" i="12"/>
  <c r="K21" i="12"/>
  <c r="S19" i="12"/>
  <c r="AA19" i="12"/>
  <c r="AA20" i="12"/>
  <c r="AA21" i="12"/>
  <c r="AM13" i="12"/>
  <c r="AM14" i="12"/>
  <c r="AM15" i="12"/>
  <c r="AB19" i="12"/>
  <c r="AB20" i="12"/>
  <c r="AB21" i="12"/>
  <c r="AP19" i="12"/>
  <c r="AP20" i="12"/>
  <c r="AP21" i="12"/>
  <c r="AF25" i="12"/>
  <c r="AF26" i="12"/>
  <c r="AF27" i="12"/>
  <c r="AI31" i="12"/>
  <c r="AI32" i="12"/>
  <c r="AI33" i="12"/>
  <c r="AI37" i="12"/>
  <c r="AI38" i="12"/>
  <c r="AI39" i="12"/>
  <c r="E19" i="12"/>
  <c r="E20" i="12"/>
  <c r="E21" i="12"/>
  <c r="N19" i="12"/>
  <c r="N20" i="12"/>
  <c r="N21" i="12"/>
  <c r="W19" i="12"/>
  <c r="W20" i="12"/>
  <c r="W21" i="12"/>
  <c r="I25" i="12"/>
  <c r="I26" i="12"/>
  <c r="I27" i="12"/>
  <c r="Q25" i="12"/>
  <c r="Y25" i="12"/>
  <c r="Y26" i="12"/>
  <c r="Y27" i="12"/>
  <c r="AN13" i="12"/>
  <c r="AN14" i="12"/>
  <c r="AN15" i="12"/>
  <c r="AE19" i="12"/>
  <c r="AQ19" i="12"/>
  <c r="AH25" i="12"/>
  <c r="AH26" i="12"/>
  <c r="AH27" i="12"/>
  <c r="AJ31" i="12"/>
  <c r="AJ32" i="12"/>
  <c r="AJ33" i="12"/>
  <c r="AJ37" i="12"/>
  <c r="AJ38" i="12"/>
  <c r="AJ39" i="12"/>
  <c r="F19" i="12"/>
  <c r="F20" i="12"/>
  <c r="F21" i="12"/>
  <c r="O19" i="12"/>
  <c r="O20" i="12"/>
  <c r="O21" i="12"/>
  <c r="X19" i="12"/>
  <c r="X20" i="12"/>
  <c r="X21" i="12"/>
  <c r="J25" i="12"/>
  <c r="J26" i="12"/>
  <c r="J27" i="12"/>
  <c r="R25" i="12"/>
  <c r="Z25" i="12"/>
  <c r="Z26" i="12"/>
  <c r="Z27" i="12"/>
  <c r="H31" i="12"/>
  <c r="H32" i="12"/>
  <c r="H33" i="12"/>
  <c r="P31" i="12"/>
  <c r="X31" i="12"/>
  <c r="X32" i="12"/>
  <c r="X33" i="12"/>
  <c r="F37" i="12"/>
  <c r="F38" i="12"/>
  <c r="F39" i="12"/>
  <c r="N37" i="12"/>
  <c r="N38" i="12"/>
  <c r="N39" i="12"/>
  <c r="AF13" i="12"/>
  <c r="AF14" i="12"/>
  <c r="AF15" i="12"/>
  <c r="AI19" i="12"/>
  <c r="AM25" i="12"/>
  <c r="AM26" i="12"/>
  <c r="AM27" i="12"/>
  <c r="AB31" i="12"/>
  <c r="AB32" i="12"/>
  <c r="AB33" i="12"/>
  <c r="AP31" i="12"/>
  <c r="AD37" i="12"/>
  <c r="AD38" i="12"/>
  <c r="AD39" i="12"/>
  <c r="AM37" i="12"/>
  <c r="AM38" i="12"/>
  <c r="AM39" i="12"/>
  <c r="I19" i="12"/>
  <c r="I20" i="12"/>
  <c r="I21" i="12"/>
  <c r="R19" i="12"/>
  <c r="E25" i="12"/>
  <c r="E26" i="12"/>
  <c r="E27" i="12"/>
  <c r="M25" i="12"/>
  <c r="U25" i="12"/>
  <c r="U26" i="12"/>
  <c r="U27" i="12"/>
  <c r="K31" i="12"/>
  <c r="S31" i="12"/>
  <c r="AA31" i="12"/>
  <c r="AA32" i="12"/>
  <c r="AA33" i="12"/>
  <c r="I37" i="12"/>
  <c r="I38" i="12"/>
  <c r="I39" i="12"/>
  <c r="Q37" i="12"/>
  <c r="Y37" i="12"/>
  <c r="Y38" i="12"/>
  <c r="Y39" i="12"/>
  <c r="D31" i="12"/>
  <c r="K13" i="12"/>
  <c r="K14" i="12"/>
  <c r="K15" i="12"/>
  <c r="S13" i="12"/>
  <c r="AA13" i="12"/>
  <c r="AA14" i="12"/>
  <c r="AA15" i="12"/>
  <c r="AJ13" i="12"/>
  <c r="AJ14" i="12"/>
  <c r="AJ15" i="12"/>
  <c r="AF19" i="12"/>
  <c r="AF20" i="12"/>
  <c r="AF21" i="12"/>
  <c r="AQ25" i="12"/>
  <c r="AQ26" i="12"/>
  <c r="AQ27" i="12"/>
  <c r="AM31" i="12"/>
  <c r="AC37" i="12"/>
  <c r="AQ37" i="12"/>
  <c r="AQ38" i="12"/>
  <c r="AQ39" i="12"/>
  <c r="H19" i="12"/>
  <c r="H20" i="12"/>
  <c r="H21" i="12"/>
  <c r="V19" i="12"/>
  <c r="V20" i="12"/>
  <c r="V21" i="12"/>
  <c r="O25" i="12"/>
  <c r="O26" i="12"/>
  <c r="O27" i="12"/>
  <c r="J31" i="12"/>
  <c r="J32" i="12"/>
  <c r="J33" i="12"/>
  <c r="U31" i="12"/>
  <c r="U32" i="12"/>
  <c r="U33" i="12"/>
  <c r="G37" i="12"/>
  <c r="R37" i="12"/>
  <c r="AA37" i="12"/>
  <c r="AA38" i="12"/>
  <c r="AA39" i="12"/>
  <c r="E13" i="12"/>
  <c r="E14" i="12"/>
  <c r="E15" i="12"/>
  <c r="N13" i="12"/>
  <c r="N14" i="12"/>
  <c r="N15" i="12"/>
  <c r="W13" i="12"/>
  <c r="U13" i="12"/>
  <c r="U14" i="12"/>
  <c r="U15" i="12"/>
  <c r="J13" i="12"/>
  <c r="J14" i="12"/>
  <c r="J15" i="12"/>
  <c r="W37" i="12"/>
  <c r="W38" i="12"/>
  <c r="W39" i="12"/>
  <c r="L37" i="12"/>
  <c r="L38" i="12"/>
  <c r="L39" i="12"/>
  <c r="Q31" i="12"/>
  <c r="Q32" i="12"/>
  <c r="Q33" i="12"/>
  <c r="E31" i="12"/>
  <c r="E32" i="12"/>
  <c r="E33" i="12"/>
  <c r="AA25" i="12"/>
  <c r="AA26" i="12"/>
  <c r="AA27" i="12"/>
  <c r="L25" i="12"/>
  <c r="L26" i="12"/>
  <c r="L27" i="12"/>
  <c r="L19" i="12"/>
  <c r="L20" i="12"/>
  <c r="L21" i="12"/>
  <c r="AL37" i="12"/>
  <c r="AL38" i="12"/>
  <c r="AL39" i="12"/>
  <c r="AN20" i="12"/>
  <c r="AN21" i="12"/>
  <c r="AF32" i="12"/>
  <c r="AF33" i="12"/>
  <c r="AF38" i="12"/>
  <c r="AF39" i="12"/>
  <c r="L14" i="13"/>
  <c r="L22" i="13"/>
  <c r="L7" i="13"/>
  <c r="L15" i="13"/>
  <c r="L23" i="13"/>
  <c r="L10" i="13"/>
  <c r="L18" i="13"/>
  <c r="L9" i="13"/>
  <c r="L21" i="13"/>
  <c r="L11" i="13"/>
  <c r="L24" i="13"/>
  <c r="L16" i="13"/>
  <c r="L6" i="13"/>
  <c r="L20" i="13"/>
  <c r="L8" i="13"/>
  <c r="M24" i="15"/>
  <c r="M20" i="15"/>
  <c r="M16" i="15"/>
  <c r="M12" i="15"/>
  <c r="M8" i="15"/>
  <c r="M15" i="15"/>
  <c r="M23" i="15"/>
  <c r="M21" i="15"/>
  <c r="K9" i="15"/>
  <c r="G9" i="15"/>
  <c r="I9" i="15"/>
  <c r="M9" i="15"/>
  <c r="K17" i="15"/>
  <c r="G17" i="15"/>
  <c r="M17" i="15"/>
  <c r="I17" i="15"/>
  <c r="E17" i="15"/>
  <c r="O8" i="12"/>
  <c r="O9" i="12"/>
  <c r="AB25" i="12"/>
  <c r="AB26" i="12"/>
  <c r="AB27" i="12"/>
  <c r="AE13" i="12"/>
  <c r="AE14" i="12"/>
  <c r="AE15" i="12"/>
  <c r="N8" i="13"/>
  <c r="N16" i="13"/>
  <c r="N9" i="13"/>
  <c r="N17" i="13"/>
  <c r="N12" i="13"/>
  <c r="N14" i="13"/>
  <c r="N15" i="13"/>
  <c r="N7" i="13"/>
  <c r="N19" i="13"/>
  <c r="AP32" i="12"/>
  <c r="AP33" i="12"/>
  <c r="AH32" i="12"/>
  <c r="AH33" i="12"/>
  <c r="U32" i="11"/>
  <c r="U33" i="11"/>
  <c r="U26" i="11"/>
  <c r="U27" i="11"/>
  <c r="AK38" i="12"/>
  <c r="AK39" i="12"/>
  <c r="AC38" i="12"/>
  <c r="AC39" i="12"/>
  <c r="AM32" i="12"/>
  <c r="AM33" i="12"/>
  <c r="L4" i="15"/>
  <c r="H4" i="15"/>
  <c r="K13" i="15"/>
  <c r="G13" i="15"/>
  <c r="M13" i="15"/>
  <c r="K21" i="15"/>
  <c r="G21" i="15"/>
  <c r="I21" i="15"/>
  <c r="E21" i="15"/>
  <c r="AB38" i="12"/>
  <c r="AB39" i="12"/>
  <c r="AB14" i="12"/>
  <c r="AB15" i="12"/>
  <c r="H4" i="13"/>
  <c r="F4" i="13"/>
  <c r="J4" i="13"/>
  <c r="J21" i="15"/>
  <c r="J17" i="15"/>
  <c r="J13" i="15"/>
  <c r="J9" i="15"/>
  <c r="J16" i="15"/>
  <c r="J7" i="15"/>
  <c r="J12" i="15"/>
  <c r="J23" i="15"/>
  <c r="J18" i="15"/>
  <c r="AI14" i="12"/>
  <c r="AI15" i="12"/>
  <c r="AI26" i="12"/>
  <c r="AI27" i="12"/>
  <c r="E11" i="13"/>
  <c r="E19" i="13"/>
  <c r="E12" i="13"/>
  <c r="E20" i="13"/>
  <c r="E7" i="13"/>
  <c r="E15" i="13"/>
  <c r="E23" i="13"/>
  <c r="E8" i="13"/>
  <c r="E21" i="13"/>
  <c r="E9" i="13"/>
  <c r="E22" i="13"/>
  <c r="E14" i="13"/>
  <c r="AO9" i="12"/>
  <c r="AG9" i="12"/>
  <c r="AO14" i="12"/>
  <c r="AO15" i="12"/>
  <c r="AO20" i="12"/>
  <c r="AO21" i="12"/>
  <c r="AG32" i="12"/>
  <c r="AG33" i="12"/>
  <c r="I24" i="15"/>
  <c r="I20" i="15"/>
  <c r="I12" i="15"/>
  <c r="E24" i="15"/>
  <c r="E20" i="15"/>
  <c r="E16" i="15"/>
  <c r="E12" i="15"/>
  <c r="E8" i="15"/>
  <c r="K7" i="15"/>
  <c r="K15" i="15"/>
  <c r="K23" i="15"/>
  <c r="AK14" i="12"/>
  <c r="AK15" i="12"/>
  <c r="AK20" i="12"/>
  <c r="AK21" i="12"/>
  <c r="AC32" i="12"/>
  <c r="AC33" i="12"/>
  <c r="K24" i="15"/>
  <c r="M19" i="13"/>
  <c r="G24" i="15"/>
  <c r="M38" i="11"/>
  <c r="M39" i="11"/>
  <c r="Y38" i="11"/>
  <c r="Y39" i="11"/>
  <c r="N8" i="11"/>
  <c r="N9" i="11"/>
  <c r="Y14" i="11"/>
  <c r="Y15" i="11"/>
  <c r="P8" i="11"/>
  <c r="P9" i="11"/>
  <c r="P20" i="11"/>
  <c r="P21" i="11"/>
  <c r="Y26" i="11"/>
  <c r="Y27" i="11"/>
  <c r="Y32" i="11"/>
  <c r="Y33" i="11"/>
  <c r="I20" i="11"/>
  <c r="I21" i="11"/>
  <c r="D20" i="11"/>
  <c r="D21" i="11"/>
  <c r="Y20" i="11"/>
  <c r="Y21" i="11"/>
  <c r="I26" i="11"/>
  <c r="I27" i="11"/>
  <c r="D38" i="11"/>
  <c r="D39" i="11"/>
  <c r="AA8" i="11"/>
  <c r="AA9" i="11"/>
  <c r="L14" i="11"/>
  <c r="L15" i="11"/>
  <c r="H38" i="11"/>
  <c r="H39" i="11"/>
  <c r="H8" i="11"/>
  <c r="H9" i="11"/>
  <c r="L20" i="11"/>
  <c r="L21" i="11"/>
  <c r="N20" i="11"/>
  <c r="N21" i="11"/>
  <c r="H14" i="11"/>
  <c r="H15" i="11"/>
  <c r="P26" i="11"/>
  <c r="P27" i="11"/>
  <c r="L8" i="11"/>
  <c r="L9" i="11"/>
  <c r="F20" i="11"/>
  <c r="F21" i="11"/>
  <c r="G38" i="11"/>
  <c r="G39" i="11"/>
  <c r="AA26" i="11"/>
  <c r="AA27" i="11"/>
  <c r="L26" i="11"/>
  <c r="L27" i="11"/>
  <c r="G8" i="11"/>
  <c r="G9" i="11"/>
  <c r="F32" i="11"/>
  <c r="F33" i="11"/>
  <c r="H20" i="11"/>
  <c r="H21" i="11"/>
  <c r="G20" i="11"/>
  <c r="G21" i="11"/>
  <c r="F8" i="11"/>
  <c r="F9" i="11"/>
  <c r="AA32" i="11"/>
  <c r="AA33" i="11"/>
  <c r="F26" i="11"/>
  <c r="F27" i="11"/>
  <c r="L38" i="11"/>
  <c r="L39" i="11"/>
  <c r="F14" i="11"/>
  <c r="F15" i="11"/>
  <c r="Q20" i="11"/>
  <c r="Q21" i="11"/>
  <c r="F13" i="15"/>
  <c r="F11" i="15"/>
  <c r="N23" i="15"/>
  <c r="N10" i="15"/>
  <c r="N12" i="15"/>
  <c r="N8" i="15"/>
  <c r="N16" i="15"/>
  <c r="N13" i="15"/>
  <c r="F21" i="15"/>
  <c r="F7" i="15"/>
  <c r="N21" i="15"/>
  <c r="N20" i="15"/>
  <c r="N24" i="15"/>
  <c r="N6" i="15"/>
  <c r="N15" i="15"/>
  <c r="N9" i="15"/>
  <c r="N19" i="15"/>
  <c r="N20" i="13"/>
  <c r="N21" i="13"/>
  <c r="N24" i="13"/>
  <c r="N22" i="13"/>
  <c r="N23" i="13"/>
  <c r="N10" i="13"/>
  <c r="N11" i="13"/>
  <c r="N18" i="13"/>
  <c r="N13" i="13"/>
  <c r="I14" i="12"/>
  <c r="I15" i="12"/>
  <c r="M14" i="12"/>
  <c r="M15" i="12"/>
  <c r="R32" i="12"/>
  <c r="R33" i="12"/>
  <c r="M8" i="12"/>
  <c r="M9" i="12"/>
  <c r="S32" i="12"/>
  <c r="S33" i="12"/>
  <c r="Q26" i="12"/>
  <c r="Q27" i="12"/>
  <c r="R26" i="12"/>
  <c r="R27" i="12"/>
  <c r="Y14" i="12"/>
  <c r="Y15" i="12"/>
  <c r="AE26" i="12"/>
  <c r="AE27" i="12"/>
  <c r="Q20" i="12"/>
  <c r="Q21" i="12"/>
  <c r="M38" i="12"/>
  <c r="M39" i="12"/>
  <c r="M20" i="12"/>
  <c r="M21" i="12"/>
  <c r="AE32" i="12"/>
  <c r="AE33" i="12"/>
  <c r="Q38" i="12"/>
  <c r="Q39" i="12"/>
  <c r="R20" i="12"/>
  <c r="R21" i="12"/>
  <c r="AE20" i="12"/>
  <c r="AE21" i="12"/>
  <c r="R38" i="12"/>
  <c r="R39" i="12"/>
  <c r="AE38" i="12"/>
  <c r="AE39" i="12"/>
  <c r="S26" i="12"/>
  <c r="S27" i="12"/>
  <c r="G26" i="12"/>
  <c r="G27" i="12"/>
  <c r="G14" i="12"/>
  <c r="G15" i="12"/>
  <c r="G8" i="12"/>
  <c r="G9" i="12"/>
  <c r="W14" i="12"/>
  <c r="W15" i="12"/>
  <c r="G20" i="12"/>
  <c r="G21" i="12"/>
  <c r="G32" i="12"/>
  <c r="G33" i="12"/>
  <c r="S8" i="12"/>
  <c r="S9" i="12"/>
  <c r="R14" i="12"/>
  <c r="R15" i="12"/>
  <c r="S14" i="12"/>
  <c r="S15" i="12"/>
  <c r="G38" i="12"/>
  <c r="G39" i="12"/>
  <c r="S20" i="12"/>
  <c r="S21" i="12"/>
  <c r="J14" i="11"/>
  <c r="J15" i="11"/>
  <c r="J20" i="11"/>
  <c r="J21" i="11"/>
  <c r="J8" i="11"/>
  <c r="J9" i="11"/>
  <c r="J23" i="5"/>
  <c r="F23" i="5"/>
  <c r="I23" i="5"/>
  <c r="H23" i="5"/>
  <c r="G23" i="5"/>
  <c r="J12" i="13"/>
  <c r="J20" i="13"/>
  <c r="J13" i="13"/>
  <c r="J21" i="13"/>
  <c r="J8" i="13"/>
  <c r="J16" i="13"/>
  <c r="J24" i="13"/>
  <c r="J17" i="13"/>
  <c r="J18" i="13"/>
  <c r="J10" i="13"/>
  <c r="J23" i="13"/>
  <c r="J7" i="13"/>
  <c r="J11" i="13"/>
  <c r="J22" i="13"/>
  <c r="J19" i="13"/>
  <c r="J15" i="13"/>
  <c r="J9" i="13"/>
  <c r="J14" i="13"/>
  <c r="J6" i="13"/>
  <c r="J28" i="5"/>
  <c r="I28" i="5"/>
  <c r="H28" i="5"/>
  <c r="G28" i="5"/>
  <c r="F28" i="5"/>
  <c r="T14" i="11"/>
  <c r="T15" i="11"/>
  <c r="G32" i="5"/>
  <c r="I32" i="5"/>
  <c r="H32" i="5"/>
  <c r="J32" i="5"/>
  <c r="F32" i="5"/>
  <c r="F11" i="5"/>
  <c r="J11" i="5"/>
  <c r="G11" i="5"/>
  <c r="H11" i="5"/>
  <c r="I11" i="5"/>
  <c r="Q14" i="11"/>
  <c r="Q15" i="11"/>
  <c r="J38" i="11"/>
  <c r="J39" i="11"/>
  <c r="H22" i="15"/>
  <c r="H18" i="15"/>
  <c r="H14" i="15"/>
  <c r="H10" i="15"/>
  <c r="H6" i="15"/>
  <c r="H20" i="15"/>
  <c r="H15" i="15"/>
  <c r="H16" i="15"/>
  <c r="H11" i="15"/>
  <c r="H13" i="15"/>
  <c r="H8" i="15"/>
  <c r="H23" i="15"/>
  <c r="H19" i="15"/>
  <c r="H9" i="15"/>
  <c r="H17" i="15"/>
  <c r="H12" i="15"/>
  <c r="H24" i="15"/>
  <c r="H7" i="15"/>
  <c r="H21" i="15"/>
  <c r="D8" i="12"/>
  <c r="D9" i="12"/>
  <c r="D14" i="12"/>
  <c r="D15" i="12"/>
  <c r="J32" i="11"/>
  <c r="J33" i="11"/>
  <c r="Q32" i="11"/>
  <c r="Q33" i="11"/>
  <c r="J20" i="5"/>
  <c r="F20" i="5"/>
  <c r="I20" i="5"/>
  <c r="H20" i="5"/>
  <c r="G20" i="5"/>
  <c r="AA14" i="11"/>
  <c r="AA15" i="11"/>
  <c r="H26" i="5"/>
  <c r="F26" i="5"/>
  <c r="G26" i="5"/>
  <c r="J26" i="5"/>
  <c r="I26" i="5"/>
  <c r="X26" i="11"/>
  <c r="X27" i="11"/>
  <c r="X20" i="11"/>
  <c r="X21" i="11"/>
  <c r="X32" i="11"/>
  <c r="X33" i="11"/>
  <c r="X14" i="11"/>
  <c r="X15" i="11"/>
  <c r="X8" i="11"/>
  <c r="X9" i="11"/>
  <c r="D26" i="12"/>
  <c r="D27" i="12"/>
  <c r="F8" i="13"/>
  <c r="F16" i="13"/>
  <c r="F24" i="13"/>
  <c r="F9" i="13"/>
  <c r="F17" i="13"/>
  <c r="F12" i="13"/>
  <c r="F20" i="13"/>
  <c r="F19" i="13"/>
  <c r="F7" i="13"/>
  <c r="F21" i="13"/>
  <c r="F13" i="13"/>
  <c r="F10" i="13"/>
  <c r="F6" i="13"/>
  <c r="F11" i="13"/>
  <c r="F15" i="13"/>
  <c r="F22" i="13"/>
  <c r="F23" i="13"/>
  <c r="F18" i="13"/>
  <c r="F14" i="13"/>
  <c r="T26" i="11"/>
  <c r="T27" i="11"/>
  <c r="D32" i="12"/>
  <c r="D33" i="12"/>
  <c r="F25" i="5"/>
  <c r="I25" i="5"/>
  <c r="H25" i="5"/>
  <c r="J25" i="5"/>
  <c r="G25" i="5"/>
  <c r="T38" i="11"/>
  <c r="T39" i="11"/>
  <c r="H8" i="5"/>
  <c r="J8" i="5"/>
  <c r="I8" i="5"/>
  <c r="G8" i="5"/>
  <c r="F8" i="5"/>
  <c r="Q38" i="11"/>
  <c r="Q39" i="11"/>
  <c r="J27" i="5"/>
  <c r="I27" i="5"/>
  <c r="F27" i="5"/>
  <c r="H27" i="5"/>
  <c r="G27" i="5"/>
  <c r="AA20" i="11"/>
  <c r="AA21" i="11"/>
  <c r="T32" i="11"/>
  <c r="T33" i="11"/>
  <c r="L20" i="15"/>
  <c r="L16" i="15"/>
  <c r="L12" i="15"/>
  <c r="L8" i="15"/>
  <c r="L24" i="15"/>
  <c r="L21" i="15"/>
  <c r="L22" i="15"/>
  <c r="L17" i="15"/>
  <c r="L19" i="15"/>
  <c r="L10" i="15"/>
  <c r="L15" i="15"/>
  <c r="L23" i="15"/>
  <c r="L13" i="15"/>
  <c r="L7" i="15"/>
  <c r="L14" i="15"/>
  <c r="L11" i="15"/>
  <c r="L6" i="15"/>
  <c r="L18" i="15"/>
  <c r="L9" i="15"/>
  <c r="H22" i="5"/>
  <c r="I22" i="5"/>
  <c r="G22" i="5"/>
  <c r="J22" i="5"/>
  <c r="F22" i="5"/>
  <c r="D38" i="12"/>
  <c r="D39" i="12"/>
  <c r="F33" i="5"/>
  <c r="G33" i="5"/>
  <c r="J33" i="5"/>
  <c r="I33" i="5"/>
  <c r="H33" i="5"/>
  <c r="F29" i="5"/>
  <c r="G29" i="5"/>
  <c r="I29" i="5"/>
  <c r="H29" i="5"/>
  <c r="J29" i="5"/>
  <c r="G30" i="5"/>
  <c r="H30" i="5"/>
  <c r="J30" i="5"/>
  <c r="I30" i="5"/>
  <c r="F30" i="5"/>
  <c r="H10" i="13"/>
  <c r="H18" i="13"/>
  <c r="H11" i="13"/>
  <c r="H19" i="13"/>
  <c r="H14" i="13"/>
  <c r="H22" i="13"/>
  <c r="H6" i="13"/>
  <c r="H12" i="13"/>
  <c r="H24" i="13"/>
  <c r="H13" i="13"/>
  <c r="H17" i="13"/>
  <c r="H7" i="13"/>
  <c r="H8" i="13"/>
  <c r="H15" i="13"/>
  <c r="H9" i="13"/>
  <c r="H16" i="13"/>
  <c r="H20" i="13"/>
  <c r="H23" i="13"/>
  <c r="H21" i="13"/>
  <c r="X38" i="11"/>
  <c r="X39" i="11"/>
  <c r="N32" i="11"/>
  <c r="N33" i="11"/>
  <c r="N26" i="11"/>
  <c r="N27" i="11"/>
  <c r="J26" i="11"/>
  <c r="J27" i="11"/>
  <c r="J5" i="5"/>
  <c r="G5" i="5"/>
  <c r="F5" i="5"/>
  <c r="I5" i="5"/>
  <c r="H5" i="5"/>
  <c r="N38" i="11"/>
  <c r="N39" i="11"/>
  <c r="Q26" i="11"/>
  <c r="Q27" i="11"/>
  <c r="T8" i="11"/>
  <c r="T9" i="11"/>
  <c r="H34" i="5"/>
  <c r="G34" i="5"/>
  <c r="J34" i="5"/>
  <c r="I34" i="5"/>
  <c r="F34" i="5"/>
  <c r="F21" i="5"/>
  <c r="I21" i="5"/>
  <c r="H21" i="5"/>
  <c r="G21" i="5"/>
  <c r="J21" i="5"/>
</calcChain>
</file>

<file path=xl/sharedStrings.xml><?xml version="1.0" encoding="utf-8"?>
<sst xmlns="http://schemas.openxmlformats.org/spreadsheetml/2006/main" count="611" uniqueCount="464">
  <si>
    <t>Equations</t>
  </si>
  <si>
    <t>Equation #</t>
  </si>
  <si>
    <t>Equation</t>
  </si>
  <si>
    <t>US Simplified Equation</t>
  </si>
  <si>
    <t>US Measurement Units</t>
  </si>
  <si>
    <t>International System Simplified Equation</t>
  </si>
  <si>
    <t>International System Measurement Units</t>
  </si>
  <si>
    <t>Formula semplificata in Italiano</t>
  </si>
  <si>
    <t>5.1</t>
  </si>
  <si>
    <t>Power (ft*lb/sec) = Torque (ft*lb) * Speed (radians/sec) = Force in feet per second (FV)</t>
  </si>
  <si>
    <t>P = T * S = F * V</t>
  </si>
  <si>
    <t>(ft * lb / sec) = (ft * lb) * (radians / sec) = (lb) * (ft / sec)</t>
  </si>
  <si>
    <t>P = C * ω = F * v</t>
  </si>
  <si>
    <t>(w) = (N * m) * (rad / s) = (N) * (m / s)</t>
  </si>
  <si>
    <t>5.2</t>
  </si>
  <si>
    <t>Horsepower (hp) = FV / 550</t>
  </si>
  <si>
    <t>(P)hp = (F * V) / 550</t>
  </si>
  <si>
    <t xml:space="preserve">(hp) = (lb) * (ft / sec) </t>
  </si>
  <si>
    <t>(P)hp = (F * v) / 745.6999</t>
  </si>
  <si>
    <t>(hp) = (N) * (m / s)</t>
  </si>
  <si>
    <t>5.3</t>
  </si>
  <si>
    <t>Horsepower (hp) = FV / 375 (V = mph)</t>
  </si>
  <si>
    <t>(P)hp = (F * V) / 375</t>
  </si>
  <si>
    <t>(hp) = (lb) * (mph)</t>
  </si>
  <si>
    <t>(P)hp = (F * v) / 2684.51964</t>
  </si>
  <si>
    <t>(hp) = (N) * (Kmh)</t>
  </si>
  <si>
    <t>(P)cv = (F * v) / 735.48381137</t>
  </si>
  <si>
    <t>(CV) = (N) * (m / s)</t>
  </si>
  <si>
    <t>(P)cv = (F * v) / 2647.741720932</t>
  </si>
  <si>
    <t>(CV) = (N) * (Kmh)</t>
  </si>
  <si>
    <t>5.4</t>
  </si>
  <si>
    <t>Horsepower (hp) = (Torque * rpms)/5252 = 2*π / 60 * FV / 550</t>
  </si>
  <si>
    <t>(P)hp = (T * ω) / 5252 = [(2 * π) / 60] * [(F * V) / 550]</t>
  </si>
  <si>
    <t>(hp) = ((ft * lb) * (rev / m)) = ((lb) * (ft / s))</t>
  </si>
  <si>
    <t>(P)hp = (C * ω) / 7121 = [(2 * π) / 60] * [(F * v) / 745.6999]</t>
  </si>
  <si>
    <t>(hp) = ((N * m) * (rev / min) = ((N) * (m / s))</t>
  </si>
  <si>
    <t>(P)cv = (C * ω) / 7023 = [(2 * π) / 60] * [(F * v) / 735.48381137]</t>
  </si>
  <si>
    <t>(CV) = ((N * m) * (rev / min) = ((N) * (m / s))</t>
  </si>
  <si>
    <t>5.5</t>
  </si>
  <si>
    <t>Wheel rpm = (mi / h * rev / mi) / 60</t>
  </si>
  <si>
    <t>(ω)wheel = [(d / t) * (rev / d)] / 60</t>
  </si>
  <si>
    <t>(rev / m) = (mi / h) * (rev / mi)</t>
  </si>
  <si>
    <t>(rev / min) = (Km / h) * (rev / Km)</t>
  </si>
  <si>
    <t>(ω)ruota = [(d / t) * (rev / d)] / 60</t>
  </si>
  <si>
    <t>5.6</t>
  </si>
  <si>
    <t>Power (KW) = 0.7457 * hp</t>
  </si>
  <si>
    <t>(P)kw = 0.7457 * (P)hp</t>
  </si>
  <si>
    <t>(KW) = (hp)</t>
  </si>
  <si>
    <t>(P)kw = 0.7355 * (P)cv</t>
  </si>
  <si>
    <t>(KW) = (CV)</t>
  </si>
  <si>
    <t>5.7</t>
  </si>
  <si>
    <t>Weight W = mass M * g/32.16</t>
  </si>
  <si>
    <t>W = (M * g) / 32.16</t>
  </si>
  <si>
    <t>(lb)force = (lb) * (ft / sec^2)</t>
  </si>
  <si>
    <t>W = (m * g) / 9.80665</t>
  </si>
  <si>
    <t>(Kg)force = ((Kg) * (m / s^2)) / (m / s^2)</t>
  </si>
  <si>
    <t>5.8</t>
  </si>
  <si>
    <t>Torque = [F(5280/2*π)] / (rev/m) = 840.34 * F / (rev/mi)</t>
  </si>
  <si>
    <t>T = [F * (5280 / 2 * π)] / (rev / t) = 840.34 * F / (rev / d)</t>
  </si>
  <si>
    <t>(ft * lb) = ((lb) * (ft / min)) / (rev / min)</t>
  </si>
  <si>
    <t>c = [F * (1000 / 2 * π)] / (rev / t) = 159.15 * F / (rev / d)</t>
  </si>
  <si>
    <t>(N * m) = ((N) * (m / min)) / (rev / min)</t>
  </si>
  <si>
    <t>c = [F * (1000 / 2 * π)] / (rotazioni / t) = 159.15 * F / (rotazioni / d)</t>
  </si>
  <si>
    <t>5.9</t>
  </si>
  <si>
    <t>T = (T)motor * (overall gear ratio * drive train efficiency)</t>
  </si>
  <si>
    <t xml:space="preserve">(ft * lb) = (ft * lb) </t>
  </si>
  <si>
    <t>c = (c)motor * (overall gear ratio * drive train efficiency)</t>
  </si>
  <si>
    <t>(N * m) = (N * m)</t>
  </si>
  <si>
    <t>c = (c)motore * (rapporto complessivo trasmissione * efficienza trasmissione)</t>
  </si>
  <si>
    <t>5.10</t>
  </si>
  <si>
    <t>Speed(vehicle) (in mi/h) = (rpm(motor) * 60)/[overall gear ratio * (rev/m)]</t>
  </si>
  <si>
    <t>S = (rev / t)motor  * 60 / [overall gear ratio * (rev / t)wheel]</t>
  </si>
  <si>
    <t>(mi / h) = (rev / m) * (m / h) / (rev / mi)</t>
  </si>
  <si>
    <r>
      <rPr>
        <sz val="10"/>
        <color indexed="8"/>
        <rFont val="Helvetica"/>
      </rPr>
      <t>v = (rev / t)motor * 60 / [overall gear ratio * (rev / t)wheel</t>
    </r>
    <r>
      <rPr>
        <sz val="11"/>
        <color indexed="8"/>
        <rFont val="Helvetica"/>
      </rPr>
      <t>]</t>
    </r>
  </si>
  <si>
    <t>(Km / h) = (rev / min) * (min / h) / (rev / Km)</t>
  </si>
  <si>
    <r>
      <rPr>
        <sz val="10"/>
        <color indexed="8"/>
        <rFont val="Helvetica"/>
      </rPr>
      <t>v = (rev / t)motore * 60 / [rapporto complessivo trasmissione * (rev / t)ruota</t>
    </r>
    <r>
      <rPr>
        <sz val="11"/>
        <color indexed="8"/>
        <rFont val="Helvetica"/>
      </rPr>
      <t>]</t>
    </r>
  </si>
  <si>
    <t>5.11</t>
  </si>
  <si>
    <t>Fa (lb) = Ci (Conversion factor for inertia) * W (vehicle mass) * a (mi/h*sec)</t>
  </si>
  <si>
    <t>Fa = Ci * W * a</t>
  </si>
  <si>
    <t>(lb)force = (lb) * (mi / (h * sec))</t>
  </si>
  <si>
    <t>Fa = Ci * m * a</t>
  </si>
  <si>
    <t>(W) = (Kg) * (Km / (h * s))</t>
  </si>
  <si>
    <r>
      <rPr>
        <sz val="10"/>
        <color indexed="8"/>
        <rFont val="Helvetica"/>
      </rPr>
      <t>Fa = Ci * m * a [Forza Accelerazione] [Ci = Coefficiente d’Inerzia</t>
    </r>
    <r>
      <rPr>
        <sz val="11"/>
        <color indexed="8"/>
        <rFont val="Helvetica"/>
      </rPr>
      <t>]</t>
    </r>
  </si>
  <si>
    <t>5.12</t>
  </si>
  <si>
    <t>Fh (lb) = W sin ø</t>
  </si>
  <si>
    <t>Fh = W * sin ø</t>
  </si>
  <si>
    <t>(lb)force = (lb) * sin ø</t>
  </si>
  <si>
    <t>Fh = m * a * sin ø</t>
  </si>
  <si>
    <t xml:space="preserve">(N) = (Kg) * (Km / (h * s)) * sin ø </t>
  </si>
  <si>
    <t>Fp = m * a * sin ø [Forza Pendenza]</t>
  </si>
  <si>
    <t>5.13</t>
  </si>
  <si>
    <t>a = (1 / M) * F</t>
  </si>
  <si>
    <t>(ft / sec^2) = (1 / lb) * (lb)force</t>
  </si>
  <si>
    <t>a = (1 / m) * F</t>
  </si>
  <si>
    <t>(m / s^2) = (1 / kg) * (N)</t>
  </si>
  <si>
    <t>5.14</t>
  </si>
  <si>
    <t>M = W / g</t>
  </si>
  <si>
    <t>(lb) = (lb)force / (ft / sec^2)</t>
  </si>
  <si>
    <t>m = W / g</t>
  </si>
  <si>
    <t>(kg) = (N) / (m / s^2)</t>
  </si>
  <si>
    <t>5.15</t>
  </si>
  <si>
    <t>F = (550 * hp) / V</t>
  </si>
  <si>
    <t>F = (550 * (P)hp) / V</t>
  </si>
  <si>
    <t>(lb)force = (hp) / (ft / sec)</t>
  </si>
  <si>
    <t>F = (745.6999 * (P)hp) / v</t>
  </si>
  <si>
    <t>(N) = (hp) / (m / s)</t>
  </si>
  <si>
    <t>F = (735.48381137 * (P)cv) / v</t>
  </si>
  <si>
    <t>(N) = (CV) / (m / s)</t>
  </si>
  <si>
    <t>5.16</t>
  </si>
  <si>
    <t>a = 550 * (g / V) * (hp / W)</t>
  </si>
  <si>
    <t>a = 550 * (g / V) * ((P)hp / W)</t>
  </si>
  <si>
    <t>(ft / sec^2) = ((ft / sec^2) / (ft / sec)) *((hp) / (lb)force)</t>
  </si>
  <si>
    <t>a = 745.6999 *(g / v) * ((P)hp / W)</t>
  </si>
  <si>
    <t>(m / s^2) = ((m / s^2) / (m / s)) * ((hp) / (N))</t>
  </si>
  <si>
    <t>a = 735.48381137 *(g / v) * ((P)cv / W)</t>
  </si>
  <si>
    <t>(m / s^2) = ((m / s^2) / (m / s)) * ((CV) / (N))</t>
  </si>
  <si>
    <t>5.17</t>
  </si>
  <si>
    <t>V = 550 * (g / a) * (hp / W)</t>
  </si>
  <si>
    <t>V = 550 * (g / a) * ((P)hp / W)</t>
  </si>
  <si>
    <t>(ft / sec) = ((ft / sec^2) / (ft / sec^2) * ((hp) / (lb)force)</t>
  </si>
  <si>
    <t>v = 745.6999 *(g / a) * ((P)hp / W)</t>
  </si>
  <si>
    <t>(m / s) = ((m / s^2) / (m / s^2) * ((hp) / (N))</t>
  </si>
  <si>
    <t>v = 735.48381137 *(g / a) * ((P)cv / W)</t>
  </si>
  <si>
    <t>(m / s) = ((m / s^2) / (m / s^2) * ((CV) / (N))</t>
  </si>
  <si>
    <t>5.18</t>
  </si>
  <si>
    <t>D = V * t</t>
  </si>
  <si>
    <t>(ft) = (ft / sec) * (sec)</t>
  </si>
  <si>
    <t>d = v * t</t>
  </si>
  <si>
    <t>(m) = (m / s) * (s)</t>
  </si>
  <si>
    <t>5.19</t>
  </si>
  <si>
    <t>D = 550 * (g / a) * ((hp / W) * t</t>
  </si>
  <si>
    <t>D = 550 * (g / a) * ((P)hp / W) * t</t>
  </si>
  <si>
    <t>(ft) = ((ft / sec^2) / (ft / sec^2) * ((hp) / (lb)force) * (sec)</t>
  </si>
  <si>
    <t>d = 745.6999 *(g / a) * ((P)hp / W) * t</t>
  </si>
  <si>
    <t>(m) = ((m / s^2) / (m / s^2) * ((hp) / (N)) * (s)</t>
  </si>
  <si>
    <t>d = 735.48381137 *(g / a) * ((P)cv / W) * t</t>
  </si>
  <si>
    <t>(m) = ((m / s^2) / (m / s^2) * ((CV) / (N)) * (s)</t>
  </si>
  <si>
    <t>ft/(s^2)</t>
  </si>
  <si>
    <t>mph/sec</t>
  </si>
  <si>
    <t>m/(s^2)</t>
  </si>
  <si>
    <t>Kmh/s</t>
  </si>
  <si>
    <t>g</t>
  </si>
  <si>
    <t>ft</t>
  </si>
  <si>
    <t>m</t>
  </si>
  <si>
    <t>mi</t>
  </si>
  <si>
    <t>lb</t>
  </si>
  <si>
    <t>Kg</t>
  </si>
  <si>
    <t>N</t>
  </si>
  <si>
    <t>CV</t>
  </si>
  <si>
    <t>hp</t>
  </si>
  <si>
    <t>W</t>
  </si>
  <si>
    <t>Ci</t>
  </si>
  <si>
    <t>ICE</t>
  </si>
  <si>
    <t>EV</t>
  </si>
  <si>
    <t>High gear</t>
  </si>
  <si>
    <t>Fourth gear</t>
  </si>
  <si>
    <t>Third gear</t>
  </si>
  <si>
    <t>Second gear</t>
  </si>
  <si>
    <t>First gear</t>
  </si>
  <si>
    <t>a (in mph/sec)</t>
  </si>
  <si>
    <t>a’ = a/21,93685</t>
  </si>
  <si>
    <t>Fa (in pounds) Ci High gear</t>
  </si>
  <si>
    <t>Fa (in pounds) Ci Fourth gear</t>
  </si>
  <si>
    <t>Fa (in pounds) Ci Third gear</t>
  </si>
  <si>
    <t>Fa (in pounds) Ci Second gear</t>
  </si>
  <si>
    <t>Fa (in pounds) Ci First gear</t>
  </si>
  <si>
    <t>Reference Weight W (lb)</t>
  </si>
  <si>
    <t>a (in Kmh/s)</t>
  </si>
  <si>
    <t>a’=a*9,80665/35,30394</t>
  </si>
  <si>
    <t>Fa (in Newton) Ci High gear</t>
  </si>
  <si>
    <t>Fa (in Newton) Ci Fourth gear</t>
  </si>
  <si>
    <t>Fa (in Newton) Ci Third gear</t>
  </si>
  <si>
    <t>Fa (in Newton) Ci Second gear</t>
  </si>
  <si>
    <t>Fa (in Newton) Ci First gear</t>
  </si>
  <si>
    <t>Reference Weight W (Kg)</t>
  </si>
  <si>
    <t>Degree of incline %</t>
  </si>
  <si>
    <t xml:space="preserve">Incline angle ø (deg)
</t>
  </si>
  <si>
    <t>Incline angle ø (sec)</t>
  </si>
  <si>
    <t>sin ø</t>
  </si>
  <si>
    <t>Fh (in punds)</t>
  </si>
  <si>
    <t>Fh (in Newton)</t>
  </si>
  <si>
    <t>a (in Kmh/sec)</t>
  </si>
  <si>
    <t>Item</t>
  </si>
  <si>
    <t>Curb weight (lbs)</t>
  </si>
  <si>
    <t>Front axle weight (lbs)</t>
  </si>
  <si>
    <t>Rear Axle Weight (lbs)</t>
  </si>
  <si>
    <t>Payload weight (lbs)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</si>
  <si>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before conversion</t>
    </r>
  </si>
  <si>
    <t>Less IC engine and system parts</t>
  </si>
  <si>
    <t>Subtotal before conversion</t>
  </si>
  <si>
    <t>Plus electric vehicle batteries, motor, etc.</t>
  </si>
  <si>
    <t>Ford Ranger pickup after conversion</t>
  </si>
  <si>
    <t>Battery weight 20ea 6-volt @ 60 lbs</t>
  </si>
  <si>
    <t>Ratio battery weight to vehicle weight</t>
  </si>
  <si>
    <t>Battery unit weight</t>
  </si>
  <si>
    <t>Battery units</t>
  </si>
  <si>
    <t>Front to overall weight ratio percentage</t>
  </si>
  <si>
    <t>Rear to overall weight ratio percentage</t>
  </si>
  <si>
    <t>Curb weight (Kg)</t>
  </si>
  <si>
    <t>Front axle weight (Kg)</t>
  </si>
  <si>
    <t>Rear Axle Weight (Kg)</t>
  </si>
  <si>
    <t>Payload weight (Kg)</t>
  </si>
  <si>
    <t>Modello</t>
  </si>
  <si>
    <t>Peso in ordine di marcia (kg)</t>
  </si>
  <si>
    <t>Peso asse anteriore (Kg)</t>
  </si>
  <si>
    <t>Peso asse posteriore (Kg)</t>
  </si>
  <si>
    <t>Portata (Kg)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</si>
  <si>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pickup prima della conversione</t>
    </r>
  </si>
  <si>
    <t>Privato del motore a combustione interna e delle relative componenti di sistema</t>
  </si>
  <si>
    <t>Subtotale prima della conversione</t>
  </si>
  <si>
    <t>Aggiunte le batterie, il motore, ecc. del veicolo elettrico</t>
  </si>
  <si>
    <t>Ford Ranger pickup dopo la conversione</t>
  </si>
  <si>
    <t>Peso 20 batterie da 6 Volt @ 27 Kg ciascuna</t>
  </si>
  <si>
    <t>Rapporto percentuale peso delle batterie rispetto al peso del veicolo</t>
  </si>
  <si>
    <t>Peso di ciascun elemento della batteria</t>
  </si>
  <si>
    <t>Numero elementi della batteria</t>
  </si>
  <si>
    <t>Percentuale peso sull’asse anteriore rispetto al peso del veicolo</t>
  </si>
  <si>
    <t>Percentuale peso sull’asse posteriore rispetto al peso del veicolo</t>
  </si>
  <si>
    <t>Aerodinamic shape</t>
  </si>
  <si>
    <t>Forma aerodinamica</t>
  </si>
  <si>
    <t>More streamlining</t>
  </si>
  <si>
    <t>Cd \ Cr (Coefficiente di resistenza)</t>
  </si>
  <si>
    <t>Vehicle type</t>
  </si>
  <si>
    <t>Tipo di veicolo</t>
  </si>
  <si>
    <t>Late 1980s typical Cd \ Cr tipico di automobili dei tardi anni ‘80</t>
  </si>
  <si>
    <t>Flat plate</t>
  </si>
  <si>
    <t>Superficie piatta</t>
  </si>
  <si>
    <t>Cars</t>
  </si>
  <si>
    <t>Automobili</t>
  </si>
  <si>
    <t>0.30 to 0.35</t>
  </si>
  <si>
    <t>Hemisphere-cupped</t>
  </si>
  <si>
    <t>Semisfera concava</t>
  </si>
  <si>
    <t>Vans</t>
  </si>
  <si>
    <t>Furgoni</t>
  </si>
  <si>
    <t>0.33 to 0.35</t>
  </si>
  <si>
    <t>1920s Ford sedan</t>
  </si>
  <si>
    <t>Ford sedan del 1920</t>
  </si>
  <si>
    <t>Pickup trucks</t>
  </si>
  <si>
    <t>Autocarri leggeri</t>
  </si>
  <si>
    <t>0.42 to 0.46</t>
  </si>
  <si>
    <t>1960s car</t>
  </si>
  <si>
    <t>Automobile del 1960</t>
  </si>
  <si>
    <t>Today’s van</t>
  </si>
  <si>
    <t>Furgone di oggi</t>
  </si>
  <si>
    <t>Hemisphere-smooth</t>
  </si>
  <si>
    <t>Semisfera convessa</t>
  </si>
  <si>
    <t>Today’s Ford Taurus</t>
  </si>
  <si>
    <t>Ford Taurus di oggi (modello USA)</t>
  </si>
  <si>
    <t>Airfoil</t>
  </si>
  <si>
    <t>Profilo alare</t>
  </si>
  <si>
    <t>Car Area</t>
  </si>
  <si>
    <t>Sezione del Veicolo</t>
  </si>
  <si>
    <t>Cd Value / Valore Cr</t>
  </si>
  <si>
    <t>Percentage of total / Percentuale rispetto al totale</t>
  </si>
  <si>
    <t>Body-Rear</t>
  </si>
  <si>
    <t>Wheel wells</t>
  </si>
  <si>
    <t>Budy-Under</t>
  </si>
  <si>
    <t>Body-Front</t>
  </si>
  <si>
    <t>Projections and indentations</t>
  </si>
  <si>
    <t>Engine compartment</t>
  </si>
  <si>
    <t>Body-Skin friction</t>
  </si>
  <si>
    <t>Total</t>
  </si>
  <si>
    <t>Parte posteriore (Coda)</t>
  </si>
  <si>
    <t>Passaruota</t>
  </si>
  <si>
    <t>Sottoscocca</t>
  </si>
  <si>
    <t>Parte frontale (Muso)</t>
  </si>
  <si>
    <t>Rientranze e sporgenze</t>
  </si>
  <si>
    <t>Vano motore</t>
  </si>
  <si>
    <t>Frizione superficie carrozzeria</t>
  </si>
  <si>
    <t>Totale</t>
  </si>
  <si>
    <t>The table below refers to a 1970s car / La tabella sottostante fa riferimento ad un'automobile degli anni '70</t>
  </si>
  <si>
    <t>°C</t>
  </si>
  <si>
    <t>°F</t>
  </si>
  <si>
    <t>5.20</t>
  </si>
  <si>
    <t>Cw factor / Coefficiente Cw</t>
  </si>
  <si>
    <t>1,2 streamlined vehicle / veicolo aerodinamico</t>
  </si>
  <si>
    <t>1,4 average sedan / berlina media</t>
  </si>
  <si>
    <t>1,6 vehicles with turbolence /veicoli con turbolenza</t>
  </si>
  <si>
    <t>wind = 7,5 mph / vento = 7,5 mph</t>
  </si>
  <si>
    <t>Crw at average / Crw al valore medio di velocità del</t>
  </si>
  <si>
    <t>Vehicle / Veicolo</t>
  </si>
  <si>
    <t>Van / Furgone</t>
  </si>
  <si>
    <t>Large car / Automobile ammiraglia</t>
  </si>
  <si>
    <t>Small car / Automobile compatta</t>
  </si>
  <si>
    <t>Small pickup / Furgone scoperto</t>
  </si>
  <si>
    <t>Roadster / Decappottabile</t>
  </si>
  <si>
    <t>Cd / Cr</t>
  </si>
  <si>
    <t>V = 5 mph / v = 8 Km/h</t>
  </si>
  <si>
    <t>V = 10 mph / v = 16 Km/h</t>
  </si>
  <si>
    <t>V = 20 mph / v = 32 Km/h</t>
  </si>
  <si>
    <t>V = 30 mph / v = 48 Km/h</t>
  </si>
  <si>
    <t>V = 60 mph / v = 96 Km/h</t>
  </si>
  <si>
    <t>V = 75 mph / v = 120 Km/h</t>
  </si>
  <si>
    <t>A (ft^2)</t>
  </si>
  <si>
    <t>S (m^2)</t>
  </si>
  <si>
    <t>at V=5 mph / a v=8 Km/h</t>
  </si>
  <si>
    <t>at V=10 mph / a v=16 Km/h</t>
  </si>
  <si>
    <t>at V=20 mpth / a v=32 Km/h</t>
  </si>
  <si>
    <t>at V=30 mph / a v=48 Km/h</t>
  </si>
  <si>
    <t>at V=45 mph / a v=72 Km/h</t>
  </si>
  <si>
    <t>V = 45 mph / v = 72 Km/h</t>
  </si>
  <si>
    <t>at V=75 mph / a v=120 Km/h</t>
  </si>
  <si>
    <t>at V=60 mph / a v=96 Km/h</t>
  </si>
  <si>
    <t>Shape wheel well and underbody airflow / convoglia i flussi d'aria dei passaruota e del sottoscocca</t>
  </si>
  <si>
    <t>Block and/or shape front airflow / blocca e/o convoglia i flussi d'aria sul frontale</t>
  </si>
  <si>
    <t>Roll with the road / riduci il rotolamento sulla strada</t>
  </si>
  <si>
    <t>Hard surface (concrete) / Superficie dura (cemento)</t>
  </si>
  <si>
    <t>Medium-hard surface / Superficie medio-dura</t>
  </si>
  <si>
    <t>Soft surface / Superficie morbida (sabbia)</t>
  </si>
  <si>
    <t>Rolling resistance factor / Fattore di resistenza al rotolamento</t>
  </si>
  <si>
    <t>Surface type / Tipo di superficie</t>
  </si>
  <si>
    <t>Shape rear airflow / convoglia i flussi d'aria posteriori</t>
  </si>
  <si>
    <t>Pay attention to your tires / Presta attenzione alle tue gomme</t>
  </si>
  <si>
    <t>Use radial tires / Usa delle gomme radiali</t>
  </si>
  <si>
    <t>Use high tire inflation pressure if you can / Gonfia ad alte pressioni se puoi</t>
  </si>
  <si>
    <t>Brake drug an  steering scuff add to rolling resistence / La resistenza dei freni ed il disallineamento delle ruote aumenta la resistenza al rotolamento</t>
  </si>
  <si>
    <t>Brake drug coefficient (constant) / Coefficiente resistenza freni (costante)</t>
  </si>
  <si>
    <t>Steering/suspension drug factor (constant) / Coefficiente resistenza sospensioni/sterzo (costante)</t>
  </si>
  <si>
    <t>Drag force number (lb)/ Valore della forza opposta dalla resistenza (lb)</t>
  </si>
  <si>
    <t>Car weight (kg) / Peso veicolo (kg)</t>
  </si>
  <si>
    <t>Drag force value (lb) / Valore della resistenza (lb)</t>
  </si>
  <si>
    <t>Wind factor / Coefficiente vento</t>
  </si>
  <si>
    <t>Aerodinamic force (Drug) (lb) / Forza aerodinamica (Resistenza) (lb)</t>
  </si>
  <si>
    <t>Aerodinamic force (Drug) (N) / Forza aerodinamica (Resistenza) (N)</t>
  </si>
  <si>
    <t>Rolling resistance (lb) / Reistenza al rotolamento (lb)</t>
  </si>
  <si>
    <t>Rolling resistance factor/ Fattore resistenza al rotolamento</t>
  </si>
  <si>
    <t>Rolling resistance (Kg) / Reistenza al rotolamento (N)</t>
  </si>
  <si>
    <t>Drivetrain type /Tipo di trasmissione</t>
  </si>
  <si>
    <t>Front wheel drive / Trazione anteriore</t>
  </si>
  <si>
    <t>Rear wheel drive / Trazione posteriore</t>
  </si>
  <si>
    <t>Manual transmission / Trasmissione manuale</t>
  </si>
  <si>
    <t>Driveshaft / Albero di trasmissione</t>
  </si>
  <si>
    <t>Differential drive / Differenziale</t>
  </si>
  <si>
    <t>Drive axle / Semiasse</t>
  </si>
  <si>
    <t>Overall efficiency / Efficienza complessiva</t>
  </si>
  <si>
    <t>not required / non necessario</t>
  </si>
  <si>
    <t>Transmission Gear / Marcia</t>
  </si>
  <si>
    <t>Ratio to next gear / Rapporto rispetto alla marcia successiva</t>
  </si>
  <si>
    <t>1989 Taurus SHO Overall / Rapporto di trasmissione totale Taurus SHO del 1989</t>
  </si>
  <si>
    <t>1st / 1 - Prima</t>
  </si>
  <si>
    <t>2nd / 2 - Seconda</t>
  </si>
  <si>
    <t>3rd / 3 - Terza</t>
  </si>
  <si>
    <t>4th / 4 - Quarta</t>
  </si>
  <si>
    <t>5th / 5 - Quinta</t>
  </si>
  <si>
    <t>N/A</t>
  </si>
  <si>
    <t>Use lighter viscosity lubricant in your transmission when EV / Utilizzare olio lubrificante a più bassa viscosità per lubrificare la trasmissione quando l'auto è convertita ad elettrico</t>
  </si>
  <si>
    <t>Design your EV / Progettate la vostra auto elettrica</t>
  </si>
  <si>
    <t>5.21</t>
  </si>
  <si>
    <t>Available engine power = tractive resistance demand</t>
  </si>
  <si>
    <t>5.22</t>
  </si>
  <si>
    <t>Power = (acceleration + climbing + rolling + drug + wind)resistance</t>
  </si>
  <si>
    <t>Potenza motore = resistenza alla trazione</t>
  </si>
  <si>
    <t>Potenza motore = (accelerazione + dislivello + rotolamento + reistenza aerodinamica + vento)resistenza</t>
  </si>
  <si>
    <t>5.23</t>
  </si>
  <si>
    <t>Overall gear ratio = (rpm)motor / (rpm)wheel</t>
  </si>
  <si>
    <t>Rapporto di trasmissione totale = (rpm)motore / (rpm)ruota</t>
  </si>
  <si>
    <t>Vehicle speed (mph)</t>
  </si>
  <si>
    <t>Tire rolling resistance Cr</t>
  </si>
  <si>
    <t>Brake and stearing resistance Cr</t>
  </si>
  <si>
    <t>Total rolling force (lbs)</t>
  </si>
  <si>
    <t>Still air drag force (lbs)</t>
  </si>
  <si>
    <t>Relative wind factor Cw</t>
  </si>
  <si>
    <t>Cw = (0,98 * (w/V)^2 + 0,63 * (w/V)) * Crw - (0,40 * (w/V))</t>
  </si>
  <si>
    <t>Cw = (0,98 * (w/v)^2 + 0,63 * (w/v)) * Crw - (0,40 * (w/v))</t>
  </si>
  <si>
    <t>5.24</t>
  </si>
  <si>
    <t>Dw = 1/2 * ρ * V^2 * A * Cd</t>
  </si>
  <si>
    <t>(lb)force = 1/2 * (lb / ft^3) * (ft / sec)^2 * (ft^2) * (Adimensional)</t>
  </si>
  <si>
    <t>Dw = 1/2 * ρ * v^2 * S * Cd</t>
  </si>
  <si>
    <t>(N) = 1/2 * (Kg / m^3) * (m / s)^2 * (m^2) * (Adimensional)</t>
  </si>
  <si>
    <t>Ra = 1/2 * ρ * v^2 * S * Cr</t>
  </si>
  <si>
    <t>Relative wind drag force (lbs)</t>
  </si>
  <si>
    <t>Total drag force, level (lbs)</t>
  </si>
  <si>
    <t>Total drag torque, level (ft*lbs)</t>
  </si>
  <si>
    <t>Sin ø, ø = Arctan 5% incline</t>
  </si>
  <si>
    <t>Cos ø, ø = Arctan 5% incline</t>
  </si>
  <si>
    <t>Incline force  W*Sin ø (lbs)</t>
  </si>
  <si>
    <t>Rolling drag force Cr*W*Cos ø (lbs)</t>
  </si>
  <si>
    <t>Total drag force, 5% (lbs)</t>
  </si>
  <si>
    <t>Total drag torque, 5% (ft*lbs)</t>
  </si>
  <si>
    <t>Sin ø, ø = Arctan 10% incline</t>
  </si>
  <si>
    <t>Cos ø, ø = Arctan 10% incline</t>
  </si>
  <si>
    <t>Total drag force, 10% (lbs)</t>
  </si>
  <si>
    <t>Total drag torque, 10% (ft*lbs)</t>
  </si>
  <si>
    <t>Sin ø, ø = Arctan 15% incline</t>
  </si>
  <si>
    <t>Cos ø, ø = Arctan 15% incline</t>
  </si>
  <si>
    <t>Total drag force, 15% (lbs)</t>
  </si>
  <si>
    <t>Total drag torque, 15% (ft*lbs)</t>
  </si>
  <si>
    <t>Sin ø, ø = Arctan 20% incline</t>
  </si>
  <si>
    <t>Cos ø, ø = Arctan 20% incline</t>
  </si>
  <si>
    <t>Total drag force, 20% (lbs)</t>
  </si>
  <si>
    <t>Total drag torque, 20% (ft*lbs)</t>
  </si>
  <si>
    <t>Sin ø, ø = Arctan 25% incline</t>
  </si>
  <si>
    <t>Cos ø, ø = Arctan 25% incline</t>
  </si>
  <si>
    <t>Total drag force, 25% (lbs)</t>
  </si>
  <si>
    <t>Total drag torque, 25% (ft*lbs)</t>
  </si>
  <si>
    <t>(Dimensionless) = (0,98 ((m/s) / (m/s))^2 + 0,63 * ((m/s) / (m/s))) * (Dimensionless) - (0,40 * ((m/s) / (m/s)))</t>
  </si>
  <si>
    <t>(Dimensionless) = (0,98 ((ft/sec) / (ft/sec))^2 + 0,63 * ((ft/sec) / (ft/sec))) * (Dimensionless) - (0,40 * ((ft/sec) / (ft/sec)))</t>
  </si>
  <si>
    <t>5.25</t>
  </si>
  <si>
    <t>Cwheel = (d + (2 * S * a / 100) / 25.4) * π</t>
  </si>
  <si>
    <t>(m) = ((((in) * 25,4 (mm / in)) + (2 * (mm) * (%) / 100)) * (Dimensionless)) / 1000 (mm / m)</t>
  </si>
  <si>
    <t>Cwheel = (((d *25,4) + (2 * S * a / 100)) * π) / 1000</t>
  </si>
  <si>
    <t>Cruota = (((d *25,4) + (2 * S * a / 100)) * π) / 1000</t>
  </si>
  <si>
    <t>(in) = ((in) + (2 * (mm) * (%) / 100) / 25,4 (mm / in)) * (Dimensionless)</t>
  </si>
  <si>
    <t>Total rolling force (N)</t>
  </si>
  <si>
    <t>Still air drag force (N)</t>
  </si>
  <si>
    <t>Relative wind drag force (N)</t>
  </si>
  <si>
    <t>Total drag force, level (N)</t>
  </si>
  <si>
    <t>Incline force  W*Sin ø (N)</t>
  </si>
  <si>
    <t>Rolling drag force Cr*W*Cos ø (N)</t>
  </si>
  <si>
    <t>Total drag force, 5% (N)</t>
  </si>
  <si>
    <t>Total drag force, 10% (N)</t>
  </si>
  <si>
    <t>Total drag force, 15% (N)</t>
  </si>
  <si>
    <t>Total drag force, 20% (N)</t>
  </si>
  <si>
    <t>Total drag force, 25% (N)</t>
  </si>
  <si>
    <t>Total drag torque, level (N*m)</t>
  </si>
  <si>
    <t>Total drag torque, 5% (N*m)</t>
  </si>
  <si>
    <t>Total drag torque, 10% (N*m)</t>
  </si>
  <si>
    <t>Total drag torque, 15% (N*m)</t>
  </si>
  <si>
    <t>Total drag torque, 20% (N*m)</t>
  </si>
  <si>
    <t>Total drag torque, 25% (N*m)</t>
  </si>
  <si>
    <t>Vehicle speed (Km/h)</t>
  </si>
  <si>
    <t>Vehicle weight W (Kg) / Massa veicolo m (Kg)</t>
  </si>
  <si>
    <r>
      <t xml:space="preserve">Air density at 0 </t>
    </r>
    <r>
      <rPr>
        <b/>
        <sz val="12"/>
        <color theme="5"/>
        <rFont val="Verdana"/>
      </rPr>
      <t>m</t>
    </r>
    <r>
      <rPr>
        <b/>
        <sz val="12"/>
        <color theme="5"/>
        <rFont val="Verdana"/>
      </rPr>
      <t xml:space="preserve"> and </t>
    </r>
    <r>
      <rPr>
        <b/>
        <sz val="12"/>
        <color theme="5"/>
        <rFont val="Verdana"/>
      </rPr>
      <t>15</t>
    </r>
    <r>
      <rPr>
        <b/>
        <sz val="12"/>
        <color theme="5"/>
        <rFont val="Verdana"/>
      </rPr>
      <t xml:space="preserve">° </t>
    </r>
    <r>
      <rPr>
        <b/>
        <sz val="12"/>
        <color theme="5"/>
        <rFont val="Verdana"/>
      </rPr>
      <t>C</t>
    </r>
    <r>
      <rPr>
        <b/>
        <sz val="12"/>
        <color theme="5"/>
        <rFont val="Verdana"/>
      </rPr>
      <t xml:space="preserve"> (Kg/m^3)</t>
    </r>
    <r>
      <rPr>
        <b/>
        <sz val="12"/>
        <color theme="5"/>
        <rFont val="Verdana"/>
      </rPr>
      <t xml:space="preserve"> / Densità dell'aria a 0 m e 15° C (kg/m^3)</t>
    </r>
  </si>
  <si>
    <r>
      <t>Acceleration of gravity g (m/s^2)</t>
    </r>
    <r>
      <rPr>
        <b/>
        <sz val="12"/>
        <color theme="5"/>
        <rFont val="Verdana"/>
      </rPr>
      <t xml:space="preserve"> / Accelerazione di gravità g (m/s^2)</t>
    </r>
  </si>
  <si>
    <t>Vehicle coefficient of drag Cd / Coefficiente di penetrazione del veicolo Cr o Cx</t>
  </si>
  <si>
    <t>Coefficient of relative wind Crw / Coefficiente del vento relativo Crw</t>
  </si>
  <si>
    <r>
      <t>Revolution per Km</t>
    </r>
    <r>
      <rPr>
        <b/>
        <sz val="12"/>
        <color theme="5"/>
        <rFont val="Verdana"/>
      </rPr>
      <t xml:space="preserve"> / Rivoluzioni per Km</t>
    </r>
  </si>
  <si>
    <t>Torque multiplier / Moltiplicatore di coppia</t>
  </si>
  <si>
    <t>[surface(hard) + brake + steering] drug coeefficient Cr / coefficiente di resistenza Cr [superficie(dura) + freni + imbardata]</t>
  </si>
  <si>
    <t>Tires size / Dimensione gomme</t>
  </si>
  <si>
    <t>Section width (mm) /Ampiezza sezione (mm)</t>
  </si>
  <si>
    <r>
      <t>Sidewall aspect ratio (%)</t>
    </r>
    <r>
      <rPr>
        <i/>
        <sz val="12"/>
        <color theme="5"/>
        <rFont val="Verdana"/>
      </rPr>
      <t xml:space="preserve"> / Rapporto di forma fianchetto (%)</t>
    </r>
  </si>
  <si>
    <t>Tire and wheel diameter R (in) / Diametro ruota e cerchione R (in)</t>
  </si>
  <si>
    <t>Vehicle weight W (lbs) / Massa veicolo m (lbs)</t>
  </si>
  <si>
    <t>Vehicle front area A (ft^2) / Superficie frontale veicolo S (ft^2)</t>
  </si>
  <si>
    <r>
      <t>Vehicle front area A (m^2) / Superficie frontale v</t>
    </r>
    <r>
      <rPr>
        <b/>
        <sz val="12"/>
        <color theme="5"/>
        <rFont val="Verdana"/>
      </rPr>
      <t>eicolo</t>
    </r>
    <r>
      <rPr>
        <b/>
        <sz val="12"/>
        <color theme="5"/>
        <rFont val="Verdana"/>
      </rPr>
      <t xml:space="preserve"> S (m^2)</t>
    </r>
  </si>
  <si>
    <t>Air density at 0 ft and 59° F (lb/ft^3) / Densità dell'aria a 0 ft e 60° F (lbs/ft^3)</t>
  </si>
  <si>
    <t>Acceleration of gravity g (ft/sec^2) / Accelerazione di gravità g (ft/sec^2)</t>
  </si>
  <si>
    <t>Relative wind speed at 0 m and 15° C (Km/h) / Velocità del vento relativo a 0 m e 15° C (Km/h)</t>
  </si>
  <si>
    <t>Relative wind speed at 0 ft and 60° F (mph) / Velocità del vento relativo a 0 ft e 60° F (mph)</t>
  </si>
  <si>
    <t>Coefficient of relative wing Crw / Coefficiente del vento relativo Crw</t>
  </si>
  <si>
    <t>Revolution per mile / Rivoluzioni per miglio</t>
  </si>
  <si>
    <t>Vehicle Gear / Marcia</t>
  </si>
  <si>
    <t>1st / Prima</t>
  </si>
  <si>
    <t>2nd / Seconda</t>
  </si>
  <si>
    <t>3rd / Terza</t>
  </si>
  <si>
    <t>4th / Quarta</t>
  </si>
  <si>
    <t>5th /Quinta</t>
  </si>
  <si>
    <t>Overall gear ratio / Rapporto di trasmissione totale</t>
  </si>
  <si>
    <t>Torque(wheel) = Torque(motor) / (overall gear ratio * drive train efficiency)</t>
  </si>
  <si>
    <t>Motor torque multiplier equation (5.9) / Formula moltiplicatore coppia motore (5.9)</t>
  </si>
  <si>
    <t>RPM multiplier equation (5.10) / Formula moltiplicatore RPM (5.10)</t>
  </si>
  <si>
    <t>Motor Current / Corrente motore</t>
  </si>
  <si>
    <t>Motor Torque / Coppia motore</t>
  </si>
  <si>
    <t>Motor RPM / RPM motore</t>
  </si>
  <si>
    <t>Wheel Torque / Coppia alla ruota</t>
  </si>
  <si>
    <t>Vehicle Speed / Velocità veicolo</t>
  </si>
  <si>
    <t>Overall drivetrain efficiency / Efficienza totale trasmissione</t>
  </si>
  <si>
    <t>Current in amps, torque in ft*lbs, vehicle speed in mph / Corrente in Ampere, coppia in ft*lbs, velocità veicolo in mph</t>
  </si>
  <si>
    <t>Current in amps, torque in N*m, vehicle speed in Km/h / Corrente in Ampere, coppia in N*m, velocità veicolo in Km/h</t>
  </si>
  <si>
    <t>Revolution per Km / Rivoluzioni per Km</t>
  </si>
  <si>
    <t>Ford Fiesta transmission / Rapporto di trasmissione della Ford Fiesta</t>
  </si>
  <si>
    <t>Ford Fiesta differential / Rapporto di trasmissione al differenziale della Ford Fiesta</t>
  </si>
  <si>
    <t>Ford Fiesta Overall / Rapporto di trasmissione totale della Ford Fiesta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</si>
</sst>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"/>
    <numFmt numFmtId="166" formatCode="0.0"/>
    <numFmt numFmtId="167" formatCode="0.0000"/>
  </numFmts>
  <fonts count="16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11"/>
      <color indexed="8"/>
      <name val="Helvetica"/>
    </font>
    <font>
      <b/>
      <u/>
      <sz val="10"/>
      <color indexed="8"/>
      <name val="Helvetica"/>
    </font>
    <font>
      <u/>
      <sz val="12"/>
      <color theme="11"/>
      <name val="Verdana"/>
    </font>
    <font>
      <sz val="8"/>
      <name val="Verdana"/>
    </font>
    <font>
      <b/>
      <sz val="12"/>
      <color indexed="8"/>
      <name val="Verdana"/>
    </font>
    <font>
      <i/>
      <sz val="12"/>
      <color indexed="8"/>
      <name val="Verdana"/>
    </font>
    <font>
      <sz val="12"/>
      <color indexed="8"/>
      <name val="Verdana"/>
      <family val="2"/>
    </font>
    <font>
      <b/>
      <sz val="12"/>
      <color indexed="8"/>
      <name val="Verdana"/>
      <family val="2"/>
    </font>
    <font>
      <sz val="9"/>
      <color rgb="FF000000"/>
      <name val="Arial"/>
      <family val="2"/>
    </font>
    <font>
      <b/>
      <sz val="12"/>
      <color theme="5"/>
      <name val="Verdana"/>
    </font>
    <font>
      <b/>
      <sz val="12"/>
      <color rgb="FF3366FF"/>
      <name val="Verdana"/>
    </font>
    <font>
      <i/>
      <sz val="12"/>
      <color theme="5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</borders>
  <cellStyleXfs count="59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18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165" fontId="2" fillId="4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66" fontId="2" fillId="0" borderId="1" xfId="0" applyNumberFormat="1" applyFont="1" applyBorder="1" applyAlignment="1">
      <alignment vertical="top" wrapText="1"/>
    </xf>
    <xf numFmtId="1" fontId="2" fillId="4" borderId="1" xfId="0" applyNumberFormat="1" applyFont="1" applyFill="1" applyBorder="1" applyAlignment="1">
      <alignment vertical="top" wrapText="1"/>
    </xf>
    <xf numFmtId="164" fontId="2" fillId="4" borderId="1" xfId="0" applyNumberFormat="1" applyFont="1" applyFill="1" applyBorder="1" applyAlignment="1">
      <alignment vertical="top" wrapText="1"/>
    </xf>
    <xf numFmtId="166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4" borderId="1" xfId="0" applyNumberFormat="1" applyFont="1" applyFill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horizontal="center" vertical="top" wrapText="1"/>
    </xf>
    <xf numFmtId="166" fontId="2" fillId="0" borderId="1" xfId="0" applyNumberFormat="1" applyFont="1" applyBorder="1" applyAlignment="1">
      <alignment horizontal="center" vertical="top" wrapText="1"/>
    </xf>
    <xf numFmtId="165" fontId="2" fillId="4" borderId="1" xfId="0" applyNumberFormat="1" applyFont="1" applyFill="1" applyBorder="1" applyAlignment="1">
      <alignment horizontal="center" vertical="top" wrapText="1"/>
    </xf>
    <xf numFmtId="166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/>
    </xf>
    <xf numFmtId="0" fontId="3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4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2" fontId="0" fillId="0" borderId="3" xfId="0" applyNumberFormat="1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6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Font="1" applyAlignment="1">
      <alignment vertical="top" wrapText="1"/>
    </xf>
    <xf numFmtId="167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167" fontId="0" fillId="0" borderId="5" xfId="0" applyNumberFormat="1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2" fontId="0" fillId="0" borderId="8" xfId="0" applyNumberFormat="1" applyFont="1" applyBorder="1" applyAlignment="1">
      <alignment vertical="top" wrapText="1"/>
    </xf>
    <xf numFmtId="1" fontId="0" fillId="0" borderId="9" xfId="0" applyNumberFormat="1" applyFont="1" applyBorder="1" applyAlignment="1">
      <alignment vertical="top" wrapText="1"/>
    </xf>
    <xf numFmtId="2" fontId="0" fillId="0" borderId="9" xfId="0" applyNumberFormat="1" applyFont="1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0" fontId="15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1" fontId="0" fillId="0" borderId="8" xfId="0" applyNumberFormat="1" applyFont="1" applyBorder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14" fillId="0" borderId="12" xfId="0" applyFont="1" applyBorder="1" applyAlignment="1">
      <alignment vertical="top" wrapText="1"/>
    </xf>
    <xf numFmtId="2" fontId="0" fillId="0" borderId="13" xfId="0" applyNumberFormat="1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1" fontId="0" fillId="0" borderId="11" xfId="0" applyNumberFormat="1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2" fontId="0" fillId="0" borderId="1" xfId="0" applyNumberFormat="1" applyFont="1" applyBorder="1" applyAlignment="1">
      <alignment vertical="top" wrapText="1"/>
    </xf>
    <xf numFmtId="2" fontId="0" fillId="0" borderId="20" xfId="0" applyNumberFormat="1" applyFont="1" applyBorder="1" applyAlignment="1">
      <alignment vertical="top" wrapText="1"/>
    </xf>
    <xf numFmtId="165" fontId="0" fillId="0" borderId="1" xfId="0" applyNumberFormat="1" applyFont="1" applyBorder="1" applyAlignment="1">
      <alignment vertical="top" wrapText="1"/>
    </xf>
    <xf numFmtId="165" fontId="0" fillId="0" borderId="20" xfId="0" applyNumberFormat="1" applyFont="1" applyBorder="1" applyAlignment="1">
      <alignment vertical="top" wrapText="1"/>
    </xf>
    <xf numFmtId="167" fontId="0" fillId="0" borderId="1" xfId="0" applyNumberFormat="1" applyFont="1" applyBorder="1" applyAlignment="1">
      <alignment vertical="top" wrapText="1"/>
    </xf>
    <xf numFmtId="167" fontId="0" fillId="0" borderId="20" xfId="0" applyNumberFormat="1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2" fontId="0" fillId="0" borderId="22" xfId="0" applyNumberFormat="1" applyFont="1" applyBorder="1" applyAlignment="1">
      <alignment vertical="top" wrapText="1"/>
    </xf>
    <xf numFmtId="2" fontId="0" fillId="0" borderId="23" xfId="0" applyNumberFormat="1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6" borderId="26" xfId="0" applyFont="1" applyFill="1" applyBorder="1" applyAlignment="1">
      <alignment vertical="top" wrapText="1"/>
    </xf>
    <xf numFmtId="0" fontId="8" fillId="6" borderId="26" xfId="0" applyFont="1" applyFill="1" applyBorder="1" applyAlignment="1">
      <alignment horizontal="center" vertical="top" wrapText="1"/>
    </xf>
    <xf numFmtId="0" fontId="8" fillId="6" borderId="27" xfId="0" applyFont="1" applyFill="1" applyBorder="1" applyAlignment="1">
      <alignment horizontal="center"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2" fontId="0" fillId="0" borderId="17" xfId="0" applyNumberFormat="1" applyFont="1" applyBorder="1" applyAlignment="1">
      <alignment vertical="top" wrapText="1"/>
    </xf>
    <xf numFmtId="2" fontId="0" fillId="0" borderId="18" xfId="0" applyNumberFormat="1" applyFont="1" applyBorder="1" applyAlignment="1">
      <alignment vertical="top" wrapText="1"/>
    </xf>
    <xf numFmtId="0" fontId="8" fillId="6" borderId="29" xfId="0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166" fontId="0" fillId="0" borderId="1" xfId="0" applyNumberFormat="1" applyFont="1" applyBorder="1" applyAlignment="1">
      <alignment vertical="top" wrapText="1"/>
    </xf>
    <xf numFmtId="166" fontId="0" fillId="0" borderId="22" xfId="0" applyNumberFormat="1" applyFont="1" applyBorder="1" applyAlignment="1">
      <alignment vertical="top" wrapText="1"/>
    </xf>
    <xf numFmtId="0" fontId="0" fillId="0" borderId="8" xfId="0" applyFont="1" applyBorder="1" applyAlignment="1">
      <alignment horizontal="right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0" borderId="2" xfId="0" applyNumberFormat="1" applyFont="1" applyBorder="1" applyAlignment="1">
      <alignment horizontal="left" vertical="top"/>
    </xf>
  </cellXfs>
  <cellStyles count="59">
    <cellStyle name="Collegamento visitato" xfId="1" builtinId="9" hidden="1"/>
    <cellStyle name="Collegamento visitato" xfId="2" builtinId="9" hidden="1"/>
    <cellStyle name="Collegamento visitato" xfId="3" builtinId="9" hidden="1"/>
    <cellStyle name="Collegamento visitato" xfId="4" builtinId="9" hidden="1"/>
    <cellStyle name="Collegamento visitato" xfId="5" builtinId="9" hidden="1"/>
    <cellStyle name="Collegamento visitato" xfId="6" builtinId="9" hidden="1"/>
    <cellStyle name="Collegamento visitato" xfId="7" builtinId="9" hidden="1"/>
    <cellStyle name="Collegamento visitato" xfId="8" builtinId="9" hidden="1"/>
    <cellStyle name="Collegamento visitato" xfId="9" builtinId="9" hidden="1"/>
    <cellStyle name="Collegamento visitato" xfId="10" builtinId="9" hidden="1"/>
    <cellStyle name="Collegamento visitato" xfId="11" builtinId="9" hidden="1"/>
    <cellStyle name="Collegamento visitato" xfId="12" builtinId="9" hidden="1"/>
    <cellStyle name="Collegamento visitato" xfId="13" builtinId="9" hidden="1"/>
    <cellStyle name="Collegamento visitato" xfId="14" builtinId="9" hidden="1"/>
    <cellStyle name="Collegamento visitato" xfId="15" builtinId="9" hidden="1"/>
    <cellStyle name="Collegamento visitato" xfId="16" builtinId="9" hidden="1"/>
    <cellStyle name="Collegamento visitato" xfId="17" builtinId="9" hidden="1"/>
    <cellStyle name="Collegamento visitato" xfId="18" builtinId="9" hidden="1"/>
    <cellStyle name="Collegamento visitato" xfId="19" builtinId="9" hidden="1"/>
    <cellStyle name="Collegamento visitato" xfId="20" builtinId="9" hidden="1"/>
    <cellStyle name="Collegamento visitato" xfId="21" builtinId="9" hidden="1"/>
    <cellStyle name="Collegamento visitato" xfId="22" builtinId="9" hidden="1"/>
    <cellStyle name="Collegamento visitato" xfId="23" builtinId="9" hidden="1"/>
    <cellStyle name="Collegamento visitato" xfId="24" builtinId="9" hidden="1"/>
    <cellStyle name="Collegamento visitato" xfId="25" builtinId="9" hidden="1"/>
    <cellStyle name="Collegamento visitato" xfId="26" builtinId="9" hidden="1"/>
    <cellStyle name="Collegamento visitato" xfId="27" builtinId="9" hidden="1"/>
    <cellStyle name="Collegamento visitato" xfId="28" builtinId="9" hidden="1"/>
    <cellStyle name="Collegamento visitato" xfId="29" builtinId="9" hidden="1"/>
    <cellStyle name="Collegamento visitato" xfId="30" builtinId="9" hidden="1"/>
    <cellStyle name="Collegamento visitato" xfId="31" builtinId="9" hidden="1"/>
    <cellStyle name="Collegamento visitato" xfId="32" builtinId="9" hidden="1"/>
    <cellStyle name="Collegamento visitato" xfId="33" builtinId="9" hidden="1"/>
    <cellStyle name="Collegamento visitato" xfId="34" builtinId="9" hidden="1"/>
    <cellStyle name="Collegamento visitato" xfId="35" builtinId="9" hidden="1"/>
    <cellStyle name="Collegamento visitato" xfId="36" builtinId="9" hidden="1"/>
    <cellStyle name="Collegamento visitato" xfId="37" builtinId="9" hidden="1"/>
    <cellStyle name="Collegamento visitato" xfId="38" builtinId="9" hidden="1"/>
    <cellStyle name="Collegamento visitato" xfId="39" builtinId="9" hidden="1"/>
    <cellStyle name="Collegamento visitato" xfId="40" builtinId="9" hidden="1"/>
    <cellStyle name="Collegamento visitato" xfId="41" builtinId="9" hidden="1"/>
    <cellStyle name="Collegamento visitato" xfId="42" builtinId="9" hidden="1"/>
    <cellStyle name="Collegamento visitato" xfId="43" builtinId="9" hidden="1"/>
    <cellStyle name="Collegamento visitato" xfId="44" builtinId="9" hidden="1"/>
    <cellStyle name="Collegamento visitato" xfId="45" builtinId="9" hidden="1"/>
    <cellStyle name="Collegamento visitato" xfId="46" builtinId="9" hidden="1"/>
    <cellStyle name="Collegamento visitato" xfId="47" builtinId="9" hidden="1"/>
    <cellStyle name="Collegamento visitato" xfId="48" builtinId="9" hidden="1"/>
    <cellStyle name="Collegamento visitato" xfId="49" builtinId="9" hidden="1"/>
    <cellStyle name="Collegamento visitato" xfId="50" builtinId="9" hidden="1"/>
    <cellStyle name="Collegamento visitato" xfId="51" builtinId="9" hidden="1"/>
    <cellStyle name="Collegamento visitato" xfId="52" builtinId="9" hidden="1"/>
    <cellStyle name="Collegamento visitato" xfId="53" builtinId="9" hidden="1"/>
    <cellStyle name="Collegamento visitato" xfId="54" builtinId="9" hidden="1"/>
    <cellStyle name="Collegamento visitato" xfId="55" builtinId="9" hidden="1"/>
    <cellStyle name="Collegamento visitato" xfId="56" builtinId="9" hidden="1"/>
    <cellStyle name="Collegamento visitato" xfId="57" builtinId="9" hidden="1"/>
    <cellStyle name="Collegamento visitato" xfId="58" builtinId="9" hidden="1"/>
    <cellStyle name="Normale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FFFEFEFE"/>
      <rgbColor rgb="FFB8B8B8"/>
      <rgbColor rgb="FF51A7F9"/>
      <rgbColor rgb="FF53ABFF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c:style val="18"/>
  <c:chart>
    <c:title>
      <c:tx>
        <c:rich>
          <a:bodyPr rot="0"/>
          <a:lstStyle/>
          <a:p>
            <a:pPr lvl="0"/>
            <a:endParaRPr lang="it-IT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0325672"/>
          <c:y val="0.0346923"/>
          <c:w val="0.967433"/>
          <c:h val="0.9174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'Coefficient of Drag'!$E$2</c:f>
              <c:strCache>
                <c:ptCount val="1"/>
                <c:pt idx="0">
                  <c:v>Cd \ Cr (Coefficiente di resistenza)</c:v>
                </c:pt>
              </c:strCache>
            </c:strRef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Ref>
              <c:f>'Coefficient of Drag'!$E$3:$E$10</c:f>
              <c:numCache>
                <c:formatCode>General</c:formatCode>
                <c:ptCount val="8"/>
                <c:pt idx="0">
                  <c:v>1.95</c:v>
                </c:pt>
                <c:pt idx="1">
                  <c:v>1.46</c:v>
                </c:pt>
                <c:pt idx="2">
                  <c:v>0.85</c:v>
                </c:pt>
                <c:pt idx="3">
                  <c:v>0.5</c:v>
                </c:pt>
                <c:pt idx="4">
                  <c:v>0.45</c:v>
                </c:pt>
                <c:pt idx="5">
                  <c:v>0.38</c:v>
                </c:pt>
                <c:pt idx="6">
                  <c:v>0.32</c:v>
                </c:pt>
                <c:pt idx="7">
                  <c:v>0.07</c:v>
                </c:pt>
              </c:numCache>
            </c:numRef>
          </c:yVal>
          <c:smooth val="0"/>
        </c:ser>
        <c:ser>
          <c:idx val="1"/>
          <c:order val="1"/>
          <c:tx>
            <c:v>Cd \ Cr (Coefficiente di resistenza)</c:v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Lit>
              <c:formatCode>General</c:formatCode>
              <c:ptCount val="8"/>
              <c:pt idx="0">
                <c:v>1.95</c:v>
              </c:pt>
              <c:pt idx="1">
                <c:v>1.46</c:v>
              </c:pt>
              <c:pt idx="2">
                <c:v>0.85</c:v>
              </c:pt>
              <c:pt idx="3">
                <c:v>0.5</c:v>
              </c:pt>
              <c:pt idx="4">
                <c:v>0.45</c:v>
              </c:pt>
              <c:pt idx="5">
                <c:v>0.38</c:v>
              </c:pt>
              <c:pt idx="6">
                <c:v>0.32</c:v>
              </c:pt>
              <c:pt idx="7">
                <c:v>0.07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546792"/>
        <c:axId val="2095549896"/>
      </c:scatterChart>
      <c:valAx>
        <c:axId val="2095546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095549896"/>
        <c:crosses val="autoZero"/>
        <c:crossBetween val="between"/>
        <c:majorUnit val="0.75"/>
        <c:minorUnit val="0.375"/>
      </c:valAx>
      <c:valAx>
        <c:axId val="2095549896"/>
        <c:scaling>
          <c:orientation val="minMax"/>
          <c:max val="2.0"/>
          <c:min val="0.0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095546792"/>
        <c:crosses val="autoZero"/>
        <c:crossBetween val="between"/>
        <c:majorUnit val="0.5"/>
        <c:minorUnit val="0.25"/>
      </c:valAx>
      <c:spPr>
        <a:noFill/>
        <a:ln w="12700" cap="flat">
          <a:noFill/>
          <a:miter lim="400000"/>
        </a:ln>
        <a:effectLst/>
      </c:spPr>
    </c:plotArea>
    <c:plotVisOnly val="0"/>
    <c:dispBlanksAs val="gap"/>
    <c:showDLblsOverMax val="1"/>
  </c:chart>
  <c:spPr>
    <a:noFill/>
    <a:ln>
      <a:noFill/>
    </a:ln>
    <a:effectLst/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v>Aerodynamic Force / Forza Aerodinamica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Drag'!$E$78:$K$78</c:f>
              <c:numCache>
                <c:formatCode>0.000</c:formatCode>
                <c:ptCount val="7"/>
                <c:pt idx="0">
                  <c:v>46.79398251151747</c:v>
                </c:pt>
                <c:pt idx="1">
                  <c:v>56.04145701470468</c:v>
                </c:pt>
                <c:pt idx="2">
                  <c:v>89.85020031135187</c:v>
                </c:pt>
                <c:pt idx="3">
                  <c:v>143.7686242220935</c:v>
                </c:pt>
                <c:pt idx="4">
                  <c:v>275.9150562244615</c:v>
                </c:pt>
                <c:pt idx="5">
                  <c:v>426.3327768882006</c:v>
                </c:pt>
                <c:pt idx="6">
                  <c:v>635.360717649807</c:v>
                </c:pt>
              </c:numCache>
            </c:numRef>
          </c:val>
          <c:smooth val="0"/>
        </c:ser>
        <c:ser>
          <c:idx val="6"/>
          <c:order val="1"/>
          <c:tx>
            <c:v>Rolling Resistance / Resistenza al Rotolamento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Drag'!$E$79:$K$79</c:f>
              <c:numCache>
                <c:formatCode>0.000</c:formatCode>
                <c:ptCount val="7"/>
                <c:pt idx="0">
                  <c:v>34.59808816196947</c:v>
                </c:pt>
                <c:pt idx="1">
                  <c:v>34.59808816196947</c:v>
                </c:pt>
                <c:pt idx="2">
                  <c:v>34.59808816196947</c:v>
                </c:pt>
                <c:pt idx="3">
                  <c:v>34.59808816196947</c:v>
                </c:pt>
                <c:pt idx="4">
                  <c:v>34.59808816196947</c:v>
                </c:pt>
                <c:pt idx="5">
                  <c:v>34.59808816196947</c:v>
                </c:pt>
                <c:pt idx="6">
                  <c:v>34.59808816196947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095381960"/>
        <c:axId val="2095387784"/>
      </c:lineChart>
      <c:catAx>
        <c:axId val="2095381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Vehicle Speed (mph)</a:t>
                </a:r>
                <a:endParaRPr lang="it-IT" baseline="0"/>
              </a:p>
              <a:p>
                <a:pPr>
                  <a:defRPr/>
                </a:pPr>
                <a:r>
                  <a:rPr lang="it-IT" baseline="0"/>
                  <a:t>Velocità Veicolo (Km/h)</a:t>
                </a:r>
                <a:endParaRPr lang="it-IT"/>
              </a:p>
            </c:rich>
          </c:tx>
          <c:overlay val="0"/>
        </c:title>
        <c:majorTickMark val="none"/>
        <c:minorTickMark val="none"/>
        <c:tickLblPos val="nextTo"/>
        <c:crossAx val="2095387784"/>
        <c:crosses val="autoZero"/>
        <c:auto val="1"/>
        <c:lblAlgn val="ctr"/>
        <c:lblOffset val="100"/>
        <c:noMultiLvlLbl val="0"/>
      </c:catAx>
      <c:valAx>
        <c:axId val="20953877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Drug</a:t>
                </a:r>
                <a:r>
                  <a:rPr lang="it-IT" baseline="0"/>
                  <a:t> (N)</a:t>
                </a:r>
              </a:p>
              <a:p>
                <a:pPr>
                  <a:defRPr/>
                </a:pPr>
                <a:r>
                  <a:rPr lang="it-IT" baseline="0"/>
                  <a:t>Resistenza (N)</a:t>
                </a:r>
                <a:endParaRPr lang="it-IT"/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095381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340677</xdr:colOff>
      <xdr:row>10</xdr:row>
      <xdr:rowOff>194486</xdr:rowOff>
    </xdr:from>
    <xdr:to>
      <xdr:col>25</xdr:col>
      <xdr:colOff>292100</xdr:colOff>
      <xdr:row>32</xdr:row>
      <xdr:rowOff>76200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698500</xdr:colOff>
      <xdr:row>80</xdr:row>
      <xdr:rowOff>139700</xdr:rowOff>
    </xdr:from>
    <xdr:to>
      <xdr:col>11</xdr:col>
      <xdr:colOff>1600200</xdr:colOff>
      <xdr:row>113</xdr:row>
      <xdr:rowOff>215900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ord.com/trucks/ranger/" TargetMode="External"/><Relationship Id="rId2" Type="http://schemas.openxmlformats.org/officeDocument/2006/relationships/hyperlink" Target="http://www.ford.com/trucks/ranger/" TargetMode="External"/><Relationship Id="rId3" Type="http://schemas.openxmlformats.org/officeDocument/2006/relationships/hyperlink" Target="http://www.ford.com/trucks/range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9"/>
  <sheetViews>
    <sheetView showGridLines="0" tabSelected="1" workbookViewId="0">
      <pane xSplit="1" ySplit="2" topLeftCell="B4" activePane="bottomRight" state="frozenSplit"/>
      <selection pane="topRight"/>
      <selection pane="bottomLeft"/>
      <selection pane="bottomRight" activeCell="F15" sqref="F15"/>
    </sheetView>
  </sheetViews>
  <sheetFormatPr baseColWidth="10" defaultColWidth="9" defaultRowHeight="18" customHeight="1" x14ac:dyDescent="0"/>
  <cols>
    <col min="1" max="1" width="9" style="1" customWidth="1"/>
    <col min="2" max="2" width="51.5" style="1" bestFit="1" customWidth="1"/>
    <col min="3" max="3" width="33" style="1" bestFit="1" customWidth="1"/>
    <col min="4" max="4" width="69.75" style="1" bestFit="1" customWidth="1"/>
    <col min="5" max="5" width="62" style="1" bestFit="1" customWidth="1"/>
    <col min="6" max="6" width="63.625" style="1" bestFit="1" customWidth="1"/>
    <col min="7" max="7" width="43.625" style="1" customWidth="1"/>
    <col min="8" max="8" width="11.125" style="1" customWidth="1"/>
    <col min="9" max="10" width="14" style="1" customWidth="1"/>
    <col min="11" max="11" width="10.875" style="1" customWidth="1"/>
    <col min="12" max="256" width="9" style="1" customWidth="1"/>
  </cols>
  <sheetData>
    <row r="1" spans="1:11" ht="16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20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</row>
    <row r="3" spans="1:11" ht="20.5" customHeight="1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12</v>
      </c>
      <c r="H3" s="6"/>
      <c r="I3" s="6"/>
      <c r="J3" s="6"/>
      <c r="K3" s="6"/>
    </row>
    <row r="4" spans="1:11" ht="20.25" customHeight="1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18</v>
      </c>
      <c r="H4" s="6"/>
      <c r="I4" s="6"/>
      <c r="J4" s="6"/>
      <c r="K4" s="6"/>
    </row>
    <row r="5" spans="1:11" ht="20.25" customHeight="1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24</v>
      </c>
      <c r="H5" s="6"/>
      <c r="I5" s="6"/>
      <c r="J5" s="6"/>
      <c r="K5" s="6"/>
    </row>
    <row r="6" spans="1:11" ht="20.25" customHeight="1">
      <c r="A6" s="4"/>
      <c r="B6" s="6"/>
      <c r="C6" s="6"/>
      <c r="D6" s="5"/>
      <c r="E6" s="5" t="s">
        <v>26</v>
      </c>
      <c r="F6" s="5" t="s">
        <v>27</v>
      </c>
      <c r="G6" s="5" t="s">
        <v>26</v>
      </c>
      <c r="H6" s="5"/>
      <c r="I6" s="5"/>
      <c r="J6" s="5"/>
      <c r="K6" s="6"/>
    </row>
    <row r="7" spans="1:11" ht="20.25" customHeight="1">
      <c r="A7" s="4"/>
      <c r="B7" s="6"/>
      <c r="C7" s="5"/>
      <c r="D7" s="6"/>
      <c r="E7" s="5" t="s">
        <v>28</v>
      </c>
      <c r="F7" s="5" t="s">
        <v>29</v>
      </c>
      <c r="G7" s="5" t="s">
        <v>28</v>
      </c>
      <c r="H7" s="5"/>
      <c r="I7" s="5"/>
      <c r="J7" s="5"/>
      <c r="K7" s="6"/>
    </row>
    <row r="8" spans="1:11" ht="20.25" customHeight="1">
      <c r="A8" s="4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34</v>
      </c>
      <c r="H8" s="5"/>
      <c r="I8" s="5"/>
      <c r="J8" s="5"/>
      <c r="K8" s="6"/>
    </row>
    <row r="9" spans="1:11" ht="20.25" customHeight="1">
      <c r="A9" s="4"/>
      <c r="B9" s="6"/>
      <c r="C9" s="6"/>
      <c r="D9" s="6"/>
      <c r="E9" s="5" t="s">
        <v>36</v>
      </c>
      <c r="F9" s="5" t="s">
        <v>37</v>
      </c>
      <c r="G9" s="5" t="s">
        <v>36</v>
      </c>
      <c r="H9" s="6"/>
      <c r="I9" s="6"/>
      <c r="J9" s="6"/>
      <c r="K9" s="6"/>
    </row>
    <row r="10" spans="1:11" ht="20.25" customHeight="1">
      <c r="A10" s="4" t="s">
        <v>38</v>
      </c>
      <c r="B10" s="5" t="s">
        <v>39</v>
      </c>
      <c r="C10" s="5" t="s">
        <v>40</v>
      </c>
      <c r="D10" s="5" t="s">
        <v>41</v>
      </c>
      <c r="E10" s="5" t="s">
        <v>40</v>
      </c>
      <c r="F10" s="5" t="s">
        <v>42</v>
      </c>
      <c r="G10" s="5" t="s">
        <v>43</v>
      </c>
      <c r="H10" s="5"/>
      <c r="I10" s="5"/>
      <c r="J10" s="5"/>
      <c r="K10" s="6"/>
    </row>
    <row r="11" spans="1:11" ht="20.25" customHeight="1">
      <c r="A11" s="4" t="s">
        <v>44</v>
      </c>
      <c r="B11" s="5" t="s">
        <v>45</v>
      </c>
      <c r="C11" s="5" t="s">
        <v>46</v>
      </c>
      <c r="D11" s="5" t="s">
        <v>47</v>
      </c>
      <c r="E11" s="5" t="s">
        <v>46</v>
      </c>
      <c r="F11" s="5" t="s">
        <v>47</v>
      </c>
      <c r="G11" s="5" t="s">
        <v>46</v>
      </c>
      <c r="H11" s="5"/>
      <c r="I11" s="5"/>
      <c r="J11" s="5"/>
      <c r="K11" s="6"/>
    </row>
    <row r="12" spans="1:11" ht="20.25" customHeight="1">
      <c r="A12" s="4"/>
      <c r="B12" s="6"/>
      <c r="C12" s="5"/>
      <c r="D12" s="5"/>
      <c r="E12" s="5" t="s">
        <v>48</v>
      </c>
      <c r="F12" s="5" t="s">
        <v>49</v>
      </c>
      <c r="G12" s="5" t="s">
        <v>48</v>
      </c>
      <c r="H12" s="5"/>
      <c r="I12" s="5"/>
      <c r="J12" s="5"/>
      <c r="K12" s="6"/>
    </row>
    <row r="13" spans="1:11" ht="20.25" customHeight="1">
      <c r="A13" s="4" t="s">
        <v>50</v>
      </c>
      <c r="B13" s="5" t="s">
        <v>51</v>
      </c>
      <c r="C13" s="5" t="s">
        <v>52</v>
      </c>
      <c r="D13" s="5" t="s">
        <v>53</v>
      </c>
      <c r="E13" s="5" t="s">
        <v>54</v>
      </c>
      <c r="F13" s="5" t="s">
        <v>55</v>
      </c>
      <c r="G13" s="5" t="s">
        <v>54</v>
      </c>
      <c r="H13" s="5"/>
      <c r="I13" s="5"/>
      <c r="J13" s="5"/>
      <c r="K13" s="6"/>
    </row>
    <row r="14" spans="1:11" ht="20.25" customHeight="1">
      <c r="A14" s="4" t="s">
        <v>56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5"/>
      <c r="I14" s="5"/>
      <c r="J14" s="5"/>
      <c r="K14" s="6"/>
    </row>
    <row r="15" spans="1:11" ht="20.25" customHeight="1">
      <c r="A15" s="4" t="s">
        <v>63</v>
      </c>
      <c r="B15" s="5" t="s">
        <v>449</v>
      </c>
      <c r="C15" s="5" t="s">
        <v>64</v>
      </c>
      <c r="D15" s="5" t="s">
        <v>65</v>
      </c>
      <c r="E15" s="5" t="s">
        <v>66</v>
      </c>
      <c r="F15" s="5" t="s">
        <v>67</v>
      </c>
      <c r="G15" s="5" t="s">
        <v>68</v>
      </c>
      <c r="H15" s="5"/>
      <c r="I15" s="5"/>
      <c r="J15" s="5"/>
      <c r="K15" s="6"/>
    </row>
    <row r="16" spans="1:11" ht="21.25" customHeight="1">
      <c r="A16" s="4" t="s">
        <v>69</v>
      </c>
      <c r="B16" s="5" t="s">
        <v>70</v>
      </c>
      <c r="C16" s="5" t="s">
        <v>71</v>
      </c>
      <c r="D16" s="5" t="s">
        <v>72</v>
      </c>
      <c r="E16" s="5" t="s">
        <v>73</v>
      </c>
      <c r="F16" s="5" t="s">
        <v>74</v>
      </c>
      <c r="G16" s="5" t="s">
        <v>75</v>
      </c>
      <c r="H16" s="5"/>
      <c r="I16" s="5"/>
      <c r="J16" s="5"/>
      <c r="K16" s="6"/>
    </row>
    <row r="17" spans="1:256" ht="21.25" customHeight="1">
      <c r="A17" s="4" t="s">
        <v>76</v>
      </c>
      <c r="B17" s="5" t="s">
        <v>77</v>
      </c>
      <c r="C17" s="5" t="s">
        <v>78</v>
      </c>
      <c r="D17" s="5" t="s">
        <v>79</v>
      </c>
      <c r="E17" s="5" t="s">
        <v>80</v>
      </c>
      <c r="F17" s="5" t="s">
        <v>81</v>
      </c>
      <c r="G17" s="5" t="s">
        <v>82</v>
      </c>
      <c r="H17" s="5"/>
      <c r="I17" s="5"/>
      <c r="J17" s="5"/>
      <c r="K17" s="6"/>
    </row>
    <row r="18" spans="1:256" ht="20.25" customHeight="1">
      <c r="A18" s="4" t="s">
        <v>83</v>
      </c>
      <c r="B18" s="5" t="s">
        <v>84</v>
      </c>
      <c r="C18" s="5" t="s">
        <v>85</v>
      </c>
      <c r="D18" s="5" t="s">
        <v>86</v>
      </c>
      <c r="E18" s="5" t="s">
        <v>87</v>
      </c>
      <c r="F18" s="5" t="s">
        <v>88</v>
      </c>
      <c r="G18" s="5" t="s">
        <v>89</v>
      </c>
      <c r="H18" s="5"/>
      <c r="I18" s="5"/>
      <c r="J18" s="5"/>
      <c r="K18" s="6"/>
    </row>
    <row r="19" spans="1:256" ht="20.25" customHeight="1">
      <c r="A19" s="4" t="s">
        <v>90</v>
      </c>
      <c r="B19" s="5" t="s">
        <v>91</v>
      </c>
      <c r="C19" s="5" t="s">
        <v>91</v>
      </c>
      <c r="D19" s="5" t="s">
        <v>92</v>
      </c>
      <c r="E19" s="5" t="s">
        <v>93</v>
      </c>
      <c r="F19" s="5" t="s">
        <v>94</v>
      </c>
      <c r="G19" s="5" t="s">
        <v>93</v>
      </c>
      <c r="H19" s="5"/>
      <c r="I19" s="5"/>
      <c r="J19" s="5"/>
      <c r="K19" s="6"/>
    </row>
    <row r="20" spans="1:256" ht="20.25" customHeight="1">
      <c r="A20" s="4" t="s">
        <v>95</v>
      </c>
      <c r="B20" s="5" t="s">
        <v>96</v>
      </c>
      <c r="C20" s="5" t="s">
        <v>96</v>
      </c>
      <c r="D20" s="5" t="s">
        <v>97</v>
      </c>
      <c r="E20" s="5" t="s">
        <v>98</v>
      </c>
      <c r="F20" s="5" t="s">
        <v>99</v>
      </c>
      <c r="G20" s="5" t="s">
        <v>98</v>
      </c>
      <c r="H20" s="5"/>
      <c r="I20" s="5"/>
      <c r="J20" s="5"/>
      <c r="K20" s="6"/>
    </row>
    <row r="21" spans="1:256" ht="20.25" customHeight="1">
      <c r="A21" s="4" t="s">
        <v>100</v>
      </c>
      <c r="B21" s="5" t="s">
        <v>101</v>
      </c>
      <c r="C21" s="5" t="s">
        <v>102</v>
      </c>
      <c r="D21" s="5" t="s">
        <v>103</v>
      </c>
      <c r="E21" s="5" t="s">
        <v>104</v>
      </c>
      <c r="F21" s="5" t="s">
        <v>105</v>
      </c>
      <c r="G21" s="5" t="s">
        <v>104</v>
      </c>
      <c r="H21" s="6"/>
      <c r="I21" s="6"/>
      <c r="J21" s="6"/>
      <c r="K21" s="6"/>
    </row>
    <row r="22" spans="1:256" ht="20.25" customHeight="1">
      <c r="A22" s="4"/>
      <c r="B22" s="6"/>
      <c r="C22" s="6"/>
      <c r="D22" s="6"/>
      <c r="E22" s="5" t="s">
        <v>106</v>
      </c>
      <c r="F22" s="5" t="s">
        <v>107</v>
      </c>
      <c r="G22" s="5" t="s">
        <v>106</v>
      </c>
      <c r="H22" s="6"/>
      <c r="I22" s="6"/>
      <c r="J22" s="6"/>
      <c r="K22" s="6"/>
    </row>
    <row r="23" spans="1:256" ht="20.25" customHeight="1">
      <c r="A23" s="4" t="s">
        <v>108</v>
      </c>
      <c r="B23" s="5" t="s">
        <v>109</v>
      </c>
      <c r="C23" s="5" t="s">
        <v>110</v>
      </c>
      <c r="D23" s="5" t="s">
        <v>111</v>
      </c>
      <c r="E23" s="5" t="s">
        <v>112</v>
      </c>
      <c r="F23" s="5" t="s">
        <v>113</v>
      </c>
      <c r="G23" s="5" t="s">
        <v>112</v>
      </c>
      <c r="H23" s="6"/>
      <c r="I23" s="6"/>
      <c r="J23" s="6"/>
      <c r="K23" s="6"/>
    </row>
    <row r="24" spans="1:256" ht="20.25" customHeight="1">
      <c r="A24" s="4"/>
      <c r="B24" s="6"/>
      <c r="C24" s="6"/>
      <c r="D24" s="6"/>
      <c r="E24" s="5" t="s">
        <v>114</v>
      </c>
      <c r="F24" s="5" t="s">
        <v>115</v>
      </c>
      <c r="G24" s="5" t="s">
        <v>114</v>
      </c>
      <c r="H24" s="6"/>
      <c r="I24" s="6"/>
      <c r="J24" s="6"/>
      <c r="K24" s="6"/>
    </row>
    <row r="25" spans="1:256" ht="20.25" customHeight="1">
      <c r="A25" s="4" t="s">
        <v>116</v>
      </c>
      <c r="B25" s="5" t="s">
        <v>117</v>
      </c>
      <c r="C25" s="5" t="s">
        <v>118</v>
      </c>
      <c r="D25" s="5" t="s">
        <v>119</v>
      </c>
      <c r="E25" s="5" t="s">
        <v>120</v>
      </c>
      <c r="F25" s="5" t="s">
        <v>121</v>
      </c>
      <c r="G25" s="5" t="s">
        <v>120</v>
      </c>
      <c r="H25" s="6"/>
      <c r="I25" s="6"/>
      <c r="J25" s="6"/>
      <c r="K25" s="6"/>
    </row>
    <row r="26" spans="1:256" ht="20.25" customHeight="1">
      <c r="A26" s="7"/>
      <c r="B26" s="6"/>
      <c r="C26" s="6"/>
      <c r="D26" s="6"/>
      <c r="E26" s="5" t="s">
        <v>122</v>
      </c>
      <c r="F26" s="5" t="s">
        <v>123</v>
      </c>
      <c r="G26" s="5" t="s">
        <v>122</v>
      </c>
      <c r="H26" s="6"/>
      <c r="I26" s="6"/>
      <c r="J26" s="6"/>
      <c r="K26" s="6"/>
    </row>
    <row r="27" spans="1:256" ht="20.25" customHeight="1">
      <c r="A27" s="4" t="s">
        <v>124</v>
      </c>
      <c r="B27" s="5" t="s">
        <v>125</v>
      </c>
      <c r="C27" s="5" t="s">
        <v>125</v>
      </c>
      <c r="D27" s="5" t="s">
        <v>126</v>
      </c>
      <c r="E27" s="5" t="s">
        <v>127</v>
      </c>
      <c r="F27" s="5" t="s">
        <v>128</v>
      </c>
      <c r="G27" s="5" t="s">
        <v>127</v>
      </c>
      <c r="H27" s="6"/>
      <c r="I27" s="6"/>
      <c r="J27" s="6"/>
      <c r="K27" s="6"/>
    </row>
    <row r="28" spans="1:256" ht="20.25" customHeight="1">
      <c r="A28" s="4" t="s">
        <v>129</v>
      </c>
      <c r="B28" s="5" t="s">
        <v>130</v>
      </c>
      <c r="C28" s="5" t="s">
        <v>131</v>
      </c>
      <c r="D28" s="5" t="s">
        <v>132</v>
      </c>
      <c r="E28" s="5" t="s">
        <v>133</v>
      </c>
      <c r="F28" s="5" t="s">
        <v>134</v>
      </c>
      <c r="G28" s="5" t="s">
        <v>133</v>
      </c>
      <c r="H28" s="6"/>
      <c r="I28" s="6"/>
      <c r="J28" s="6"/>
      <c r="K28" s="6"/>
    </row>
    <row r="29" spans="1:256" ht="20.25" customHeight="1">
      <c r="A29" s="4"/>
      <c r="C29" s="56"/>
      <c r="D29" s="6"/>
      <c r="E29" s="5" t="s">
        <v>135</v>
      </c>
      <c r="F29" s="5" t="s">
        <v>136</v>
      </c>
      <c r="G29" s="5" t="s">
        <v>135</v>
      </c>
      <c r="H29" s="6"/>
      <c r="I29" s="6"/>
      <c r="J29" s="6"/>
      <c r="K29" s="6"/>
    </row>
    <row r="30" spans="1:256" s="52" customFormat="1" ht="20.25" customHeight="1">
      <c r="A30" s="4" t="s">
        <v>273</v>
      </c>
      <c r="B30" s="6" t="s">
        <v>365</v>
      </c>
      <c r="C30" s="6"/>
      <c r="D30" s="6" t="s">
        <v>366</v>
      </c>
      <c r="E30" s="6" t="s">
        <v>367</v>
      </c>
      <c r="F30" s="6" t="s">
        <v>368</v>
      </c>
      <c r="G30" s="6" t="s">
        <v>369</v>
      </c>
      <c r="H30" s="6"/>
      <c r="I30" s="6"/>
      <c r="J30" s="6"/>
      <c r="K30" s="6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</row>
    <row r="31" spans="1:256" s="52" customFormat="1" ht="19.5" customHeight="1">
      <c r="A31" s="4" t="s">
        <v>347</v>
      </c>
      <c r="B31" s="6" t="s">
        <v>362</v>
      </c>
      <c r="C31" s="57"/>
      <c r="D31" s="6" t="s">
        <v>396</v>
      </c>
      <c r="E31" s="5" t="s">
        <v>363</v>
      </c>
      <c r="F31" s="6" t="s">
        <v>395</v>
      </c>
      <c r="G31" s="5"/>
      <c r="H31" s="6"/>
      <c r="I31" s="6"/>
      <c r="J31" s="6"/>
      <c r="K31" s="6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</row>
    <row r="32" spans="1:256" ht="20.25" customHeight="1">
      <c r="A32" s="4" t="s">
        <v>349</v>
      </c>
      <c r="B32" s="6" t="s">
        <v>348</v>
      </c>
      <c r="C32" s="6"/>
      <c r="D32" s="6"/>
      <c r="E32" s="6" t="s">
        <v>351</v>
      </c>
      <c r="F32" s="6"/>
      <c r="G32" s="6"/>
      <c r="H32" s="6"/>
      <c r="I32" s="6"/>
      <c r="J32" s="6"/>
      <c r="K32" s="6"/>
    </row>
    <row r="33" spans="1:11" ht="20.25" customHeight="1">
      <c r="A33" s="4" t="s">
        <v>353</v>
      </c>
      <c r="B33" s="6" t="s">
        <v>350</v>
      </c>
      <c r="C33" s="6"/>
      <c r="D33" s="6"/>
      <c r="E33" s="6" t="s">
        <v>352</v>
      </c>
      <c r="F33" s="6"/>
      <c r="G33" s="6"/>
      <c r="H33" s="6"/>
      <c r="I33" s="6"/>
      <c r="J33" s="6"/>
      <c r="K33" s="6"/>
    </row>
    <row r="34" spans="1:11" ht="20.25" customHeight="1">
      <c r="A34" s="4" t="s">
        <v>364</v>
      </c>
      <c r="B34" s="6" t="s">
        <v>354</v>
      </c>
      <c r="C34" s="6"/>
      <c r="D34" s="6"/>
      <c r="E34" s="6" t="s">
        <v>355</v>
      </c>
      <c r="F34" s="6"/>
      <c r="G34" s="6"/>
      <c r="H34" s="6"/>
      <c r="I34" s="6"/>
      <c r="J34" s="6"/>
      <c r="K34" s="6"/>
    </row>
    <row r="35" spans="1:11" ht="20.25" customHeight="1">
      <c r="A35" s="4" t="s">
        <v>397</v>
      </c>
      <c r="B35" s="6" t="s">
        <v>398</v>
      </c>
      <c r="C35" s="54"/>
      <c r="D35" s="6" t="s">
        <v>402</v>
      </c>
      <c r="E35" s="6" t="s">
        <v>400</v>
      </c>
      <c r="F35" s="6" t="s">
        <v>399</v>
      </c>
      <c r="G35" s="6" t="s">
        <v>401</v>
      </c>
      <c r="H35" s="6"/>
      <c r="I35" s="6"/>
      <c r="J35" s="6"/>
      <c r="K35" s="6"/>
    </row>
    <row r="36" spans="1:11" ht="20.25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20.25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20.25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20.25" customHeight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</row>
  </sheetData>
  <mergeCells count="1">
    <mergeCell ref="A1:K1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4" sqref="C4"/>
    </sheetView>
  </sheetViews>
  <sheetFormatPr baseColWidth="10" defaultColWidth="12.25" defaultRowHeight="18" customHeight="1" x14ac:dyDescent="0"/>
  <cols>
    <col min="1" max="1" width="0.25" style="8" customWidth="1"/>
    <col min="2" max="256" width="12.25" style="8" customWidth="1"/>
  </cols>
  <sheetData>
    <row r="1" spans="2:6" ht="2" customHeight="1"/>
    <row r="2" spans="2:6" ht="20.5" customHeight="1">
      <c r="B2" s="3"/>
      <c r="C2" s="2" t="s">
        <v>137</v>
      </c>
      <c r="D2" s="2" t="s">
        <v>138</v>
      </c>
      <c r="E2" s="2" t="s">
        <v>139</v>
      </c>
      <c r="F2" s="2" t="s">
        <v>140</v>
      </c>
    </row>
    <row r="3" spans="2:6" ht="20.5" customHeight="1">
      <c r="B3" s="4" t="s">
        <v>141</v>
      </c>
      <c r="C3" s="5">
        <v>32.174050000000001</v>
      </c>
      <c r="D3" s="9">
        <f>C3*3600/5280</f>
        <v>21.936852272727272</v>
      </c>
      <c r="E3" s="5">
        <v>9.8066499999999994</v>
      </c>
      <c r="F3" s="5">
        <f>E3*3600/1000</f>
        <v>35.303939999999997</v>
      </c>
    </row>
    <row r="4" spans="2:6" ht="20.25" customHeight="1">
      <c r="B4" s="7"/>
      <c r="C4" s="10"/>
      <c r="D4" s="10"/>
      <c r="E4" s="10"/>
      <c r="F4" s="10"/>
    </row>
    <row r="5" spans="2:6" ht="20.25" customHeight="1">
      <c r="B5" s="7"/>
      <c r="C5" s="6"/>
      <c r="D5" s="6"/>
      <c r="E5" s="6"/>
      <c r="F5" s="6"/>
    </row>
    <row r="6" spans="2:6" ht="20.25" customHeight="1">
      <c r="B6" s="7"/>
      <c r="C6" s="10"/>
      <c r="D6" s="10"/>
      <c r="E6" s="10"/>
      <c r="F6" s="10"/>
    </row>
    <row r="7" spans="2:6" ht="20.25" customHeight="1">
      <c r="B7" s="7"/>
      <c r="C7" s="6"/>
      <c r="D7" s="6"/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G5" sqref="G5"/>
    </sheetView>
  </sheetViews>
  <sheetFormatPr baseColWidth="10" defaultColWidth="12.25" defaultRowHeight="18" customHeight="1" x14ac:dyDescent="0"/>
  <cols>
    <col min="1" max="1" width="0.25" style="11" customWidth="1"/>
    <col min="2" max="4" width="12.25" style="11" customWidth="1"/>
    <col min="5" max="5" width="14.625" style="11" customWidth="1"/>
    <col min="6" max="12" width="12.25" style="11" customWidth="1"/>
    <col min="13" max="13" width="12.25" style="32" customWidth="1"/>
    <col min="14" max="257" width="12.25" style="11" customWidth="1"/>
  </cols>
  <sheetData>
    <row r="1" spans="2:15" ht="2" customHeight="1"/>
    <row r="2" spans="2:15" ht="20.5" customHeight="1">
      <c r="B2" s="3"/>
      <c r="C2" s="2" t="s">
        <v>142</v>
      </c>
      <c r="D2" s="2" t="s">
        <v>143</v>
      </c>
      <c r="E2" s="2" t="s">
        <v>144</v>
      </c>
      <c r="F2" s="3"/>
      <c r="G2" s="2" t="s">
        <v>145</v>
      </c>
      <c r="H2" s="2" t="s">
        <v>146</v>
      </c>
      <c r="I2" s="2" t="s">
        <v>147</v>
      </c>
      <c r="J2" s="3"/>
      <c r="K2" s="2" t="s">
        <v>148</v>
      </c>
      <c r="L2" s="2" t="s">
        <v>149</v>
      </c>
      <c r="M2" s="2" t="s">
        <v>150</v>
      </c>
      <c r="N2" s="2" t="s">
        <v>271</v>
      </c>
      <c r="O2" s="2" t="s">
        <v>272</v>
      </c>
    </row>
    <row r="3" spans="2:15" ht="20.5" customHeight="1">
      <c r="B3" s="7"/>
      <c r="C3" s="5">
        <v>1</v>
      </c>
      <c r="D3" s="5">
        <v>0.30480000000000002</v>
      </c>
      <c r="E3" s="5">
        <f>D3*E4</f>
        <v>1.8939393939393939E-4</v>
      </c>
      <c r="F3" s="5"/>
      <c r="G3" s="5">
        <v>1</v>
      </c>
      <c r="H3" s="5">
        <v>0.45359237000000002</v>
      </c>
      <c r="I3" s="5">
        <f>I4*H3</f>
        <v>4.4482216152604996</v>
      </c>
      <c r="J3" s="6"/>
      <c r="K3" s="5">
        <v>1</v>
      </c>
      <c r="L3" s="5">
        <v>0.98629999999999995</v>
      </c>
      <c r="M3" s="5">
        <f>M4*L3</f>
        <v>735.4838113699999</v>
      </c>
      <c r="N3" s="15">
        <v>1</v>
      </c>
      <c r="O3" s="15">
        <f>(N3*1.8)+32</f>
        <v>33.799999999999997</v>
      </c>
    </row>
    <row r="4" spans="2:15" ht="20.25" customHeight="1">
      <c r="B4" s="7"/>
      <c r="C4" s="12">
        <f>D4/D3</f>
        <v>3.280839895013123</v>
      </c>
      <c r="D4" s="12">
        <v>1</v>
      </c>
      <c r="E4" s="12">
        <f>E5/D5</f>
        <v>6.2137119223733392E-4</v>
      </c>
      <c r="F4" s="12"/>
      <c r="G4" s="12">
        <f>H4/H3</f>
        <v>2.2046226218487757</v>
      </c>
      <c r="H4" s="12">
        <v>1</v>
      </c>
      <c r="I4" s="12">
        <v>9.8066499999999994</v>
      </c>
      <c r="J4" s="10"/>
      <c r="K4" s="12">
        <v>1.014</v>
      </c>
      <c r="L4" s="12">
        <v>1</v>
      </c>
      <c r="M4" s="12">
        <v>745.69989999999996</v>
      </c>
      <c r="N4" s="16">
        <f>(O4-32)/1.8</f>
        <v>-17.222222222222221</v>
      </c>
      <c r="O4" s="16">
        <v>1</v>
      </c>
    </row>
    <row r="5" spans="2:15" ht="20.25" customHeight="1">
      <c r="B5" s="7"/>
      <c r="C5" s="5">
        <f>E5/E3</f>
        <v>5280</v>
      </c>
      <c r="D5" s="5">
        <v>1609.3440000000001</v>
      </c>
      <c r="E5" s="5">
        <v>1</v>
      </c>
      <c r="F5" s="5"/>
      <c r="G5" s="5">
        <f>I5/I3</f>
        <v>0.2248089430997105</v>
      </c>
      <c r="H5" s="5">
        <f>I5/I4</f>
        <v>0.10197162129779283</v>
      </c>
      <c r="I5" s="5">
        <v>1</v>
      </c>
      <c r="J5" s="6"/>
      <c r="K5" s="5">
        <f>M5/M3</f>
        <v>1.3596492329821382E-3</v>
      </c>
      <c r="L5" s="5">
        <f>M5/M4</f>
        <v>1.3410220384902829E-3</v>
      </c>
      <c r="M5" s="5">
        <v>1</v>
      </c>
      <c r="N5" s="5"/>
      <c r="O5" s="5"/>
    </row>
    <row r="6" spans="2:15" ht="20.25" customHeight="1">
      <c r="B6" s="7"/>
      <c r="C6" s="10"/>
      <c r="D6" s="10"/>
      <c r="E6" s="10"/>
      <c r="F6" s="12"/>
      <c r="G6" s="10"/>
      <c r="H6" s="10"/>
      <c r="I6" s="10"/>
      <c r="J6" s="10"/>
      <c r="K6" s="10"/>
      <c r="L6" s="10"/>
      <c r="M6" s="10"/>
      <c r="N6" s="10"/>
      <c r="O6" s="10"/>
    </row>
    <row r="7" spans="2:15" ht="20.25" customHeight="1">
      <c r="B7" s="7"/>
      <c r="C7" s="6"/>
      <c r="D7" s="6"/>
      <c r="E7" s="6"/>
      <c r="F7" s="5"/>
      <c r="G7" s="6"/>
      <c r="H7" s="6"/>
      <c r="I7" s="6"/>
      <c r="J7" s="6"/>
      <c r="K7" s="6"/>
      <c r="L7" s="6"/>
      <c r="M7" s="6"/>
      <c r="N7" s="6"/>
      <c r="O7" s="6"/>
    </row>
    <row r="8" spans="2:15" ht="20.25" customHeight="1">
      <c r="B8" s="7"/>
      <c r="C8" s="10"/>
      <c r="D8" s="10"/>
      <c r="E8" s="10"/>
      <c r="F8" s="12"/>
      <c r="G8" s="10"/>
      <c r="H8" s="10"/>
      <c r="I8" s="10"/>
      <c r="J8" s="10"/>
      <c r="K8" s="10"/>
      <c r="L8" s="10"/>
      <c r="M8" s="10"/>
      <c r="N8" s="10"/>
      <c r="O8" s="10"/>
    </row>
    <row r="9" spans="2:15" ht="20.25" customHeight="1">
      <c r="B9" s="7"/>
      <c r="C9" s="6"/>
      <c r="D9" s="6"/>
      <c r="E9" s="6"/>
      <c r="F9" s="5"/>
      <c r="G9" s="6"/>
      <c r="H9" s="6"/>
      <c r="I9" s="6"/>
      <c r="J9" s="6"/>
      <c r="K9" s="6"/>
      <c r="L9" s="6"/>
      <c r="M9" s="6"/>
      <c r="N9" s="6"/>
      <c r="O9" s="6"/>
    </row>
    <row r="10" spans="2:15" ht="20.25" customHeight="1">
      <c r="B10" s="7"/>
      <c r="C10" s="10"/>
      <c r="D10" s="10"/>
      <c r="E10" s="10"/>
      <c r="F10" s="12"/>
      <c r="G10" s="10"/>
      <c r="H10" s="10"/>
      <c r="I10" s="10"/>
      <c r="J10" s="10"/>
      <c r="K10" s="10"/>
      <c r="L10" s="10"/>
      <c r="M10" s="10"/>
      <c r="N10" s="10"/>
      <c r="O10" s="10"/>
    </row>
    <row r="11" spans="2:15" ht="20.25" customHeight="1">
      <c r="B11" s="7"/>
      <c r="C11" s="6"/>
      <c r="D11" s="6"/>
      <c r="E11" s="6"/>
      <c r="F11" s="5"/>
      <c r="G11" s="6"/>
      <c r="H11" s="6"/>
      <c r="I11" s="6"/>
      <c r="J11" s="6"/>
      <c r="K11" s="6"/>
      <c r="L11" s="6"/>
      <c r="M11" s="6"/>
      <c r="N11" s="6"/>
      <c r="O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7" sqref="C7"/>
    </sheetView>
  </sheetViews>
  <sheetFormatPr baseColWidth="10" defaultColWidth="12.25" defaultRowHeight="18" customHeight="1" x14ac:dyDescent="0"/>
  <cols>
    <col min="1" max="1" width="0.25" style="13" customWidth="1"/>
    <col min="2" max="256" width="12.25" style="13" customWidth="1"/>
  </cols>
  <sheetData>
    <row r="1" spans="2:6" ht="2" customHeight="1"/>
    <row r="2" spans="2:6" ht="20.5" customHeight="1">
      <c r="B2" s="2" t="s">
        <v>151</v>
      </c>
      <c r="C2" s="2" t="s">
        <v>152</v>
      </c>
      <c r="D2" s="2" t="s">
        <v>153</v>
      </c>
      <c r="E2" s="3"/>
      <c r="F2" s="3"/>
    </row>
    <row r="3" spans="2:6" ht="20.5" customHeight="1">
      <c r="B3" s="4" t="s">
        <v>154</v>
      </c>
      <c r="C3" s="5">
        <v>0.98</v>
      </c>
      <c r="D3" s="5">
        <v>1</v>
      </c>
      <c r="E3" s="6"/>
      <c r="F3" s="6"/>
    </row>
    <row r="4" spans="2:6" ht="20.25" customHeight="1">
      <c r="B4" s="4" t="s">
        <v>155</v>
      </c>
      <c r="C4" s="12">
        <v>1.1000000000000001</v>
      </c>
      <c r="D4" s="12">
        <v>1.06</v>
      </c>
      <c r="E4" s="10"/>
      <c r="F4" s="10"/>
    </row>
    <row r="5" spans="2:6" ht="20.25" customHeight="1">
      <c r="B5" s="4" t="s">
        <v>156</v>
      </c>
      <c r="C5" s="5">
        <v>1.2</v>
      </c>
      <c r="D5" s="5">
        <v>1.1000000000000001</v>
      </c>
      <c r="E5" s="6"/>
      <c r="F5" s="6"/>
    </row>
    <row r="6" spans="2:6" ht="20.25" customHeight="1">
      <c r="B6" s="4" t="s">
        <v>157</v>
      </c>
      <c r="C6" s="12">
        <v>1.5</v>
      </c>
      <c r="D6" s="12">
        <v>1.1499999999999999</v>
      </c>
      <c r="E6" s="10"/>
      <c r="F6" s="10"/>
    </row>
    <row r="7" spans="2:6" ht="20.25" customHeight="1">
      <c r="B7" s="4" t="s">
        <v>158</v>
      </c>
      <c r="C7" s="5">
        <v>2.4</v>
      </c>
      <c r="D7" s="5">
        <v>1.2</v>
      </c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4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C20" sqref="C20"/>
    </sheetView>
  </sheetViews>
  <sheetFormatPr baseColWidth="10" defaultColWidth="12.25" defaultRowHeight="18" customHeight="1" x14ac:dyDescent="0"/>
  <cols>
    <col min="1" max="1" width="0.25" style="14" customWidth="1"/>
    <col min="2" max="2" width="16" style="14" customWidth="1"/>
    <col min="3" max="4" width="12.25" style="14" customWidth="1"/>
    <col min="5" max="5" width="14.125" style="14" customWidth="1"/>
    <col min="6" max="7" width="10.125" style="14" customWidth="1"/>
    <col min="8" max="8" width="10" style="14" customWidth="1"/>
    <col min="9" max="9" width="10.25" style="14" customWidth="1"/>
    <col min="10" max="10" width="10.125" style="14" customWidth="1"/>
    <col min="11" max="256" width="12.25" style="14" customWidth="1"/>
  </cols>
  <sheetData>
    <row r="1" spans="2:10" ht="2" customHeight="1"/>
    <row r="2" spans="2:10" ht="32.5" customHeight="1">
      <c r="B2" s="3"/>
      <c r="C2" s="3"/>
      <c r="D2" s="2" t="s">
        <v>159</v>
      </c>
      <c r="E2" s="2" t="s">
        <v>160</v>
      </c>
      <c r="F2" s="2" t="s">
        <v>161</v>
      </c>
      <c r="G2" s="2" t="s">
        <v>162</v>
      </c>
      <c r="H2" s="2" t="s">
        <v>163</v>
      </c>
      <c r="I2" s="2" t="s">
        <v>164</v>
      </c>
      <c r="J2" s="2" t="s">
        <v>165</v>
      </c>
    </row>
    <row r="3" spans="2:10" ht="20.5" customHeight="1">
      <c r="B3" s="4" t="s">
        <v>166</v>
      </c>
      <c r="C3" s="4">
        <v>1000</v>
      </c>
      <c r="D3" s="5">
        <v>1</v>
      </c>
      <c r="E3" s="15">
        <f>D3/Constants!$D$3</f>
        <v>4.5585391539662144E-2</v>
      </c>
      <c r="F3" s="15">
        <f>'Mass factors'!$D$3*$C$3*E3</f>
        <v>45.585391539662147</v>
      </c>
      <c r="G3" s="15">
        <f>'Mass factors'!$D$4*$C$3*E3</f>
        <v>48.320515032041875</v>
      </c>
      <c r="H3" s="15">
        <f>'Mass factors'!$D$5*$C$3*E3</f>
        <v>50.143930693628356</v>
      </c>
      <c r="I3" s="15">
        <f>'Mass factors'!$D$6*$C$3*E3</f>
        <v>52.423200270611467</v>
      </c>
      <c r="J3" s="15">
        <f>'Mass factors'!$D$7*$C$3*E3</f>
        <v>54.702469847594571</v>
      </c>
    </row>
    <row r="4" spans="2:10" ht="20.25" customHeight="1">
      <c r="B4" s="7"/>
      <c r="C4" s="7"/>
      <c r="D4" s="12">
        <v>2</v>
      </c>
      <c r="E4" s="16">
        <f>D4/Constants!$D$3</f>
        <v>9.1170783079324288E-2</v>
      </c>
      <c r="F4" s="16">
        <f>'Mass factors'!$D$3*$C$3*E4</f>
        <v>91.170783079324295</v>
      </c>
      <c r="G4" s="16">
        <f>'Mass factors'!$D$4*$C$3*E4</f>
        <v>96.641030064083751</v>
      </c>
      <c r="H4" s="16">
        <f>'Mass factors'!$D$5*$C$3*E4</f>
        <v>100.28786138725671</v>
      </c>
      <c r="I4" s="16">
        <f>'Mass factors'!$D$6*$C$3*E4</f>
        <v>104.84640054122293</v>
      </c>
      <c r="J4" s="16">
        <f>'Mass factors'!$D$7*$C$3*E4</f>
        <v>109.40493969518914</v>
      </c>
    </row>
    <row r="5" spans="2:10" ht="20.25" customHeight="1">
      <c r="B5" s="7"/>
      <c r="C5" s="7"/>
      <c r="D5" s="5">
        <v>3</v>
      </c>
      <c r="E5" s="15">
        <f>D5/Constants!$D$3</f>
        <v>0.13675617461898643</v>
      </c>
      <c r="F5" s="15">
        <f>'Mass factors'!$D$3*$C$3*E5</f>
        <v>136.75617461898642</v>
      </c>
      <c r="G5" s="15">
        <f>'Mass factors'!$D$4*$C$3*E5</f>
        <v>144.9615450961256</v>
      </c>
      <c r="H5" s="15">
        <f>'Mass factors'!$D$5*$C$3*E5</f>
        <v>150.43179208088506</v>
      </c>
      <c r="I5" s="15">
        <f>'Mass factors'!$D$6*$C$3*E5</f>
        <v>157.26960081183438</v>
      </c>
      <c r="J5" s="15">
        <f>'Mass factors'!$D$7*$C$3*E5</f>
        <v>164.1074095427837</v>
      </c>
    </row>
    <row r="6" spans="2:10" ht="20.25" customHeight="1">
      <c r="B6" s="7"/>
      <c r="C6" s="7"/>
      <c r="D6" s="12">
        <v>4</v>
      </c>
      <c r="E6" s="16">
        <f>D6/Constants!$D$3</f>
        <v>0.18234156615864858</v>
      </c>
      <c r="F6" s="16">
        <f>'Mass factors'!$D$3*$C$3*E6</f>
        <v>182.34156615864859</v>
      </c>
      <c r="G6" s="16">
        <f>'Mass factors'!$D$4*$C$3*E6</f>
        <v>193.2820601281675</v>
      </c>
      <c r="H6" s="16">
        <f>'Mass factors'!$D$5*$C$3*E6</f>
        <v>200.57572277451342</v>
      </c>
      <c r="I6" s="16">
        <f>'Mass factors'!$D$6*$C$3*E6</f>
        <v>209.69280108244587</v>
      </c>
      <c r="J6" s="16">
        <f>'Mass factors'!$D$7*$C$3*E6</f>
        <v>218.80987939037828</v>
      </c>
    </row>
    <row r="7" spans="2:10" ht="20.25" customHeight="1">
      <c r="B7" s="7"/>
      <c r="C7" s="7"/>
      <c r="D7" s="5">
        <v>5</v>
      </c>
      <c r="E7" s="15">
        <f>D7/Constants!$D$3</f>
        <v>0.2279269576983107</v>
      </c>
      <c r="F7" s="15">
        <f>'Mass factors'!$D$3*$C$3*E7</f>
        <v>227.9269576983107</v>
      </c>
      <c r="G7" s="15">
        <f>'Mass factors'!$D$4*$C$3*E7</f>
        <v>241.60257516020934</v>
      </c>
      <c r="H7" s="15">
        <f>'Mass factors'!$D$5*$C$3*E7</f>
        <v>250.71965346814176</v>
      </c>
      <c r="I7" s="15">
        <f>'Mass factors'!$D$6*$C$3*E7</f>
        <v>262.1160013530573</v>
      </c>
      <c r="J7" s="15">
        <f>'Mass factors'!$D$7*$C$3*E7</f>
        <v>273.51234923797284</v>
      </c>
    </row>
    <row r="8" spans="2:10" ht="20.25" customHeight="1">
      <c r="B8" s="7"/>
      <c r="C8" s="7"/>
      <c r="D8" s="12">
        <v>6</v>
      </c>
      <c r="E8" s="16">
        <f>D8/Constants!$D$3</f>
        <v>0.27351234923797285</v>
      </c>
      <c r="F8" s="16">
        <f>'Mass factors'!$D$3*$C$3*E8</f>
        <v>273.51234923797284</v>
      </c>
      <c r="G8" s="16">
        <f>'Mass factors'!$D$4*$C$3*E8</f>
        <v>289.92309019225121</v>
      </c>
      <c r="H8" s="16">
        <f>'Mass factors'!$D$5*$C$3*E8</f>
        <v>300.86358416177012</v>
      </c>
      <c r="I8" s="16">
        <f>'Mass factors'!$D$6*$C$3*E8</f>
        <v>314.53920162366876</v>
      </c>
      <c r="J8" s="16">
        <f>'Mass factors'!$D$7*$C$3*E8</f>
        <v>328.2148190855674</v>
      </c>
    </row>
    <row r="9" spans="2:10" ht="20.25" customHeight="1">
      <c r="B9" s="7"/>
      <c r="C9" s="7"/>
      <c r="D9" s="5">
        <v>7</v>
      </c>
      <c r="E9" s="15">
        <f>D9/Constants!$D$3</f>
        <v>0.31909774077763498</v>
      </c>
      <c r="F9" s="15">
        <f>'Mass factors'!$D$3*$C$3*E9</f>
        <v>319.09774077763495</v>
      </c>
      <c r="G9" s="15">
        <f>'Mass factors'!$D$4*$C$3*E9</f>
        <v>338.24360522429305</v>
      </c>
      <c r="H9" s="15">
        <f>'Mass factors'!$D$5*$C$3*E9</f>
        <v>351.00751485539848</v>
      </c>
      <c r="I9" s="15">
        <f>'Mass factors'!$D$6*$C$3*E9</f>
        <v>366.96240189428022</v>
      </c>
      <c r="J9" s="15">
        <f>'Mass factors'!$D$7*$C$3*E9</f>
        <v>382.91728893316196</v>
      </c>
    </row>
    <row r="10" spans="2:10" ht="20.25" customHeight="1">
      <c r="B10" s="7"/>
      <c r="C10" s="7"/>
      <c r="D10" s="12">
        <v>8</v>
      </c>
      <c r="E10" s="16">
        <f>D10/Constants!$D$3</f>
        <v>0.36468313231729715</v>
      </c>
      <c r="F10" s="16">
        <f>'Mass factors'!$D$3*$C$3*E10</f>
        <v>364.68313231729718</v>
      </c>
      <c r="G10" s="16">
        <f>'Mass factors'!$D$4*$C$3*E10</f>
        <v>386.564120256335</v>
      </c>
      <c r="H10" s="16">
        <f>'Mass factors'!$D$5*$C$3*E10</f>
        <v>401.15144554902685</v>
      </c>
      <c r="I10" s="16">
        <f>'Mass factors'!$D$6*$C$3*E10</f>
        <v>419.38560216489174</v>
      </c>
      <c r="J10" s="16">
        <f>'Mass factors'!$D$7*$C$3*E10</f>
        <v>437.61975878075657</v>
      </c>
    </row>
    <row r="11" spans="2:10" ht="20.25" customHeight="1">
      <c r="B11" s="7"/>
      <c r="C11" s="7"/>
      <c r="D11" s="5">
        <v>9</v>
      </c>
      <c r="E11" s="15">
        <f>D11/Constants!$D$3</f>
        <v>0.41026852385695928</v>
      </c>
      <c r="F11" s="15">
        <f>'Mass factors'!$D$3*$C$3*E11</f>
        <v>410.26852385695929</v>
      </c>
      <c r="G11" s="15">
        <f>'Mass factors'!$D$4*$C$3*E11</f>
        <v>434.88463528837684</v>
      </c>
      <c r="H11" s="15">
        <f>'Mass factors'!$D$5*$C$3*E11</f>
        <v>451.29537624265521</v>
      </c>
      <c r="I11" s="15">
        <f>'Mass factors'!$D$6*$C$3*E11</f>
        <v>471.8088024355032</v>
      </c>
      <c r="J11" s="15">
        <f>'Mass factors'!$D$7*$C$3*E11</f>
        <v>492.32222862835113</v>
      </c>
    </row>
    <row r="12" spans="2:10" ht="20.25" customHeight="1">
      <c r="B12" s="7"/>
      <c r="C12" s="7"/>
      <c r="D12" s="12">
        <v>10</v>
      </c>
      <c r="E12" s="16">
        <f>D12/Constants!$D$3</f>
        <v>0.4558539153966214</v>
      </c>
      <c r="F12" s="16">
        <f>'Mass factors'!$D$3*$C$3*E12</f>
        <v>455.8539153966214</v>
      </c>
      <c r="G12" s="16">
        <f>'Mass factors'!$D$4*$C$3*E12</f>
        <v>483.20515032041868</v>
      </c>
      <c r="H12" s="16">
        <f>'Mass factors'!$D$5*$C$3*E12</f>
        <v>501.43930693628351</v>
      </c>
      <c r="I12" s="16">
        <f>'Mass factors'!$D$6*$C$3*E12</f>
        <v>524.2320027061146</v>
      </c>
      <c r="J12" s="16">
        <f>'Mass factors'!$D$7*$C$3*E12</f>
        <v>547.02469847594568</v>
      </c>
    </row>
    <row r="13" spans="2:10" ht="20.25" customHeight="1">
      <c r="B13" s="7"/>
      <c r="C13" s="7"/>
      <c r="D13" s="5">
        <v>11</v>
      </c>
      <c r="E13" s="15">
        <f>D13/Constants!$D$3</f>
        <v>0.50143930693628358</v>
      </c>
      <c r="F13" s="15">
        <f>'Mass factors'!$D$3*$C$3*E13</f>
        <v>501.43930693628357</v>
      </c>
      <c r="G13" s="15">
        <f>'Mass factors'!$D$4*$C$3*E13</f>
        <v>531.52566535246058</v>
      </c>
      <c r="H13" s="15">
        <f>'Mass factors'!$D$5*$C$3*E13</f>
        <v>551.58323762991199</v>
      </c>
      <c r="I13" s="15">
        <f>'Mass factors'!$D$6*$C$3*E13</f>
        <v>576.65520297672617</v>
      </c>
      <c r="J13" s="15">
        <f>'Mass factors'!$D$7*$C$3*E13</f>
        <v>601.72716832354024</v>
      </c>
    </row>
    <row r="14" spans="2:10" ht="20.25" customHeight="1">
      <c r="B14" s="7"/>
      <c r="C14" s="7"/>
      <c r="D14" s="12">
        <v>12</v>
      </c>
      <c r="E14" s="16">
        <f>D14/Constants!$D$3</f>
        <v>0.5470246984759457</v>
      </c>
      <c r="F14" s="16">
        <f>'Mass factors'!$D$3*$C$3*E14</f>
        <v>547.02469847594568</v>
      </c>
      <c r="G14" s="16">
        <f>'Mass factors'!$D$4*$C$3*E14</f>
        <v>579.84618038450242</v>
      </c>
      <c r="H14" s="16">
        <f>'Mass factors'!$D$5*$C$3*E14</f>
        <v>601.72716832354024</v>
      </c>
      <c r="I14" s="16">
        <f>'Mass factors'!$D$6*$C$3*E14</f>
        <v>629.07840324733752</v>
      </c>
      <c r="J14" s="16">
        <f>'Mass factors'!$D$7*$C$3*E14</f>
        <v>656.4296381711348</v>
      </c>
    </row>
    <row r="15" spans="2:10" ht="20.25" customHeight="1">
      <c r="B15" s="7"/>
      <c r="C15" s="7"/>
      <c r="D15" s="5">
        <v>13</v>
      </c>
      <c r="E15" s="15">
        <f>D15/Constants!$D$3</f>
        <v>0.59261009001560783</v>
      </c>
      <c r="F15" s="15">
        <f>'Mass factors'!$D$3*$C$3*E15</f>
        <v>592.61009001560785</v>
      </c>
      <c r="G15" s="15">
        <f>'Mass factors'!$D$4*$C$3*E15</f>
        <v>628.16669541654426</v>
      </c>
      <c r="H15" s="15">
        <f>'Mass factors'!$D$5*$C$3*E15</f>
        <v>651.8710990171686</v>
      </c>
      <c r="I15" s="15">
        <f>'Mass factors'!$D$6*$C$3*E15</f>
        <v>681.50160351794898</v>
      </c>
      <c r="J15" s="15">
        <f>'Mass factors'!$D$7*$C$3*E15</f>
        <v>711.13210801872935</v>
      </c>
    </row>
    <row r="16" spans="2:10" ht="20.25" customHeight="1">
      <c r="B16" s="7"/>
      <c r="C16" s="7"/>
      <c r="D16" s="12">
        <v>14</v>
      </c>
      <c r="E16" s="16">
        <f>D16/Constants!$D$3</f>
        <v>0.63819548155526995</v>
      </c>
      <c r="F16" s="16">
        <f>'Mass factors'!$D$3*$C$3*E16</f>
        <v>638.19548155526991</v>
      </c>
      <c r="G16" s="16">
        <f>'Mass factors'!$D$4*$C$3*E16</f>
        <v>676.4872104485861</v>
      </c>
      <c r="H16" s="16">
        <f>'Mass factors'!$D$5*$C$3*E16</f>
        <v>702.01502971079697</v>
      </c>
      <c r="I16" s="16">
        <f>'Mass factors'!$D$6*$C$3*E16</f>
        <v>733.92480378856044</v>
      </c>
      <c r="J16" s="16">
        <f>'Mass factors'!$D$7*$C$3*E16</f>
        <v>765.83457786632391</v>
      </c>
    </row>
    <row r="17" spans="2:10" ht="20.25" customHeight="1">
      <c r="B17" s="7"/>
      <c r="C17" s="7"/>
      <c r="D17" s="5">
        <v>15</v>
      </c>
      <c r="E17" s="15">
        <f>D17/Constants!$D$3</f>
        <v>0.68378087309493207</v>
      </c>
      <c r="F17" s="15">
        <f>'Mass factors'!$D$3*$C$3*E17</f>
        <v>683.78087309493208</v>
      </c>
      <c r="G17" s="15">
        <f>'Mass factors'!$D$4*$C$3*E17</f>
        <v>724.80772548062805</v>
      </c>
      <c r="H17" s="15">
        <f>'Mass factors'!$D$5*$C$3*E17</f>
        <v>752.15896040442533</v>
      </c>
      <c r="I17" s="15">
        <f>'Mass factors'!$D$6*$C$3*E17</f>
        <v>786.3480040591719</v>
      </c>
      <c r="J17" s="15">
        <f>'Mass factors'!$D$7*$C$3*E17</f>
        <v>820.53704771391847</v>
      </c>
    </row>
    <row r="18" spans="2:10" ht="20.25" customHeight="1">
      <c r="B18" s="7"/>
      <c r="C18" s="7"/>
      <c r="D18" s="10"/>
      <c r="E18" s="16"/>
      <c r="F18" s="10"/>
      <c r="G18" s="10"/>
      <c r="H18" s="10"/>
      <c r="I18" s="16"/>
      <c r="J18" s="16"/>
    </row>
    <row r="19" spans="2:10" ht="24">
      <c r="B19" s="7"/>
      <c r="C19" s="7"/>
      <c r="D19" s="17" t="s">
        <v>167</v>
      </c>
      <c r="E19" s="17" t="s">
        <v>168</v>
      </c>
      <c r="F19" s="17" t="s">
        <v>169</v>
      </c>
      <c r="G19" s="17" t="s">
        <v>170</v>
      </c>
      <c r="H19" s="17" t="s">
        <v>171</v>
      </c>
      <c r="I19" s="17" t="s">
        <v>172</v>
      </c>
      <c r="J19" s="17" t="s">
        <v>173</v>
      </c>
    </row>
    <row r="20" spans="2:10" ht="16">
      <c r="B20" s="4" t="s">
        <v>174</v>
      </c>
      <c r="C20" s="4">
        <v>1176</v>
      </c>
      <c r="D20" s="12">
        <v>1</v>
      </c>
      <c r="E20" s="16">
        <f>D20*Constants!$E$3/Constants!$F$3</f>
        <v>0.27777777777777779</v>
      </c>
      <c r="F20" s="16">
        <f>'Mass factors'!$D$3*$C$20*E20</f>
        <v>326.66666666666669</v>
      </c>
      <c r="G20" s="16">
        <f>'Mass factors'!$D$4*$C$20*E20</f>
        <v>346.26666666666671</v>
      </c>
      <c r="H20" s="16">
        <f>'Mass factors'!$D$5*$C$20*E20</f>
        <v>359.33333333333337</v>
      </c>
      <c r="I20" s="16">
        <f>'Mass factors'!$D$6*$C$20*E20</f>
        <v>375.66666666666663</v>
      </c>
      <c r="J20" s="16">
        <f>'Mass factors'!$D$7*$C$20*E20</f>
        <v>392.00000000000006</v>
      </c>
    </row>
    <row r="21" spans="2:10" ht="20.25" customHeight="1">
      <c r="B21" s="7"/>
      <c r="C21" s="7"/>
      <c r="D21" s="5">
        <v>2</v>
      </c>
      <c r="E21" s="15">
        <f>D21*Constants!$E$3/Constants!$F$3</f>
        <v>0.55555555555555558</v>
      </c>
      <c r="F21" s="15">
        <f>'Mass factors'!$D$3*$C$20*E21</f>
        <v>653.33333333333337</v>
      </c>
      <c r="G21" s="15">
        <f>'Mass factors'!$D$4*$C$20*E21</f>
        <v>692.53333333333342</v>
      </c>
      <c r="H21" s="15">
        <f>'Mass factors'!$D$5*$C$20*E21</f>
        <v>718.66666666666674</v>
      </c>
      <c r="I21" s="15">
        <f>'Mass factors'!$D$6*$C$20*E21</f>
        <v>751.33333333333326</v>
      </c>
      <c r="J21" s="15">
        <f>'Mass factors'!$D$7*$C$20*E21</f>
        <v>784.00000000000011</v>
      </c>
    </row>
    <row r="22" spans="2:10" ht="20.25" customHeight="1">
      <c r="B22" s="7"/>
      <c r="C22" s="7"/>
      <c r="D22" s="12">
        <v>3</v>
      </c>
      <c r="E22" s="16">
        <f>D22*Constants!$E$3/Constants!$F$3</f>
        <v>0.83333333333333337</v>
      </c>
      <c r="F22" s="16">
        <f>'Mass factors'!$D$3*$C$20*E22</f>
        <v>980</v>
      </c>
      <c r="G22" s="16">
        <f>'Mass factors'!$D$4*$C$20*E22</f>
        <v>1038.8000000000002</v>
      </c>
      <c r="H22" s="16">
        <f>'Mass factors'!$D$5*$C$20*E22</f>
        <v>1078.0000000000002</v>
      </c>
      <c r="I22" s="16">
        <f>'Mass factors'!$D$6*$C$20*E22</f>
        <v>1127</v>
      </c>
      <c r="J22" s="16">
        <f>'Mass factors'!$D$7*$C$20*E22</f>
        <v>1176</v>
      </c>
    </row>
    <row r="23" spans="2:10" ht="20.25" customHeight="1">
      <c r="B23" s="7"/>
      <c r="C23" s="7"/>
      <c r="D23" s="5">
        <v>4</v>
      </c>
      <c r="E23" s="15">
        <f>D23*Constants!$E$3/Constants!$F$3</f>
        <v>1.1111111111111112</v>
      </c>
      <c r="F23" s="15">
        <f>'Mass factors'!$D$3*$C$20*E23</f>
        <v>1306.6666666666667</v>
      </c>
      <c r="G23" s="15">
        <f>'Mass factors'!$D$4*$C$20*E23</f>
        <v>1385.0666666666668</v>
      </c>
      <c r="H23" s="15">
        <f>'Mass factors'!$D$5*$C$20*E23</f>
        <v>1437.3333333333335</v>
      </c>
      <c r="I23" s="15">
        <f>'Mass factors'!$D$6*$C$20*E23</f>
        <v>1502.6666666666665</v>
      </c>
      <c r="J23" s="15">
        <f>'Mass factors'!$D$7*$C$20*E23</f>
        <v>1568.0000000000002</v>
      </c>
    </row>
    <row r="24" spans="2:10" ht="20.25" customHeight="1">
      <c r="B24" s="7"/>
      <c r="C24" s="7"/>
      <c r="D24" s="12">
        <v>5</v>
      </c>
      <c r="E24" s="16">
        <f>D24*Constants!$E$3/Constants!$F$3</f>
        <v>1.3888888888888888</v>
      </c>
      <c r="F24" s="16">
        <f>'Mass factors'!$D$3*$C$20*E24</f>
        <v>1633.3333333333333</v>
      </c>
      <c r="G24" s="16">
        <f>'Mass factors'!$D$4*$C$20*E24</f>
        <v>1731.3333333333335</v>
      </c>
      <c r="H24" s="16">
        <f>'Mass factors'!$D$5*$C$20*E24</f>
        <v>1796.6666666666667</v>
      </c>
      <c r="I24" s="16">
        <f>'Mass factors'!$D$6*$C$20*E24</f>
        <v>1878.333333333333</v>
      </c>
      <c r="J24" s="16">
        <f>'Mass factors'!$D$7*$C$20*E24</f>
        <v>1960</v>
      </c>
    </row>
    <row r="25" spans="2:10" ht="20.25" customHeight="1">
      <c r="B25" s="7"/>
      <c r="C25" s="7"/>
      <c r="D25" s="5">
        <v>6</v>
      </c>
      <c r="E25" s="15">
        <f>D25*Constants!$E$3/Constants!$F$3</f>
        <v>1.6666666666666667</v>
      </c>
      <c r="F25" s="15">
        <f>'Mass factors'!$D$3*$C$20*E25</f>
        <v>1960</v>
      </c>
      <c r="G25" s="15">
        <f>'Mass factors'!$D$4*$C$20*E25</f>
        <v>2077.6000000000004</v>
      </c>
      <c r="H25" s="15">
        <f>'Mass factors'!$D$5*$C$20*E25</f>
        <v>2156.0000000000005</v>
      </c>
      <c r="I25" s="15">
        <f>'Mass factors'!$D$6*$C$20*E25</f>
        <v>2254</v>
      </c>
      <c r="J25" s="15">
        <f>'Mass factors'!$D$7*$C$20*E25</f>
        <v>2352</v>
      </c>
    </row>
    <row r="26" spans="2:10" ht="20.25" customHeight="1">
      <c r="B26" s="7"/>
      <c r="C26" s="7"/>
      <c r="D26" s="12">
        <v>7</v>
      </c>
      <c r="E26" s="16">
        <f>D26*Constants!$E$3/Constants!$F$3</f>
        <v>1.9444444444444444</v>
      </c>
      <c r="F26" s="16">
        <f>'Mass factors'!$D$3*$C$20*E26</f>
        <v>2286.6666666666665</v>
      </c>
      <c r="G26" s="16">
        <f>'Mass factors'!$D$4*$C$20*E26</f>
        <v>2423.8666666666668</v>
      </c>
      <c r="H26" s="16">
        <f>'Mass factors'!$D$5*$C$20*E26</f>
        <v>2515.3333333333335</v>
      </c>
      <c r="I26" s="16">
        <f>'Mass factors'!$D$6*$C$20*E26</f>
        <v>2629.6666666666665</v>
      </c>
      <c r="J26" s="16">
        <f>'Mass factors'!$D$7*$C$20*E26</f>
        <v>2744</v>
      </c>
    </row>
    <row r="27" spans="2:10" ht="20.25" customHeight="1">
      <c r="B27" s="7"/>
      <c r="C27" s="7"/>
      <c r="D27" s="5">
        <v>8</v>
      </c>
      <c r="E27" s="15">
        <f>D27*Constants!$E$3/Constants!$F$3</f>
        <v>2.2222222222222223</v>
      </c>
      <c r="F27" s="15">
        <f>'Mass factors'!$D$3*$C$20*E27</f>
        <v>2613.3333333333335</v>
      </c>
      <c r="G27" s="15">
        <f>'Mass factors'!$D$4*$C$20*E27</f>
        <v>2770.1333333333337</v>
      </c>
      <c r="H27" s="15">
        <f>'Mass factors'!$D$5*$C$20*E27</f>
        <v>2874.666666666667</v>
      </c>
      <c r="I27" s="15">
        <f>'Mass factors'!$D$6*$C$20*E27</f>
        <v>3005.333333333333</v>
      </c>
      <c r="J27" s="15">
        <f>'Mass factors'!$D$7*$C$20*E27</f>
        <v>3136.0000000000005</v>
      </c>
    </row>
    <row r="28" spans="2:10" ht="20.25" customHeight="1">
      <c r="B28" s="7"/>
      <c r="C28" s="7"/>
      <c r="D28" s="12">
        <v>9</v>
      </c>
      <c r="E28" s="16">
        <f>D28*Constants!$E$3/Constants!$F$3</f>
        <v>2.5</v>
      </c>
      <c r="F28" s="16">
        <f>'Mass factors'!$D$3*$C$20*E28</f>
        <v>2940</v>
      </c>
      <c r="G28" s="16">
        <f>'Mass factors'!$D$4*$C$20*E28</f>
        <v>3116.4000000000005</v>
      </c>
      <c r="H28" s="16">
        <f>'Mass factors'!$D$5*$C$20*E28</f>
        <v>3234.0000000000005</v>
      </c>
      <c r="I28" s="16">
        <f>'Mass factors'!$D$6*$C$20*E28</f>
        <v>3380.9999999999995</v>
      </c>
      <c r="J28" s="16">
        <f>'Mass factors'!$D$7*$C$20*E28</f>
        <v>3528</v>
      </c>
    </row>
    <row r="29" spans="2:10" ht="20.25" customHeight="1">
      <c r="B29" s="7"/>
      <c r="C29" s="7"/>
      <c r="D29" s="5">
        <v>10</v>
      </c>
      <c r="E29" s="15">
        <f>D29*Constants!$E$3/Constants!$F$3</f>
        <v>2.7777777777777777</v>
      </c>
      <c r="F29" s="15">
        <f>'Mass factors'!$D$3*$C$20*E29</f>
        <v>3266.6666666666665</v>
      </c>
      <c r="G29" s="15">
        <f>'Mass factors'!$D$4*$C$20*E29</f>
        <v>3462.666666666667</v>
      </c>
      <c r="H29" s="15">
        <f>'Mass factors'!$D$5*$C$20*E29</f>
        <v>3593.3333333333335</v>
      </c>
      <c r="I29" s="15">
        <f>'Mass factors'!$D$6*$C$20*E29</f>
        <v>3756.6666666666661</v>
      </c>
      <c r="J29" s="15">
        <f>'Mass factors'!$D$7*$C$20*E29</f>
        <v>3920</v>
      </c>
    </row>
    <row r="30" spans="2:10" ht="20.25" customHeight="1">
      <c r="B30" s="7"/>
      <c r="C30" s="7"/>
      <c r="D30" s="12">
        <v>11</v>
      </c>
      <c r="E30" s="16">
        <f>D30*Constants!$E$3/Constants!$F$3</f>
        <v>3.0555555555555558</v>
      </c>
      <c r="F30" s="16">
        <f>'Mass factors'!$D$3*$C$20*E30</f>
        <v>3593.3333333333335</v>
      </c>
      <c r="G30" s="16">
        <f>'Mass factors'!$D$4*$C$20*E30</f>
        <v>3808.9333333333343</v>
      </c>
      <c r="H30" s="16">
        <f>'Mass factors'!$D$5*$C$20*E30</f>
        <v>3952.6666666666674</v>
      </c>
      <c r="I30" s="16">
        <f>'Mass factors'!$D$6*$C$20*E30</f>
        <v>4132.333333333333</v>
      </c>
      <c r="J30" s="16">
        <f>'Mass factors'!$D$7*$C$20*E30</f>
        <v>4312.0000000000009</v>
      </c>
    </row>
    <row r="31" spans="2:10" ht="20.25" customHeight="1">
      <c r="B31" s="7"/>
      <c r="C31" s="7"/>
      <c r="D31" s="5">
        <v>12</v>
      </c>
      <c r="E31" s="15">
        <f>D31*Constants!$E$3/Constants!$F$3</f>
        <v>3.3333333333333335</v>
      </c>
      <c r="F31" s="15">
        <f>'Mass factors'!$D$3*$C$20*E31</f>
        <v>3920</v>
      </c>
      <c r="G31" s="15">
        <f>'Mass factors'!$D$4*$C$20*E31</f>
        <v>4155.2000000000007</v>
      </c>
      <c r="H31" s="15">
        <f>'Mass factors'!$D$5*$C$20*E31</f>
        <v>4312.0000000000009</v>
      </c>
      <c r="I31" s="15">
        <f>'Mass factors'!$D$6*$C$20*E31</f>
        <v>4508</v>
      </c>
      <c r="J31" s="15">
        <f>'Mass factors'!$D$7*$C$20*E31</f>
        <v>4704</v>
      </c>
    </row>
    <row r="32" spans="2:10" ht="20.25" customHeight="1">
      <c r="B32" s="7"/>
      <c r="C32" s="7"/>
      <c r="D32" s="12">
        <v>13</v>
      </c>
      <c r="E32" s="16">
        <f>D32*Constants!$E$3/Constants!$F$3</f>
        <v>3.6111111111111112</v>
      </c>
      <c r="F32" s="16">
        <f>'Mass factors'!$D$3*$C$20*E32</f>
        <v>4246.666666666667</v>
      </c>
      <c r="G32" s="16">
        <f>'Mass factors'!$D$4*$C$20*E32</f>
        <v>4501.4666666666672</v>
      </c>
      <c r="H32" s="16">
        <f>'Mass factors'!$D$5*$C$20*E32</f>
        <v>4671.3333333333339</v>
      </c>
      <c r="I32" s="16">
        <f>'Mass factors'!$D$6*$C$20*E32</f>
        <v>4883.6666666666661</v>
      </c>
      <c r="J32" s="16">
        <f>'Mass factors'!$D$7*$C$20*E32</f>
        <v>5096</v>
      </c>
    </row>
    <row r="33" spans="2:10" ht="20.25" customHeight="1">
      <c r="B33" s="7"/>
      <c r="C33" s="7"/>
      <c r="D33" s="5">
        <v>14</v>
      </c>
      <c r="E33" s="15">
        <f>D33*Constants!$E$3/Constants!$F$3</f>
        <v>3.8888888888888888</v>
      </c>
      <c r="F33" s="15">
        <f>'Mass factors'!$D$3*$C$20*E33</f>
        <v>4573.333333333333</v>
      </c>
      <c r="G33" s="15">
        <f>'Mass factors'!$D$4*$C$20*E33</f>
        <v>4847.7333333333336</v>
      </c>
      <c r="H33" s="15">
        <f>'Mass factors'!$D$5*$C$20*E33</f>
        <v>5030.666666666667</v>
      </c>
      <c r="I33" s="15">
        <f>'Mass factors'!$D$6*$C$20*E33</f>
        <v>5259.333333333333</v>
      </c>
      <c r="J33" s="15">
        <f>'Mass factors'!$D$7*$C$20*E33</f>
        <v>5488</v>
      </c>
    </row>
    <row r="34" spans="2:10" ht="20.25" customHeight="1">
      <c r="B34" s="7"/>
      <c r="C34" s="7"/>
      <c r="D34" s="12">
        <v>15</v>
      </c>
      <c r="E34" s="16">
        <f>D34*Constants!$E$3/Constants!$F$3</f>
        <v>4.166666666666667</v>
      </c>
      <c r="F34" s="16">
        <f>'Mass factors'!$D$3*$C$20*E34</f>
        <v>4900</v>
      </c>
      <c r="G34" s="16">
        <f>'Mass factors'!$D$4*$C$20*E34</f>
        <v>5194.0000000000009</v>
      </c>
      <c r="H34" s="16">
        <f>'Mass factors'!$D$5*$C$20*E34</f>
        <v>5390.0000000000009</v>
      </c>
      <c r="I34" s="16">
        <f>'Mass factors'!$D$6*$C$20*E34</f>
        <v>5635</v>
      </c>
      <c r="J34" s="16">
        <f>'Mass factors'!$D$7*$C$20*E34</f>
        <v>5880.0000000000009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8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I21" sqref="I21"/>
    </sheetView>
  </sheetViews>
  <sheetFormatPr baseColWidth="10" defaultColWidth="12.25" defaultRowHeight="18" customHeight="1" x14ac:dyDescent="0"/>
  <cols>
    <col min="1" max="1" width="0.25" style="18" customWidth="1"/>
    <col min="2" max="2" width="16" style="18" customWidth="1"/>
    <col min="3" max="3" width="12.25" style="18" customWidth="1"/>
    <col min="4" max="4" width="12.625" style="18" customWidth="1"/>
    <col min="5" max="5" width="13.25" style="18" customWidth="1"/>
    <col min="6" max="6" width="13" style="18" customWidth="1"/>
    <col min="7" max="7" width="12.25" style="18" customWidth="1"/>
    <col min="8" max="8" width="9.75" style="18" customWidth="1"/>
    <col min="9" max="256" width="12.25" style="18" customWidth="1"/>
  </cols>
  <sheetData>
    <row r="1" spans="2:9" ht="2" customHeight="1"/>
    <row r="2" spans="2:9" ht="32.5" customHeight="1">
      <c r="B2" s="3"/>
      <c r="C2" s="3"/>
      <c r="D2" s="2" t="s">
        <v>175</v>
      </c>
      <c r="E2" s="2" t="s">
        <v>176</v>
      </c>
      <c r="F2" s="2" t="s">
        <v>177</v>
      </c>
      <c r="G2" s="2" t="s">
        <v>178</v>
      </c>
      <c r="H2" s="2" t="s">
        <v>179</v>
      </c>
      <c r="I2" s="2" t="s">
        <v>159</v>
      </c>
    </row>
    <row r="3" spans="2:9" ht="20.5" customHeight="1">
      <c r="B3" s="4" t="s">
        <v>166</v>
      </c>
      <c r="C3" s="4">
        <v>1000</v>
      </c>
      <c r="D3" s="5">
        <v>1</v>
      </c>
      <c r="E3" s="19">
        <f t="shared" ref="E3:E19" si="0">INT(DEGREES(ATAN(D3/100)))</f>
        <v>0</v>
      </c>
      <c r="F3" s="19">
        <f t="shared" ref="F3:F19" si="1">(DEGREES(ATAN(D3/100))-E3)*60</f>
        <v>34.376321861009153</v>
      </c>
      <c r="G3" s="9">
        <f t="shared" ref="G3:G19" si="2">SIN(ATAN(D3/100))</f>
        <v>9.9995000374968751E-3</v>
      </c>
      <c r="H3" s="20">
        <f t="shared" ref="H3:H19" si="3">$C$3*G3</f>
        <v>9.9995000374968743</v>
      </c>
      <c r="I3" s="6"/>
    </row>
    <row r="4" spans="2:9" ht="20.25" customHeight="1">
      <c r="B4" s="7"/>
      <c r="C4" s="7"/>
      <c r="D4" s="12">
        <v>2</v>
      </c>
      <c r="E4" s="21">
        <f t="shared" si="0"/>
        <v>1</v>
      </c>
      <c r="F4" s="21">
        <f t="shared" si="1"/>
        <v>8.7457702905062096</v>
      </c>
      <c r="G4" s="22">
        <f t="shared" si="2"/>
        <v>1.9996001199600141E-2</v>
      </c>
      <c r="H4" s="23">
        <f t="shared" si="3"/>
        <v>19.996001199600141</v>
      </c>
      <c r="I4" s="10"/>
    </row>
    <row r="5" spans="2:9" ht="20.25" customHeight="1">
      <c r="B5" s="7"/>
      <c r="C5" s="7"/>
      <c r="D5" s="5">
        <v>3</v>
      </c>
      <c r="E5" s="19">
        <f t="shared" si="0"/>
        <v>1</v>
      </c>
      <c r="F5" s="19">
        <f t="shared" si="1"/>
        <v>43.101480099327432</v>
      </c>
      <c r="G5" s="9">
        <f t="shared" si="2"/>
        <v>2.9986509105671005E-2</v>
      </c>
      <c r="H5" s="20">
        <f t="shared" si="3"/>
        <v>29.986509105671004</v>
      </c>
      <c r="I5" s="6"/>
    </row>
    <row r="6" spans="2:9" ht="20.25" customHeight="1">
      <c r="B6" s="7"/>
      <c r="C6" s="7"/>
      <c r="D6" s="12">
        <v>4</v>
      </c>
      <c r="E6" s="21">
        <f t="shared" si="0"/>
        <v>2</v>
      </c>
      <c r="F6" s="21">
        <f t="shared" si="1"/>
        <v>17.436602558311776</v>
      </c>
      <c r="G6" s="22">
        <f t="shared" si="2"/>
        <v>3.9968038348871582E-2</v>
      </c>
      <c r="H6" s="23">
        <f t="shared" si="3"/>
        <v>39.96803834887158</v>
      </c>
      <c r="I6" s="10"/>
    </row>
    <row r="7" spans="2:9" ht="20.25" customHeight="1">
      <c r="B7" s="7"/>
      <c r="C7" s="7"/>
      <c r="D7" s="5">
        <v>5</v>
      </c>
      <c r="E7" s="19">
        <f t="shared" si="0"/>
        <v>2</v>
      </c>
      <c r="F7" s="19">
        <f t="shared" si="1"/>
        <v>51.744313566704875</v>
      </c>
      <c r="G7" s="9">
        <f t="shared" si="2"/>
        <v>4.9937616943892239E-2</v>
      </c>
      <c r="H7" s="20">
        <f t="shared" si="3"/>
        <v>49.937616943892237</v>
      </c>
      <c r="I7" s="5">
        <v>1</v>
      </c>
    </row>
    <row r="8" spans="2:9" ht="20.25" customHeight="1">
      <c r="B8" s="7"/>
      <c r="C8" s="7"/>
      <c r="D8" s="12">
        <v>6</v>
      </c>
      <c r="E8" s="21">
        <f t="shared" si="0"/>
        <v>3</v>
      </c>
      <c r="F8" s="21">
        <f t="shared" si="1"/>
        <v>26.01782174703132</v>
      </c>
      <c r="G8" s="22">
        <f t="shared" si="2"/>
        <v>5.9892290727946718E-2</v>
      </c>
      <c r="H8" s="23">
        <f t="shared" si="3"/>
        <v>59.892290727946715</v>
      </c>
      <c r="I8" s="10"/>
    </row>
    <row r="9" spans="2:9" ht="20.25" customHeight="1">
      <c r="B9" s="7"/>
      <c r="C9" s="7"/>
      <c r="D9" s="5">
        <v>7</v>
      </c>
      <c r="E9" s="19">
        <f t="shared" si="0"/>
        <v>4</v>
      </c>
      <c r="F9" s="19">
        <f t="shared" si="1"/>
        <v>0.25037644256329372</v>
      </c>
      <c r="G9" s="9">
        <f t="shared" si="2"/>
        <v>6.9829127699913882E-2</v>
      </c>
      <c r="H9" s="20">
        <f t="shared" si="3"/>
        <v>69.829127699913883</v>
      </c>
      <c r="I9" s="6"/>
    </row>
    <row r="10" spans="2:9" ht="20.25" customHeight="1">
      <c r="B10" s="7"/>
      <c r="C10" s="7"/>
      <c r="D10" s="12">
        <v>8</v>
      </c>
      <c r="E10" s="21">
        <f t="shared" si="0"/>
        <v>4</v>
      </c>
      <c r="F10" s="21">
        <f t="shared" si="1"/>
        <v>34.435275594051674</v>
      </c>
      <c r="G10" s="22">
        <f t="shared" si="2"/>
        <v>7.9745222282890008E-2</v>
      </c>
      <c r="H10" s="23">
        <f t="shared" si="3"/>
        <v>79.745222282890012</v>
      </c>
      <c r="I10" s="10"/>
    </row>
    <row r="11" spans="2:9" ht="20.25" customHeight="1">
      <c r="B11" s="7"/>
      <c r="C11" s="7"/>
      <c r="D11" s="5">
        <v>9</v>
      </c>
      <c r="E11" s="19">
        <f t="shared" si="0"/>
        <v>5</v>
      </c>
      <c r="F11" s="19">
        <f t="shared" si="1"/>
        <v>8.565873473054495</v>
      </c>
      <c r="G11" s="9">
        <f t="shared" si="2"/>
        <v>8.9637699495890594E-2</v>
      </c>
      <c r="H11" s="20">
        <f t="shared" si="3"/>
        <v>89.637699495890587</v>
      </c>
      <c r="I11" s="6"/>
    </row>
    <row r="12" spans="2:9" ht="20.25" customHeight="1">
      <c r="B12" s="7"/>
      <c r="C12" s="7"/>
      <c r="D12" s="12">
        <v>10</v>
      </c>
      <c r="E12" s="21">
        <f t="shared" si="0"/>
        <v>5</v>
      </c>
      <c r="F12" s="21">
        <f t="shared" si="1"/>
        <v>42.635588249978582</v>
      </c>
      <c r="G12" s="22">
        <f t="shared" si="2"/>
        <v>9.9503719020998929E-2</v>
      </c>
      <c r="H12" s="23">
        <f t="shared" si="3"/>
        <v>99.503719020998929</v>
      </c>
      <c r="I12" s="12">
        <v>2</v>
      </c>
    </row>
    <row r="13" spans="2:9" ht="20.25" customHeight="1">
      <c r="B13" s="7"/>
      <c r="C13" s="7"/>
      <c r="D13" s="5">
        <v>15</v>
      </c>
      <c r="E13" s="19">
        <f t="shared" si="0"/>
        <v>8</v>
      </c>
      <c r="F13" s="19">
        <f t="shared" si="1"/>
        <v>31.845936596888009</v>
      </c>
      <c r="G13" s="9">
        <f t="shared" si="2"/>
        <v>0.14834045293024464</v>
      </c>
      <c r="H13" s="20">
        <f t="shared" si="3"/>
        <v>148.34045293024465</v>
      </c>
      <c r="I13" s="5">
        <v>3</v>
      </c>
    </row>
    <row r="14" spans="2:9" ht="20.25" customHeight="1">
      <c r="B14" s="7"/>
      <c r="C14" s="7"/>
      <c r="D14" s="12">
        <v>20</v>
      </c>
      <c r="E14" s="21">
        <f t="shared" si="0"/>
        <v>11</v>
      </c>
      <c r="F14" s="21">
        <f t="shared" si="1"/>
        <v>18.595948441212897</v>
      </c>
      <c r="G14" s="22">
        <f t="shared" si="2"/>
        <v>0.19611613513818404</v>
      </c>
      <c r="H14" s="23">
        <f t="shared" si="3"/>
        <v>196.11613513818403</v>
      </c>
      <c r="I14" s="12">
        <v>4</v>
      </c>
    </row>
    <row r="15" spans="2:9" ht="20.25" customHeight="1">
      <c r="B15" s="7"/>
      <c r="C15" s="7"/>
      <c r="D15" s="5">
        <v>25</v>
      </c>
      <c r="E15" s="19">
        <f t="shared" si="0"/>
        <v>14</v>
      </c>
      <c r="F15" s="19">
        <f t="shared" si="1"/>
        <v>2.174608075588722</v>
      </c>
      <c r="G15" s="9">
        <f t="shared" si="2"/>
        <v>0.24253562503633297</v>
      </c>
      <c r="H15" s="20">
        <f t="shared" si="3"/>
        <v>242.53562503633296</v>
      </c>
      <c r="I15" s="5">
        <v>5</v>
      </c>
    </row>
    <row r="16" spans="2:9" ht="20.25" customHeight="1">
      <c r="B16" s="7"/>
      <c r="C16" s="7"/>
      <c r="D16" s="12">
        <v>30</v>
      </c>
      <c r="E16" s="21">
        <f t="shared" si="0"/>
        <v>16</v>
      </c>
      <c r="F16" s="21">
        <f t="shared" si="1"/>
        <v>41.954654039617267</v>
      </c>
      <c r="G16" s="22">
        <f t="shared" si="2"/>
        <v>0.28734788556634544</v>
      </c>
      <c r="H16" s="23">
        <f t="shared" si="3"/>
        <v>287.34788556634544</v>
      </c>
      <c r="I16" s="12">
        <v>6</v>
      </c>
    </row>
    <row r="17" spans="2:9" ht="20.25" customHeight="1">
      <c r="B17" s="7"/>
      <c r="C17" s="7"/>
      <c r="D17" s="5">
        <v>35</v>
      </c>
      <c r="E17" s="19">
        <f t="shared" si="0"/>
        <v>19</v>
      </c>
      <c r="F17" s="19">
        <f t="shared" si="1"/>
        <v>17.402773151324098</v>
      </c>
      <c r="G17" s="9">
        <f t="shared" si="2"/>
        <v>0.33035042472810605</v>
      </c>
      <c r="H17" s="20">
        <f t="shared" si="3"/>
        <v>330.35042472810608</v>
      </c>
      <c r="I17" s="6"/>
    </row>
    <row r="18" spans="2:9" ht="20.25" customHeight="1">
      <c r="B18" s="7"/>
      <c r="C18" s="7"/>
      <c r="D18" s="12">
        <v>40</v>
      </c>
      <c r="E18" s="21">
        <f t="shared" si="0"/>
        <v>21</v>
      </c>
      <c r="F18" s="21">
        <f t="shared" si="1"/>
        <v>48.084569181108705</v>
      </c>
      <c r="G18" s="22">
        <f t="shared" si="2"/>
        <v>0.37139067635410372</v>
      </c>
      <c r="H18" s="23">
        <f t="shared" si="3"/>
        <v>371.39067635410373</v>
      </c>
      <c r="I18" s="12">
        <v>7</v>
      </c>
    </row>
    <row r="19" spans="2:9" ht="20.25" customHeight="1">
      <c r="B19" s="7"/>
      <c r="C19" s="7"/>
      <c r="D19" s="5">
        <v>45</v>
      </c>
      <c r="E19" s="19">
        <f t="shared" si="0"/>
        <v>24</v>
      </c>
      <c r="F19" s="19">
        <f t="shared" si="1"/>
        <v>13.664719077250211</v>
      </c>
      <c r="G19" s="9">
        <f t="shared" si="2"/>
        <v>0.41036467732879789</v>
      </c>
      <c r="H19" s="20">
        <f t="shared" si="3"/>
        <v>410.36467732879788</v>
      </c>
      <c r="I19" s="5">
        <v>8</v>
      </c>
    </row>
    <row r="20" spans="2:9" ht="20.25" customHeight="1">
      <c r="B20" s="7"/>
      <c r="C20" s="7"/>
      <c r="D20" s="10"/>
      <c r="E20" s="10"/>
      <c r="F20" s="10"/>
      <c r="G20" s="10"/>
      <c r="H20" s="10"/>
      <c r="I20" s="10"/>
    </row>
    <row r="21" spans="2:9" ht="32.25" customHeight="1">
      <c r="B21" s="7"/>
      <c r="C21" s="7"/>
      <c r="D21" s="17" t="s">
        <v>175</v>
      </c>
      <c r="E21" s="17" t="s">
        <v>176</v>
      </c>
      <c r="F21" s="17" t="s">
        <v>177</v>
      </c>
      <c r="G21" s="17" t="s">
        <v>178</v>
      </c>
      <c r="H21" s="17" t="s">
        <v>180</v>
      </c>
      <c r="I21" s="17" t="s">
        <v>181</v>
      </c>
    </row>
    <row r="22" spans="2:9" ht="20.25" customHeight="1">
      <c r="B22" s="4" t="s">
        <v>174</v>
      </c>
      <c r="C22" s="4">
        <v>1176</v>
      </c>
      <c r="D22" s="12">
        <v>1</v>
      </c>
      <c r="E22" s="21">
        <f t="shared" ref="E22:E38" si="4">INT(DEGREES(ATAN(D22/100)))</f>
        <v>0</v>
      </c>
      <c r="F22" s="21">
        <f t="shared" ref="F22:F38" si="5">(DEGREES(ATAN(D22/100))-E22)*60</f>
        <v>34.376321861009153</v>
      </c>
      <c r="G22" s="22">
        <f t="shared" ref="G22:G38" si="6">SIN(ATAN(D22/100))</f>
        <v>9.9995000374968751E-3</v>
      </c>
      <c r="H22" s="22">
        <f>$C$22*Constants!$E$3*G22</f>
        <v>115.32043812223722</v>
      </c>
      <c r="I22" s="10"/>
    </row>
    <row r="23" spans="2:9" ht="20.25" customHeight="1">
      <c r="B23" s="7"/>
      <c r="C23" s="7"/>
      <c r="D23" s="5">
        <v>2</v>
      </c>
      <c r="E23" s="19">
        <f t="shared" si="4"/>
        <v>1</v>
      </c>
      <c r="F23" s="19">
        <f t="shared" si="5"/>
        <v>8.7457702905062096</v>
      </c>
      <c r="G23" s="9">
        <f t="shared" si="6"/>
        <v>1.9996001199600141E-2</v>
      </c>
      <c r="H23" s="20">
        <f>$C$22*Constants!$E$3*G23</f>
        <v>230.60629135293306</v>
      </c>
      <c r="I23" s="6"/>
    </row>
    <row r="24" spans="2:9" ht="20.25" customHeight="1">
      <c r="B24" s="7"/>
      <c r="C24" s="7"/>
      <c r="D24" s="12">
        <v>3</v>
      </c>
      <c r="E24" s="21">
        <f t="shared" si="4"/>
        <v>1</v>
      </c>
      <c r="F24" s="21">
        <f t="shared" si="5"/>
        <v>43.101480099327432</v>
      </c>
      <c r="G24" s="22">
        <f t="shared" si="6"/>
        <v>2.9986509105671005E-2</v>
      </c>
      <c r="H24" s="23">
        <f>$C$22*Constants!$E$3*G24</f>
        <v>345.8230266368472</v>
      </c>
      <c r="I24" s="12">
        <v>1</v>
      </c>
    </row>
    <row r="25" spans="2:9" ht="20.25" customHeight="1">
      <c r="B25" s="7"/>
      <c r="C25" s="7"/>
      <c r="D25" s="5">
        <v>4</v>
      </c>
      <c r="E25" s="19">
        <f t="shared" si="4"/>
        <v>2</v>
      </c>
      <c r="F25" s="19">
        <f t="shared" si="5"/>
        <v>17.436602558311776</v>
      </c>
      <c r="G25" s="9">
        <f t="shared" si="6"/>
        <v>3.9968038348871582E-2</v>
      </c>
      <c r="H25" s="20">
        <f>$C$22*Constants!$E$3*G25</f>
        <v>460.93621441017871</v>
      </c>
      <c r="I25" s="6"/>
    </row>
    <row r="26" spans="2:9" ht="20.25" customHeight="1">
      <c r="B26" s="7"/>
      <c r="C26" s="7"/>
      <c r="D26" s="12">
        <v>5</v>
      </c>
      <c r="E26" s="21">
        <f t="shared" si="4"/>
        <v>2</v>
      </c>
      <c r="F26" s="21">
        <f t="shared" si="5"/>
        <v>51.744313566704875</v>
      </c>
      <c r="G26" s="22">
        <f t="shared" si="6"/>
        <v>4.9937616943892239E-2</v>
      </c>
      <c r="H26" s="23">
        <f>$C$22*Constants!$E$3*G26</f>
        <v>575.91157989451733</v>
      </c>
      <c r="I26" s="10"/>
    </row>
    <row r="27" spans="2:9" ht="20.25" customHeight="1">
      <c r="B27" s="7"/>
      <c r="C27" s="7"/>
      <c r="D27" s="5">
        <v>6</v>
      </c>
      <c r="E27" s="19">
        <f t="shared" si="4"/>
        <v>3</v>
      </c>
      <c r="F27" s="19">
        <f t="shared" si="5"/>
        <v>26.01782174703132</v>
      </c>
      <c r="G27" s="9">
        <f t="shared" si="6"/>
        <v>5.9892290727946718E-2</v>
      </c>
      <c r="H27" s="20">
        <f>$C$22*Constants!$E$3*G27</f>
        <v>690.71505385184912</v>
      </c>
      <c r="I27" s="5">
        <v>2</v>
      </c>
    </row>
    <row r="28" spans="2:9" ht="20.25" customHeight="1">
      <c r="B28" s="7"/>
      <c r="C28" s="7"/>
      <c r="D28" s="12">
        <v>7</v>
      </c>
      <c r="E28" s="21">
        <f t="shared" si="4"/>
        <v>4</v>
      </c>
      <c r="F28" s="21">
        <f t="shared" si="5"/>
        <v>0.25037644256329372</v>
      </c>
      <c r="G28" s="22">
        <f t="shared" si="6"/>
        <v>6.9829127699913882E-2</v>
      </c>
      <c r="H28" s="23">
        <f>$C$22*Constants!$E$3*G28</f>
        <v>805.31282262623188</v>
      </c>
      <c r="I28" s="10"/>
    </row>
    <row r="29" spans="2:9" ht="20.25" customHeight="1">
      <c r="B29" s="7"/>
      <c r="C29" s="7"/>
      <c r="D29" s="5">
        <v>8</v>
      </c>
      <c r="E29" s="19">
        <f t="shared" si="4"/>
        <v>4</v>
      </c>
      <c r="F29" s="19">
        <f t="shared" si="5"/>
        <v>34.435275594051674</v>
      </c>
      <c r="G29" s="9">
        <f t="shared" si="6"/>
        <v>7.9745222282890008E-2</v>
      </c>
      <c r="H29" s="20">
        <f>$C$22*Constants!$E$3*G29</f>
        <v>919.6713773021919</v>
      </c>
      <c r="I29" s="6"/>
    </row>
    <row r="30" spans="2:9" ht="20.25" customHeight="1">
      <c r="B30" s="7"/>
      <c r="C30" s="7"/>
      <c r="D30" s="12">
        <v>9</v>
      </c>
      <c r="E30" s="21">
        <f t="shared" si="4"/>
        <v>5</v>
      </c>
      <c r="F30" s="21">
        <f t="shared" si="5"/>
        <v>8.565873473054495</v>
      </c>
      <c r="G30" s="22">
        <f t="shared" si="6"/>
        <v>8.9637699495890594E-2</v>
      </c>
      <c r="H30" s="23">
        <f>$C$22*Constants!$E$3*G30</f>
        <v>1033.7575618153776</v>
      </c>
      <c r="I30" s="12">
        <v>3</v>
      </c>
    </row>
    <row r="31" spans="2:9" ht="20.25" customHeight="1">
      <c r="B31" s="7"/>
      <c r="C31" s="7"/>
      <c r="D31" s="5">
        <v>10</v>
      </c>
      <c r="E31" s="19">
        <f t="shared" si="4"/>
        <v>5</v>
      </c>
      <c r="F31" s="19">
        <f t="shared" si="5"/>
        <v>42.635588249978582</v>
      </c>
      <c r="G31" s="9">
        <f t="shared" si="6"/>
        <v>9.9503719020998929E-2</v>
      </c>
      <c r="H31" s="20">
        <f>$C$22*Constants!$E$3*G31</f>
        <v>1147.5386198574402</v>
      </c>
      <c r="I31" s="5">
        <v>4</v>
      </c>
    </row>
    <row r="32" spans="2:9" ht="20.25" customHeight="1">
      <c r="B32" s="7"/>
      <c r="C32" s="7"/>
      <c r="D32" s="12">
        <v>15</v>
      </c>
      <c r="E32" s="21">
        <f t="shared" si="4"/>
        <v>8</v>
      </c>
      <c r="F32" s="21">
        <f t="shared" si="5"/>
        <v>31.845936596888009</v>
      </c>
      <c r="G32" s="22">
        <f t="shared" si="6"/>
        <v>0.14834045293024464</v>
      </c>
      <c r="H32" s="23">
        <f>$C$22*Constants!$E$3*G32</f>
        <v>1710.7541336085792</v>
      </c>
      <c r="I32" s="12">
        <v>5</v>
      </c>
    </row>
    <row r="33" spans="2:9" ht="20.25" customHeight="1">
      <c r="B33" s="7"/>
      <c r="C33" s="7"/>
      <c r="D33" s="5">
        <v>20</v>
      </c>
      <c r="E33" s="19">
        <f t="shared" si="4"/>
        <v>11</v>
      </c>
      <c r="F33" s="19">
        <f t="shared" si="5"/>
        <v>18.595948441212897</v>
      </c>
      <c r="G33" s="9">
        <f t="shared" si="6"/>
        <v>0.19611613513818404</v>
      </c>
      <c r="H33" s="20">
        <f>$C$22*Constants!$E$3*G33</f>
        <v>2261.7329408637779</v>
      </c>
      <c r="I33" s="5">
        <v>7</v>
      </c>
    </row>
    <row r="34" spans="2:9" ht="20.25" customHeight="1">
      <c r="B34" s="7"/>
      <c r="C34" s="7"/>
      <c r="D34" s="12">
        <v>25</v>
      </c>
      <c r="E34" s="21">
        <f t="shared" si="4"/>
        <v>14</v>
      </c>
      <c r="F34" s="21">
        <f t="shared" si="5"/>
        <v>2.174608075588722</v>
      </c>
      <c r="G34" s="22">
        <f t="shared" si="6"/>
        <v>0.24253562503633297</v>
      </c>
      <c r="H34" s="23">
        <f>$C$22*Constants!$E$3*G34</f>
        <v>2797.0712970207642</v>
      </c>
      <c r="I34" s="12">
        <v>8</v>
      </c>
    </row>
    <row r="35" spans="2:9" ht="20.25" customHeight="1">
      <c r="B35" s="7"/>
      <c r="C35" s="7"/>
      <c r="D35" s="5">
        <v>30</v>
      </c>
      <c r="E35" s="19">
        <f t="shared" si="4"/>
        <v>16</v>
      </c>
      <c r="F35" s="19">
        <f t="shared" si="5"/>
        <v>41.954654039617267</v>
      </c>
      <c r="G35" s="9">
        <f t="shared" si="6"/>
        <v>0.28734788556634544</v>
      </c>
      <c r="H35" s="20">
        <f>$C$22*Constants!$E$3*G35</f>
        <v>3313.874086979301</v>
      </c>
      <c r="I35" s="5">
        <v>9</v>
      </c>
    </row>
    <row r="36" spans="2:9" ht="20.25" customHeight="1">
      <c r="B36" s="7"/>
      <c r="C36" s="7"/>
      <c r="D36" s="12">
        <v>35</v>
      </c>
      <c r="E36" s="21">
        <f t="shared" si="4"/>
        <v>19</v>
      </c>
      <c r="F36" s="21">
        <f t="shared" si="5"/>
        <v>17.402773151324098</v>
      </c>
      <c r="G36" s="22">
        <f t="shared" si="6"/>
        <v>0.33035042472810605</v>
      </c>
      <c r="H36" s="23">
        <f>$C$22*Constants!$E$3*G36</f>
        <v>3809.8060473680202</v>
      </c>
      <c r="I36" s="12">
        <v>10</v>
      </c>
    </row>
    <row r="37" spans="2:9" ht="20.25" customHeight="1">
      <c r="B37" s="7"/>
      <c r="C37" s="7"/>
      <c r="D37" s="5">
        <v>40</v>
      </c>
      <c r="E37" s="19">
        <f t="shared" si="4"/>
        <v>21</v>
      </c>
      <c r="F37" s="19">
        <f t="shared" si="5"/>
        <v>48.084569181108705</v>
      </c>
      <c r="G37" s="9">
        <f t="shared" si="6"/>
        <v>0.37139067635410372</v>
      </c>
      <c r="H37" s="20">
        <f>$C$22*Constants!$E$3*G37</f>
        <v>4283.1076904911342</v>
      </c>
      <c r="I37" s="5">
        <v>11</v>
      </c>
    </row>
    <row r="38" spans="2:9" ht="20.25" customHeight="1">
      <c r="B38" s="7"/>
      <c r="C38" s="7"/>
      <c r="D38" s="12">
        <v>45</v>
      </c>
      <c r="E38" s="21">
        <f t="shared" si="4"/>
        <v>24</v>
      </c>
      <c r="F38" s="21">
        <f t="shared" si="5"/>
        <v>13.664719077250211</v>
      </c>
      <c r="G38" s="22">
        <f t="shared" si="6"/>
        <v>0.41036467732879789</v>
      </c>
      <c r="H38" s="23">
        <f>$C$22*Constants!$E$3*G38</f>
        <v>4732.5800492015123</v>
      </c>
      <c r="I38" s="12">
        <v>12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2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24" customWidth="1"/>
    <col min="2" max="2" width="48.625" style="24" customWidth="1"/>
    <col min="3" max="3" width="18.25" style="24" customWidth="1"/>
    <col min="4" max="4" width="15.75" style="24" customWidth="1"/>
    <col min="5" max="5" width="16.5" style="24" customWidth="1"/>
    <col min="6" max="6" width="13.25" style="24" customWidth="1"/>
    <col min="7" max="256" width="12.25" style="24" customWidth="1"/>
  </cols>
  <sheetData>
    <row r="1" spans="2:6" ht="2" customHeight="1"/>
    <row r="2" spans="2:6" ht="20.5" customHeight="1">
      <c r="B2" s="2" t="s">
        <v>182</v>
      </c>
      <c r="C2" s="2" t="s">
        <v>183</v>
      </c>
      <c r="D2" s="2" t="s">
        <v>184</v>
      </c>
      <c r="E2" s="2" t="s">
        <v>185</v>
      </c>
      <c r="F2" s="2" t="s">
        <v>186</v>
      </c>
    </row>
    <row r="3" spans="2:6" ht="20.5" customHeight="1">
      <c r="B3" s="4" t="s">
        <v>187</v>
      </c>
      <c r="C3" s="25">
        <v>3000</v>
      </c>
      <c r="D3" s="25">
        <f>C3*C12/100</f>
        <v>1800</v>
      </c>
      <c r="E3" s="25">
        <f>C3*C13/100</f>
        <v>1200</v>
      </c>
      <c r="F3" s="25">
        <v>1200</v>
      </c>
    </row>
    <row r="4" spans="2:6" ht="20.25" customHeight="1">
      <c r="B4" s="4" t="s">
        <v>188</v>
      </c>
      <c r="C4" s="26">
        <v>600</v>
      </c>
      <c r="D4" s="26">
        <v>500</v>
      </c>
      <c r="E4" s="26">
        <f>C4-D4</f>
        <v>100</v>
      </c>
      <c r="F4" s="26"/>
    </row>
    <row r="5" spans="2:6" ht="20.25" customHeight="1">
      <c r="B5" s="4" t="s">
        <v>189</v>
      </c>
      <c r="C5" s="25">
        <f>C3-C4</f>
        <v>2400</v>
      </c>
      <c r="D5" s="25">
        <f>D3-D4</f>
        <v>1300</v>
      </c>
      <c r="E5" s="25">
        <f>C5-D5</f>
        <v>1100</v>
      </c>
      <c r="F5" s="25"/>
    </row>
    <row r="6" spans="2:6" ht="20.25" customHeight="1">
      <c r="B6" s="4" t="s">
        <v>190</v>
      </c>
      <c r="C6" s="26">
        <v>1400</v>
      </c>
      <c r="D6" s="26">
        <v>400</v>
      </c>
      <c r="E6" s="26">
        <f>C6-D6</f>
        <v>1000</v>
      </c>
      <c r="F6" s="26"/>
    </row>
    <row r="7" spans="2:6" ht="20.25" customHeight="1">
      <c r="B7" s="4" t="s">
        <v>191</v>
      </c>
      <c r="C7" s="25">
        <f>C5+C6</f>
        <v>3800</v>
      </c>
      <c r="D7" s="25">
        <f>D5+D6</f>
        <v>1700</v>
      </c>
      <c r="E7" s="25">
        <f>E5+E6</f>
        <v>2100</v>
      </c>
      <c r="F7" s="25">
        <f>F3+C4-C6</f>
        <v>400</v>
      </c>
    </row>
    <row r="8" spans="2:6" ht="20.25" customHeight="1">
      <c r="B8" s="4" t="s">
        <v>192</v>
      </c>
      <c r="C8" s="26">
        <f>C10*C11</f>
        <v>1200</v>
      </c>
      <c r="D8" s="26"/>
      <c r="E8" s="26"/>
      <c r="F8" s="26"/>
    </row>
    <row r="9" spans="2:6" ht="20.25" customHeight="1">
      <c r="B9" s="4" t="s">
        <v>193</v>
      </c>
      <c r="C9" s="25">
        <f>C8*100/C3</f>
        <v>40</v>
      </c>
      <c r="D9" s="25"/>
      <c r="E9" s="25"/>
      <c r="F9" s="25"/>
    </row>
    <row r="10" spans="2:6" ht="20.25" customHeight="1">
      <c r="B10" s="4" t="s">
        <v>194</v>
      </c>
      <c r="C10" s="26">
        <v>60</v>
      </c>
      <c r="D10" s="26"/>
      <c r="E10" s="26"/>
      <c r="F10" s="26"/>
    </row>
    <row r="11" spans="2:6" ht="20.25" customHeight="1">
      <c r="B11" s="4" t="s">
        <v>195</v>
      </c>
      <c r="C11" s="25">
        <v>20</v>
      </c>
      <c r="D11" s="25"/>
      <c r="E11" s="25"/>
      <c r="F11" s="25"/>
    </row>
    <row r="12" spans="2:6" ht="20.25" customHeight="1">
      <c r="B12" s="4" t="s">
        <v>196</v>
      </c>
      <c r="C12" s="26">
        <v>60</v>
      </c>
      <c r="D12" s="27"/>
      <c r="E12" s="27"/>
      <c r="F12" s="27"/>
    </row>
    <row r="13" spans="2:6" ht="20.25" customHeight="1">
      <c r="B13" s="4" t="s">
        <v>197</v>
      </c>
      <c r="C13" s="25">
        <v>40</v>
      </c>
      <c r="D13" s="28"/>
      <c r="E13" s="28"/>
      <c r="F13" s="28"/>
    </row>
    <row r="14" spans="2:6" ht="20.25" customHeight="1">
      <c r="B14" s="7"/>
      <c r="C14" s="27"/>
      <c r="D14" s="27"/>
      <c r="E14" s="27"/>
      <c r="F14" s="27"/>
    </row>
    <row r="15" spans="2:6" ht="20.25" customHeight="1">
      <c r="B15" s="7"/>
      <c r="C15" s="28"/>
      <c r="D15" s="28"/>
      <c r="E15" s="28"/>
      <c r="F15" s="28"/>
    </row>
    <row r="16" spans="2:6" ht="20.25" customHeight="1">
      <c r="B16" s="4" t="s">
        <v>182</v>
      </c>
      <c r="C16" s="29" t="s">
        <v>198</v>
      </c>
      <c r="D16" s="29" t="s">
        <v>199</v>
      </c>
      <c r="E16" s="29" t="s">
        <v>200</v>
      </c>
      <c r="F16" s="29" t="s">
        <v>201</v>
      </c>
    </row>
    <row r="17" spans="2:6" ht="20.25" customHeight="1">
      <c r="B17" s="4" t="s">
        <v>187</v>
      </c>
      <c r="C17" s="30">
        <v>1361</v>
      </c>
      <c r="D17" s="30">
        <f>C17*C26/100</f>
        <v>816.6</v>
      </c>
      <c r="E17" s="30">
        <f>C17*C27/100</f>
        <v>544.4</v>
      </c>
      <c r="F17" s="30">
        <v>544</v>
      </c>
    </row>
    <row r="18" spans="2:6" ht="20.25" customHeight="1">
      <c r="B18" s="4" t="s">
        <v>188</v>
      </c>
      <c r="C18" s="31">
        <v>272</v>
      </c>
      <c r="D18" s="31">
        <v>227</v>
      </c>
      <c r="E18" s="31">
        <f>C18-D18</f>
        <v>45</v>
      </c>
      <c r="F18" s="31"/>
    </row>
    <row r="19" spans="2:6" ht="20.25" customHeight="1">
      <c r="B19" s="4" t="s">
        <v>189</v>
      </c>
      <c r="C19" s="30">
        <f>C17-C18</f>
        <v>1089</v>
      </c>
      <c r="D19" s="30">
        <f>D17-D18</f>
        <v>589.6</v>
      </c>
      <c r="E19" s="30">
        <f>C19-D19</f>
        <v>499.4</v>
      </c>
      <c r="F19" s="30"/>
    </row>
    <row r="20" spans="2:6" ht="20.25" customHeight="1">
      <c r="B20" s="4" t="s">
        <v>190</v>
      </c>
      <c r="C20" s="31">
        <v>635</v>
      </c>
      <c r="D20" s="31">
        <v>181</v>
      </c>
      <c r="E20" s="31">
        <f>C20-D20</f>
        <v>454</v>
      </c>
      <c r="F20" s="31"/>
    </row>
    <row r="21" spans="2:6" ht="20.25" customHeight="1">
      <c r="B21" s="4" t="s">
        <v>191</v>
      </c>
      <c r="C21" s="30">
        <f>C19+C20</f>
        <v>1724</v>
      </c>
      <c r="D21" s="30">
        <f>D19+D20</f>
        <v>770.6</v>
      </c>
      <c r="E21" s="30">
        <f>E19+E20</f>
        <v>953.4</v>
      </c>
      <c r="F21" s="30">
        <f>F17+C18-C20</f>
        <v>181</v>
      </c>
    </row>
    <row r="22" spans="2:6" ht="20.25" customHeight="1">
      <c r="B22" s="4" t="s">
        <v>192</v>
      </c>
      <c r="C22" s="26">
        <f>C24*C25</f>
        <v>540</v>
      </c>
      <c r="D22" s="26"/>
      <c r="E22" s="26"/>
      <c r="F22" s="26"/>
    </row>
    <row r="23" spans="2:6" ht="20.25" customHeight="1">
      <c r="B23" s="4" t="s">
        <v>193</v>
      </c>
      <c r="C23" s="30">
        <f>C22*100/C17</f>
        <v>39.676708302718588</v>
      </c>
      <c r="D23" s="25"/>
      <c r="E23" s="25"/>
      <c r="F23" s="25"/>
    </row>
    <row r="24" spans="2:6" ht="20.25" customHeight="1">
      <c r="B24" s="4" t="s">
        <v>194</v>
      </c>
      <c r="C24" s="26">
        <v>27</v>
      </c>
      <c r="D24" s="26"/>
      <c r="E24" s="26"/>
      <c r="F24" s="26"/>
    </row>
    <row r="25" spans="2:6" ht="20.25" customHeight="1">
      <c r="B25" s="4" t="s">
        <v>195</v>
      </c>
      <c r="C25" s="25">
        <v>20</v>
      </c>
      <c r="D25" s="25"/>
      <c r="E25" s="25"/>
      <c r="F25" s="25"/>
    </row>
    <row r="26" spans="2:6" ht="20.25" customHeight="1">
      <c r="B26" s="4" t="s">
        <v>196</v>
      </c>
      <c r="C26" s="26">
        <v>60</v>
      </c>
      <c r="D26" s="27"/>
      <c r="E26" s="27"/>
      <c r="F26" s="27"/>
    </row>
    <row r="27" spans="2:6" ht="20.25" customHeight="1">
      <c r="B27" s="4" t="s">
        <v>197</v>
      </c>
      <c r="C27" s="25">
        <v>40</v>
      </c>
      <c r="D27" s="28"/>
      <c r="E27" s="28"/>
      <c r="F27" s="28"/>
    </row>
    <row r="28" spans="2:6" ht="20.25" customHeight="1">
      <c r="B28" s="7"/>
      <c r="C28" s="27"/>
      <c r="D28" s="27"/>
      <c r="E28" s="27"/>
      <c r="F28" s="27"/>
    </row>
    <row r="29" spans="2:6" ht="20.25" customHeight="1">
      <c r="B29" s="7"/>
      <c r="C29" s="28"/>
      <c r="D29" s="28"/>
      <c r="E29" s="28"/>
      <c r="F29" s="28"/>
    </row>
    <row r="30" spans="2:6" ht="20.25" customHeight="1">
      <c r="B30" s="4" t="s">
        <v>202</v>
      </c>
      <c r="C30" s="29" t="s">
        <v>203</v>
      </c>
      <c r="D30" s="29" t="s">
        <v>204</v>
      </c>
      <c r="E30" s="29" t="s">
        <v>205</v>
      </c>
      <c r="F30" s="29" t="s">
        <v>206</v>
      </c>
    </row>
    <row r="31" spans="2:6" ht="20.25" customHeight="1">
      <c r="B31" s="4" t="s">
        <v>207</v>
      </c>
      <c r="C31" s="30">
        <v>1361</v>
      </c>
      <c r="D31" s="30">
        <f>C31*C40/100</f>
        <v>816.6</v>
      </c>
      <c r="E31" s="30">
        <f>C31*C41/100</f>
        <v>544.4</v>
      </c>
      <c r="F31" s="30">
        <v>544</v>
      </c>
    </row>
    <row r="32" spans="2:6" ht="20.25" customHeight="1">
      <c r="B32" s="4" t="s">
        <v>208</v>
      </c>
      <c r="C32" s="31">
        <v>272</v>
      </c>
      <c r="D32" s="31">
        <v>227</v>
      </c>
      <c r="E32" s="31">
        <f>C32-D32</f>
        <v>45</v>
      </c>
      <c r="F32" s="31"/>
    </row>
    <row r="33" spans="2:6" ht="20.25" customHeight="1">
      <c r="B33" s="4" t="s">
        <v>209</v>
      </c>
      <c r="C33" s="30">
        <f>C31-C32</f>
        <v>1089</v>
      </c>
      <c r="D33" s="30">
        <f>D31-D32</f>
        <v>589.6</v>
      </c>
      <c r="E33" s="30">
        <f>C33-D33</f>
        <v>499.4</v>
      </c>
      <c r="F33" s="30"/>
    </row>
    <row r="34" spans="2:6" ht="20.25" customHeight="1">
      <c r="B34" s="4" t="s">
        <v>210</v>
      </c>
      <c r="C34" s="31">
        <v>635</v>
      </c>
      <c r="D34" s="31">
        <v>181</v>
      </c>
      <c r="E34" s="31">
        <f>C34-D34</f>
        <v>454</v>
      </c>
      <c r="F34" s="31"/>
    </row>
    <row r="35" spans="2:6" ht="20.25" customHeight="1">
      <c r="B35" s="4" t="s">
        <v>211</v>
      </c>
      <c r="C35" s="30">
        <f>C33+C34</f>
        <v>1724</v>
      </c>
      <c r="D35" s="30">
        <f>D33+D34</f>
        <v>770.6</v>
      </c>
      <c r="E35" s="30">
        <f>E33+E34</f>
        <v>953.4</v>
      </c>
      <c r="F35" s="30">
        <f>F31+C32-C34</f>
        <v>181</v>
      </c>
    </row>
    <row r="36" spans="2:6" ht="20.25" customHeight="1">
      <c r="B36" s="4" t="s">
        <v>212</v>
      </c>
      <c r="C36" s="26">
        <f>C38*C39</f>
        <v>540</v>
      </c>
      <c r="D36" s="26"/>
      <c r="E36" s="26"/>
      <c r="F36" s="26"/>
    </row>
    <row r="37" spans="2:6" ht="20.25" customHeight="1">
      <c r="B37" s="4" t="s">
        <v>213</v>
      </c>
      <c r="C37" s="30">
        <f>C36*100/C31</f>
        <v>39.676708302718588</v>
      </c>
      <c r="D37" s="25"/>
      <c r="E37" s="25"/>
      <c r="F37" s="25"/>
    </row>
    <row r="38" spans="2:6" ht="20.25" customHeight="1">
      <c r="B38" s="4" t="s">
        <v>214</v>
      </c>
      <c r="C38" s="26">
        <v>27</v>
      </c>
      <c r="D38" s="26"/>
      <c r="E38" s="26"/>
      <c r="F38" s="26"/>
    </row>
    <row r="39" spans="2:6" ht="20.25" customHeight="1">
      <c r="B39" s="4" t="s">
        <v>215</v>
      </c>
      <c r="C39" s="25">
        <v>20</v>
      </c>
      <c r="D39" s="25"/>
      <c r="E39" s="25"/>
      <c r="F39" s="25"/>
    </row>
    <row r="40" spans="2:6" ht="20.25" customHeight="1">
      <c r="B40" s="4" t="s">
        <v>216</v>
      </c>
      <c r="C40" s="26">
        <v>60</v>
      </c>
      <c r="D40" s="27"/>
      <c r="E40" s="27"/>
      <c r="F40" s="27"/>
    </row>
    <row r="41" spans="2:6" ht="20.25" customHeight="1">
      <c r="B41" s="4" t="s">
        <v>217</v>
      </c>
      <c r="C41" s="25">
        <v>40</v>
      </c>
      <c r="D41" s="28"/>
      <c r="E41" s="28"/>
      <c r="F41" s="28"/>
    </row>
    <row r="42" spans="2:6" ht="20.25" customHeight="1">
      <c r="B42" s="7"/>
      <c r="C42" s="27"/>
      <c r="D42" s="27"/>
      <c r="E42" s="27"/>
      <c r="F42" s="27"/>
    </row>
  </sheetData>
  <hyperlinks>
    <hyperlink ref="B3" r:id="rId1"/>
    <hyperlink ref="B17" r:id="rId2"/>
    <hyperlink ref="B31" r:id="rId3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79"/>
  <sheetViews>
    <sheetView showGridLines="0" workbookViewId="0">
      <pane xSplit="3" ySplit="2" topLeftCell="D68" activePane="bottomRight" state="frozenSplit"/>
      <selection pane="topRight"/>
      <selection pane="bottomLeft"/>
      <selection pane="bottomRight" activeCell="C72" sqref="C72"/>
    </sheetView>
  </sheetViews>
  <sheetFormatPr baseColWidth="10" defaultColWidth="12.25" defaultRowHeight="18" customHeight="1" x14ac:dyDescent="0"/>
  <cols>
    <col min="1" max="1" width="0.25" style="32" customWidth="1"/>
    <col min="2" max="2" width="31.625" style="32" bestFit="1" customWidth="1"/>
    <col min="3" max="3" width="21.75" style="32" customWidth="1"/>
    <col min="4" max="4" width="12.25" style="32" hidden="1" customWidth="1"/>
    <col min="5" max="5" width="21.5" style="32" customWidth="1"/>
    <col min="6" max="6" width="31.625" style="32" bestFit="1" customWidth="1"/>
    <col min="7" max="9" width="17.25" style="32" bestFit="1" customWidth="1"/>
    <col min="10" max="10" width="38.375" style="32" bestFit="1" customWidth="1"/>
    <col min="11" max="13" width="17.25" style="32" bestFit="1" customWidth="1"/>
    <col min="14" max="15" width="17.5" style="32" bestFit="1" customWidth="1"/>
    <col min="16" max="16" width="16.375" style="32" bestFit="1" customWidth="1"/>
    <col min="17" max="26" width="3.5" style="32" customWidth="1"/>
    <col min="27" max="256" width="12.25" style="32" customWidth="1"/>
  </cols>
  <sheetData>
    <row r="1" spans="2:26" ht="2" customHeight="1"/>
    <row r="2" spans="2:26" ht="20.5" customHeight="1">
      <c r="B2" s="2" t="s">
        <v>218</v>
      </c>
      <c r="C2" s="2" t="s">
        <v>219</v>
      </c>
      <c r="D2" s="2" t="s">
        <v>220</v>
      </c>
      <c r="E2" s="2" t="s">
        <v>221</v>
      </c>
      <c r="F2" s="3"/>
      <c r="G2" s="3"/>
      <c r="H2" s="2" t="s">
        <v>222</v>
      </c>
      <c r="I2" s="2" t="s">
        <v>223</v>
      </c>
      <c r="J2" s="2" t="s">
        <v>224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2:26" ht="20.5" customHeight="1">
      <c r="B3" s="4" t="s">
        <v>225</v>
      </c>
      <c r="C3" s="4" t="s">
        <v>226</v>
      </c>
      <c r="D3" s="5">
        <v>0.17</v>
      </c>
      <c r="E3" s="5">
        <v>1.95</v>
      </c>
      <c r="F3" s="6"/>
      <c r="G3" s="6"/>
      <c r="H3" s="17" t="s">
        <v>227</v>
      </c>
      <c r="I3" s="17" t="s">
        <v>228</v>
      </c>
      <c r="J3" s="5" t="s">
        <v>229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2:26" ht="20.25" customHeight="1">
      <c r="B4" s="4" t="s">
        <v>230</v>
      </c>
      <c r="C4" s="4" t="s">
        <v>231</v>
      </c>
      <c r="D4" s="12">
        <v>0.2</v>
      </c>
      <c r="E4" s="12">
        <v>1.46</v>
      </c>
      <c r="F4" s="10"/>
      <c r="G4" s="10"/>
      <c r="H4" s="29" t="s">
        <v>232</v>
      </c>
      <c r="I4" s="29" t="s">
        <v>233</v>
      </c>
      <c r="J4" s="12" t="s">
        <v>234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6" ht="20.25" customHeight="1">
      <c r="B5" s="4" t="s">
        <v>235</v>
      </c>
      <c r="C5" s="4" t="s">
        <v>236</v>
      </c>
      <c r="D5" s="5">
        <v>0.32</v>
      </c>
      <c r="E5" s="5">
        <v>0.85</v>
      </c>
      <c r="F5" s="6"/>
      <c r="G5" s="6"/>
      <c r="H5" s="17" t="s">
        <v>237</v>
      </c>
      <c r="I5" s="17" t="s">
        <v>238</v>
      </c>
      <c r="J5" s="5" t="s">
        <v>239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2:26" ht="20.25" customHeight="1">
      <c r="B6" s="4" t="s">
        <v>240</v>
      </c>
      <c r="C6" s="4" t="s">
        <v>241</v>
      </c>
      <c r="D6" s="12">
        <v>0.5</v>
      </c>
      <c r="E6" s="12">
        <v>0.5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6" ht="20.25" customHeight="1">
      <c r="B7" s="4" t="s">
        <v>242</v>
      </c>
      <c r="C7" s="4" t="s">
        <v>243</v>
      </c>
      <c r="D7" s="5">
        <v>0.55000000000000004</v>
      </c>
      <c r="E7" s="5">
        <v>0.45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2:26" ht="20.25" customHeight="1">
      <c r="B8" s="4" t="s">
        <v>244</v>
      </c>
      <c r="C8" s="4" t="s">
        <v>245</v>
      </c>
      <c r="D8" s="12">
        <v>0.63</v>
      </c>
      <c r="E8" s="12">
        <v>0.38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6" ht="20.25" customHeight="1">
      <c r="B9" s="4" t="s">
        <v>246</v>
      </c>
      <c r="C9" s="4" t="s">
        <v>247</v>
      </c>
      <c r="D9" s="5">
        <v>0.74</v>
      </c>
      <c r="E9" s="5">
        <v>0.32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2:26" ht="20.25" customHeight="1">
      <c r="B10" s="4" t="s">
        <v>248</v>
      </c>
      <c r="C10" s="4" t="s">
        <v>249</v>
      </c>
      <c r="D10" s="12">
        <v>2.7</v>
      </c>
      <c r="E10" s="12">
        <v>7.0000000000000007E-2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2" spans="2:26" ht="18" customHeight="1">
      <c r="B12" s="117" t="s">
        <v>270</v>
      </c>
      <c r="C12" s="117"/>
      <c r="D12" s="117"/>
      <c r="E12" s="117"/>
      <c r="F12" s="117"/>
    </row>
    <row r="13" spans="2:26" ht="16">
      <c r="B13" s="2" t="s">
        <v>250</v>
      </c>
      <c r="C13" s="2" t="s">
        <v>251</v>
      </c>
      <c r="D13" s="2" t="s">
        <v>220</v>
      </c>
      <c r="E13" s="2" t="s">
        <v>252</v>
      </c>
      <c r="F13" s="3" t="s">
        <v>253</v>
      </c>
    </row>
    <row r="14" spans="2:26" ht="18" customHeight="1">
      <c r="B14" s="4" t="s">
        <v>254</v>
      </c>
      <c r="C14" s="4" t="s">
        <v>262</v>
      </c>
      <c r="D14" s="5">
        <v>0.17</v>
      </c>
      <c r="E14" s="33">
        <v>0.14000000000000001</v>
      </c>
      <c r="F14" s="34">
        <f>E14*100/$E$21</f>
        <v>33.333333333333336</v>
      </c>
    </row>
    <row r="15" spans="2:26" ht="18" customHeight="1">
      <c r="B15" s="4" t="s">
        <v>255</v>
      </c>
      <c r="C15" s="4" t="s">
        <v>263</v>
      </c>
      <c r="D15" s="12">
        <v>0.2</v>
      </c>
      <c r="E15" s="35">
        <v>0.09</v>
      </c>
      <c r="F15" s="34">
        <f t="shared" ref="F15:F20" si="0">E15*100/$E$21</f>
        <v>21.428571428571427</v>
      </c>
    </row>
    <row r="16" spans="2:26" ht="18" customHeight="1">
      <c r="B16" s="4" t="s">
        <v>256</v>
      </c>
      <c r="C16" s="4" t="s">
        <v>264</v>
      </c>
      <c r="D16" s="5">
        <v>0.32</v>
      </c>
      <c r="E16" s="33">
        <v>0.06</v>
      </c>
      <c r="F16" s="34">
        <f t="shared" si="0"/>
        <v>14.285714285714285</v>
      </c>
    </row>
    <row r="17" spans="2:6" ht="18" customHeight="1">
      <c r="B17" s="4" t="s">
        <v>257</v>
      </c>
      <c r="C17" s="4" t="s">
        <v>265</v>
      </c>
      <c r="D17" s="12">
        <v>0.5</v>
      </c>
      <c r="E17" s="35">
        <v>0.05</v>
      </c>
      <c r="F17" s="34">
        <f t="shared" si="0"/>
        <v>11.904761904761903</v>
      </c>
    </row>
    <row r="18" spans="2:6" ht="18" customHeight="1">
      <c r="B18" s="4" t="s">
        <v>258</v>
      </c>
      <c r="C18" s="4" t="s">
        <v>266</v>
      </c>
      <c r="D18" s="5">
        <v>0.55000000000000004</v>
      </c>
      <c r="E18" s="33">
        <v>0.03</v>
      </c>
      <c r="F18" s="34">
        <f t="shared" si="0"/>
        <v>7.1428571428571423</v>
      </c>
    </row>
    <row r="19" spans="2:6" ht="18" customHeight="1">
      <c r="B19" s="4" t="s">
        <v>259</v>
      </c>
      <c r="C19" s="4" t="s">
        <v>267</v>
      </c>
      <c r="D19" s="12">
        <v>0.63</v>
      </c>
      <c r="E19" s="35">
        <v>2.5000000000000001E-2</v>
      </c>
      <c r="F19" s="34">
        <f t="shared" si="0"/>
        <v>5.9523809523809517</v>
      </c>
    </row>
    <row r="20" spans="2:6" ht="18" customHeight="1">
      <c r="B20" s="4" t="s">
        <v>260</v>
      </c>
      <c r="C20" s="4" t="s">
        <v>268</v>
      </c>
      <c r="D20" s="5">
        <v>0.74</v>
      </c>
      <c r="E20" s="33">
        <v>2.5000000000000001E-2</v>
      </c>
      <c r="F20" s="34">
        <f t="shared" si="0"/>
        <v>5.9523809523809517</v>
      </c>
    </row>
    <row r="21" spans="2:6" ht="18" customHeight="1">
      <c r="B21" s="4" t="s">
        <v>261</v>
      </c>
      <c r="C21" s="4" t="s">
        <v>269</v>
      </c>
      <c r="D21" s="12">
        <v>2.7</v>
      </c>
      <c r="E21" s="35">
        <f>SUM(E14:E20)</f>
        <v>0.42000000000000004</v>
      </c>
      <c r="F21" s="36">
        <f>SUM(F14:F20)</f>
        <v>99.999999999999972</v>
      </c>
    </row>
    <row r="34" spans="1:257" ht="16">
      <c r="F34" s="2" t="s">
        <v>279</v>
      </c>
      <c r="G34" s="2"/>
      <c r="H34" s="2" t="s">
        <v>274</v>
      </c>
      <c r="I34" s="2" t="s">
        <v>274</v>
      </c>
      <c r="J34" s="2" t="s">
        <v>274</v>
      </c>
      <c r="K34" s="2" t="s">
        <v>274</v>
      </c>
      <c r="L34" s="2" t="s">
        <v>274</v>
      </c>
      <c r="M34" s="2" t="s">
        <v>274</v>
      </c>
      <c r="N34" s="2" t="s">
        <v>274</v>
      </c>
      <c r="IV34"/>
    </row>
    <row r="35" spans="1:257" ht="18" customHeight="1">
      <c r="F35" s="4" t="s">
        <v>278</v>
      </c>
      <c r="G35" s="4"/>
      <c r="H35" s="38" t="s">
        <v>295</v>
      </c>
      <c r="I35" s="38" t="s">
        <v>296</v>
      </c>
      <c r="J35" s="38" t="s">
        <v>297</v>
      </c>
      <c r="K35" s="38" t="s">
        <v>298</v>
      </c>
      <c r="L35" s="38" t="s">
        <v>299</v>
      </c>
      <c r="M35" s="38" t="s">
        <v>302</v>
      </c>
      <c r="N35" s="38" t="s">
        <v>301</v>
      </c>
      <c r="IV35"/>
    </row>
    <row r="36" spans="1:257" s="52" customFormat="1" ht="18" customHeight="1">
      <c r="A36" s="32"/>
      <c r="F36" s="59">
        <v>7.5</v>
      </c>
      <c r="G36" s="59"/>
      <c r="H36" s="58">
        <v>5</v>
      </c>
      <c r="I36" s="58">
        <v>10</v>
      </c>
      <c r="J36" s="58">
        <v>20</v>
      </c>
      <c r="K36" s="58">
        <v>30</v>
      </c>
      <c r="L36" s="58">
        <v>45</v>
      </c>
      <c r="M36" s="58">
        <v>60</v>
      </c>
      <c r="N36" s="58">
        <v>75</v>
      </c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</row>
    <row r="37" spans="1:257" ht="18" customHeight="1">
      <c r="F37" s="4" t="s">
        <v>275</v>
      </c>
      <c r="G37" s="60">
        <v>1.2</v>
      </c>
      <c r="H37" s="35">
        <f>((0.98*($F$36/H36)*($F$36/H36)+0.63*($F$36/H36))*$G37)-(0.4*($F$36/H36))</f>
        <v>3.18</v>
      </c>
      <c r="I37" s="35">
        <f t="shared" ref="I37:N37" si="1">((0.98*($F$36/I36)*($F$36/I36)+0.63*($F$36/I36))*$G37)-(0.4*($F$36/I36))</f>
        <v>0.9285000000000001</v>
      </c>
      <c r="J37" s="35">
        <f t="shared" si="1"/>
        <v>0.298875</v>
      </c>
      <c r="K37" s="35">
        <f t="shared" si="1"/>
        <v>0.16250000000000001</v>
      </c>
      <c r="L37" s="35">
        <f t="shared" si="1"/>
        <v>9.1999999999999985E-2</v>
      </c>
      <c r="M37" s="35">
        <f t="shared" si="1"/>
        <v>6.2874999999999986E-2</v>
      </c>
      <c r="N37" s="35">
        <f t="shared" si="1"/>
        <v>4.7359999999999999E-2</v>
      </c>
      <c r="IV37"/>
    </row>
    <row r="38" spans="1:257" ht="18" customHeight="1">
      <c r="F38" s="4" t="s">
        <v>276</v>
      </c>
      <c r="G38" s="60">
        <v>1.4</v>
      </c>
      <c r="H38" s="33">
        <f>((0.98*($F$36/H36)*($F$36/H36)+0.63*($F$36/H36))*$G38)-(0.4*($F$36/H36))</f>
        <v>3.81</v>
      </c>
      <c r="I38" s="33">
        <f t="shared" ref="I38:N38" si="2">((0.98*($F$36/I36)*($F$36/I36)+0.63*($F$36/I36))*$G38)-(0.4*($F$36/I36))</f>
        <v>1.1332500000000001</v>
      </c>
      <c r="J38" s="33">
        <f t="shared" si="2"/>
        <v>0.37368749999999995</v>
      </c>
      <c r="K38" s="33">
        <f t="shared" si="2"/>
        <v>0.20624999999999996</v>
      </c>
      <c r="L38" s="33">
        <f t="shared" si="2"/>
        <v>0.11844444444444442</v>
      </c>
      <c r="M38" s="33">
        <f t="shared" si="2"/>
        <v>8.1687499999999982E-2</v>
      </c>
      <c r="N38" s="33">
        <f t="shared" si="2"/>
        <v>6.1919999999999989E-2</v>
      </c>
      <c r="IV38"/>
    </row>
    <row r="39" spans="1:257" ht="16">
      <c r="F39" s="4" t="s">
        <v>277</v>
      </c>
      <c r="G39" s="60">
        <v>1.6</v>
      </c>
      <c r="H39" s="35">
        <f>((0.98*($F$36/H36)*($F$36/H36)+0.63*($F$36/H36))*$G39)-(0.4*($F$36/H36))</f>
        <v>4.4400000000000013</v>
      </c>
      <c r="I39" s="35">
        <f t="shared" ref="I39:N39" si="3">((0.98*($F$36/I36)*($F$36/I36)+0.63*($F$36/I36))*$G39)-(0.4*($F$36/I36))</f>
        <v>1.3380000000000003</v>
      </c>
      <c r="J39" s="35">
        <f t="shared" si="3"/>
        <v>0.44850000000000001</v>
      </c>
      <c r="K39" s="35">
        <f t="shared" si="3"/>
        <v>0.25</v>
      </c>
      <c r="L39" s="35">
        <f t="shared" si="3"/>
        <v>0.1448888888888889</v>
      </c>
      <c r="M39" s="35">
        <f t="shared" si="3"/>
        <v>0.10049999999999999</v>
      </c>
      <c r="N39" s="35">
        <f t="shared" si="3"/>
        <v>7.6480000000000006E-2</v>
      </c>
      <c r="IV39"/>
    </row>
    <row r="41" spans="1:257" ht="18" customHeight="1">
      <c r="F41" s="37" t="s">
        <v>318</v>
      </c>
    </row>
    <row r="42" spans="1:257" ht="18" customHeight="1">
      <c r="F42" s="2" t="s">
        <v>280</v>
      </c>
      <c r="G42" s="41" t="s">
        <v>286</v>
      </c>
      <c r="H42" s="41" t="s">
        <v>293</v>
      </c>
      <c r="I42" s="41" t="s">
        <v>294</v>
      </c>
      <c r="J42" s="41" t="s">
        <v>287</v>
      </c>
      <c r="K42" s="41" t="s">
        <v>288</v>
      </c>
      <c r="L42" s="41" t="s">
        <v>289</v>
      </c>
      <c r="M42" s="41" t="s">
        <v>290</v>
      </c>
      <c r="N42" s="41" t="s">
        <v>300</v>
      </c>
      <c r="O42" s="41" t="s">
        <v>291</v>
      </c>
      <c r="P42" s="41" t="s">
        <v>292</v>
      </c>
      <c r="IW42" s="32"/>
    </row>
    <row r="43" spans="1:257" s="52" customFormat="1" ht="18" customHeight="1">
      <c r="A43" s="32"/>
      <c r="B43" s="32"/>
      <c r="C43" s="32"/>
      <c r="D43" s="32"/>
      <c r="E43" s="32"/>
      <c r="F43" s="2"/>
      <c r="G43" s="41"/>
      <c r="H43" s="41"/>
      <c r="I43" s="41"/>
      <c r="J43" s="41">
        <v>5</v>
      </c>
      <c r="K43" s="41">
        <v>10</v>
      </c>
      <c r="L43" s="41">
        <v>20</v>
      </c>
      <c r="M43" s="41">
        <v>30</v>
      </c>
      <c r="N43" s="41">
        <v>45</v>
      </c>
      <c r="O43" s="41">
        <v>60</v>
      </c>
      <c r="P43" s="41">
        <v>75</v>
      </c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  <c r="IV43" s="32"/>
      <c r="IW43" s="32"/>
    </row>
    <row r="44" spans="1:257" ht="18" customHeight="1">
      <c r="F44" s="4" t="s">
        <v>283</v>
      </c>
      <c r="G44" s="39">
        <v>0.3</v>
      </c>
      <c r="H44" s="30">
        <v>18</v>
      </c>
      <c r="I44" s="39">
        <f>H44*0.3048*0.3048</f>
        <v>1.6722547200000002</v>
      </c>
      <c r="J44" s="39">
        <f>(1/2)*(0.07636/32.17405)*(J$43*J$43*(5280/3600)*(5280/3600))*$H44*$G44</f>
        <v>0.34460914929889147</v>
      </c>
      <c r="K44" s="39">
        <f t="shared" ref="K44:P48" si="4">(1/2)*(0.07636/32.17405)*(K$43*K$43*(5280/3600)*(5280/3600))*$H44*$G44</f>
        <v>1.3784365971955659</v>
      </c>
      <c r="L44" s="39">
        <f t="shared" si="4"/>
        <v>5.5137463887822635</v>
      </c>
      <c r="M44" s="39">
        <f t="shared" si="4"/>
        <v>12.405929374760092</v>
      </c>
      <c r="N44" s="39">
        <f t="shared" si="4"/>
        <v>27.913341093210214</v>
      </c>
      <c r="O44" s="39">
        <f t="shared" si="4"/>
        <v>49.623717499040367</v>
      </c>
      <c r="P44" s="39">
        <f t="shared" si="4"/>
        <v>77.537058592250574</v>
      </c>
      <c r="IW44" s="32"/>
    </row>
    <row r="45" spans="1:257" ht="18" customHeight="1">
      <c r="F45" s="4" t="s">
        <v>282</v>
      </c>
      <c r="G45" s="40">
        <v>0.32</v>
      </c>
      <c r="H45" s="31">
        <v>22</v>
      </c>
      <c r="I45" s="40">
        <f t="shared" ref="I45:I48" si="5">H45*0.3048*0.3048</f>
        <v>2.0438668800000004</v>
      </c>
      <c r="J45" s="39">
        <f t="shared" ref="J45:J48" si="6">(1/2)*(0.07636/32.17405)*(J$43*J$43*(5280/3600)*(5280/3600))*$H45*$G45</f>
        <v>0.44926822427114738</v>
      </c>
      <c r="K45" s="39">
        <f t="shared" si="4"/>
        <v>1.7970728970845895</v>
      </c>
      <c r="L45" s="39">
        <f t="shared" si="4"/>
        <v>7.188291588338358</v>
      </c>
      <c r="M45" s="39">
        <f t="shared" si="4"/>
        <v>16.173656073761308</v>
      </c>
      <c r="N45" s="39">
        <f t="shared" si="4"/>
        <v>36.390726165962946</v>
      </c>
      <c r="O45" s="39">
        <f t="shared" si="4"/>
        <v>64.69462429504523</v>
      </c>
      <c r="P45" s="39">
        <f t="shared" si="4"/>
        <v>101.08535046100816</v>
      </c>
      <c r="IW45" s="32"/>
    </row>
    <row r="46" spans="1:257" ht="18" customHeight="1">
      <c r="F46" s="4" t="s">
        <v>281</v>
      </c>
      <c r="G46" s="39">
        <v>0.34</v>
      </c>
      <c r="H46" s="30">
        <v>26</v>
      </c>
      <c r="I46" s="39">
        <f t="shared" si="5"/>
        <v>2.4154790400000001</v>
      </c>
      <c r="J46" s="39">
        <f t="shared" si="6"/>
        <v>0.56413794070411116</v>
      </c>
      <c r="K46" s="39">
        <f t="shared" si="4"/>
        <v>2.2565517628164447</v>
      </c>
      <c r="L46" s="39">
        <f t="shared" si="4"/>
        <v>9.0262070512657786</v>
      </c>
      <c r="M46" s="39">
        <f t="shared" si="4"/>
        <v>20.308965865348004</v>
      </c>
      <c r="N46" s="39">
        <f t="shared" si="4"/>
        <v>45.695173197033021</v>
      </c>
      <c r="O46" s="39">
        <f t="shared" si="4"/>
        <v>81.235863461392015</v>
      </c>
      <c r="P46" s="39">
        <f t="shared" si="4"/>
        <v>126.93103665842504</v>
      </c>
      <c r="IW46" s="32"/>
    </row>
    <row r="47" spans="1:257" ht="18" customHeight="1">
      <c r="F47" s="4" t="s">
        <v>284</v>
      </c>
      <c r="G47" s="40">
        <v>0.45</v>
      </c>
      <c r="H47" s="31">
        <v>24</v>
      </c>
      <c r="I47" s="40">
        <f t="shared" si="5"/>
        <v>2.2296729600000003</v>
      </c>
      <c r="J47" s="39">
        <f t="shared" si="6"/>
        <v>0.68921829859778294</v>
      </c>
      <c r="K47" s="39">
        <f t="shared" si="4"/>
        <v>2.7568731943911318</v>
      </c>
      <c r="L47" s="39">
        <f t="shared" si="4"/>
        <v>11.027492777564527</v>
      </c>
      <c r="M47" s="39">
        <f t="shared" si="4"/>
        <v>24.811858749520187</v>
      </c>
      <c r="N47" s="39">
        <f t="shared" si="4"/>
        <v>55.826682186420427</v>
      </c>
      <c r="O47" s="39">
        <f t="shared" si="4"/>
        <v>99.247434998080749</v>
      </c>
      <c r="P47" s="39">
        <f t="shared" si="4"/>
        <v>155.07411718450115</v>
      </c>
      <c r="IW47" s="32"/>
    </row>
    <row r="48" spans="1:257" ht="18" customHeight="1">
      <c r="F48" s="4" t="s">
        <v>285</v>
      </c>
      <c r="G48" s="42">
        <v>0.6</v>
      </c>
      <c r="H48" s="43">
        <v>18</v>
      </c>
      <c r="I48" s="42">
        <f t="shared" si="5"/>
        <v>1.6722547200000002</v>
      </c>
      <c r="J48" s="39">
        <f t="shared" si="6"/>
        <v>0.68921829859778294</v>
      </c>
      <c r="K48" s="39">
        <f t="shared" si="4"/>
        <v>2.7568731943911318</v>
      </c>
      <c r="L48" s="39">
        <f t="shared" si="4"/>
        <v>11.027492777564527</v>
      </c>
      <c r="M48" s="39">
        <f t="shared" si="4"/>
        <v>24.811858749520184</v>
      </c>
      <c r="N48" s="39">
        <f t="shared" si="4"/>
        <v>55.826682186420427</v>
      </c>
      <c r="O48" s="39">
        <f t="shared" si="4"/>
        <v>99.247434998080735</v>
      </c>
      <c r="P48" s="39">
        <f t="shared" si="4"/>
        <v>155.07411718450115</v>
      </c>
      <c r="IW48" s="32"/>
    </row>
    <row r="50" spans="2:7" ht="18" customHeight="1">
      <c r="B50" s="32" t="s">
        <v>311</v>
      </c>
    </row>
    <row r="51" spans="2:7" ht="18" customHeight="1">
      <c r="B51" s="37" t="s">
        <v>303</v>
      </c>
    </row>
    <row r="52" spans="2:7" ht="18" customHeight="1">
      <c r="B52" s="37" t="s">
        <v>304</v>
      </c>
    </row>
    <row r="53" spans="2:7" ht="18" customHeight="1">
      <c r="B53" s="32" t="s">
        <v>305</v>
      </c>
      <c r="G53" s="37"/>
    </row>
    <row r="55" spans="2:7" ht="24">
      <c r="B55" s="4" t="s">
        <v>310</v>
      </c>
      <c r="C55" s="4" t="s">
        <v>309</v>
      </c>
    </row>
    <row r="56" spans="2:7" ht="18" customHeight="1">
      <c r="B56" s="4" t="s">
        <v>306</v>
      </c>
      <c r="C56" s="33">
        <v>1.4999999999999999E-2</v>
      </c>
    </row>
    <row r="57" spans="2:7" ht="18" customHeight="1">
      <c r="B57" s="4" t="s">
        <v>307</v>
      </c>
      <c r="C57" s="35">
        <v>0.08</v>
      </c>
    </row>
    <row r="58" spans="2:7" ht="18" customHeight="1">
      <c r="B58" s="4" t="s">
        <v>308</v>
      </c>
      <c r="C58" s="33">
        <v>0.3</v>
      </c>
    </row>
    <row r="60" spans="2:7" ht="18" customHeight="1">
      <c r="B60" s="32" t="s">
        <v>312</v>
      </c>
    </row>
    <row r="61" spans="2:7" ht="18" customHeight="1">
      <c r="B61" s="32" t="s">
        <v>313</v>
      </c>
    </row>
    <row r="62" spans="2:7" ht="18" customHeight="1">
      <c r="B62" s="37" t="s">
        <v>314</v>
      </c>
    </row>
    <row r="63" spans="2:7" ht="18" customHeight="1">
      <c r="B63" s="37" t="s">
        <v>315</v>
      </c>
    </row>
    <row r="64" spans="2:7" ht="18" customHeight="1">
      <c r="B64" s="37"/>
    </row>
    <row r="66" spans="2:256" ht="24">
      <c r="B66" s="4" t="s">
        <v>316</v>
      </c>
      <c r="C66" s="33">
        <v>2E-3</v>
      </c>
    </row>
    <row r="67" spans="2:256" ht="36">
      <c r="B67" s="4" t="s">
        <v>317</v>
      </c>
      <c r="C67" s="35">
        <v>1E-3</v>
      </c>
    </row>
    <row r="68" spans="2:256" ht="18" customHeight="1">
      <c r="B68" s="4" t="s">
        <v>261</v>
      </c>
      <c r="C68" s="33">
        <f>SUM(C66:C67)</f>
        <v>3.0000000000000001E-3</v>
      </c>
    </row>
    <row r="71" spans="2:256" ht="18" customHeight="1">
      <c r="C71" s="4" t="s">
        <v>319</v>
      </c>
    </row>
    <row r="72" spans="2:256" ht="16">
      <c r="C72" s="4">
        <v>1176</v>
      </c>
      <c r="E72" s="41" t="s">
        <v>287</v>
      </c>
      <c r="F72" s="41" t="s">
        <v>288</v>
      </c>
      <c r="G72" s="41" t="s">
        <v>289</v>
      </c>
      <c r="H72" s="41" t="s">
        <v>290</v>
      </c>
      <c r="I72" s="41" t="s">
        <v>300</v>
      </c>
      <c r="J72" s="41" t="s">
        <v>291</v>
      </c>
      <c r="K72" s="41" t="s">
        <v>292</v>
      </c>
    </row>
    <row r="73" spans="2:256" ht="24">
      <c r="C73" s="4" t="s">
        <v>320</v>
      </c>
      <c r="E73" s="33">
        <v>0.56999999999999995</v>
      </c>
      <c r="F73" s="33">
        <v>2.2599999999999998</v>
      </c>
      <c r="G73" s="33">
        <v>9.0399999999999991</v>
      </c>
      <c r="H73" s="33">
        <v>20.350000000000001</v>
      </c>
      <c r="I73" s="33">
        <v>45.78</v>
      </c>
      <c r="J73" s="33">
        <v>81.39</v>
      </c>
      <c r="K73" s="33">
        <v>127.17</v>
      </c>
    </row>
    <row r="74" spans="2:256" ht="18" customHeight="1">
      <c r="C74" s="4" t="s">
        <v>321</v>
      </c>
      <c r="E74" s="35">
        <v>3.81</v>
      </c>
      <c r="F74" s="35">
        <v>1.133</v>
      </c>
      <c r="G74" s="35">
        <v>0.374</v>
      </c>
      <c r="H74" s="35">
        <v>0.20599999999999999</v>
      </c>
      <c r="I74" s="35">
        <v>0.185</v>
      </c>
      <c r="J74" s="35">
        <v>8.2000000000000003E-2</v>
      </c>
      <c r="K74" s="35">
        <v>6.2E-2</v>
      </c>
      <c r="IV74"/>
    </row>
    <row r="75" spans="2:256" ht="24">
      <c r="C75" s="4" t="s">
        <v>325</v>
      </c>
      <c r="E75" s="33">
        <v>3.0000000000000001E-3</v>
      </c>
      <c r="F75" s="33">
        <v>3.0000000000000001E-3</v>
      </c>
      <c r="G75" s="33">
        <v>3.0000000000000001E-3</v>
      </c>
      <c r="H75" s="33">
        <v>3.0000000000000001E-3</v>
      </c>
      <c r="I75" s="33">
        <v>3.0000000000000001E-3</v>
      </c>
      <c r="J75" s="33">
        <v>3.0000000000000001E-3</v>
      </c>
      <c r="K75" s="33">
        <v>3.0000000000000001E-3</v>
      </c>
      <c r="IV75"/>
    </row>
    <row r="76" spans="2:256" ht="24">
      <c r="C76" s="4" t="s">
        <v>324</v>
      </c>
      <c r="E76" s="33">
        <f>E75*$C$72*2.2046</f>
        <v>7.7778288000000009</v>
      </c>
      <c r="F76" s="33">
        <f t="shared" ref="F76:K76" si="7">F75*$C$72*2.2046</f>
        <v>7.7778288000000009</v>
      </c>
      <c r="G76" s="33">
        <f t="shared" si="7"/>
        <v>7.7778288000000009</v>
      </c>
      <c r="H76" s="33">
        <f t="shared" si="7"/>
        <v>7.7778288000000009</v>
      </c>
      <c r="I76" s="33">
        <f t="shared" si="7"/>
        <v>7.7778288000000009</v>
      </c>
      <c r="J76" s="33">
        <f t="shared" si="7"/>
        <v>7.7778288000000009</v>
      </c>
      <c r="K76" s="33">
        <f t="shared" si="7"/>
        <v>7.7778288000000009</v>
      </c>
      <c r="IV76"/>
    </row>
    <row r="77" spans="2:256" ht="36">
      <c r="C77" s="4" t="s">
        <v>322</v>
      </c>
      <c r="E77" s="35">
        <f>(E73*E74)+E73+(E75*$C$72*2.2046)</f>
        <v>10.5195288</v>
      </c>
      <c r="F77" s="35">
        <f t="shared" ref="F77:K77" si="8">(F73*F74)+F73+(F75*$C$72*2.2046)</f>
        <v>12.598408800000001</v>
      </c>
      <c r="G77" s="35">
        <f t="shared" si="8"/>
        <v>20.198788799999999</v>
      </c>
      <c r="H77" s="35">
        <f t="shared" si="8"/>
        <v>32.3199288</v>
      </c>
      <c r="I77" s="35">
        <f t="shared" si="8"/>
        <v>62.027128800000007</v>
      </c>
      <c r="J77" s="35">
        <f t="shared" si="8"/>
        <v>95.841808799999995</v>
      </c>
      <c r="K77" s="35">
        <f t="shared" si="8"/>
        <v>142.83236880000001</v>
      </c>
    </row>
    <row r="78" spans="2:256" ht="36">
      <c r="C78" s="4" t="s">
        <v>323</v>
      </c>
      <c r="E78" s="33">
        <f>E77*0.4536*9.80665</f>
        <v>46.79398251151747</v>
      </c>
      <c r="F78" s="33">
        <f t="shared" ref="F78:K78" si="9">F77*0.4536*9.80665</f>
        <v>56.041457014704676</v>
      </c>
      <c r="G78" s="33">
        <f t="shared" si="9"/>
        <v>89.85020031135187</v>
      </c>
      <c r="H78" s="33">
        <f t="shared" si="9"/>
        <v>143.76862422209345</v>
      </c>
      <c r="I78" s="33">
        <f t="shared" si="9"/>
        <v>275.91505622446147</v>
      </c>
      <c r="J78" s="33">
        <f t="shared" si="9"/>
        <v>426.33277688820061</v>
      </c>
      <c r="K78" s="33">
        <f t="shared" si="9"/>
        <v>635.36071764980704</v>
      </c>
    </row>
    <row r="79" spans="2:256" ht="24">
      <c r="C79" s="4" t="s">
        <v>326</v>
      </c>
      <c r="E79" s="33">
        <f>E76*0.4536*9.80665</f>
        <v>34.598088161969471</v>
      </c>
      <c r="F79" s="33">
        <f t="shared" ref="F79:K79" si="10">F76*0.4536*9.80665</f>
        <v>34.598088161969471</v>
      </c>
      <c r="G79" s="33">
        <f t="shared" si="10"/>
        <v>34.598088161969471</v>
      </c>
      <c r="H79" s="33">
        <f t="shared" si="10"/>
        <v>34.598088161969471</v>
      </c>
      <c r="I79" s="33">
        <f t="shared" si="10"/>
        <v>34.598088161969471</v>
      </c>
      <c r="J79" s="33">
        <f t="shared" si="10"/>
        <v>34.598088161969471</v>
      </c>
      <c r="K79" s="33">
        <f t="shared" si="10"/>
        <v>34.598088161969471</v>
      </c>
      <c r="IV79"/>
    </row>
  </sheetData>
  <mergeCells count="1">
    <mergeCell ref="B12:F12"/>
  </mergeCells>
  <phoneticPr fontId="7" type="noConversion"/>
  <pageMargins left="0.75" right="0.75" top="1" bottom="1" header="0.5" footer="0.5"/>
  <pageSetup scale="21"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6" sqref="A16"/>
    </sheetView>
  </sheetViews>
  <sheetFormatPr baseColWidth="10" defaultColWidth="11.25" defaultRowHeight="16" x14ac:dyDescent="0"/>
  <cols>
    <col min="1" max="1" width="29.375" bestFit="1" customWidth="1"/>
    <col min="2" max="2" width="20.125" bestFit="1" customWidth="1"/>
    <col min="3" max="3" width="23.25" bestFit="1" customWidth="1"/>
    <col min="4" max="4" width="17" bestFit="1" customWidth="1"/>
    <col min="5" max="5" width="17.25" bestFit="1" customWidth="1"/>
    <col min="6" max="6" width="20.125" bestFit="1" customWidth="1"/>
  </cols>
  <sheetData>
    <row r="1" spans="1:6" ht="32">
      <c r="A1" s="45" t="s">
        <v>327</v>
      </c>
      <c r="B1" s="45" t="s">
        <v>330</v>
      </c>
      <c r="C1" s="45" t="s">
        <v>331</v>
      </c>
      <c r="D1" s="45" t="s">
        <v>332</v>
      </c>
      <c r="E1" s="45" t="s">
        <v>333</v>
      </c>
      <c r="F1" s="45" t="s">
        <v>334</v>
      </c>
    </row>
    <row r="2" spans="1:6">
      <c r="A2" s="46" t="s">
        <v>328</v>
      </c>
      <c r="B2" s="47">
        <v>0.96</v>
      </c>
      <c r="C2" s="48" t="s">
        <v>335</v>
      </c>
      <c r="D2" s="47">
        <v>0.97</v>
      </c>
      <c r="E2" s="47">
        <v>0.98</v>
      </c>
      <c r="F2" s="47">
        <f>B2*D2*E2</f>
        <v>0.91257599999999994</v>
      </c>
    </row>
    <row r="3" spans="1:6" ht="32">
      <c r="A3" s="46" t="s">
        <v>329</v>
      </c>
      <c r="B3" s="47">
        <v>0.96</v>
      </c>
      <c r="C3" s="47">
        <v>0.99</v>
      </c>
      <c r="D3" s="47">
        <v>0.97</v>
      </c>
      <c r="E3" s="47">
        <v>0.98</v>
      </c>
      <c r="F3" s="47">
        <f>B3*C3*D3*E3</f>
        <v>0.90345023999999996</v>
      </c>
    </row>
    <row r="6" spans="1:6" ht="96">
      <c r="A6" s="45" t="s">
        <v>336</v>
      </c>
      <c r="B6" s="45" t="s">
        <v>338</v>
      </c>
      <c r="C6" s="45" t="s">
        <v>337</v>
      </c>
      <c r="D6" s="45" t="s">
        <v>461</v>
      </c>
      <c r="E6" s="45" t="s">
        <v>462</v>
      </c>
      <c r="F6" s="45" t="s">
        <v>463</v>
      </c>
    </row>
    <row r="7" spans="1:6">
      <c r="A7" s="46" t="s">
        <v>339</v>
      </c>
      <c r="B7" s="47">
        <v>12.01</v>
      </c>
      <c r="C7" s="47">
        <v>1.5</v>
      </c>
      <c r="D7" s="47">
        <v>3.58</v>
      </c>
      <c r="E7" s="47">
        <v>3.37</v>
      </c>
      <c r="F7" s="47">
        <f>D7*E7</f>
        <v>12.0646</v>
      </c>
    </row>
    <row r="8" spans="1:6">
      <c r="A8" s="46" t="s">
        <v>340</v>
      </c>
      <c r="B8" s="47">
        <v>7.82</v>
      </c>
      <c r="C8" s="47">
        <v>1.5</v>
      </c>
      <c r="D8" s="47">
        <v>1.93</v>
      </c>
      <c r="E8" s="47">
        <v>3.37</v>
      </c>
      <c r="F8" s="47">
        <f t="shared" ref="F8:F11" si="0">D8*E8</f>
        <v>6.5041000000000002</v>
      </c>
    </row>
    <row r="9" spans="1:6">
      <c r="A9" s="46" t="s">
        <v>341</v>
      </c>
      <c r="B9" s="47">
        <v>5.16</v>
      </c>
      <c r="C9" s="47">
        <v>1.35</v>
      </c>
      <c r="D9" s="47">
        <v>1.28</v>
      </c>
      <c r="E9" s="47">
        <v>3.37</v>
      </c>
      <c r="F9" s="47">
        <f t="shared" si="0"/>
        <v>4.3136000000000001</v>
      </c>
    </row>
    <row r="10" spans="1:6">
      <c r="A10" s="46" t="s">
        <v>342</v>
      </c>
      <c r="B10" s="47">
        <v>3.81</v>
      </c>
      <c r="C10" s="47">
        <v>1.35</v>
      </c>
      <c r="D10" s="47">
        <v>0.95</v>
      </c>
      <c r="E10" s="47">
        <v>3.37</v>
      </c>
      <c r="F10" s="47">
        <f t="shared" si="0"/>
        <v>3.2014999999999998</v>
      </c>
    </row>
    <row r="11" spans="1:6">
      <c r="A11" s="46" t="s">
        <v>343</v>
      </c>
      <c r="B11" s="47">
        <v>2.79</v>
      </c>
      <c r="C11" s="47" t="s">
        <v>344</v>
      </c>
      <c r="D11" s="47">
        <v>0.76</v>
      </c>
      <c r="E11" s="47">
        <v>3.37</v>
      </c>
      <c r="F11" s="47">
        <f t="shared" si="0"/>
        <v>2.5611999999999999</v>
      </c>
    </row>
    <row r="13" spans="1:6">
      <c r="A13" s="50" t="s">
        <v>345</v>
      </c>
    </row>
    <row r="14" spans="1:6">
      <c r="A14" s="50" t="s">
        <v>346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1:AA39"/>
  <sheetViews>
    <sheetView workbookViewId="0">
      <selection activeCell="A20" sqref="A20"/>
    </sheetView>
  </sheetViews>
  <sheetFormatPr baseColWidth="10" defaultColWidth="8.625" defaultRowHeight="16" x14ac:dyDescent="0"/>
  <cols>
    <col min="1" max="1" width="106.75" style="44" bestFit="1" customWidth="1"/>
    <col min="2" max="2" width="3.875" style="52" bestFit="1" customWidth="1"/>
    <col min="3" max="3" width="30.75" bestFit="1" customWidth="1"/>
    <col min="4" max="4" width="11.5" bestFit="1" customWidth="1"/>
  </cols>
  <sheetData>
    <row r="1" spans="1:27">
      <c r="A1" s="65" t="s">
        <v>433</v>
      </c>
      <c r="B1" s="66"/>
      <c r="C1" s="51" t="s">
        <v>356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</row>
    <row r="2" spans="1:27">
      <c r="A2" s="114">
        <v>2592.64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</row>
    <row r="3" spans="1:27">
      <c r="A3" s="69" t="s">
        <v>434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</row>
    <row r="4" spans="1:27">
      <c r="A4" s="67">
        <v>22.927</v>
      </c>
      <c r="B4" s="68"/>
      <c r="C4" s="49" t="s">
        <v>359</v>
      </c>
      <c r="D4">
        <f>$A$2*SUM(D2:D3)</f>
        <v>46.667519999999996</v>
      </c>
      <c r="E4" s="44">
        <f t="shared" ref="E4:AA4" si="0">$A$2*SUM(E2:E3)</f>
        <v>46.667519999999996</v>
      </c>
      <c r="F4" s="44">
        <f t="shared" si="0"/>
        <v>46.667519999999996</v>
      </c>
      <c r="G4" s="44">
        <f t="shared" si="0"/>
        <v>46.667519999999996</v>
      </c>
      <c r="H4" s="44">
        <f t="shared" si="0"/>
        <v>46.667519999999996</v>
      </c>
      <c r="I4" s="44">
        <f t="shared" si="0"/>
        <v>46.667519999999996</v>
      </c>
      <c r="J4" s="44">
        <f t="shared" si="0"/>
        <v>46.667519999999996</v>
      </c>
      <c r="K4" s="44">
        <f t="shared" si="0"/>
        <v>46.667519999999996</v>
      </c>
      <c r="L4" s="44">
        <f t="shared" si="0"/>
        <v>46.667519999999996</v>
      </c>
      <c r="M4" s="44">
        <f t="shared" si="0"/>
        <v>46.667519999999996</v>
      </c>
      <c r="N4" s="44">
        <f t="shared" si="0"/>
        <v>46.667519999999996</v>
      </c>
      <c r="O4" s="44">
        <f t="shared" si="0"/>
        <v>46.667519999999996</v>
      </c>
      <c r="P4" s="44">
        <f t="shared" si="0"/>
        <v>46.667519999999996</v>
      </c>
      <c r="Q4" s="44">
        <f t="shared" si="0"/>
        <v>46.667519999999996</v>
      </c>
      <c r="R4" s="44">
        <f t="shared" si="0"/>
        <v>46.667519999999996</v>
      </c>
      <c r="S4" s="44">
        <f t="shared" si="0"/>
        <v>46.667519999999996</v>
      </c>
      <c r="T4" s="44">
        <f t="shared" si="0"/>
        <v>46.667519999999996</v>
      </c>
      <c r="U4" s="44">
        <f t="shared" si="0"/>
        <v>46.667519999999996</v>
      </c>
      <c r="V4" s="44">
        <f t="shared" si="0"/>
        <v>46.667519999999996</v>
      </c>
      <c r="W4" s="44">
        <f t="shared" si="0"/>
        <v>46.667519999999996</v>
      </c>
      <c r="X4" s="44">
        <f t="shared" si="0"/>
        <v>46.667519999999996</v>
      </c>
      <c r="Y4" s="44">
        <f t="shared" si="0"/>
        <v>46.667519999999996</v>
      </c>
      <c r="Z4" s="44">
        <f t="shared" si="0"/>
        <v>46.667519999999996</v>
      </c>
      <c r="AA4" s="44">
        <f t="shared" si="0"/>
        <v>46.667519999999996</v>
      </c>
    </row>
    <row r="5" spans="1:27">
      <c r="A5" s="69" t="s">
        <v>436</v>
      </c>
      <c r="B5" s="70"/>
      <c r="C5" s="49" t="s">
        <v>360</v>
      </c>
      <c r="D5" s="53">
        <f>(1/2)*($A$6/$A$8)*(D1*(5280/3600)*D1*(5280/3600))*$A$4*$A$10</f>
        <v>0.48282996458740296</v>
      </c>
      <c r="E5" s="53">
        <f>(1/2)*($A$6/$A$8)*(E1*(5280/3600)*E1*(5280/3600))*$A$4*$A$10</f>
        <v>1.9313198583496118</v>
      </c>
      <c r="F5" s="53">
        <f t="shared" ref="F5:AA5" si="1">(1/2)*($A$6/$A$8)*(F1*(5280/3600)*F1*(5280/3600))*$A$4*$A$10</f>
        <v>4.3454696812866267</v>
      </c>
      <c r="G5" s="53">
        <f t="shared" si="1"/>
        <v>7.7252794333984474</v>
      </c>
      <c r="H5" s="53">
        <f t="shared" si="1"/>
        <v>12.070749114685075</v>
      </c>
      <c r="I5" s="53">
        <f t="shared" si="1"/>
        <v>17.381878725146507</v>
      </c>
      <c r="J5" s="53">
        <f t="shared" si="1"/>
        <v>23.658668264782747</v>
      </c>
      <c r="K5" s="53">
        <f t="shared" si="1"/>
        <v>30.901117733593789</v>
      </c>
      <c r="L5" s="53">
        <f t="shared" si="1"/>
        <v>39.109227131579644</v>
      </c>
      <c r="M5" s="53">
        <f t="shared" si="1"/>
        <v>48.2829964587403</v>
      </c>
      <c r="N5" s="53">
        <f t="shared" si="1"/>
        <v>58.422425715075747</v>
      </c>
      <c r="O5" s="53">
        <f t="shared" si="1"/>
        <v>69.527514900586027</v>
      </c>
      <c r="P5" s="53">
        <f t="shared" si="1"/>
        <v>81.598264015271099</v>
      </c>
      <c r="Q5" s="53">
        <f t="shared" si="1"/>
        <v>94.634673059130989</v>
      </c>
      <c r="R5" s="53">
        <f t="shared" si="1"/>
        <v>108.63674203216564</v>
      </c>
      <c r="S5" s="53">
        <f t="shared" si="1"/>
        <v>123.60447093437516</v>
      </c>
      <c r="T5" s="53">
        <f t="shared" si="1"/>
        <v>139.53785976575944</v>
      </c>
      <c r="U5" s="53">
        <f t="shared" si="1"/>
        <v>156.43690852631858</v>
      </c>
      <c r="V5" s="53">
        <f t="shared" si="1"/>
        <v>174.30161721605242</v>
      </c>
      <c r="W5" s="53">
        <f t="shared" si="1"/>
        <v>193.1319858349612</v>
      </c>
      <c r="X5" s="53">
        <f t="shared" si="1"/>
        <v>212.92801438304471</v>
      </c>
      <c r="Y5" s="53">
        <f t="shared" si="1"/>
        <v>233.68970286030299</v>
      </c>
      <c r="Z5" s="53">
        <f t="shared" si="1"/>
        <v>255.41705126673611</v>
      </c>
      <c r="AA5" s="53">
        <f t="shared" si="1"/>
        <v>278.11005960234411</v>
      </c>
    </row>
    <row r="6" spans="1:27">
      <c r="A6" s="67">
        <v>7.6359999999999997E-2</v>
      </c>
      <c r="B6" s="68"/>
      <c r="C6" s="49" t="s">
        <v>361</v>
      </c>
      <c r="D6" s="61">
        <f>((0.98*($A$12/D1)*($A$12/D1)+0.63*($A$12/D1))*$A$14)-(0.4*($A$12/D1))</f>
        <v>3.81</v>
      </c>
      <c r="E6" s="61">
        <f t="shared" ref="E6:AA6" si="2">((0.98*($A$12/E1)*($A$12/E1)+0.63*($A$12/E1))*$A$14)-(0.4*($A$12/E1))</f>
        <v>1.1332500000000001</v>
      </c>
      <c r="F6" s="61">
        <f t="shared" si="2"/>
        <v>0.58400000000000007</v>
      </c>
      <c r="G6" s="61">
        <f t="shared" si="2"/>
        <v>0.37368749999999995</v>
      </c>
      <c r="H6" s="61">
        <f t="shared" si="2"/>
        <v>0.26807999999999998</v>
      </c>
      <c r="I6" s="61">
        <f t="shared" si="2"/>
        <v>0.20624999999999996</v>
      </c>
      <c r="J6" s="61">
        <f t="shared" si="2"/>
        <v>0.16628571428571429</v>
      </c>
      <c r="K6" s="61">
        <f t="shared" si="2"/>
        <v>0.13860937499999998</v>
      </c>
      <c r="L6" s="61">
        <f t="shared" si="2"/>
        <v>0.11844444444444442</v>
      </c>
      <c r="M6" s="61">
        <f t="shared" si="2"/>
        <v>0.10316999999999998</v>
      </c>
      <c r="N6" s="61">
        <f t="shared" si="2"/>
        <v>9.123966942148759E-2</v>
      </c>
      <c r="O6" s="61">
        <f t="shared" si="2"/>
        <v>8.1687499999999982E-2</v>
      </c>
      <c r="P6" s="61">
        <f t="shared" si="2"/>
        <v>7.3881656804733714E-2</v>
      </c>
      <c r="Q6" s="61">
        <f t="shared" si="2"/>
        <v>6.7392857142857115E-2</v>
      </c>
      <c r="R6" s="61">
        <f t="shared" si="2"/>
        <v>6.1919999999999989E-2</v>
      </c>
      <c r="S6" s="61">
        <f t="shared" si="2"/>
        <v>5.7246093750000004E-2</v>
      </c>
      <c r="T6" s="61">
        <f t="shared" si="2"/>
        <v>5.3211072664359864E-2</v>
      </c>
      <c r="U6" s="61">
        <f t="shared" si="2"/>
        <v>4.9694444444444437E-2</v>
      </c>
      <c r="V6" s="61">
        <f t="shared" si="2"/>
        <v>4.6603878116343478E-2</v>
      </c>
      <c r="W6" s="61">
        <f t="shared" si="2"/>
        <v>4.386749999999999E-2</v>
      </c>
      <c r="X6" s="61">
        <f t="shared" si="2"/>
        <v>4.1428571428571426E-2</v>
      </c>
      <c r="Y6" s="61">
        <f t="shared" si="2"/>
        <v>3.9241735537190084E-2</v>
      </c>
      <c r="Z6" s="61">
        <f t="shared" si="2"/>
        <v>3.7270321361058595E-2</v>
      </c>
      <c r="AA6" s="61">
        <f t="shared" si="2"/>
        <v>3.5484374999999999E-2</v>
      </c>
    </row>
    <row r="7" spans="1:27">
      <c r="A7" s="69" t="s">
        <v>437</v>
      </c>
      <c r="B7" s="70"/>
      <c r="C7" t="s">
        <v>370</v>
      </c>
      <c r="D7" s="53">
        <f>D6*D5</f>
        <v>1.8395821650780053</v>
      </c>
      <c r="E7" s="53">
        <f>E6*E5</f>
        <v>2.1886682294746977</v>
      </c>
      <c r="F7" s="53">
        <f t="shared" ref="F7:AA7" si="3">F6*F5</f>
        <v>2.5377542938713904</v>
      </c>
      <c r="G7" s="53">
        <f t="shared" si="3"/>
        <v>2.8868403582680817</v>
      </c>
      <c r="H7" s="53">
        <f t="shared" si="3"/>
        <v>3.2359264226647748</v>
      </c>
      <c r="I7" s="53">
        <f t="shared" si="3"/>
        <v>3.5850124870614661</v>
      </c>
      <c r="J7" s="53">
        <f t="shared" si="3"/>
        <v>3.9340985514581597</v>
      </c>
      <c r="K7" s="53">
        <f t="shared" si="3"/>
        <v>4.283184615854851</v>
      </c>
      <c r="L7" s="53">
        <f t="shared" si="3"/>
        <v>4.6322706802515432</v>
      </c>
      <c r="M7" s="53">
        <f t="shared" si="3"/>
        <v>4.9813567446482363</v>
      </c>
      <c r="N7" s="53">
        <f t="shared" si="3"/>
        <v>5.3304428090449267</v>
      </c>
      <c r="O7" s="53">
        <f t="shared" si="3"/>
        <v>5.6795288734416198</v>
      </c>
      <c r="P7" s="53">
        <f t="shared" si="3"/>
        <v>6.028614937838312</v>
      </c>
      <c r="Q7" s="53">
        <f t="shared" si="3"/>
        <v>6.3777010022350034</v>
      </c>
      <c r="R7" s="53">
        <f t="shared" si="3"/>
        <v>6.7267870666316956</v>
      </c>
      <c r="S7" s="53">
        <f t="shared" si="3"/>
        <v>7.0758731310283913</v>
      </c>
      <c r="T7" s="53">
        <f t="shared" si="3"/>
        <v>7.4249591954250818</v>
      </c>
      <c r="U7" s="53">
        <f t="shared" si="3"/>
        <v>7.7740452598217749</v>
      </c>
      <c r="V7" s="53">
        <f t="shared" si="3"/>
        <v>8.1231313242184626</v>
      </c>
      <c r="W7" s="53">
        <f t="shared" si="3"/>
        <v>8.4722173886151584</v>
      </c>
      <c r="X7" s="53">
        <f t="shared" si="3"/>
        <v>8.8213034530118524</v>
      </c>
      <c r="Y7" s="53">
        <f t="shared" si="3"/>
        <v>9.1703895174085428</v>
      </c>
      <c r="Z7" s="53">
        <f t="shared" si="3"/>
        <v>9.5194755818052332</v>
      </c>
      <c r="AA7" s="53">
        <f t="shared" si="3"/>
        <v>9.868561646201929</v>
      </c>
    </row>
    <row r="8" spans="1:27">
      <c r="A8" s="67">
        <v>32.174050000000001</v>
      </c>
      <c r="B8" s="68"/>
      <c r="C8" t="s">
        <v>371</v>
      </c>
      <c r="D8" s="53">
        <f>D4+D5+D7</f>
        <v>48.989932129665405</v>
      </c>
      <c r="E8" s="53">
        <f>E4+E5+E7</f>
        <v>50.787508087824307</v>
      </c>
      <c r="F8" s="53">
        <f t="shared" ref="F8:AA8" si="4">F4+F5+F7</f>
        <v>53.550743975158014</v>
      </c>
      <c r="G8" s="53">
        <f t="shared" si="4"/>
        <v>57.279639791666526</v>
      </c>
      <c r="H8" s="53">
        <f t="shared" si="4"/>
        <v>61.974195537349843</v>
      </c>
      <c r="I8" s="53">
        <f t="shared" si="4"/>
        <v>67.634411212207965</v>
      </c>
      <c r="J8" s="53">
        <f t="shared" si="4"/>
        <v>74.260286816240907</v>
      </c>
      <c r="K8" s="53">
        <f t="shared" si="4"/>
        <v>81.851822349448639</v>
      </c>
      <c r="L8" s="53">
        <f t="shared" si="4"/>
        <v>90.409017811831177</v>
      </c>
      <c r="M8" s="53">
        <f t="shared" si="4"/>
        <v>99.931873203388534</v>
      </c>
      <c r="N8" s="53">
        <f t="shared" si="4"/>
        <v>110.42038852412067</v>
      </c>
      <c r="O8" s="53">
        <f t="shared" si="4"/>
        <v>121.87456377402765</v>
      </c>
      <c r="P8" s="53">
        <f t="shared" si="4"/>
        <v>134.29439895310941</v>
      </c>
      <c r="Q8" s="53">
        <f t="shared" si="4"/>
        <v>147.67989406136599</v>
      </c>
      <c r="R8" s="53">
        <f t="shared" si="4"/>
        <v>162.03104909879733</v>
      </c>
      <c r="S8" s="53">
        <f t="shared" si="4"/>
        <v>177.34786406540354</v>
      </c>
      <c r="T8" s="53">
        <f t="shared" si="4"/>
        <v>193.63033896118452</v>
      </c>
      <c r="U8" s="53">
        <f t="shared" si="4"/>
        <v>210.87847378614035</v>
      </c>
      <c r="V8" s="53">
        <f t="shared" si="4"/>
        <v>229.09226854027088</v>
      </c>
      <c r="W8" s="53">
        <f t="shared" si="4"/>
        <v>248.27172322357634</v>
      </c>
      <c r="X8" s="53">
        <f t="shared" si="4"/>
        <v>268.41683783605657</v>
      </c>
      <c r="Y8" s="53">
        <f t="shared" si="4"/>
        <v>289.52761237771148</v>
      </c>
      <c r="Z8" s="53">
        <f t="shared" si="4"/>
        <v>311.60404684854137</v>
      </c>
      <c r="AA8" s="53">
        <f t="shared" si="4"/>
        <v>334.64614124854603</v>
      </c>
    </row>
    <row r="9" spans="1:27" ht="17" thickBot="1">
      <c r="A9" s="71" t="s">
        <v>424</v>
      </c>
      <c r="B9" s="72"/>
      <c r="C9" t="s">
        <v>372</v>
      </c>
      <c r="D9" s="53">
        <f>D8*$A$18</f>
        <v>46.289804336985803</v>
      </c>
      <c r="E9" s="53">
        <f>E8*$A$18</f>
        <v>47.988305146576813</v>
      </c>
      <c r="F9" s="53">
        <f t="shared" ref="F9:AA9" si="5">F8*$A$18</f>
        <v>50.599242598440725</v>
      </c>
      <c r="G9" s="53">
        <f t="shared" si="5"/>
        <v>54.122616692577544</v>
      </c>
      <c r="H9" s="53">
        <f t="shared" si="5"/>
        <v>58.558427428987265</v>
      </c>
      <c r="I9" s="53">
        <f t="shared" si="5"/>
        <v>63.906674807669887</v>
      </c>
      <c r="J9" s="53">
        <f t="shared" si="5"/>
        <v>70.167358828625424</v>
      </c>
      <c r="K9" s="53">
        <f t="shared" si="5"/>
        <v>77.340479491853856</v>
      </c>
      <c r="L9" s="53">
        <f t="shared" si="5"/>
        <v>85.426036797355181</v>
      </c>
      <c r="M9" s="53">
        <f t="shared" si="5"/>
        <v>94.424030745129429</v>
      </c>
      <c r="N9" s="53">
        <f t="shared" si="5"/>
        <v>104.33446133517654</v>
      </c>
      <c r="O9" s="53">
        <f t="shared" si="5"/>
        <v>115.15732856749661</v>
      </c>
      <c r="P9" s="53">
        <f t="shared" si="5"/>
        <v>126.89263244208955</v>
      </c>
      <c r="Q9" s="53">
        <f t="shared" si="5"/>
        <v>139.5403729589554</v>
      </c>
      <c r="R9" s="53">
        <f t="shared" si="5"/>
        <v>153.10055011809413</v>
      </c>
      <c r="S9" s="53">
        <f t="shared" si="5"/>
        <v>167.57316391950582</v>
      </c>
      <c r="T9" s="53">
        <f t="shared" si="5"/>
        <v>182.95821436319036</v>
      </c>
      <c r="U9" s="53">
        <f t="shared" si="5"/>
        <v>199.25570144914786</v>
      </c>
      <c r="V9" s="53">
        <f t="shared" si="5"/>
        <v>216.46562517737817</v>
      </c>
      <c r="W9" s="53">
        <f t="shared" si="5"/>
        <v>234.58798554788149</v>
      </c>
      <c r="X9" s="53">
        <f t="shared" si="5"/>
        <v>253.6227825606577</v>
      </c>
      <c r="Y9" s="53">
        <f t="shared" si="5"/>
        <v>273.57001621570669</v>
      </c>
      <c r="Z9" s="53">
        <f t="shared" si="5"/>
        <v>294.42968651302868</v>
      </c>
      <c r="AA9" s="53">
        <f t="shared" si="5"/>
        <v>316.20179345262363</v>
      </c>
    </row>
    <row r="10" spans="1:27">
      <c r="A10" s="67">
        <v>0.33</v>
      </c>
      <c r="B10" s="68"/>
      <c r="C10" s="63" t="s">
        <v>373</v>
      </c>
      <c r="D10" s="64">
        <f>SIN(ATAN(5/100))</f>
        <v>4.9937616943892239E-2</v>
      </c>
      <c r="E10" s="64">
        <f t="shared" ref="E10:AA10" si="6">SIN(ATAN(5/100))</f>
        <v>4.9937616943892239E-2</v>
      </c>
      <c r="F10" s="64">
        <f t="shared" si="6"/>
        <v>4.9937616943892239E-2</v>
      </c>
      <c r="G10" s="64">
        <f t="shared" si="6"/>
        <v>4.9937616943892239E-2</v>
      </c>
      <c r="H10" s="64">
        <f t="shared" si="6"/>
        <v>4.9937616943892239E-2</v>
      </c>
      <c r="I10" s="64">
        <f t="shared" si="6"/>
        <v>4.9937616943892239E-2</v>
      </c>
      <c r="J10" s="64">
        <f t="shared" si="6"/>
        <v>4.9937616943892239E-2</v>
      </c>
      <c r="K10" s="64">
        <f t="shared" si="6"/>
        <v>4.9937616943892239E-2</v>
      </c>
      <c r="L10" s="64">
        <f t="shared" si="6"/>
        <v>4.9937616943892239E-2</v>
      </c>
      <c r="M10" s="64">
        <f t="shared" si="6"/>
        <v>4.9937616943892239E-2</v>
      </c>
      <c r="N10" s="64">
        <f t="shared" si="6"/>
        <v>4.9937616943892239E-2</v>
      </c>
      <c r="O10" s="64">
        <f t="shared" si="6"/>
        <v>4.9937616943892239E-2</v>
      </c>
      <c r="P10" s="64">
        <f t="shared" si="6"/>
        <v>4.9937616943892239E-2</v>
      </c>
      <c r="Q10" s="64">
        <f t="shared" si="6"/>
        <v>4.9937616943892239E-2</v>
      </c>
      <c r="R10" s="64">
        <f t="shared" si="6"/>
        <v>4.9937616943892239E-2</v>
      </c>
      <c r="S10" s="64">
        <f t="shared" si="6"/>
        <v>4.9937616943892239E-2</v>
      </c>
      <c r="T10" s="64">
        <f t="shared" si="6"/>
        <v>4.9937616943892239E-2</v>
      </c>
      <c r="U10" s="64">
        <f t="shared" si="6"/>
        <v>4.9937616943892239E-2</v>
      </c>
      <c r="V10" s="64">
        <f t="shared" si="6"/>
        <v>4.9937616943892239E-2</v>
      </c>
      <c r="W10" s="64">
        <f t="shared" si="6"/>
        <v>4.9937616943892239E-2</v>
      </c>
      <c r="X10" s="64">
        <f t="shared" si="6"/>
        <v>4.9937616943892239E-2</v>
      </c>
      <c r="Y10" s="64">
        <f t="shared" si="6"/>
        <v>4.9937616943892239E-2</v>
      </c>
      <c r="Z10" s="64">
        <f t="shared" si="6"/>
        <v>4.9937616943892239E-2</v>
      </c>
      <c r="AA10" s="64">
        <f t="shared" si="6"/>
        <v>4.9937616943892239E-2</v>
      </c>
    </row>
    <row r="11" spans="1:27">
      <c r="A11" s="69" t="s">
        <v>439</v>
      </c>
      <c r="B11" s="70"/>
      <c r="C11" t="s">
        <v>374</v>
      </c>
      <c r="D11" s="62">
        <f>COS(ATAN(5/100))</f>
        <v>0.99875233887784465</v>
      </c>
      <c r="E11" s="62">
        <f t="shared" ref="E11:AA11" si="7">COS(ATAN(5/100))</f>
        <v>0.99875233887784465</v>
      </c>
      <c r="F11" s="62">
        <f t="shared" si="7"/>
        <v>0.99875233887784465</v>
      </c>
      <c r="G11" s="62">
        <f t="shared" si="7"/>
        <v>0.99875233887784465</v>
      </c>
      <c r="H11" s="62">
        <f t="shared" si="7"/>
        <v>0.99875233887784465</v>
      </c>
      <c r="I11" s="62">
        <f t="shared" si="7"/>
        <v>0.99875233887784465</v>
      </c>
      <c r="J11" s="62">
        <f t="shared" si="7"/>
        <v>0.99875233887784465</v>
      </c>
      <c r="K11" s="62">
        <f t="shared" si="7"/>
        <v>0.99875233887784465</v>
      </c>
      <c r="L11" s="62">
        <f t="shared" si="7"/>
        <v>0.99875233887784465</v>
      </c>
      <c r="M11" s="62">
        <f t="shared" si="7"/>
        <v>0.99875233887784465</v>
      </c>
      <c r="N11" s="62">
        <f t="shared" si="7"/>
        <v>0.99875233887784465</v>
      </c>
      <c r="O11" s="62">
        <f t="shared" si="7"/>
        <v>0.99875233887784465</v>
      </c>
      <c r="P11" s="62">
        <f t="shared" si="7"/>
        <v>0.99875233887784465</v>
      </c>
      <c r="Q11" s="62">
        <f t="shared" si="7"/>
        <v>0.99875233887784465</v>
      </c>
      <c r="R11" s="62">
        <f t="shared" si="7"/>
        <v>0.99875233887784465</v>
      </c>
      <c r="S11" s="62">
        <f t="shared" si="7"/>
        <v>0.99875233887784465</v>
      </c>
      <c r="T11" s="62">
        <f t="shared" si="7"/>
        <v>0.99875233887784465</v>
      </c>
      <c r="U11" s="62">
        <f t="shared" si="7"/>
        <v>0.99875233887784465</v>
      </c>
      <c r="V11" s="62">
        <f t="shared" si="7"/>
        <v>0.99875233887784465</v>
      </c>
      <c r="W11" s="62">
        <f t="shared" si="7"/>
        <v>0.99875233887784465</v>
      </c>
      <c r="X11" s="62">
        <f t="shared" si="7"/>
        <v>0.99875233887784465</v>
      </c>
      <c r="Y11" s="62">
        <f t="shared" si="7"/>
        <v>0.99875233887784465</v>
      </c>
      <c r="Z11" s="62">
        <f t="shared" si="7"/>
        <v>0.99875233887784465</v>
      </c>
      <c r="AA11" s="62">
        <f t="shared" si="7"/>
        <v>0.99875233887784465</v>
      </c>
    </row>
    <row r="12" spans="1:27">
      <c r="A12" s="67">
        <v>7.5</v>
      </c>
      <c r="B12" s="68"/>
      <c r="C12" t="s">
        <v>375</v>
      </c>
      <c r="D12" s="53">
        <f>$A$2*D10</f>
        <v>129.47026319341276</v>
      </c>
      <c r="E12" s="53">
        <f t="shared" ref="E12:AA12" si="8">$A$2*E10</f>
        <v>129.47026319341276</v>
      </c>
      <c r="F12" s="53">
        <f t="shared" si="8"/>
        <v>129.47026319341276</v>
      </c>
      <c r="G12" s="53">
        <f t="shared" si="8"/>
        <v>129.47026319341276</v>
      </c>
      <c r="H12" s="53">
        <f t="shared" si="8"/>
        <v>129.47026319341276</v>
      </c>
      <c r="I12" s="53">
        <f t="shared" si="8"/>
        <v>129.47026319341276</v>
      </c>
      <c r="J12" s="53">
        <f t="shared" si="8"/>
        <v>129.47026319341276</v>
      </c>
      <c r="K12" s="53">
        <f t="shared" si="8"/>
        <v>129.47026319341276</v>
      </c>
      <c r="L12" s="53">
        <f t="shared" si="8"/>
        <v>129.47026319341276</v>
      </c>
      <c r="M12" s="53">
        <f t="shared" si="8"/>
        <v>129.47026319341276</v>
      </c>
      <c r="N12" s="53">
        <f t="shared" si="8"/>
        <v>129.47026319341276</v>
      </c>
      <c r="O12" s="53">
        <f t="shared" si="8"/>
        <v>129.47026319341276</v>
      </c>
      <c r="P12" s="53">
        <f t="shared" si="8"/>
        <v>129.47026319341276</v>
      </c>
      <c r="Q12" s="53">
        <f t="shared" si="8"/>
        <v>129.47026319341276</v>
      </c>
      <c r="R12" s="53">
        <f t="shared" si="8"/>
        <v>129.47026319341276</v>
      </c>
      <c r="S12" s="53">
        <f t="shared" si="8"/>
        <v>129.47026319341276</v>
      </c>
      <c r="T12" s="53">
        <f t="shared" si="8"/>
        <v>129.47026319341276</v>
      </c>
      <c r="U12" s="53">
        <f t="shared" si="8"/>
        <v>129.47026319341276</v>
      </c>
      <c r="V12" s="53">
        <f t="shared" si="8"/>
        <v>129.47026319341276</v>
      </c>
      <c r="W12" s="53">
        <f t="shared" si="8"/>
        <v>129.47026319341276</v>
      </c>
      <c r="X12" s="53">
        <f t="shared" si="8"/>
        <v>129.47026319341276</v>
      </c>
      <c r="Y12" s="53">
        <f t="shared" si="8"/>
        <v>129.47026319341276</v>
      </c>
      <c r="Z12" s="53">
        <f t="shared" si="8"/>
        <v>129.47026319341276</v>
      </c>
      <c r="AA12" s="53">
        <f t="shared" si="8"/>
        <v>129.47026319341276</v>
      </c>
    </row>
    <row r="13" spans="1:27">
      <c r="A13" s="71" t="s">
        <v>440</v>
      </c>
      <c r="B13" s="72"/>
      <c r="C13" t="s">
        <v>376</v>
      </c>
      <c r="D13" s="53">
        <f>$A$20*$A$2*D11</f>
        <v>46.609294749628596</v>
      </c>
      <c r="E13" s="53">
        <f>$A$20*$A$2*E11</f>
        <v>46.609294749628596</v>
      </c>
      <c r="F13" s="53">
        <f t="shared" ref="F13:AA13" si="9">$A$20*$A$2*F11</f>
        <v>46.609294749628596</v>
      </c>
      <c r="G13" s="53">
        <f t="shared" si="9"/>
        <v>46.609294749628596</v>
      </c>
      <c r="H13" s="53">
        <f t="shared" si="9"/>
        <v>46.609294749628596</v>
      </c>
      <c r="I13" s="53">
        <f t="shared" si="9"/>
        <v>46.609294749628596</v>
      </c>
      <c r="J13" s="53">
        <f t="shared" si="9"/>
        <v>46.609294749628596</v>
      </c>
      <c r="K13" s="53">
        <f t="shared" si="9"/>
        <v>46.609294749628596</v>
      </c>
      <c r="L13" s="53">
        <f t="shared" si="9"/>
        <v>46.609294749628596</v>
      </c>
      <c r="M13" s="53">
        <f t="shared" si="9"/>
        <v>46.609294749628596</v>
      </c>
      <c r="N13" s="53">
        <f t="shared" si="9"/>
        <v>46.609294749628596</v>
      </c>
      <c r="O13" s="53">
        <f t="shared" si="9"/>
        <v>46.609294749628596</v>
      </c>
      <c r="P13" s="53">
        <f t="shared" si="9"/>
        <v>46.609294749628596</v>
      </c>
      <c r="Q13" s="53">
        <f t="shared" si="9"/>
        <v>46.609294749628596</v>
      </c>
      <c r="R13" s="53">
        <f t="shared" si="9"/>
        <v>46.609294749628596</v>
      </c>
      <c r="S13" s="53">
        <f t="shared" si="9"/>
        <v>46.609294749628596</v>
      </c>
      <c r="T13" s="53">
        <f t="shared" si="9"/>
        <v>46.609294749628596</v>
      </c>
      <c r="U13" s="53">
        <f t="shared" si="9"/>
        <v>46.609294749628596</v>
      </c>
      <c r="V13" s="53">
        <f t="shared" si="9"/>
        <v>46.609294749628596</v>
      </c>
      <c r="W13" s="53">
        <f t="shared" si="9"/>
        <v>46.609294749628596</v>
      </c>
      <c r="X13" s="53">
        <f t="shared" si="9"/>
        <v>46.609294749628596</v>
      </c>
      <c r="Y13" s="53">
        <f t="shared" si="9"/>
        <v>46.609294749628596</v>
      </c>
      <c r="Z13" s="53">
        <f t="shared" si="9"/>
        <v>46.609294749628596</v>
      </c>
      <c r="AA13" s="53">
        <f t="shared" si="9"/>
        <v>46.609294749628596</v>
      </c>
    </row>
    <row r="14" spans="1:27">
      <c r="A14" s="67">
        <v>1.4</v>
      </c>
      <c r="B14" s="68"/>
      <c r="C14" t="s">
        <v>377</v>
      </c>
      <c r="D14" s="53">
        <f>D$5+D$7+D12+D13</f>
        <v>178.40197007270675</v>
      </c>
      <c r="E14" s="53">
        <f t="shared" ref="E14:AA14" si="10">E$5+E$7+E12+E13</f>
        <v>180.19954603086566</v>
      </c>
      <c r="F14" s="53">
        <f t="shared" si="10"/>
        <v>182.96278191819937</v>
      </c>
      <c r="G14" s="53">
        <f t="shared" si="10"/>
        <v>186.69167773470787</v>
      </c>
      <c r="H14" s="53">
        <f t="shared" si="10"/>
        <v>191.38623348039121</v>
      </c>
      <c r="I14" s="53">
        <f t="shared" si="10"/>
        <v>197.04644915524932</v>
      </c>
      <c r="J14" s="53">
        <f t="shared" si="10"/>
        <v>203.67232475928225</v>
      </c>
      <c r="K14" s="53">
        <f t="shared" si="10"/>
        <v>211.26386029248999</v>
      </c>
      <c r="L14" s="53">
        <f t="shared" si="10"/>
        <v>219.82105575487253</v>
      </c>
      <c r="M14" s="53">
        <f t="shared" si="10"/>
        <v>229.34391114642989</v>
      </c>
      <c r="N14" s="53">
        <f t="shared" si="10"/>
        <v>239.83242646716201</v>
      </c>
      <c r="O14" s="53">
        <f t="shared" si="10"/>
        <v>251.286601717069</v>
      </c>
      <c r="P14" s="53">
        <f t="shared" si="10"/>
        <v>263.70643689615076</v>
      </c>
      <c r="Q14" s="53">
        <f t="shared" si="10"/>
        <v>277.09193200440734</v>
      </c>
      <c r="R14" s="53">
        <f t="shared" si="10"/>
        <v>291.44308704183868</v>
      </c>
      <c r="S14" s="53">
        <f t="shared" si="10"/>
        <v>306.7599020084449</v>
      </c>
      <c r="T14" s="53">
        <f t="shared" si="10"/>
        <v>323.04237690422588</v>
      </c>
      <c r="U14" s="53">
        <f t="shared" si="10"/>
        <v>340.29051172918173</v>
      </c>
      <c r="V14" s="53">
        <f t="shared" si="10"/>
        <v>358.50430648331223</v>
      </c>
      <c r="W14" s="53">
        <f t="shared" si="10"/>
        <v>377.68376116661773</v>
      </c>
      <c r="X14" s="53">
        <f t="shared" si="10"/>
        <v>397.82887577909793</v>
      </c>
      <c r="Y14" s="53">
        <f t="shared" si="10"/>
        <v>418.93965032075289</v>
      </c>
      <c r="Z14" s="53">
        <f t="shared" si="10"/>
        <v>441.01608479158267</v>
      </c>
      <c r="AA14" s="53">
        <f t="shared" si="10"/>
        <v>464.05817919158744</v>
      </c>
    </row>
    <row r="15" spans="1:27" ht="17" thickBot="1">
      <c r="A15" s="69" t="s">
        <v>441</v>
      </c>
      <c r="B15" s="70"/>
      <c r="C15" t="s">
        <v>378</v>
      </c>
      <c r="D15" s="53">
        <f>D14*$A$18</f>
        <v>168.56917184822387</v>
      </c>
      <c r="E15" s="53">
        <f t="shared" ref="E15:AA15" si="11">E14*$A$18</f>
        <v>170.2676726578149</v>
      </c>
      <c r="F15" s="53">
        <f t="shared" si="11"/>
        <v>172.87861010967882</v>
      </c>
      <c r="G15" s="53">
        <f t="shared" si="11"/>
        <v>176.40198420381563</v>
      </c>
      <c r="H15" s="53">
        <f t="shared" si="11"/>
        <v>180.83779494022536</v>
      </c>
      <c r="I15" s="53">
        <f t="shared" si="11"/>
        <v>186.18604231890799</v>
      </c>
      <c r="J15" s="53">
        <f t="shared" si="11"/>
        <v>192.44672633986352</v>
      </c>
      <c r="K15" s="53">
        <f t="shared" si="11"/>
        <v>199.61984700309193</v>
      </c>
      <c r="L15" s="53">
        <f t="shared" si="11"/>
        <v>207.70540430859327</v>
      </c>
      <c r="M15" s="53">
        <f t="shared" si="11"/>
        <v>216.70339825636751</v>
      </c>
      <c r="N15" s="53">
        <f t="shared" si="11"/>
        <v>226.61382884641463</v>
      </c>
      <c r="O15" s="53">
        <f t="shared" si="11"/>
        <v>237.43669607873471</v>
      </c>
      <c r="P15" s="53">
        <f t="shared" si="11"/>
        <v>249.17199995332766</v>
      </c>
      <c r="Q15" s="53">
        <f t="shared" si="11"/>
        <v>261.81974047019349</v>
      </c>
      <c r="R15" s="53">
        <f t="shared" si="11"/>
        <v>275.37991762933223</v>
      </c>
      <c r="S15" s="53">
        <f t="shared" si="11"/>
        <v>289.85253143074391</v>
      </c>
      <c r="T15" s="53">
        <f t="shared" si="11"/>
        <v>305.23758187442849</v>
      </c>
      <c r="U15" s="53">
        <f t="shared" si="11"/>
        <v>321.53506896038601</v>
      </c>
      <c r="V15" s="53">
        <f t="shared" si="11"/>
        <v>338.74499268861626</v>
      </c>
      <c r="W15" s="53">
        <f t="shared" si="11"/>
        <v>356.86735305911964</v>
      </c>
      <c r="X15" s="53">
        <f t="shared" si="11"/>
        <v>375.90215007189579</v>
      </c>
      <c r="Y15" s="53">
        <f t="shared" si="11"/>
        <v>395.84938372694484</v>
      </c>
      <c r="Z15" s="53">
        <f t="shared" si="11"/>
        <v>416.70905402426678</v>
      </c>
      <c r="AA15" s="53">
        <f t="shared" si="11"/>
        <v>438.48116096386178</v>
      </c>
    </row>
    <row r="16" spans="1:27">
      <c r="A16" s="80">
        <f>(5280*12)/(($B$24+((2*$B$22*$B$23/100)/25.4))*3.141592653589)</f>
        <v>889.35782199773553</v>
      </c>
      <c r="B16" s="74"/>
      <c r="C16" s="63" t="s">
        <v>379</v>
      </c>
      <c r="D16" s="64">
        <f>SIN(ATAN(10/100))</f>
        <v>9.9503719020998929E-2</v>
      </c>
      <c r="E16" s="64">
        <f t="shared" ref="E16:AA16" si="12">SIN(ATAN(10/100))</f>
        <v>9.9503719020998929E-2</v>
      </c>
      <c r="F16" s="64">
        <f t="shared" si="12"/>
        <v>9.9503719020998929E-2</v>
      </c>
      <c r="G16" s="64">
        <f t="shared" si="12"/>
        <v>9.9503719020998929E-2</v>
      </c>
      <c r="H16" s="64">
        <f t="shared" si="12"/>
        <v>9.9503719020998929E-2</v>
      </c>
      <c r="I16" s="64">
        <f t="shared" si="12"/>
        <v>9.9503719020998929E-2</v>
      </c>
      <c r="J16" s="64">
        <f t="shared" si="12"/>
        <v>9.9503719020998929E-2</v>
      </c>
      <c r="K16" s="64">
        <f t="shared" si="12"/>
        <v>9.9503719020998929E-2</v>
      </c>
      <c r="L16" s="64">
        <f t="shared" si="12"/>
        <v>9.9503719020998929E-2</v>
      </c>
      <c r="M16" s="64">
        <f t="shared" si="12"/>
        <v>9.9503719020998929E-2</v>
      </c>
      <c r="N16" s="64">
        <f t="shared" si="12"/>
        <v>9.9503719020998929E-2</v>
      </c>
      <c r="O16" s="64">
        <f t="shared" si="12"/>
        <v>9.9503719020998929E-2</v>
      </c>
      <c r="P16" s="64">
        <f t="shared" si="12"/>
        <v>9.9503719020998929E-2</v>
      </c>
      <c r="Q16" s="64">
        <f t="shared" si="12"/>
        <v>9.9503719020998929E-2</v>
      </c>
      <c r="R16" s="64">
        <f t="shared" si="12"/>
        <v>9.9503719020998929E-2</v>
      </c>
      <c r="S16" s="64">
        <f t="shared" si="12"/>
        <v>9.9503719020998929E-2</v>
      </c>
      <c r="T16" s="64">
        <f t="shared" si="12"/>
        <v>9.9503719020998929E-2</v>
      </c>
      <c r="U16" s="64">
        <f t="shared" si="12"/>
        <v>9.9503719020998929E-2</v>
      </c>
      <c r="V16" s="64">
        <f t="shared" si="12"/>
        <v>9.9503719020998929E-2</v>
      </c>
      <c r="W16" s="64">
        <f t="shared" si="12"/>
        <v>9.9503719020998929E-2</v>
      </c>
      <c r="X16" s="64">
        <f t="shared" si="12"/>
        <v>9.9503719020998929E-2</v>
      </c>
      <c r="Y16" s="64">
        <f t="shared" si="12"/>
        <v>9.9503719020998929E-2</v>
      </c>
      <c r="Z16" s="64">
        <f t="shared" si="12"/>
        <v>9.9503719020998929E-2</v>
      </c>
      <c r="AA16" s="64">
        <f t="shared" si="12"/>
        <v>9.9503719020998929E-2</v>
      </c>
    </row>
    <row r="17" spans="1:27">
      <c r="A17" s="71" t="s">
        <v>427</v>
      </c>
      <c r="B17" s="72"/>
      <c r="C17" s="52" t="s">
        <v>380</v>
      </c>
      <c r="D17" s="62">
        <f>COS(ATAN(10/100))</f>
        <v>0.99503719020998915</v>
      </c>
      <c r="E17" s="62">
        <f t="shared" ref="E17:AA17" si="13">COS(ATAN(10/100))</f>
        <v>0.99503719020998915</v>
      </c>
      <c r="F17" s="62">
        <f t="shared" si="13"/>
        <v>0.99503719020998915</v>
      </c>
      <c r="G17" s="62">
        <f t="shared" si="13"/>
        <v>0.99503719020998915</v>
      </c>
      <c r="H17" s="62">
        <f t="shared" si="13"/>
        <v>0.99503719020998915</v>
      </c>
      <c r="I17" s="62">
        <f t="shared" si="13"/>
        <v>0.99503719020998915</v>
      </c>
      <c r="J17" s="62">
        <f t="shared" si="13"/>
        <v>0.99503719020998915</v>
      </c>
      <c r="K17" s="62">
        <f t="shared" si="13"/>
        <v>0.99503719020998915</v>
      </c>
      <c r="L17" s="62">
        <f t="shared" si="13"/>
        <v>0.99503719020998915</v>
      </c>
      <c r="M17" s="62">
        <f t="shared" si="13"/>
        <v>0.99503719020998915</v>
      </c>
      <c r="N17" s="62">
        <f t="shared" si="13"/>
        <v>0.99503719020998915</v>
      </c>
      <c r="O17" s="62">
        <f t="shared" si="13"/>
        <v>0.99503719020998915</v>
      </c>
      <c r="P17" s="62">
        <f t="shared" si="13"/>
        <v>0.99503719020998915</v>
      </c>
      <c r="Q17" s="62">
        <f t="shared" si="13"/>
        <v>0.99503719020998915</v>
      </c>
      <c r="R17" s="62">
        <f t="shared" si="13"/>
        <v>0.99503719020998915</v>
      </c>
      <c r="S17" s="62">
        <f t="shared" si="13"/>
        <v>0.99503719020998915</v>
      </c>
      <c r="T17" s="62">
        <f t="shared" si="13"/>
        <v>0.99503719020998915</v>
      </c>
      <c r="U17" s="62">
        <f t="shared" si="13"/>
        <v>0.99503719020998915</v>
      </c>
      <c r="V17" s="62">
        <f t="shared" si="13"/>
        <v>0.99503719020998915</v>
      </c>
      <c r="W17" s="62">
        <f t="shared" si="13"/>
        <v>0.99503719020998915</v>
      </c>
      <c r="X17" s="62">
        <f t="shared" si="13"/>
        <v>0.99503719020998915</v>
      </c>
      <c r="Y17" s="62">
        <f t="shared" si="13"/>
        <v>0.99503719020998915</v>
      </c>
      <c r="Z17" s="62">
        <f t="shared" si="13"/>
        <v>0.99503719020998915</v>
      </c>
      <c r="AA17" s="62">
        <f t="shared" si="13"/>
        <v>0.99503719020998915</v>
      </c>
    </row>
    <row r="18" spans="1:27">
      <c r="A18" s="73">
        <f>840.34/A16</f>
        <v>0.9448840266703582</v>
      </c>
      <c r="B18" s="75"/>
      <c r="C18" s="52" t="s">
        <v>375</v>
      </c>
      <c r="D18" s="53">
        <f>$A$2*D16</f>
        <v>257.97732208260265</v>
      </c>
      <c r="E18" s="53">
        <f>$A$2*E16</f>
        <v>257.97732208260265</v>
      </c>
      <c r="F18" s="53">
        <f t="shared" ref="F18:AA18" si="14">$A$2*F16</f>
        <v>257.97732208260265</v>
      </c>
      <c r="G18" s="53">
        <f t="shared" si="14"/>
        <v>257.97732208260265</v>
      </c>
      <c r="H18" s="53">
        <f t="shared" si="14"/>
        <v>257.97732208260265</v>
      </c>
      <c r="I18" s="53">
        <f t="shared" si="14"/>
        <v>257.97732208260265</v>
      </c>
      <c r="J18" s="53">
        <f t="shared" si="14"/>
        <v>257.97732208260265</v>
      </c>
      <c r="K18" s="53">
        <f t="shared" si="14"/>
        <v>257.97732208260265</v>
      </c>
      <c r="L18" s="53">
        <f t="shared" si="14"/>
        <v>257.97732208260265</v>
      </c>
      <c r="M18" s="53">
        <f t="shared" si="14"/>
        <v>257.97732208260265</v>
      </c>
      <c r="N18" s="53">
        <f t="shared" si="14"/>
        <v>257.97732208260265</v>
      </c>
      <c r="O18" s="53">
        <f t="shared" si="14"/>
        <v>257.97732208260265</v>
      </c>
      <c r="P18" s="53">
        <f t="shared" si="14"/>
        <v>257.97732208260265</v>
      </c>
      <c r="Q18" s="53">
        <f t="shared" si="14"/>
        <v>257.97732208260265</v>
      </c>
      <c r="R18" s="53">
        <f t="shared" si="14"/>
        <v>257.97732208260265</v>
      </c>
      <c r="S18" s="53">
        <f t="shared" si="14"/>
        <v>257.97732208260265</v>
      </c>
      <c r="T18" s="53">
        <f t="shared" si="14"/>
        <v>257.97732208260265</v>
      </c>
      <c r="U18" s="53">
        <f t="shared" si="14"/>
        <v>257.97732208260265</v>
      </c>
      <c r="V18" s="53">
        <f t="shared" si="14"/>
        <v>257.97732208260265</v>
      </c>
      <c r="W18" s="53">
        <f t="shared" si="14"/>
        <v>257.97732208260265</v>
      </c>
      <c r="X18" s="53">
        <f t="shared" si="14"/>
        <v>257.97732208260265</v>
      </c>
      <c r="Y18" s="53">
        <f t="shared" si="14"/>
        <v>257.97732208260265</v>
      </c>
      <c r="Z18" s="53">
        <f t="shared" si="14"/>
        <v>257.97732208260265</v>
      </c>
      <c r="AA18" s="53">
        <f t="shared" si="14"/>
        <v>257.97732208260265</v>
      </c>
    </row>
    <row r="19" spans="1:27">
      <c r="A19" s="71" t="s">
        <v>428</v>
      </c>
      <c r="B19" s="72"/>
      <c r="C19" s="52" t="s">
        <v>376</v>
      </c>
      <c r="D19" s="53">
        <f>$A$20*$A$2*D17</f>
        <v>46.435917974868474</v>
      </c>
      <c r="E19" s="53">
        <f>$A$20*$A$2*E17</f>
        <v>46.435917974868474</v>
      </c>
      <c r="F19" s="53">
        <f t="shared" ref="F19:AA19" si="15">$A$20*$A$2*F17</f>
        <v>46.435917974868474</v>
      </c>
      <c r="G19" s="53">
        <f t="shared" si="15"/>
        <v>46.435917974868474</v>
      </c>
      <c r="H19" s="53">
        <f t="shared" si="15"/>
        <v>46.435917974868474</v>
      </c>
      <c r="I19" s="53">
        <f t="shared" si="15"/>
        <v>46.435917974868474</v>
      </c>
      <c r="J19" s="53">
        <f t="shared" si="15"/>
        <v>46.435917974868474</v>
      </c>
      <c r="K19" s="53">
        <f t="shared" si="15"/>
        <v>46.435917974868474</v>
      </c>
      <c r="L19" s="53">
        <f t="shared" si="15"/>
        <v>46.435917974868474</v>
      </c>
      <c r="M19" s="53">
        <f t="shared" si="15"/>
        <v>46.435917974868474</v>
      </c>
      <c r="N19" s="53">
        <f t="shared" si="15"/>
        <v>46.435917974868474</v>
      </c>
      <c r="O19" s="53">
        <f t="shared" si="15"/>
        <v>46.435917974868474</v>
      </c>
      <c r="P19" s="53">
        <f t="shared" si="15"/>
        <v>46.435917974868474</v>
      </c>
      <c r="Q19" s="53">
        <f t="shared" si="15"/>
        <v>46.435917974868474</v>
      </c>
      <c r="R19" s="53">
        <f t="shared" si="15"/>
        <v>46.435917974868474</v>
      </c>
      <c r="S19" s="53">
        <f t="shared" si="15"/>
        <v>46.435917974868474</v>
      </c>
      <c r="T19" s="53">
        <f t="shared" si="15"/>
        <v>46.435917974868474</v>
      </c>
      <c r="U19" s="53">
        <f t="shared" si="15"/>
        <v>46.435917974868474</v>
      </c>
      <c r="V19" s="53">
        <f t="shared" si="15"/>
        <v>46.435917974868474</v>
      </c>
      <c r="W19" s="53">
        <f t="shared" si="15"/>
        <v>46.435917974868474</v>
      </c>
      <c r="X19" s="53">
        <f t="shared" si="15"/>
        <v>46.435917974868474</v>
      </c>
      <c r="Y19" s="53">
        <f t="shared" si="15"/>
        <v>46.435917974868474</v>
      </c>
      <c r="Z19" s="53">
        <f t="shared" si="15"/>
        <v>46.435917974868474</v>
      </c>
      <c r="AA19" s="53">
        <f t="shared" si="15"/>
        <v>46.435917974868474</v>
      </c>
    </row>
    <row r="20" spans="1:27" ht="17" thickBot="1">
      <c r="A20" s="67">
        <f>0.015+0.002+0.001</f>
        <v>1.8000000000000002E-2</v>
      </c>
      <c r="B20" s="68"/>
      <c r="C20" s="52" t="s">
        <v>381</v>
      </c>
      <c r="D20" s="53">
        <f>D$5+D$7+D18+D19</f>
        <v>306.73565218713651</v>
      </c>
      <c r="E20" s="53">
        <f>E$5+E$7+E18+E19</f>
        <v>308.53322814529542</v>
      </c>
      <c r="F20" s="53">
        <f t="shared" ref="F20:AA20" si="16">F$5+F$7+F18+F19</f>
        <v>311.2964640326291</v>
      </c>
      <c r="G20" s="53">
        <f t="shared" si="16"/>
        <v>315.02535984913766</v>
      </c>
      <c r="H20" s="53">
        <f t="shared" si="16"/>
        <v>319.71991559482098</v>
      </c>
      <c r="I20" s="53">
        <f t="shared" si="16"/>
        <v>325.38013126967911</v>
      </c>
      <c r="J20" s="53">
        <f t="shared" si="16"/>
        <v>332.00600687371201</v>
      </c>
      <c r="K20" s="53">
        <f t="shared" si="16"/>
        <v>339.59754240691979</v>
      </c>
      <c r="L20" s="53">
        <f t="shared" si="16"/>
        <v>348.15473786930232</v>
      </c>
      <c r="M20" s="53">
        <f t="shared" si="16"/>
        <v>357.67759326085962</v>
      </c>
      <c r="N20" s="53">
        <f t="shared" si="16"/>
        <v>368.1661085815918</v>
      </c>
      <c r="O20" s="53">
        <f t="shared" si="16"/>
        <v>379.62028383149874</v>
      </c>
      <c r="P20" s="53">
        <f t="shared" si="16"/>
        <v>392.04011901058055</v>
      </c>
      <c r="Q20" s="53">
        <f t="shared" si="16"/>
        <v>405.42561411883713</v>
      </c>
      <c r="R20" s="53">
        <f t="shared" si="16"/>
        <v>419.77676915626847</v>
      </c>
      <c r="S20" s="53">
        <f t="shared" si="16"/>
        <v>435.09358412287469</v>
      </c>
      <c r="T20" s="53">
        <f t="shared" si="16"/>
        <v>451.37605901865567</v>
      </c>
      <c r="U20" s="53">
        <f t="shared" si="16"/>
        <v>468.62419384361147</v>
      </c>
      <c r="V20" s="53">
        <f t="shared" si="16"/>
        <v>486.83798859774203</v>
      </c>
      <c r="W20" s="53">
        <f t="shared" si="16"/>
        <v>506.01744328104746</v>
      </c>
      <c r="X20" s="53">
        <f t="shared" si="16"/>
        <v>526.16255789352772</v>
      </c>
      <c r="Y20" s="53">
        <f t="shared" si="16"/>
        <v>547.27333243518274</v>
      </c>
      <c r="Z20" s="53">
        <f t="shared" si="16"/>
        <v>569.34976690601252</v>
      </c>
      <c r="AA20" s="53">
        <f t="shared" si="16"/>
        <v>592.39186130601729</v>
      </c>
    </row>
    <row r="21" spans="1:27" ht="17" thickBot="1">
      <c r="A21" s="65" t="s">
        <v>429</v>
      </c>
      <c r="B21" s="79"/>
      <c r="C21" s="52" t="s">
        <v>382</v>
      </c>
      <c r="D21" s="53">
        <f>D20*$A$18</f>
        <v>289.82961816194</v>
      </c>
      <c r="E21" s="53">
        <f>E20*$A$18</f>
        <v>291.52811897153106</v>
      </c>
      <c r="F21" s="53">
        <f t="shared" ref="F21:AA21" si="17">F20*$A$18</f>
        <v>294.13905642339495</v>
      </c>
      <c r="G21" s="53">
        <f t="shared" si="17"/>
        <v>297.66243051753179</v>
      </c>
      <c r="H21" s="53">
        <f t="shared" si="17"/>
        <v>302.09824125394147</v>
      </c>
      <c r="I21" s="53">
        <f t="shared" si="17"/>
        <v>307.44648863262415</v>
      </c>
      <c r="J21" s="53">
        <f t="shared" si="17"/>
        <v>313.70717265357962</v>
      </c>
      <c r="K21" s="53">
        <f t="shared" si="17"/>
        <v>320.88029331680809</v>
      </c>
      <c r="L21" s="53">
        <f t="shared" si="17"/>
        <v>328.9658506223094</v>
      </c>
      <c r="M21" s="53">
        <f t="shared" si="17"/>
        <v>337.96384457008361</v>
      </c>
      <c r="N21" s="53">
        <f t="shared" si="17"/>
        <v>347.87427516013076</v>
      </c>
      <c r="O21" s="53">
        <f t="shared" si="17"/>
        <v>358.69714239245081</v>
      </c>
      <c r="P21" s="53">
        <f t="shared" si="17"/>
        <v>370.43244626704382</v>
      </c>
      <c r="Q21" s="53">
        <f t="shared" si="17"/>
        <v>383.08018678390965</v>
      </c>
      <c r="R21" s="53">
        <f t="shared" si="17"/>
        <v>396.64036394304838</v>
      </c>
      <c r="S21" s="53">
        <f t="shared" si="17"/>
        <v>411.11297774446007</v>
      </c>
      <c r="T21" s="53">
        <f t="shared" si="17"/>
        <v>426.49802818814464</v>
      </c>
      <c r="U21" s="53">
        <f t="shared" si="17"/>
        <v>442.79551527410212</v>
      </c>
      <c r="V21" s="53">
        <f t="shared" si="17"/>
        <v>460.00543900233242</v>
      </c>
      <c r="W21" s="53">
        <f t="shared" si="17"/>
        <v>478.12779937283574</v>
      </c>
      <c r="X21" s="53">
        <f t="shared" si="17"/>
        <v>497.16259638561195</v>
      </c>
      <c r="Y21" s="53">
        <f t="shared" si="17"/>
        <v>517.109830040661</v>
      </c>
      <c r="Z21" s="53">
        <f t="shared" si="17"/>
        <v>537.96950033798294</v>
      </c>
      <c r="AA21" s="53">
        <f t="shared" si="17"/>
        <v>559.74160727757794</v>
      </c>
    </row>
    <row r="22" spans="1:27">
      <c r="A22" s="76" t="s">
        <v>430</v>
      </c>
      <c r="B22" s="68">
        <v>195</v>
      </c>
      <c r="C22" s="63" t="s">
        <v>383</v>
      </c>
      <c r="D22" s="64">
        <f>SIN(ATAN(15/100))</f>
        <v>0.14834045293024464</v>
      </c>
      <c r="E22" s="64">
        <f t="shared" ref="E22:AA22" si="18">SIN(ATAN(15/100))</f>
        <v>0.14834045293024464</v>
      </c>
      <c r="F22" s="64">
        <f t="shared" si="18"/>
        <v>0.14834045293024464</v>
      </c>
      <c r="G22" s="64">
        <f t="shared" si="18"/>
        <v>0.14834045293024464</v>
      </c>
      <c r="H22" s="64">
        <f t="shared" si="18"/>
        <v>0.14834045293024464</v>
      </c>
      <c r="I22" s="64">
        <f t="shared" si="18"/>
        <v>0.14834045293024464</v>
      </c>
      <c r="J22" s="64">
        <f t="shared" si="18"/>
        <v>0.14834045293024464</v>
      </c>
      <c r="K22" s="64">
        <f t="shared" si="18"/>
        <v>0.14834045293024464</v>
      </c>
      <c r="L22" s="64">
        <f t="shared" si="18"/>
        <v>0.14834045293024464</v>
      </c>
      <c r="M22" s="64">
        <f t="shared" si="18"/>
        <v>0.14834045293024464</v>
      </c>
      <c r="N22" s="64">
        <f t="shared" si="18"/>
        <v>0.14834045293024464</v>
      </c>
      <c r="O22" s="64">
        <f t="shared" si="18"/>
        <v>0.14834045293024464</v>
      </c>
      <c r="P22" s="64">
        <f t="shared" si="18"/>
        <v>0.14834045293024464</v>
      </c>
      <c r="Q22" s="64">
        <f t="shared" si="18"/>
        <v>0.14834045293024464</v>
      </c>
      <c r="R22" s="64">
        <f t="shared" si="18"/>
        <v>0.14834045293024464</v>
      </c>
      <c r="S22" s="64">
        <f t="shared" si="18"/>
        <v>0.14834045293024464</v>
      </c>
      <c r="T22" s="64">
        <f t="shared" si="18"/>
        <v>0.14834045293024464</v>
      </c>
      <c r="U22" s="64">
        <f t="shared" si="18"/>
        <v>0.14834045293024464</v>
      </c>
      <c r="V22" s="64">
        <f t="shared" si="18"/>
        <v>0.14834045293024464</v>
      </c>
      <c r="W22" s="64">
        <f t="shared" si="18"/>
        <v>0.14834045293024464</v>
      </c>
      <c r="X22" s="64">
        <f t="shared" si="18"/>
        <v>0.14834045293024464</v>
      </c>
      <c r="Y22" s="64">
        <f t="shared" si="18"/>
        <v>0.14834045293024464</v>
      </c>
      <c r="Z22" s="64">
        <f t="shared" si="18"/>
        <v>0.14834045293024464</v>
      </c>
      <c r="AA22" s="64">
        <f t="shared" si="18"/>
        <v>0.14834045293024464</v>
      </c>
    </row>
    <row r="23" spans="1:27">
      <c r="A23" s="76" t="s">
        <v>431</v>
      </c>
      <c r="B23" s="68">
        <v>50</v>
      </c>
      <c r="C23" s="52" t="s">
        <v>384</v>
      </c>
      <c r="D23" s="62">
        <f>COS(ATAN(15/100))</f>
        <v>0.98893635286829751</v>
      </c>
      <c r="E23" s="62">
        <f t="shared" ref="E23:AA23" si="19">COS(ATAN(15/100))</f>
        <v>0.98893635286829751</v>
      </c>
      <c r="F23" s="62">
        <f t="shared" si="19"/>
        <v>0.98893635286829751</v>
      </c>
      <c r="G23" s="62">
        <f t="shared" si="19"/>
        <v>0.98893635286829751</v>
      </c>
      <c r="H23" s="62">
        <f t="shared" si="19"/>
        <v>0.98893635286829751</v>
      </c>
      <c r="I23" s="62">
        <f t="shared" si="19"/>
        <v>0.98893635286829751</v>
      </c>
      <c r="J23" s="62">
        <f t="shared" si="19"/>
        <v>0.98893635286829751</v>
      </c>
      <c r="K23" s="62">
        <f t="shared" si="19"/>
        <v>0.98893635286829751</v>
      </c>
      <c r="L23" s="62">
        <f t="shared" si="19"/>
        <v>0.98893635286829751</v>
      </c>
      <c r="M23" s="62">
        <f t="shared" si="19"/>
        <v>0.98893635286829751</v>
      </c>
      <c r="N23" s="62">
        <f t="shared" si="19"/>
        <v>0.98893635286829751</v>
      </c>
      <c r="O23" s="62">
        <f t="shared" si="19"/>
        <v>0.98893635286829751</v>
      </c>
      <c r="P23" s="62">
        <f t="shared" si="19"/>
        <v>0.98893635286829751</v>
      </c>
      <c r="Q23" s="62">
        <f t="shared" si="19"/>
        <v>0.98893635286829751</v>
      </c>
      <c r="R23" s="62">
        <f t="shared" si="19"/>
        <v>0.98893635286829751</v>
      </c>
      <c r="S23" s="62">
        <f t="shared" si="19"/>
        <v>0.98893635286829751</v>
      </c>
      <c r="T23" s="62">
        <f t="shared" si="19"/>
        <v>0.98893635286829751</v>
      </c>
      <c r="U23" s="62">
        <f t="shared" si="19"/>
        <v>0.98893635286829751</v>
      </c>
      <c r="V23" s="62">
        <f t="shared" si="19"/>
        <v>0.98893635286829751</v>
      </c>
      <c r="W23" s="62">
        <f t="shared" si="19"/>
        <v>0.98893635286829751</v>
      </c>
      <c r="X23" s="62">
        <f t="shared" si="19"/>
        <v>0.98893635286829751</v>
      </c>
      <c r="Y23" s="62">
        <f t="shared" si="19"/>
        <v>0.98893635286829751</v>
      </c>
      <c r="Z23" s="62">
        <f t="shared" si="19"/>
        <v>0.98893635286829751</v>
      </c>
      <c r="AA23" s="62">
        <f t="shared" si="19"/>
        <v>0.98893635286829751</v>
      </c>
    </row>
    <row r="24" spans="1:27" ht="17" thickBot="1">
      <c r="A24" s="77" t="s">
        <v>432</v>
      </c>
      <c r="B24" s="78">
        <v>15</v>
      </c>
      <c r="C24" s="52" t="s">
        <v>375</v>
      </c>
      <c r="D24" s="53">
        <f>$A$2*D22</f>
        <v>384.59339188506948</v>
      </c>
      <c r="E24" s="53">
        <f>$A$2*E22</f>
        <v>384.59339188506948</v>
      </c>
      <c r="F24" s="53">
        <f t="shared" ref="F24:AA24" si="20">$A$2*F22</f>
        <v>384.59339188506948</v>
      </c>
      <c r="G24" s="53">
        <f t="shared" si="20"/>
        <v>384.59339188506948</v>
      </c>
      <c r="H24" s="53">
        <f t="shared" si="20"/>
        <v>384.59339188506948</v>
      </c>
      <c r="I24" s="53">
        <f t="shared" si="20"/>
        <v>384.59339188506948</v>
      </c>
      <c r="J24" s="53">
        <f t="shared" si="20"/>
        <v>384.59339188506948</v>
      </c>
      <c r="K24" s="53">
        <f t="shared" si="20"/>
        <v>384.59339188506948</v>
      </c>
      <c r="L24" s="53">
        <f t="shared" si="20"/>
        <v>384.59339188506948</v>
      </c>
      <c r="M24" s="53">
        <f t="shared" si="20"/>
        <v>384.59339188506948</v>
      </c>
      <c r="N24" s="53">
        <f t="shared" si="20"/>
        <v>384.59339188506948</v>
      </c>
      <c r="O24" s="53">
        <f t="shared" si="20"/>
        <v>384.59339188506948</v>
      </c>
      <c r="P24" s="53">
        <f t="shared" si="20"/>
        <v>384.59339188506948</v>
      </c>
      <c r="Q24" s="53">
        <f t="shared" si="20"/>
        <v>384.59339188506948</v>
      </c>
      <c r="R24" s="53">
        <f t="shared" si="20"/>
        <v>384.59339188506948</v>
      </c>
      <c r="S24" s="53">
        <f t="shared" si="20"/>
        <v>384.59339188506948</v>
      </c>
      <c r="T24" s="53">
        <f t="shared" si="20"/>
        <v>384.59339188506948</v>
      </c>
      <c r="U24" s="53">
        <f t="shared" si="20"/>
        <v>384.59339188506948</v>
      </c>
      <c r="V24" s="53">
        <f t="shared" si="20"/>
        <v>384.59339188506948</v>
      </c>
      <c r="W24" s="53">
        <f t="shared" si="20"/>
        <v>384.59339188506948</v>
      </c>
      <c r="X24" s="53">
        <f t="shared" si="20"/>
        <v>384.59339188506948</v>
      </c>
      <c r="Y24" s="53">
        <f t="shared" si="20"/>
        <v>384.59339188506948</v>
      </c>
      <c r="Z24" s="53">
        <f t="shared" si="20"/>
        <v>384.59339188506948</v>
      </c>
      <c r="AA24" s="53">
        <f t="shared" si="20"/>
        <v>384.59339188506948</v>
      </c>
    </row>
    <row r="25" spans="1:27">
      <c r="C25" s="52" t="s">
        <v>376</v>
      </c>
      <c r="D25" s="53">
        <f>$A$20*$A$2*D23</f>
        <v>46.151207026208333</v>
      </c>
      <c r="E25" s="53">
        <f>$A$20*$A$2*E23</f>
        <v>46.151207026208333</v>
      </c>
      <c r="F25" s="53">
        <f t="shared" ref="F25:AA25" si="21">$A$20*$A$2*F23</f>
        <v>46.151207026208333</v>
      </c>
      <c r="G25" s="53">
        <f t="shared" si="21"/>
        <v>46.151207026208333</v>
      </c>
      <c r="H25" s="53">
        <f t="shared" si="21"/>
        <v>46.151207026208333</v>
      </c>
      <c r="I25" s="53">
        <f t="shared" si="21"/>
        <v>46.151207026208333</v>
      </c>
      <c r="J25" s="53">
        <f t="shared" si="21"/>
        <v>46.151207026208333</v>
      </c>
      <c r="K25" s="53">
        <f t="shared" si="21"/>
        <v>46.151207026208333</v>
      </c>
      <c r="L25" s="53">
        <f t="shared" si="21"/>
        <v>46.151207026208333</v>
      </c>
      <c r="M25" s="53">
        <f t="shared" si="21"/>
        <v>46.151207026208333</v>
      </c>
      <c r="N25" s="53">
        <f t="shared" si="21"/>
        <v>46.151207026208333</v>
      </c>
      <c r="O25" s="53">
        <f t="shared" si="21"/>
        <v>46.151207026208333</v>
      </c>
      <c r="P25" s="53">
        <f t="shared" si="21"/>
        <v>46.151207026208333</v>
      </c>
      <c r="Q25" s="53">
        <f t="shared" si="21"/>
        <v>46.151207026208333</v>
      </c>
      <c r="R25" s="53">
        <f t="shared" si="21"/>
        <v>46.151207026208333</v>
      </c>
      <c r="S25" s="53">
        <f t="shared" si="21"/>
        <v>46.151207026208333</v>
      </c>
      <c r="T25" s="53">
        <f t="shared" si="21"/>
        <v>46.151207026208333</v>
      </c>
      <c r="U25" s="53">
        <f t="shared" si="21"/>
        <v>46.151207026208333</v>
      </c>
      <c r="V25" s="53">
        <f t="shared" si="21"/>
        <v>46.151207026208333</v>
      </c>
      <c r="W25" s="53">
        <f t="shared" si="21"/>
        <v>46.151207026208333</v>
      </c>
      <c r="X25" s="53">
        <f t="shared" si="21"/>
        <v>46.151207026208333</v>
      </c>
      <c r="Y25" s="53">
        <f t="shared" si="21"/>
        <v>46.151207026208333</v>
      </c>
      <c r="Z25" s="53">
        <f t="shared" si="21"/>
        <v>46.151207026208333</v>
      </c>
      <c r="AA25" s="53">
        <f t="shared" si="21"/>
        <v>46.151207026208333</v>
      </c>
    </row>
    <row r="26" spans="1:27">
      <c r="C26" s="52" t="s">
        <v>385</v>
      </c>
      <c r="D26" s="53">
        <f>D$5+D$7+D24+D25</f>
        <v>433.06701104094321</v>
      </c>
      <c r="E26" s="53">
        <f>E$5+E$7+E24+E25</f>
        <v>434.86458699910213</v>
      </c>
      <c r="F26" s="53">
        <f t="shared" ref="F26" si="22">F$5+F$7+F24+F25</f>
        <v>437.62782288643587</v>
      </c>
      <c r="G26" s="53">
        <f t="shared" ref="G26" si="23">G$5+G$7+G24+G25</f>
        <v>441.35671870294436</v>
      </c>
      <c r="H26" s="53">
        <f t="shared" ref="H26" si="24">H$5+H$7+H24+H25</f>
        <v>446.05127444862768</v>
      </c>
      <c r="I26" s="53">
        <f t="shared" ref="I26" si="25">I$5+I$7+I24+I25</f>
        <v>451.71149012348582</v>
      </c>
      <c r="J26" s="53">
        <f t="shared" ref="J26" si="26">J$5+J$7+J24+J25</f>
        <v>458.33736572751872</v>
      </c>
      <c r="K26" s="53">
        <f t="shared" ref="K26" si="27">K$5+K$7+K24+K25</f>
        <v>465.92890126072643</v>
      </c>
      <c r="L26" s="53">
        <f t="shared" ref="L26" si="28">L$5+L$7+L24+L25</f>
        <v>474.48609672310903</v>
      </c>
      <c r="M26" s="53">
        <f t="shared" ref="M26" si="29">M$5+M$7+M24+M25</f>
        <v>484.00895211466639</v>
      </c>
      <c r="N26" s="53">
        <f t="shared" ref="N26" si="30">N$5+N$7+N24+N25</f>
        <v>494.49746743539851</v>
      </c>
      <c r="O26" s="53">
        <f t="shared" ref="O26" si="31">O$5+O$7+O24+O25</f>
        <v>505.9516426853055</v>
      </c>
      <c r="P26" s="53">
        <f t="shared" ref="P26" si="32">P$5+P$7+P24+P25</f>
        <v>518.3714778643872</v>
      </c>
      <c r="Q26" s="53">
        <f t="shared" ref="Q26" si="33">Q$5+Q$7+Q24+Q25</f>
        <v>531.75697297264378</v>
      </c>
      <c r="R26" s="53">
        <f t="shared" ref="R26" si="34">R$5+R$7+R24+R25</f>
        <v>546.10812801007512</v>
      </c>
      <c r="S26" s="53">
        <f t="shared" ref="S26" si="35">S$5+S$7+S24+S25</f>
        <v>561.42494297668134</v>
      </c>
      <c r="T26" s="53">
        <f t="shared" ref="T26" si="36">T$5+T$7+T24+T25</f>
        <v>577.70741787246232</v>
      </c>
      <c r="U26" s="53">
        <f t="shared" ref="U26" si="37">U$5+U$7+U24+U25</f>
        <v>594.95555269741817</v>
      </c>
      <c r="V26" s="53">
        <f t="shared" ref="V26" si="38">V$5+V$7+V24+V25</f>
        <v>613.16934745154867</v>
      </c>
      <c r="W26" s="53">
        <f t="shared" ref="W26" si="39">W$5+W$7+W24+W25</f>
        <v>632.34880213485417</v>
      </c>
      <c r="X26" s="53">
        <f t="shared" ref="X26" si="40">X$5+X$7+X24+X25</f>
        <v>652.49391674733442</v>
      </c>
      <c r="Y26" s="53">
        <f t="shared" ref="Y26" si="41">Y$5+Y$7+Y24+Y25</f>
        <v>673.60469128898933</v>
      </c>
      <c r="Z26" s="53">
        <f t="shared" ref="Z26" si="42">Z$5+Z$7+Z24+Z25</f>
        <v>695.68112575981922</v>
      </c>
      <c r="AA26" s="53">
        <f t="shared" ref="AA26" si="43">AA$5+AA$7+AA24+AA25</f>
        <v>718.72322015982388</v>
      </c>
    </row>
    <row r="27" spans="1:27" ht="17" thickBot="1">
      <c r="C27" s="52" t="s">
        <v>386</v>
      </c>
      <c r="D27" s="53">
        <f>D26*$A$18</f>
        <v>409.19810121046288</v>
      </c>
      <c r="E27" s="53">
        <f>E26*$A$18</f>
        <v>410.89660202005393</v>
      </c>
      <c r="F27" s="53">
        <f t="shared" ref="F27" si="44">F26*$A$18</f>
        <v>413.50753947191788</v>
      </c>
      <c r="G27" s="53">
        <f t="shared" ref="G27" si="45">G26*$A$18</f>
        <v>417.03091356605466</v>
      </c>
      <c r="H27" s="53">
        <f t="shared" ref="H27" si="46">H26*$A$18</f>
        <v>421.4667243024644</v>
      </c>
      <c r="I27" s="53">
        <f t="shared" ref="I27" si="47">I26*$A$18</f>
        <v>426.81497168114703</v>
      </c>
      <c r="J27" s="53">
        <f t="shared" ref="J27" si="48">J26*$A$18</f>
        <v>433.07565570210249</v>
      </c>
      <c r="K27" s="53">
        <f t="shared" ref="K27" si="49">K26*$A$18</f>
        <v>440.24877636533091</v>
      </c>
      <c r="L27" s="53">
        <f t="shared" ref="L27" si="50">L26*$A$18</f>
        <v>448.33433367083234</v>
      </c>
      <c r="M27" s="53">
        <f t="shared" ref="M27" si="51">M26*$A$18</f>
        <v>457.33232761860654</v>
      </c>
      <c r="N27" s="53">
        <f t="shared" ref="N27" si="52">N26*$A$18</f>
        <v>467.24275820865364</v>
      </c>
      <c r="O27" s="53">
        <f t="shared" ref="O27" si="53">O26*$A$18</f>
        <v>478.06562544097375</v>
      </c>
      <c r="P27" s="53">
        <f t="shared" ref="P27" si="54">P26*$A$18</f>
        <v>489.80092931556663</v>
      </c>
      <c r="Q27" s="53">
        <f t="shared" ref="Q27" si="55">Q26*$A$18</f>
        <v>502.44866983243247</v>
      </c>
      <c r="R27" s="53">
        <f t="shared" ref="R27" si="56">R26*$A$18</f>
        <v>516.0088469915712</v>
      </c>
      <c r="S27" s="53">
        <f t="shared" ref="S27" si="57">S26*$A$18</f>
        <v>530.48146079298294</v>
      </c>
      <c r="T27" s="53">
        <f t="shared" ref="T27" si="58">T26*$A$18</f>
        <v>545.86651123666741</v>
      </c>
      <c r="U27" s="53">
        <f t="shared" ref="U27" si="59">U26*$A$18</f>
        <v>562.16399832262493</v>
      </c>
      <c r="V27" s="53">
        <f t="shared" ref="V27" si="60">V26*$A$18</f>
        <v>579.3739220508553</v>
      </c>
      <c r="W27" s="53">
        <f t="shared" ref="W27" si="61">W26*$A$18</f>
        <v>597.49628242135861</v>
      </c>
      <c r="X27" s="53">
        <f t="shared" ref="X27" si="62">X26*$A$18</f>
        <v>616.53107943413477</v>
      </c>
      <c r="Y27" s="53">
        <f t="shared" ref="Y27" si="63">Y26*$A$18</f>
        <v>636.47831308918376</v>
      </c>
      <c r="Z27" s="53">
        <f t="shared" ref="Z27" si="64">Z26*$A$18</f>
        <v>657.33798338650581</v>
      </c>
      <c r="AA27" s="53">
        <f t="shared" ref="AA27" si="65">AA26*$A$18</f>
        <v>679.1100903261007</v>
      </c>
    </row>
    <row r="28" spans="1:27">
      <c r="C28" s="63" t="s">
        <v>387</v>
      </c>
      <c r="D28" s="64">
        <f>SIN(ATAN(20/100))</f>
        <v>0.19611613513818404</v>
      </c>
      <c r="E28" s="64">
        <f t="shared" ref="E28:AA28" si="66">SIN(ATAN(20/100))</f>
        <v>0.19611613513818404</v>
      </c>
      <c r="F28" s="64">
        <f t="shared" si="66"/>
        <v>0.19611613513818404</v>
      </c>
      <c r="G28" s="64">
        <f t="shared" si="66"/>
        <v>0.19611613513818404</v>
      </c>
      <c r="H28" s="64">
        <f t="shared" si="66"/>
        <v>0.19611613513818404</v>
      </c>
      <c r="I28" s="64">
        <f t="shared" si="66"/>
        <v>0.19611613513818404</v>
      </c>
      <c r="J28" s="64">
        <f t="shared" si="66"/>
        <v>0.19611613513818404</v>
      </c>
      <c r="K28" s="64">
        <f t="shared" si="66"/>
        <v>0.19611613513818404</v>
      </c>
      <c r="L28" s="64">
        <f t="shared" si="66"/>
        <v>0.19611613513818404</v>
      </c>
      <c r="M28" s="64">
        <f t="shared" si="66"/>
        <v>0.19611613513818404</v>
      </c>
      <c r="N28" s="64">
        <f t="shared" si="66"/>
        <v>0.19611613513818404</v>
      </c>
      <c r="O28" s="64">
        <f t="shared" si="66"/>
        <v>0.19611613513818404</v>
      </c>
      <c r="P28" s="64">
        <f t="shared" si="66"/>
        <v>0.19611613513818404</v>
      </c>
      <c r="Q28" s="64">
        <f t="shared" si="66"/>
        <v>0.19611613513818404</v>
      </c>
      <c r="R28" s="64">
        <f t="shared" si="66"/>
        <v>0.19611613513818404</v>
      </c>
      <c r="S28" s="64">
        <f t="shared" si="66"/>
        <v>0.19611613513818404</v>
      </c>
      <c r="T28" s="64">
        <f t="shared" si="66"/>
        <v>0.19611613513818404</v>
      </c>
      <c r="U28" s="64">
        <f t="shared" si="66"/>
        <v>0.19611613513818404</v>
      </c>
      <c r="V28" s="64">
        <f t="shared" si="66"/>
        <v>0.19611613513818404</v>
      </c>
      <c r="W28" s="64">
        <f t="shared" si="66"/>
        <v>0.19611613513818404</v>
      </c>
      <c r="X28" s="64">
        <f t="shared" si="66"/>
        <v>0.19611613513818404</v>
      </c>
      <c r="Y28" s="64">
        <f t="shared" si="66"/>
        <v>0.19611613513818404</v>
      </c>
      <c r="Z28" s="64">
        <f t="shared" si="66"/>
        <v>0.19611613513818404</v>
      </c>
      <c r="AA28" s="64">
        <f t="shared" si="66"/>
        <v>0.19611613513818404</v>
      </c>
    </row>
    <row r="29" spans="1:27">
      <c r="C29" s="52" t="s">
        <v>388</v>
      </c>
      <c r="D29" s="62">
        <f>COS(ATAN(20/100))</f>
        <v>0.98058067569092011</v>
      </c>
      <c r="E29" s="62">
        <f t="shared" ref="E29:AA29" si="67">COS(ATAN(20/100))</f>
        <v>0.98058067569092011</v>
      </c>
      <c r="F29" s="62">
        <f t="shared" si="67"/>
        <v>0.98058067569092011</v>
      </c>
      <c r="G29" s="62">
        <f t="shared" si="67"/>
        <v>0.98058067569092011</v>
      </c>
      <c r="H29" s="62">
        <f t="shared" si="67"/>
        <v>0.98058067569092011</v>
      </c>
      <c r="I29" s="62">
        <f t="shared" si="67"/>
        <v>0.98058067569092011</v>
      </c>
      <c r="J29" s="62">
        <f t="shared" si="67"/>
        <v>0.98058067569092011</v>
      </c>
      <c r="K29" s="62">
        <f t="shared" si="67"/>
        <v>0.98058067569092011</v>
      </c>
      <c r="L29" s="62">
        <f t="shared" si="67"/>
        <v>0.98058067569092011</v>
      </c>
      <c r="M29" s="62">
        <f t="shared" si="67"/>
        <v>0.98058067569092011</v>
      </c>
      <c r="N29" s="62">
        <f t="shared" si="67"/>
        <v>0.98058067569092011</v>
      </c>
      <c r="O29" s="62">
        <f t="shared" si="67"/>
        <v>0.98058067569092011</v>
      </c>
      <c r="P29" s="62">
        <f t="shared" si="67"/>
        <v>0.98058067569092011</v>
      </c>
      <c r="Q29" s="62">
        <f t="shared" si="67"/>
        <v>0.98058067569092011</v>
      </c>
      <c r="R29" s="62">
        <f t="shared" si="67"/>
        <v>0.98058067569092011</v>
      </c>
      <c r="S29" s="62">
        <f t="shared" si="67"/>
        <v>0.98058067569092011</v>
      </c>
      <c r="T29" s="62">
        <f t="shared" si="67"/>
        <v>0.98058067569092011</v>
      </c>
      <c r="U29" s="62">
        <f t="shared" si="67"/>
        <v>0.98058067569092011</v>
      </c>
      <c r="V29" s="62">
        <f t="shared" si="67"/>
        <v>0.98058067569092011</v>
      </c>
      <c r="W29" s="62">
        <f t="shared" si="67"/>
        <v>0.98058067569092011</v>
      </c>
      <c r="X29" s="62">
        <f t="shared" si="67"/>
        <v>0.98058067569092011</v>
      </c>
      <c r="Y29" s="62">
        <f t="shared" si="67"/>
        <v>0.98058067569092011</v>
      </c>
      <c r="Z29" s="62">
        <f t="shared" si="67"/>
        <v>0.98058067569092011</v>
      </c>
      <c r="AA29" s="62">
        <f t="shared" si="67"/>
        <v>0.98058067569092011</v>
      </c>
    </row>
    <row r="30" spans="1:27">
      <c r="C30" s="52" t="s">
        <v>375</v>
      </c>
      <c r="D30" s="53">
        <f>$A$2*D28</f>
        <v>508.45853660466145</v>
      </c>
      <c r="E30" s="53">
        <f>$A$2*E28</f>
        <v>508.45853660466145</v>
      </c>
      <c r="F30" s="53">
        <f t="shared" ref="F30:AA30" si="68">$A$2*F28</f>
        <v>508.45853660466145</v>
      </c>
      <c r="G30" s="53">
        <f t="shared" si="68"/>
        <v>508.45853660466145</v>
      </c>
      <c r="H30" s="53">
        <f t="shared" si="68"/>
        <v>508.45853660466145</v>
      </c>
      <c r="I30" s="53">
        <f t="shared" si="68"/>
        <v>508.45853660466145</v>
      </c>
      <c r="J30" s="53">
        <f t="shared" si="68"/>
        <v>508.45853660466145</v>
      </c>
      <c r="K30" s="53">
        <f t="shared" si="68"/>
        <v>508.45853660466145</v>
      </c>
      <c r="L30" s="53">
        <f t="shared" si="68"/>
        <v>508.45853660466145</v>
      </c>
      <c r="M30" s="53">
        <f t="shared" si="68"/>
        <v>508.45853660466145</v>
      </c>
      <c r="N30" s="53">
        <f t="shared" si="68"/>
        <v>508.45853660466145</v>
      </c>
      <c r="O30" s="53">
        <f t="shared" si="68"/>
        <v>508.45853660466145</v>
      </c>
      <c r="P30" s="53">
        <f t="shared" si="68"/>
        <v>508.45853660466145</v>
      </c>
      <c r="Q30" s="53">
        <f t="shared" si="68"/>
        <v>508.45853660466145</v>
      </c>
      <c r="R30" s="53">
        <f t="shared" si="68"/>
        <v>508.45853660466145</v>
      </c>
      <c r="S30" s="53">
        <f t="shared" si="68"/>
        <v>508.45853660466145</v>
      </c>
      <c r="T30" s="53">
        <f t="shared" si="68"/>
        <v>508.45853660466145</v>
      </c>
      <c r="U30" s="53">
        <f t="shared" si="68"/>
        <v>508.45853660466145</v>
      </c>
      <c r="V30" s="53">
        <f t="shared" si="68"/>
        <v>508.45853660466145</v>
      </c>
      <c r="W30" s="53">
        <f t="shared" si="68"/>
        <v>508.45853660466145</v>
      </c>
      <c r="X30" s="53">
        <f t="shared" si="68"/>
        <v>508.45853660466145</v>
      </c>
      <c r="Y30" s="53">
        <f t="shared" si="68"/>
        <v>508.45853660466145</v>
      </c>
      <c r="Z30" s="53">
        <f t="shared" si="68"/>
        <v>508.45853660466145</v>
      </c>
      <c r="AA30" s="53">
        <f t="shared" si="68"/>
        <v>508.45853660466145</v>
      </c>
    </row>
    <row r="31" spans="1:27">
      <c r="C31" s="52" t="s">
        <v>376</v>
      </c>
      <c r="D31" s="53">
        <f>$A$20*$A$2*D29</f>
        <v>45.76126829441953</v>
      </c>
      <c r="E31" s="53">
        <f>$A$20*$A$2*E29</f>
        <v>45.76126829441953</v>
      </c>
      <c r="F31" s="53">
        <f t="shared" ref="F31:AA31" si="69">$A$20*$A$2*F29</f>
        <v>45.76126829441953</v>
      </c>
      <c r="G31" s="53">
        <f t="shared" si="69"/>
        <v>45.76126829441953</v>
      </c>
      <c r="H31" s="53">
        <f t="shared" si="69"/>
        <v>45.76126829441953</v>
      </c>
      <c r="I31" s="53">
        <f t="shared" si="69"/>
        <v>45.76126829441953</v>
      </c>
      <c r="J31" s="53">
        <f t="shared" si="69"/>
        <v>45.76126829441953</v>
      </c>
      <c r="K31" s="53">
        <f t="shared" si="69"/>
        <v>45.76126829441953</v>
      </c>
      <c r="L31" s="53">
        <f t="shared" si="69"/>
        <v>45.76126829441953</v>
      </c>
      <c r="M31" s="53">
        <f t="shared" si="69"/>
        <v>45.76126829441953</v>
      </c>
      <c r="N31" s="53">
        <f t="shared" si="69"/>
        <v>45.76126829441953</v>
      </c>
      <c r="O31" s="53">
        <f t="shared" si="69"/>
        <v>45.76126829441953</v>
      </c>
      <c r="P31" s="53">
        <f t="shared" si="69"/>
        <v>45.76126829441953</v>
      </c>
      <c r="Q31" s="53">
        <f t="shared" si="69"/>
        <v>45.76126829441953</v>
      </c>
      <c r="R31" s="53">
        <f t="shared" si="69"/>
        <v>45.76126829441953</v>
      </c>
      <c r="S31" s="53">
        <f t="shared" si="69"/>
        <v>45.76126829441953</v>
      </c>
      <c r="T31" s="53">
        <f t="shared" si="69"/>
        <v>45.76126829441953</v>
      </c>
      <c r="U31" s="53">
        <f t="shared" si="69"/>
        <v>45.76126829441953</v>
      </c>
      <c r="V31" s="53">
        <f t="shared" si="69"/>
        <v>45.76126829441953</v>
      </c>
      <c r="W31" s="53">
        <f t="shared" si="69"/>
        <v>45.76126829441953</v>
      </c>
      <c r="X31" s="53">
        <f t="shared" si="69"/>
        <v>45.76126829441953</v>
      </c>
      <c r="Y31" s="53">
        <f t="shared" si="69"/>
        <v>45.76126829441953</v>
      </c>
      <c r="Z31" s="53">
        <f t="shared" si="69"/>
        <v>45.76126829441953</v>
      </c>
      <c r="AA31" s="53">
        <f t="shared" si="69"/>
        <v>45.76126829441953</v>
      </c>
    </row>
    <row r="32" spans="1:27">
      <c r="C32" s="52" t="s">
        <v>389</v>
      </c>
      <c r="D32" s="53">
        <f>D$5+D$7+D30+D31</f>
        <v>556.54221702874634</v>
      </c>
      <c r="E32" s="53">
        <f>E$5+E$7+E30+E31</f>
        <v>558.33979298690531</v>
      </c>
      <c r="F32" s="53">
        <f t="shared" ref="F32" si="70">F$5+F$7+F30+F31</f>
        <v>561.10302887423904</v>
      </c>
      <c r="G32" s="53">
        <f t="shared" ref="G32" si="71">G$5+G$7+G30+G31</f>
        <v>564.83192469074754</v>
      </c>
      <c r="H32" s="53">
        <f t="shared" ref="H32" si="72">H$5+H$7+H30+H31</f>
        <v>569.5264804364308</v>
      </c>
      <c r="I32" s="53">
        <f t="shared" ref="I32" si="73">I$5+I$7+I30+I31</f>
        <v>575.18669611128894</v>
      </c>
      <c r="J32" s="53">
        <f t="shared" ref="J32" si="74">J$5+J$7+J30+J31</f>
        <v>581.81257171532195</v>
      </c>
      <c r="K32" s="53">
        <f t="shared" ref="K32" si="75">K$5+K$7+K30+K31</f>
        <v>589.40410724852961</v>
      </c>
      <c r="L32" s="53">
        <f t="shared" ref="L32" si="76">L$5+L$7+L30+L31</f>
        <v>597.96130271091215</v>
      </c>
      <c r="M32" s="53">
        <f t="shared" ref="M32" si="77">M$5+M$7+M30+M31</f>
        <v>607.48415810246956</v>
      </c>
      <c r="N32" s="53">
        <f t="shared" ref="N32" si="78">N$5+N$7+N30+N31</f>
        <v>617.97267342320163</v>
      </c>
      <c r="O32" s="53">
        <f t="shared" ref="O32" si="79">O$5+O$7+O30+O31</f>
        <v>629.42684867310868</v>
      </c>
      <c r="P32" s="53">
        <f t="shared" ref="P32" si="80">P$5+P$7+P30+P31</f>
        <v>641.84668385219038</v>
      </c>
      <c r="Q32" s="53">
        <f t="shared" ref="Q32" si="81">Q$5+Q$7+Q30+Q31</f>
        <v>655.23217896044696</v>
      </c>
      <c r="R32" s="53">
        <f t="shared" ref="R32" si="82">R$5+R$7+R30+R31</f>
        <v>669.5833339978783</v>
      </c>
      <c r="S32" s="53">
        <f t="shared" ref="S32" si="83">S$5+S$7+S30+S31</f>
        <v>684.90014896448452</v>
      </c>
      <c r="T32" s="53">
        <f t="shared" ref="T32" si="84">T$5+T$7+T30+T31</f>
        <v>701.18262386026549</v>
      </c>
      <c r="U32" s="53">
        <f t="shared" ref="U32" si="85">U$5+U$7+U30+U31</f>
        <v>718.43075868522135</v>
      </c>
      <c r="V32" s="53">
        <f t="shared" ref="V32" si="86">V$5+V$7+V30+V31</f>
        <v>736.64455343935185</v>
      </c>
      <c r="W32" s="53">
        <f t="shared" ref="W32" si="87">W$5+W$7+W30+W31</f>
        <v>755.82400812265735</v>
      </c>
      <c r="X32" s="53">
        <f t="shared" ref="X32" si="88">X$5+X$7+X30+X31</f>
        <v>775.9691227351376</v>
      </c>
      <c r="Y32" s="53">
        <f t="shared" ref="Y32" si="89">Y$5+Y$7+Y30+Y31</f>
        <v>797.07989727679251</v>
      </c>
      <c r="Z32" s="53">
        <f t="shared" ref="Z32" si="90">Z$5+Z$7+Z30+Z31</f>
        <v>819.15633174762229</v>
      </c>
      <c r="AA32" s="53">
        <f t="shared" ref="AA32" si="91">AA$5+AA$7+AA30+AA31</f>
        <v>842.19842614762706</v>
      </c>
    </row>
    <row r="33" spans="3:27" ht="17" thickBot="1">
      <c r="C33" s="52" t="s">
        <v>390</v>
      </c>
      <c r="D33" s="53">
        <f>D32*$A$18</f>
        <v>525.86785103817022</v>
      </c>
      <c r="E33" s="53">
        <f>E32*$A$18</f>
        <v>527.56635184776133</v>
      </c>
      <c r="F33" s="53">
        <f t="shared" ref="F33" si="92">F32*$A$18</f>
        <v>530.17728929962527</v>
      </c>
      <c r="G33" s="53">
        <f t="shared" ref="G33" si="93">G32*$A$18</f>
        <v>533.70066339376206</v>
      </c>
      <c r="H33" s="53">
        <f t="shared" ref="H33" si="94">H32*$A$18</f>
        <v>538.13647413017168</v>
      </c>
      <c r="I33" s="53">
        <f t="shared" ref="I33" si="95">I32*$A$18</f>
        <v>543.48472150885436</v>
      </c>
      <c r="J33" s="53">
        <f t="shared" ref="J33" si="96">J32*$A$18</f>
        <v>549.74540552981</v>
      </c>
      <c r="K33" s="53">
        <f t="shared" ref="K33" si="97">K32*$A$18</f>
        <v>556.91852619303836</v>
      </c>
      <c r="L33" s="53">
        <f t="shared" ref="L33" si="98">L32*$A$18</f>
        <v>565.00408349853967</v>
      </c>
      <c r="M33" s="53">
        <f t="shared" ref="M33" si="99">M32*$A$18</f>
        <v>574.00207744631393</v>
      </c>
      <c r="N33" s="53">
        <f t="shared" ref="N33" si="100">N32*$A$18</f>
        <v>583.91250803636103</v>
      </c>
      <c r="O33" s="53">
        <f t="shared" ref="O33" si="101">O32*$A$18</f>
        <v>594.73537526868108</v>
      </c>
      <c r="P33" s="53">
        <f t="shared" ref="P33" si="102">P32*$A$18</f>
        <v>606.47067914327397</v>
      </c>
      <c r="Q33" s="53">
        <f t="shared" ref="Q33" si="103">Q32*$A$18</f>
        <v>619.11841966013992</v>
      </c>
      <c r="R33" s="53">
        <f t="shared" ref="R33" si="104">R32*$A$18</f>
        <v>632.6785968192786</v>
      </c>
      <c r="S33" s="53">
        <f t="shared" ref="S33" si="105">S32*$A$18</f>
        <v>647.15121062069034</v>
      </c>
      <c r="T33" s="53">
        <f t="shared" ref="T33" si="106">T32*$A$18</f>
        <v>662.5362610643748</v>
      </c>
      <c r="U33" s="53">
        <f t="shared" ref="U33" si="107">U32*$A$18</f>
        <v>678.83374815033233</v>
      </c>
      <c r="V33" s="53">
        <f t="shared" ref="V33" si="108">V32*$A$18</f>
        <v>696.04367187856269</v>
      </c>
      <c r="W33" s="53">
        <f t="shared" ref="W33" si="109">W32*$A$18</f>
        <v>714.16603224906601</v>
      </c>
      <c r="X33" s="53">
        <f t="shared" ref="X33" si="110">X32*$A$18</f>
        <v>733.20082926184216</v>
      </c>
      <c r="Y33" s="53">
        <f t="shared" ref="Y33" si="111">Y32*$A$18</f>
        <v>753.14806291689115</v>
      </c>
      <c r="Z33" s="53">
        <f t="shared" ref="Z33" si="112">Z32*$A$18</f>
        <v>774.00773321421309</v>
      </c>
      <c r="AA33" s="53">
        <f t="shared" ref="AA33" si="113">AA32*$A$18</f>
        <v>795.7798401538081</v>
      </c>
    </row>
    <row r="34" spans="3:27">
      <c r="C34" s="63" t="s">
        <v>391</v>
      </c>
      <c r="D34" s="64">
        <f>SIN(ATAN(25/100))</f>
        <v>0.24253562503633297</v>
      </c>
      <c r="E34" s="64">
        <f t="shared" ref="E34:AA34" si="114">SIN(ATAN(25/100))</f>
        <v>0.24253562503633297</v>
      </c>
      <c r="F34" s="64">
        <f t="shared" si="114"/>
        <v>0.24253562503633297</v>
      </c>
      <c r="G34" s="64">
        <f t="shared" si="114"/>
        <v>0.24253562503633297</v>
      </c>
      <c r="H34" s="64">
        <f t="shared" si="114"/>
        <v>0.24253562503633297</v>
      </c>
      <c r="I34" s="64">
        <f t="shared" si="114"/>
        <v>0.24253562503633297</v>
      </c>
      <c r="J34" s="64">
        <f t="shared" si="114"/>
        <v>0.24253562503633297</v>
      </c>
      <c r="K34" s="64">
        <f t="shared" si="114"/>
        <v>0.24253562503633297</v>
      </c>
      <c r="L34" s="64">
        <f t="shared" si="114"/>
        <v>0.24253562503633297</v>
      </c>
      <c r="M34" s="64">
        <f t="shared" si="114"/>
        <v>0.24253562503633297</v>
      </c>
      <c r="N34" s="64">
        <f t="shared" si="114"/>
        <v>0.24253562503633297</v>
      </c>
      <c r="O34" s="64">
        <f t="shared" si="114"/>
        <v>0.24253562503633297</v>
      </c>
      <c r="P34" s="64">
        <f t="shared" si="114"/>
        <v>0.24253562503633297</v>
      </c>
      <c r="Q34" s="64">
        <f t="shared" si="114"/>
        <v>0.24253562503633297</v>
      </c>
      <c r="R34" s="64">
        <f t="shared" si="114"/>
        <v>0.24253562503633297</v>
      </c>
      <c r="S34" s="64">
        <f t="shared" si="114"/>
        <v>0.24253562503633297</v>
      </c>
      <c r="T34" s="64">
        <f t="shared" si="114"/>
        <v>0.24253562503633297</v>
      </c>
      <c r="U34" s="64">
        <f t="shared" si="114"/>
        <v>0.24253562503633297</v>
      </c>
      <c r="V34" s="64">
        <f t="shared" si="114"/>
        <v>0.24253562503633297</v>
      </c>
      <c r="W34" s="64">
        <f t="shared" si="114"/>
        <v>0.24253562503633297</v>
      </c>
      <c r="X34" s="64">
        <f t="shared" si="114"/>
        <v>0.24253562503633297</v>
      </c>
      <c r="Y34" s="64">
        <f t="shared" si="114"/>
        <v>0.24253562503633297</v>
      </c>
      <c r="Z34" s="64">
        <f t="shared" si="114"/>
        <v>0.24253562503633297</v>
      </c>
      <c r="AA34" s="64">
        <f t="shared" si="114"/>
        <v>0.24253562503633297</v>
      </c>
    </row>
    <row r="35" spans="3:27">
      <c r="C35" s="52" t="s">
        <v>392</v>
      </c>
      <c r="D35" s="62">
        <f>COS(ATAN(25/100))</f>
        <v>0.97014250014533188</v>
      </c>
      <c r="E35" s="62">
        <f t="shared" ref="E35:AA35" si="115">COS(ATAN(25/100))</f>
        <v>0.97014250014533188</v>
      </c>
      <c r="F35" s="62">
        <f t="shared" si="115"/>
        <v>0.97014250014533188</v>
      </c>
      <c r="G35" s="62">
        <f t="shared" si="115"/>
        <v>0.97014250014533188</v>
      </c>
      <c r="H35" s="62">
        <f t="shared" si="115"/>
        <v>0.97014250014533188</v>
      </c>
      <c r="I35" s="62">
        <f t="shared" si="115"/>
        <v>0.97014250014533188</v>
      </c>
      <c r="J35" s="62">
        <f t="shared" si="115"/>
        <v>0.97014250014533188</v>
      </c>
      <c r="K35" s="62">
        <f t="shared" si="115"/>
        <v>0.97014250014533188</v>
      </c>
      <c r="L35" s="62">
        <f t="shared" si="115"/>
        <v>0.97014250014533188</v>
      </c>
      <c r="M35" s="62">
        <f t="shared" si="115"/>
        <v>0.97014250014533188</v>
      </c>
      <c r="N35" s="62">
        <f t="shared" si="115"/>
        <v>0.97014250014533188</v>
      </c>
      <c r="O35" s="62">
        <f t="shared" si="115"/>
        <v>0.97014250014533188</v>
      </c>
      <c r="P35" s="62">
        <f t="shared" si="115"/>
        <v>0.97014250014533188</v>
      </c>
      <c r="Q35" s="62">
        <f t="shared" si="115"/>
        <v>0.97014250014533188</v>
      </c>
      <c r="R35" s="62">
        <f t="shared" si="115"/>
        <v>0.97014250014533188</v>
      </c>
      <c r="S35" s="62">
        <f t="shared" si="115"/>
        <v>0.97014250014533188</v>
      </c>
      <c r="T35" s="62">
        <f t="shared" si="115"/>
        <v>0.97014250014533188</v>
      </c>
      <c r="U35" s="62">
        <f t="shared" si="115"/>
        <v>0.97014250014533188</v>
      </c>
      <c r="V35" s="62">
        <f t="shared" si="115"/>
        <v>0.97014250014533188</v>
      </c>
      <c r="W35" s="62">
        <f t="shared" si="115"/>
        <v>0.97014250014533188</v>
      </c>
      <c r="X35" s="62">
        <f t="shared" si="115"/>
        <v>0.97014250014533188</v>
      </c>
      <c r="Y35" s="62">
        <f t="shared" si="115"/>
        <v>0.97014250014533188</v>
      </c>
      <c r="Z35" s="62">
        <f t="shared" si="115"/>
        <v>0.97014250014533188</v>
      </c>
      <c r="AA35" s="62">
        <f t="shared" si="115"/>
        <v>0.97014250014533188</v>
      </c>
    </row>
    <row r="36" spans="3:27">
      <c r="C36" s="52" t="s">
        <v>375</v>
      </c>
      <c r="D36" s="53">
        <f>$A$2*D34</f>
        <v>628.80756289419833</v>
      </c>
      <c r="E36" s="53">
        <f>$A$2*E34</f>
        <v>628.80756289419833</v>
      </c>
      <c r="F36" s="53">
        <f t="shared" ref="F36:AA36" si="116">$A$2*F34</f>
        <v>628.80756289419833</v>
      </c>
      <c r="G36" s="53">
        <f t="shared" si="116"/>
        <v>628.80756289419833</v>
      </c>
      <c r="H36" s="53">
        <f t="shared" si="116"/>
        <v>628.80756289419833</v>
      </c>
      <c r="I36" s="53">
        <f t="shared" si="116"/>
        <v>628.80756289419833</v>
      </c>
      <c r="J36" s="53">
        <f t="shared" si="116"/>
        <v>628.80756289419833</v>
      </c>
      <c r="K36" s="53">
        <f t="shared" si="116"/>
        <v>628.80756289419833</v>
      </c>
      <c r="L36" s="53">
        <f t="shared" si="116"/>
        <v>628.80756289419833</v>
      </c>
      <c r="M36" s="53">
        <f t="shared" si="116"/>
        <v>628.80756289419833</v>
      </c>
      <c r="N36" s="53">
        <f t="shared" si="116"/>
        <v>628.80756289419833</v>
      </c>
      <c r="O36" s="53">
        <f t="shared" si="116"/>
        <v>628.80756289419833</v>
      </c>
      <c r="P36" s="53">
        <f t="shared" si="116"/>
        <v>628.80756289419833</v>
      </c>
      <c r="Q36" s="53">
        <f t="shared" si="116"/>
        <v>628.80756289419833</v>
      </c>
      <c r="R36" s="53">
        <f t="shared" si="116"/>
        <v>628.80756289419833</v>
      </c>
      <c r="S36" s="53">
        <f t="shared" si="116"/>
        <v>628.80756289419833</v>
      </c>
      <c r="T36" s="53">
        <f t="shared" si="116"/>
        <v>628.80756289419833</v>
      </c>
      <c r="U36" s="53">
        <f t="shared" si="116"/>
        <v>628.80756289419833</v>
      </c>
      <c r="V36" s="53">
        <f t="shared" si="116"/>
        <v>628.80756289419833</v>
      </c>
      <c r="W36" s="53">
        <f t="shared" si="116"/>
        <v>628.80756289419833</v>
      </c>
      <c r="X36" s="53">
        <f t="shared" si="116"/>
        <v>628.80756289419833</v>
      </c>
      <c r="Y36" s="53">
        <f t="shared" si="116"/>
        <v>628.80756289419833</v>
      </c>
      <c r="Z36" s="53">
        <f t="shared" si="116"/>
        <v>628.80756289419833</v>
      </c>
      <c r="AA36" s="53">
        <f t="shared" si="116"/>
        <v>628.80756289419833</v>
      </c>
    </row>
    <row r="37" spans="3:27">
      <c r="C37" s="52" t="s">
        <v>376</v>
      </c>
      <c r="D37" s="53">
        <f>$A$20*$A$2*D35</f>
        <v>45.27414452838228</v>
      </c>
      <c r="E37" s="53">
        <f>$A$20*$A$2*E35</f>
        <v>45.27414452838228</v>
      </c>
      <c r="F37" s="53">
        <f t="shared" ref="F37:AA37" si="117">$A$20*$A$2*F35</f>
        <v>45.27414452838228</v>
      </c>
      <c r="G37" s="53">
        <f t="shared" si="117"/>
        <v>45.27414452838228</v>
      </c>
      <c r="H37" s="53">
        <f t="shared" si="117"/>
        <v>45.27414452838228</v>
      </c>
      <c r="I37" s="53">
        <f t="shared" si="117"/>
        <v>45.27414452838228</v>
      </c>
      <c r="J37" s="53">
        <f t="shared" si="117"/>
        <v>45.27414452838228</v>
      </c>
      <c r="K37" s="53">
        <f t="shared" si="117"/>
        <v>45.27414452838228</v>
      </c>
      <c r="L37" s="53">
        <f t="shared" si="117"/>
        <v>45.27414452838228</v>
      </c>
      <c r="M37" s="53">
        <f t="shared" si="117"/>
        <v>45.27414452838228</v>
      </c>
      <c r="N37" s="53">
        <f t="shared" si="117"/>
        <v>45.27414452838228</v>
      </c>
      <c r="O37" s="53">
        <f t="shared" si="117"/>
        <v>45.27414452838228</v>
      </c>
      <c r="P37" s="53">
        <f t="shared" si="117"/>
        <v>45.27414452838228</v>
      </c>
      <c r="Q37" s="53">
        <f t="shared" si="117"/>
        <v>45.27414452838228</v>
      </c>
      <c r="R37" s="53">
        <f t="shared" si="117"/>
        <v>45.27414452838228</v>
      </c>
      <c r="S37" s="53">
        <f t="shared" si="117"/>
        <v>45.27414452838228</v>
      </c>
      <c r="T37" s="53">
        <f t="shared" si="117"/>
        <v>45.27414452838228</v>
      </c>
      <c r="U37" s="53">
        <f t="shared" si="117"/>
        <v>45.27414452838228</v>
      </c>
      <c r="V37" s="53">
        <f t="shared" si="117"/>
        <v>45.27414452838228</v>
      </c>
      <c r="W37" s="53">
        <f t="shared" si="117"/>
        <v>45.27414452838228</v>
      </c>
      <c r="X37" s="53">
        <f t="shared" si="117"/>
        <v>45.27414452838228</v>
      </c>
      <c r="Y37" s="53">
        <f t="shared" si="117"/>
        <v>45.27414452838228</v>
      </c>
      <c r="Z37" s="53">
        <f t="shared" si="117"/>
        <v>45.27414452838228</v>
      </c>
      <c r="AA37" s="53">
        <f t="shared" si="117"/>
        <v>45.27414452838228</v>
      </c>
    </row>
    <row r="38" spans="3:27">
      <c r="C38" s="52" t="s">
        <v>393</v>
      </c>
      <c r="D38" s="53">
        <f>D$5+D$7+D36+D37</f>
        <v>676.40411955224602</v>
      </c>
      <c r="E38" s="53">
        <f>E$5+E$7+E36+E37</f>
        <v>678.20169551040487</v>
      </c>
      <c r="F38" s="53">
        <f t="shared" ref="F38" si="118">F$5+F$7+F36+F37</f>
        <v>680.96493139773861</v>
      </c>
      <c r="G38" s="53">
        <f t="shared" ref="G38" si="119">G$5+G$7+G36+G37</f>
        <v>684.69382721424711</v>
      </c>
      <c r="H38" s="53">
        <f t="shared" ref="H38" si="120">H$5+H$7+H36+H37</f>
        <v>689.38838295993048</v>
      </c>
      <c r="I38" s="53">
        <f t="shared" ref="I38" si="121">I$5+I$7+I36+I37</f>
        <v>695.04859863478862</v>
      </c>
      <c r="J38" s="53">
        <f t="shared" ref="J38" si="122">J$5+J$7+J36+J37</f>
        <v>701.67447423882152</v>
      </c>
      <c r="K38" s="53">
        <f t="shared" ref="K38" si="123">K$5+K$7+K36+K37</f>
        <v>709.26600977202929</v>
      </c>
      <c r="L38" s="53">
        <f t="shared" ref="L38" si="124">L$5+L$7+L36+L37</f>
        <v>717.82320523441183</v>
      </c>
      <c r="M38" s="53">
        <f t="shared" ref="M38" si="125">M$5+M$7+M36+M37</f>
        <v>727.34606062596913</v>
      </c>
      <c r="N38" s="53">
        <f t="shared" ref="N38" si="126">N$5+N$7+N36+N37</f>
        <v>737.83457594670131</v>
      </c>
      <c r="O38" s="53">
        <f t="shared" ref="O38" si="127">O$5+O$7+O36+O37</f>
        <v>749.28875119660825</v>
      </c>
      <c r="P38" s="53">
        <f t="shared" ref="P38" si="128">P$5+P$7+P36+P37</f>
        <v>761.70858637569006</v>
      </c>
      <c r="Q38" s="53">
        <f t="shared" ref="Q38" si="129">Q$5+Q$7+Q36+Q37</f>
        <v>775.09408148394664</v>
      </c>
      <c r="R38" s="53">
        <f t="shared" ref="R38" si="130">R$5+R$7+R36+R37</f>
        <v>789.44523652137798</v>
      </c>
      <c r="S38" s="53">
        <f t="shared" ref="S38" si="131">S$5+S$7+S36+S37</f>
        <v>804.76205148798419</v>
      </c>
      <c r="T38" s="53">
        <f t="shared" ref="T38" si="132">T$5+T$7+T36+T37</f>
        <v>821.04452638376517</v>
      </c>
      <c r="U38" s="53">
        <f t="shared" ref="U38" si="133">U$5+U$7+U36+U37</f>
        <v>838.29266120872103</v>
      </c>
      <c r="V38" s="53">
        <f t="shared" ref="V38" si="134">V$5+V$7+V36+V37</f>
        <v>856.50645596285153</v>
      </c>
      <c r="W38" s="53">
        <f t="shared" ref="W38" si="135">W$5+W$7+W36+W37</f>
        <v>875.68591064615703</v>
      </c>
      <c r="X38" s="53">
        <f t="shared" ref="X38" si="136">X$5+X$7+X36+X37</f>
        <v>895.83102525863717</v>
      </c>
      <c r="Y38" s="53">
        <f t="shared" ref="Y38" si="137">Y$5+Y$7+Y36+Y37</f>
        <v>916.94179980029219</v>
      </c>
      <c r="Z38" s="53">
        <f t="shared" ref="Z38" si="138">Z$5+Z$7+Z36+Z37</f>
        <v>939.01823427112197</v>
      </c>
      <c r="AA38" s="53">
        <f t="shared" ref="AA38" si="139">AA$5+AA$7+AA36+AA37</f>
        <v>962.06032867112663</v>
      </c>
    </row>
    <row r="39" spans="3:27">
      <c r="C39" s="52" t="s">
        <v>394</v>
      </c>
      <c r="D39" s="53">
        <f>D38*$A$18</f>
        <v>639.12344813894458</v>
      </c>
      <c r="E39" s="53">
        <f>E38*$A$18</f>
        <v>640.82194894853558</v>
      </c>
      <c r="F39" s="53">
        <f t="shared" ref="F39" si="140">F38*$A$18</f>
        <v>643.43288640039952</v>
      </c>
      <c r="G39" s="53">
        <f t="shared" ref="G39" si="141">G38*$A$18</f>
        <v>646.95626049453631</v>
      </c>
      <c r="H39" s="53">
        <f t="shared" ref="H39" si="142">H38*$A$18</f>
        <v>651.39207123094604</v>
      </c>
      <c r="I39" s="53">
        <f t="shared" ref="I39" si="143">I38*$A$18</f>
        <v>656.74031860962873</v>
      </c>
      <c r="J39" s="53">
        <f t="shared" ref="J39" si="144">J38*$A$18</f>
        <v>663.00100263058425</v>
      </c>
      <c r="K39" s="53">
        <f t="shared" ref="K39" si="145">K38*$A$18</f>
        <v>670.17412329381261</v>
      </c>
      <c r="L39" s="53">
        <f t="shared" ref="L39" si="146">L38*$A$18</f>
        <v>678.25968059931404</v>
      </c>
      <c r="M39" s="53">
        <f t="shared" ref="M39" si="147">M38*$A$18</f>
        <v>687.25767454708819</v>
      </c>
      <c r="N39" s="53">
        <f t="shared" ref="N39" si="148">N38*$A$18</f>
        <v>697.1681051371354</v>
      </c>
      <c r="O39" s="53">
        <f t="shared" ref="O39" si="149">O38*$A$18</f>
        <v>707.99097236945533</v>
      </c>
      <c r="P39" s="53">
        <f t="shared" ref="P39" si="150">P38*$A$18</f>
        <v>719.72627624404834</v>
      </c>
      <c r="Q39" s="53">
        <f t="shared" ref="Q39" si="151">Q38*$A$18</f>
        <v>732.37401676091417</v>
      </c>
      <c r="R39" s="53">
        <f t="shared" ref="R39" si="152">R38*$A$18</f>
        <v>745.93419392005296</v>
      </c>
      <c r="S39" s="53">
        <f t="shared" ref="S39" si="153">S38*$A$18</f>
        <v>760.40680772146459</v>
      </c>
      <c r="T39" s="53">
        <f t="shared" ref="T39" si="154">T38*$A$18</f>
        <v>775.79185816514916</v>
      </c>
      <c r="U39" s="53">
        <f t="shared" ref="U39" si="155">U38*$A$18</f>
        <v>792.08934525110669</v>
      </c>
      <c r="V39" s="53">
        <f t="shared" ref="V39" si="156">V38*$A$18</f>
        <v>809.29926897933694</v>
      </c>
      <c r="W39" s="53">
        <f t="shared" ref="W39" si="157">W38*$A$18</f>
        <v>827.42162934984037</v>
      </c>
      <c r="X39" s="53">
        <f t="shared" ref="X39" si="158">X38*$A$18</f>
        <v>846.45642636261641</v>
      </c>
      <c r="Y39" s="53">
        <f t="shared" ref="Y39" si="159">Y38*$A$18</f>
        <v>866.40366001766552</v>
      </c>
      <c r="Z39" s="53">
        <f t="shared" ref="Z39" si="160">Z38*$A$18</f>
        <v>887.26333031498746</v>
      </c>
      <c r="AA39" s="53">
        <f t="shared" ref="AA39" si="161">AA38*$A$18</f>
        <v>909.03543725458235</v>
      </c>
    </row>
  </sheetData>
  <pageMargins left="0.7" right="0.7" top="0.75" bottom="0.75" header="0.3" footer="0.3"/>
  <pageSetup orientation="portrait"/>
  <ignoredErrors>
    <ignoredError sqref="D4:AA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AQ39"/>
  <sheetViews>
    <sheetView workbookViewId="0">
      <selection activeCell="A12" sqref="A12"/>
    </sheetView>
  </sheetViews>
  <sheetFormatPr baseColWidth="10" defaultColWidth="8.625" defaultRowHeight="16" x14ac:dyDescent="0"/>
  <cols>
    <col min="1" max="1" width="106.75" bestFit="1" customWidth="1"/>
    <col min="2" max="2" width="3.875" bestFit="1" customWidth="1"/>
    <col min="3" max="3" width="30.75" bestFit="1" customWidth="1"/>
    <col min="8" max="8" width="9.5" bestFit="1" customWidth="1"/>
  </cols>
  <sheetData>
    <row r="1" spans="1:43">
      <c r="A1" s="65" t="s">
        <v>421</v>
      </c>
      <c r="B1" s="66"/>
      <c r="C1" s="51" t="s">
        <v>420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  <c r="AB1" s="51">
        <v>125</v>
      </c>
      <c r="AC1" s="51">
        <v>130</v>
      </c>
      <c r="AD1" s="51">
        <v>135</v>
      </c>
      <c r="AE1" s="51">
        <v>140</v>
      </c>
      <c r="AF1" s="51">
        <v>145</v>
      </c>
      <c r="AG1" s="51">
        <v>150</v>
      </c>
      <c r="AH1" s="51">
        <v>155</v>
      </c>
      <c r="AI1" s="51">
        <v>160</v>
      </c>
      <c r="AJ1" s="51">
        <v>165</v>
      </c>
      <c r="AK1" s="51">
        <v>170</v>
      </c>
      <c r="AL1" s="51">
        <v>175</v>
      </c>
      <c r="AM1" s="51">
        <v>180</v>
      </c>
      <c r="AN1" s="51">
        <v>185</v>
      </c>
      <c r="AO1" s="51">
        <v>190</v>
      </c>
      <c r="AP1" s="51">
        <v>195</v>
      </c>
      <c r="AQ1" s="51">
        <v>200</v>
      </c>
    </row>
    <row r="2" spans="1:43">
      <c r="A2" s="67">
        <v>1176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  <c r="AB2" s="49">
        <v>1.4999999999999999E-2</v>
      </c>
      <c r="AC2" s="49">
        <v>1.4999999999999999E-2</v>
      </c>
      <c r="AD2" s="49">
        <v>1.4999999999999999E-2</v>
      </c>
      <c r="AE2" s="49">
        <v>1.4999999999999999E-2</v>
      </c>
      <c r="AF2" s="49">
        <v>1.4999999999999999E-2</v>
      </c>
      <c r="AG2" s="49">
        <v>1.4999999999999999E-2</v>
      </c>
      <c r="AH2" s="49">
        <v>1.4999999999999999E-2</v>
      </c>
      <c r="AI2" s="49">
        <v>1.4999999999999999E-2</v>
      </c>
      <c r="AJ2" s="49">
        <v>1.4999999999999999E-2</v>
      </c>
      <c r="AK2" s="49">
        <v>1.4999999999999999E-2</v>
      </c>
      <c r="AL2" s="49">
        <v>1.4999999999999999E-2</v>
      </c>
      <c r="AM2" s="49">
        <v>1.4999999999999999E-2</v>
      </c>
      <c r="AN2" s="49">
        <v>1.4999999999999999E-2</v>
      </c>
      <c r="AO2" s="49">
        <v>1.4999999999999999E-2</v>
      </c>
      <c r="AP2" s="49">
        <v>1.4999999999999999E-2</v>
      </c>
      <c r="AQ2" s="49">
        <v>1.4999999999999999E-2</v>
      </c>
    </row>
    <row r="3" spans="1:43">
      <c r="A3" s="69" t="s">
        <v>435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  <c r="AB3" s="49">
        <v>3.0000000000000001E-3</v>
      </c>
      <c r="AC3" s="49">
        <v>3.0000000000000001E-3</v>
      </c>
      <c r="AD3" s="49">
        <v>3.0000000000000001E-3</v>
      </c>
      <c r="AE3" s="49">
        <v>3.0000000000000001E-3</v>
      </c>
      <c r="AF3" s="49">
        <v>3.0000000000000001E-3</v>
      </c>
      <c r="AG3" s="49">
        <v>3.0000000000000001E-3</v>
      </c>
      <c r="AH3" s="49">
        <v>3.0000000000000001E-3</v>
      </c>
      <c r="AI3" s="49">
        <v>3.0000000000000001E-3</v>
      </c>
      <c r="AJ3" s="49">
        <v>3.0000000000000001E-3</v>
      </c>
      <c r="AK3" s="49">
        <v>3.0000000000000001E-3</v>
      </c>
      <c r="AL3" s="49">
        <v>3.0000000000000001E-3</v>
      </c>
      <c r="AM3" s="49">
        <v>3.0000000000000001E-3</v>
      </c>
      <c r="AN3" s="49">
        <v>3.0000000000000001E-3</v>
      </c>
      <c r="AO3" s="49">
        <v>3.0000000000000001E-3</v>
      </c>
      <c r="AP3" s="49">
        <v>3.0000000000000001E-3</v>
      </c>
      <c r="AQ3" s="49">
        <v>3.0000000000000001E-3</v>
      </c>
    </row>
    <row r="4" spans="1:43">
      <c r="A4" s="67">
        <v>2.13</v>
      </c>
      <c r="B4" s="68"/>
      <c r="C4" s="49" t="s">
        <v>403</v>
      </c>
      <c r="D4" s="81">
        <f>$A$2*$A$8*SUM(D2:D3)</f>
        <v>207.58716719999998</v>
      </c>
      <c r="E4" s="81">
        <f t="shared" ref="E4:AA4" si="0">$A$2*$A$8*SUM(E2:E3)</f>
        <v>207.58716719999998</v>
      </c>
      <c r="F4" s="81">
        <f t="shared" si="0"/>
        <v>207.58716719999998</v>
      </c>
      <c r="G4" s="81">
        <f t="shared" si="0"/>
        <v>207.58716719999998</v>
      </c>
      <c r="H4" s="81">
        <f t="shared" si="0"/>
        <v>207.58716719999998</v>
      </c>
      <c r="I4" s="81">
        <f t="shared" si="0"/>
        <v>207.58716719999998</v>
      </c>
      <c r="J4" s="81">
        <f t="shared" si="0"/>
        <v>207.58716719999998</v>
      </c>
      <c r="K4" s="81">
        <f t="shared" si="0"/>
        <v>207.58716719999998</v>
      </c>
      <c r="L4" s="81">
        <f t="shared" si="0"/>
        <v>207.58716719999998</v>
      </c>
      <c r="M4" s="81">
        <f t="shared" si="0"/>
        <v>207.58716719999998</v>
      </c>
      <c r="N4" s="81">
        <f t="shared" si="0"/>
        <v>207.58716719999998</v>
      </c>
      <c r="O4" s="81">
        <f t="shared" si="0"/>
        <v>207.58716719999998</v>
      </c>
      <c r="P4" s="81">
        <f t="shared" si="0"/>
        <v>207.58716719999998</v>
      </c>
      <c r="Q4" s="81">
        <f t="shared" si="0"/>
        <v>207.58716719999998</v>
      </c>
      <c r="R4" s="81">
        <f t="shared" si="0"/>
        <v>207.58716719999998</v>
      </c>
      <c r="S4" s="81">
        <f t="shared" si="0"/>
        <v>207.58716719999998</v>
      </c>
      <c r="T4" s="81">
        <f t="shared" si="0"/>
        <v>207.58716719999998</v>
      </c>
      <c r="U4" s="81">
        <f t="shared" si="0"/>
        <v>207.58716719999998</v>
      </c>
      <c r="V4" s="81">
        <f t="shared" si="0"/>
        <v>207.58716719999998</v>
      </c>
      <c r="W4" s="81">
        <f t="shared" si="0"/>
        <v>207.58716719999998</v>
      </c>
      <c r="X4" s="81">
        <f t="shared" si="0"/>
        <v>207.58716719999998</v>
      </c>
      <c r="Y4" s="81">
        <f t="shared" si="0"/>
        <v>207.58716719999998</v>
      </c>
      <c r="Z4" s="81">
        <f t="shared" si="0"/>
        <v>207.58716719999998</v>
      </c>
      <c r="AA4" s="81">
        <f t="shared" si="0"/>
        <v>207.58716719999998</v>
      </c>
      <c r="AB4" s="81">
        <f t="shared" ref="AB4" si="1">$A$2*$A$8*SUM(AB2:AB3)</f>
        <v>207.58716719999998</v>
      </c>
      <c r="AC4" s="81">
        <f t="shared" ref="AC4" si="2">$A$2*$A$8*SUM(AC2:AC3)</f>
        <v>207.58716719999998</v>
      </c>
      <c r="AD4" s="81">
        <f t="shared" ref="AD4" si="3">$A$2*$A$8*SUM(AD2:AD3)</f>
        <v>207.58716719999998</v>
      </c>
      <c r="AE4" s="81">
        <f t="shared" ref="AE4" si="4">$A$2*$A$8*SUM(AE2:AE3)</f>
        <v>207.58716719999998</v>
      </c>
      <c r="AF4" s="81">
        <f t="shared" ref="AF4" si="5">$A$2*$A$8*SUM(AF2:AF3)</f>
        <v>207.58716719999998</v>
      </c>
      <c r="AG4" s="81">
        <f t="shared" ref="AG4" si="6">$A$2*$A$8*SUM(AG2:AG3)</f>
        <v>207.58716719999998</v>
      </c>
      <c r="AH4" s="81">
        <f t="shared" ref="AH4" si="7">$A$2*$A$8*SUM(AH2:AH3)</f>
        <v>207.58716719999998</v>
      </c>
      <c r="AI4" s="81">
        <f t="shared" ref="AI4" si="8">$A$2*$A$8*SUM(AI2:AI3)</f>
        <v>207.58716719999998</v>
      </c>
      <c r="AJ4" s="81">
        <f t="shared" ref="AJ4" si="9">$A$2*$A$8*SUM(AJ2:AJ3)</f>
        <v>207.58716719999998</v>
      </c>
      <c r="AK4" s="81">
        <f t="shared" ref="AK4" si="10">$A$2*$A$8*SUM(AK2:AK3)</f>
        <v>207.58716719999998</v>
      </c>
      <c r="AL4" s="81">
        <f t="shared" ref="AL4" si="11">$A$2*$A$8*SUM(AL2:AL3)</f>
        <v>207.58716719999998</v>
      </c>
      <c r="AM4" s="81">
        <f t="shared" ref="AM4" si="12">$A$2*$A$8*SUM(AM2:AM3)</f>
        <v>207.58716719999998</v>
      </c>
      <c r="AN4" s="81">
        <f t="shared" ref="AN4" si="13">$A$2*$A$8*SUM(AN2:AN3)</f>
        <v>207.58716719999998</v>
      </c>
      <c r="AO4" s="81">
        <f t="shared" ref="AO4" si="14">$A$2*$A$8*SUM(AO2:AO3)</f>
        <v>207.58716719999998</v>
      </c>
      <c r="AP4" s="81">
        <f t="shared" ref="AP4" si="15">$A$2*$A$8*SUM(AP2:AP3)</f>
        <v>207.58716719999998</v>
      </c>
      <c r="AQ4" s="81">
        <f t="shared" ref="AQ4" si="16">$A$2*$A$8*SUM(AQ2:AQ3)</f>
        <v>207.58716719999998</v>
      </c>
    </row>
    <row r="5" spans="1:43">
      <c r="A5" s="69" t="s">
        <v>422</v>
      </c>
      <c r="B5" s="70"/>
      <c r="C5" s="49" t="s">
        <v>404</v>
      </c>
      <c r="D5" s="53">
        <f>(1/2)*($A$6)*(D1*(1000/3600)*D1*(1000/3600))*$A$4*$A$10</f>
        <v>0.83049045138888899</v>
      </c>
      <c r="E5" s="53">
        <f t="shared" ref="E5:AA5" si="17">(1/2)*($A$6)*(E1*(1000/3600)*E1*(1000/3600))*$A$4*$A$10</f>
        <v>3.321961805555556</v>
      </c>
      <c r="F5" s="53">
        <f t="shared" si="17"/>
        <v>7.474414062500002</v>
      </c>
      <c r="G5" s="53">
        <f t="shared" si="17"/>
        <v>13.287847222222224</v>
      </c>
      <c r="H5" s="53">
        <f t="shared" si="17"/>
        <v>20.762261284722225</v>
      </c>
      <c r="I5" s="53">
        <f t="shared" si="17"/>
        <v>29.897656250000008</v>
      </c>
      <c r="J5" s="53">
        <f t="shared" si="17"/>
        <v>40.694032118055567</v>
      </c>
      <c r="K5" s="53">
        <f t="shared" si="17"/>
        <v>53.151388888888896</v>
      </c>
      <c r="L5" s="53">
        <f t="shared" si="17"/>
        <v>67.269726562499997</v>
      </c>
      <c r="M5" s="53">
        <f t="shared" si="17"/>
        <v>83.0490451388889</v>
      </c>
      <c r="N5" s="53">
        <f t="shared" si="17"/>
        <v>100.48934461805557</v>
      </c>
      <c r="O5" s="53">
        <f t="shared" si="17"/>
        <v>119.59062500000003</v>
      </c>
      <c r="P5" s="53">
        <f t="shared" si="17"/>
        <v>140.35288628472227</v>
      </c>
      <c r="Q5" s="53">
        <f t="shared" si="17"/>
        <v>162.77612847222227</v>
      </c>
      <c r="R5" s="53">
        <f t="shared" si="17"/>
        <v>186.86035156250006</v>
      </c>
      <c r="S5" s="53">
        <f t="shared" si="17"/>
        <v>212.60555555555558</v>
      </c>
      <c r="T5" s="53">
        <f t="shared" si="17"/>
        <v>240.0117404513889</v>
      </c>
      <c r="U5" s="53">
        <f t="shared" si="17"/>
        <v>269.07890624999999</v>
      </c>
      <c r="V5" s="53">
        <f t="shared" si="17"/>
        <v>299.80705295138887</v>
      </c>
      <c r="W5" s="53">
        <f t="shared" si="17"/>
        <v>332.1961805555556</v>
      </c>
      <c r="X5" s="53">
        <f t="shared" si="17"/>
        <v>366.24628906250007</v>
      </c>
      <c r="Y5" s="53">
        <f t="shared" si="17"/>
        <v>401.95737847222227</v>
      </c>
      <c r="Z5" s="53">
        <f t="shared" si="17"/>
        <v>439.32944878472233</v>
      </c>
      <c r="AA5" s="53">
        <f t="shared" si="17"/>
        <v>478.36250000000013</v>
      </c>
      <c r="AB5" s="53">
        <f t="shared" ref="AB5:AQ5" si="18">(1/2)*($A$6)*(AB1*(1000/3600)*AB1*(1000/3600))*$A$4*$A$10</f>
        <v>519.05653211805566</v>
      </c>
      <c r="AC5" s="53">
        <f t="shared" si="18"/>
        <v>561.4115451388891</v>
      </c>
      <c r="AD5" s="53">
        <f t="shared" si="18"/>
        <v>605.42753906250016</v>
      </c>
      <c r="AE5" s="53">
        <f t="shared" si="18"/>
        <v>651.10451388888907</v>
      </c>
      <c r="AF5" s="53">
        <f t="shared" si="18"/>
        <v>698.44246961805561</v>
      </c>
      <c r="AG5" s="53">
        <f t="shared" si="18"/>
        <v>747.44140625000023</v>
      </c>
      <c r="AH5" s="53">
        <f t="shared" si="18"/>
        <v>798.10132378472235</v>
      </c>
      <c r="AI5" s="53">
        <f t="shared" si="18"/>
        <v>850.42222222222233</v>
      </c>
      <c r="AJ5" s="53">
        <f t="shared" si="18"/>
        <v>904.40410156249993</v>
      </c>
      <c r="AK5" s="53">
        <f t="shared" si="18"/>
        <v>960.04696180555561</v>
      </c>
      <c r="AL5" s="53">
        <f t="shared" si="18"/>
        <v>1017.3508029513889</v>
      </c>
      <c r="AM5" s="53">
        <f t="shared" si="18"/>
        <v>1076.315625</v>
      </c>
      <c r="AN5" s="53">
        <f t="shared" si="18"/>
        <v>1136.9414279513892</v>
      </c>
      <c r="AO5" s="53">
        <f t="shared" si="18"/>
        <v>1199.2282118055555</v>
      </c>
      <c r="AP5" s="53">
        <f t="shared" si="18"/>
        <v>1263.1759765625002</v>
      </c>
      <c r="AQ5" s="53">
        <f t="shared" si="18"/>
        <v>1328.7847222222224</v>
      </c>
    </row>
    <row r="6" spans="1:43">
      <c r="A6" s="67">
        <v>1.2250000000000001</v>
      </c>
      <c r="B6" s="68"/>
      <c r="C6" s="49" t="s">
        <v>361</v>
      </c>
      <c r="D6" s="61">
        <f>((0.98*($A$12/D1)*($A$12/D1)+0.63*($A$12/D1))*$A$14)-(0.4*($A$12/D1))</f>
        <v>9.0595199999999991</v>
      </c>
      <c r="E6" s="61">
        <f t="shared" ref="E6:AA6" si="19">((0.98*($A$12/E1)*($A$12/E1)+0.63*($A$12/E1))*$A$14)-(0.4*($A$12/E1))</f>
        <v>2.5540799999999995</v>
      </c>
      <c r="F6" s="61">
        <f t="shared" si="19"/>
        <v>1.2636800000000001</v>
      </c>
      <c r="G6" s="61">
        <f t="shared" si="19"/>
        <v>0.78311999999999982</v>
      </c>
      <c r="H6" s="61">
        <f t="shared" si="19"/>
        <v>0.54746879999999987</v>
      </c>
      <c r="I6" s="61">
        <f t="shared" si="19"/>
        <v>0.41232000000000002</v>
      </c>
      <c r="J6" s="61">
        <f t="shared" si="19"/>
        <v>0.32653714285714286</v>
      </c>
      <c r="K6" s="61">
        <f t="shared" si="19"/>
        <v>0.26807999999999998</v>
      </c>
      <c r="L6" s="61">
        <f t="shared" si="19"/>
        <v>0.22609777777777773</v>
      </c>
      <c r="M6" s="61">
        <f t="shared" si="19"/>
        <v>0.1947072</v>
      </c>
      <c r="N6" s="61">
        <f t="shared" si="19"/>
        <v>0.1704753719008264</v>
      </c>
      <c r="O6" s="61">
        <f t="shared" si="19"/>
        <v>0.15128</v>
      </c>
      <c r="P6" s="61">
        <f t="shared" si="19"/>
        <v>0.13574627218934909</v>
      </c>
      <c r="Q6" s="61">
        <f t="shared" si="19"/>
        <v>0.12294857142857142</v>
      </c>
      <c r="R6" s="61">
        <f t="shared" si="19"/>
        <v>0.11224319999999999</v>
      </c>
      <c r="S6" s="61">
        <f t="shared" si="19"/>
        <v>0.10316999999999998</v>
      </c>
      <c r="T6" s="61">
        <f t="shared" si="19"/>
        <v>9.5392110726643595E-2</v>
      </c>
      <c r="U6" s="61">
        <f t="shared" si="19"/>
        <v>8.8657777777777752E-2</v>
      </c>
      <c r="V6" s="61">
        <f t="shared" si="19"/>
        <v>8.277540166204983E-2</v>
      </c>
      <c r="W6" s="61">
        <f t="shared" si="19"/>
        <v>7.759679999999998E-2</v>
      </c>
      <c r="X6" s="61">
        <f t="shared" si="19"/>
        <v>7.3005714285714257E-2</v>
      </c>
      <c r="Y6" s="61">
        <f t="shared" si="19"/>
        <v>6.8909752066115673E-2</v>
      </c>
      <c r="Z6" s="61">
        <f t="shared" si="19"/>
        <v>6.5234631379962174E-2</v>
      </c>
      <c r="AA6" s="61">
        <f t="shared" si="19"/>
        <v>6.1919999999999989E-2</v>
      </c>
      <c r="AB6" s="61">
        <f t="shared" ref="AB6:AQ6" si="20">((0.98*($A$12/AB1)*($A$12/AB1)+0.63*($A$12/AB1))*$A$14)-(0.4*($A$12/AB1))</f>
        <v>5.8916351999999977E-2</v>
      </c>
      <c r="AC6" s="61">
        <f t="shared" si="20"/>
        <v>5.6182721893491126E-2</v>
      </c>
      <c r="AD6" s="61">
        <f t="shared" si="20"/>
        <v>5.3684938271604928E-2</v>
      </c>
      <c r="AE6" s="61">
        <f t="shared" si="20"/>
        <v>5.1394285714285705E-2</v>
      </c>
      <c r="AF6" s="61">
        <f t="shared" si="20"/>
        <v>4.9286468489892966E-2</v>
      </c>
      <c r="AG6" s="61">
        <f t="shared" si="20"/>
        <v>4.7340799999999988E-2</v>
      </c>
      <c r="AH6" s="61">
        <f t="shared" si="20"/>
        <v>4.5539562955254936E-2</v>
      </c>
      <c r="AI6" s="61">
        <f t="shared" si="20"/>
        <v>4.386749999999999E-2</v>
      </c>
      <c r="AJ6" s="61">
        <f t="shared" si="20"/>
        <v>4.2311404958677669E-2</v>
      </c>
      <c r="AK6" s="61">
        <f t="shared" si="20"/>
        <v>4.0859792387543246E-2</v>
      </c>
      <c r="AL6" s="61">
        <f t="shared" si="20"/>
        <v>3.9502628571428569E-2</v>
      </c>
      <c r="AM6" s="61">
        <f t="shared" si="20"/>
        <v>3.8231111111111105E-2</v>
      </c>
      <c r="AN6" s="61">
        <f t="shared" si="20"/>
        <v>3.7037487216946677E-2</v>
      </c>
      <c r="AO6" s="61">
        <f t="shared" si="20"/>
        <v>3.5914903047091412E-2</v>
      </c>
      <c r="AP6" s="61">
        <f t="shared" si="20"/>
        <v>3.4857278106508877E-2</v>
      </c>
      <c r="AQ6" s="61">
        <f t="shared" si="20"/>
        <v>3.3859199999999999E-2</v>
      </c>
    </row>
    <row r="7" spans="1:43">
      <c r="A7" s="69" t="s">
        <v>423</v>
      </c>
      <c r="B7" s="70"/>
      <c r="C7" s="49" t="s">
        <v>405</v>
      </c>
      <c r="D7" s="53">
        <f>D6*D5</f>
        <v>7.5238448541666667</v>
      </c>
      <c r="E7" s="53">
        <f>E6*E5</f>
        <v>8.4845562083333323</v>
      </c>
      <c r="F7" s="53">
        <f t="shared" ref="F7:AA7" si="21">F6*F5</f>
        <v>9.4452675625000033</v>
      </c>
      <c r="G7" s="53">
        <f t="shared" si="21"/>
        <v>10.405978916666665</v>
      </c>
      <c r="H7" s="53">
        <f t="shared" si="21"/>
        <v>11.366690270833333</v>
      </c>
      <c r="I7" s="53">
        <f t="shared" si="21"/>
        <v>12.327401625000004</v>
      </c>
      <c r="J7" s="53">
        <f t="shared" si="21"/>
        <v>13.288112979166671</v>
      </c>
      <c r="K7" s="53">
        <f t="shared" si="21"/>
        <v>14.248824333333335</v>
      </c>
      <c r="L7" s="53">
        <f t="shared" si="21"/>
        <v>15.209535687499995</v>
      </c>
      <c r="M7" s="53">
        <f t="shared" si="21"/>
        <v>16.17024704166667</v>
      </c>
      <c r="N7" s="53">
        <f t="shared" si="21"/>
        <v>17.130958395833332</v>
      </c>
      <c r="O7" s="53">
        <f t="shared" si="21"/>
        <v>18.091669750000005</v>
      </c>
      <c r="P7" s="53">
        <f t="shared" si="21"/>
        <v>19.05238110416667</v>
      </c>
      <c r="Q7" s="53">
        <f t="shared" si="21"/>
        <v>20.013092458333336</v>
      </c>
      <c r="R7" s="53">
        <f t="shared" si="21"/>
        <v>20.973803812500005</v>
      </c>
      <c r="S7" s="53">
        <f t="shared" si="21"/>
        <v>21.934515166666667</v>
      </c>
      <c r="T7" s="53">
        <f t="shared" si="21"/>
        <v>22.895226520833333</v>
      </c>
      <c r="U7" s="53">
        <f t="shared" si="21"/>
        <v>23.855937874999992</v>
      </c>
      <c r="V7" s="53">
        <f t="shared" si="21"/>
        <v>24.816649229166657</v>
      </c>
      <c r="W7" s="53">
        <f t="shared" si="21"/>
        <v>25.77736058333333</v>
      </c>
      <c r="X7" s="53">
        <f t="shared" si="21"/>
        <v>26.738071937499996</v>
      </c>
      <c r="Y7" s="53">
        <f t="shared" si="21"/>
        <v>27.698783291666658</v>
      </c>
      <c r="Z7" s="53">
        <f t="shared" si="21"/>
        <v>28.659494645833334</v>
      </c>
      <c r="AA7" s="53">
        <f t="shared" si="21"/>
        <v>29.620206000000003</v>
      </c>
      <c r="AB7" s="53">
        <f t="shared" ref="AB7:AQ7" si="22">AB6*AB5</f>
        <v>30.580917354166662</v>
      </c>
      <c r="AC7" s="53">
        <f t="shared" si="22"/>
        <v>31.541628708333345</v>
      </c>
      <c r="AD7" s="53">
        <f t="shared" si="22"/>
        <v>32.502340062500004</v>
      </c>
      <c r="AE7" s="53">
        <f t="shared" si="22"/>
        <v>33.463051416666673</v>
      </c>
      <c r="AF7" s="53">
        <f t="shared" si="22"/>
        <v>34.423762770833321</v>
      </c>
      <c r="AG7" s="53">
        <f t="shared" si="22"/>
        <v>35.384474125000004</v>
      </c>
      <c r="AH7" s="53">
        <f t="shared" si="22"/>
        <v>36.345185479166666</v>
      </c>
      <c r="AI7" s="53">
        <f t="shared" si="22"/>
        <v>37.305896833333328</v>
      </c>
      <c r="AJ7" s="53">
        <f t="shared" si="22"/>
        <v>38.266608187499983</v>
      </c>
      <c r="AK7" s="53">
        <f t="shared" si="22"/>
        <v>39.22731954166666</v>
      </c>
      <c r="AL7" s="53">
        <f t="shared" si="22"/>
        <v>40.188030895833329</v>
      </c>
      <c r="AM7" s="53">
        <f t="shared" si="22"/>
        <v>41.148742249999991</v>
      </c>
      <c r="AN7" s="53">
        <f t="shared" si="22"/>
        <v>42.109453604166681</v>
      </c>
      <c r="AO7" s="53">
        <f t="shared" si="22"/>
        <v>43.070164958333329</v>
      </c>
      <c r="AP7" s="53">
        <f t="shared" si="22"/>
        <v>44.030876312500006</v>
      </c>
      <c r="AQ7" s="53">
        <f t="shared" si="22"/>
        <v>44.991587666666675</v>
      </c>
    </row>
    <row r="8" spans="1:43">
      <c r="A8" s="67">
        <v>9.8066499999999994</v>
      </c>
      <c r="B8" s="68"/>
      <c r="C8" s="49" t="s">
        <v>406</v>
      </c>
      <c r="D8" s="53">
        <f>D4+D5+D7</f>
        <v>215.94150250555555</v>
      </c>
      <c r="E8" s="53">
        <f>E4+E5+E7</f>
        <v>219.39368521388889</v>
      </c>
      <c r="F8" s="53">
        <f t="shared" ref="F8:AA8" si="23">F4+F5+F7</f>
        <v>224.50684882499996</v>
      </c>
      <c r="G8" s="53">
        <f t="shared" si="23"/>
        <v>231.28099333888886</v>
      </c>
      <c r="H8" s="53">
        <f t="shared" si="23"/>
        <v>239.71611875555556</v>
      </c>
      <c r="I8" s="53">
        <f t="shared" si="23"/>
        <v>249.81222507499999</v>
      </c>
      <c r="J8" s="53">
        <f t="shared" si="23"/>
        <v>261.56931229722221</v>
      </c>
      <c r="K8" s="53">
        <f t="shared" si="23"/>
        <v>274.9873804222222</v>
      </c>
      <c r="L8" s="53">
        <f t="shared" si="23"/>
        <v>290.06642944999999</v>
      </c>
      <c r="M8" s="53">
        <f t="shared" si="23"/>
        <v>306.80645938055557</v>
      </c>
      <c r="N8" s="53">
        <f t="shared" si="23"/>
        <v>325.20747021388888</v>
      </c>
      <c r="O8" s="53">
        <f t="shared" si="23"/>
        <v>345.26946194999999</v>
      </c>
      <c r="P8" s="53">
        <f t="shared" si="23"/>
        <v>366.99243458888895</v>
      </c>
      <c r="Q8" s="53">
        <f t="shared" si="23"/>
        <v>390.3763881305556</v>
      </c>
      <c r="R8" s="53">
        <f t="shared" si="23"/>
        <v>415.42132257500009</v>
      </c>
      <c r="S8" s="53">
        <f t="shared" si="23"/>
        <v>442.12723792222221</v>
      </c>
      <c r="T8" s="53">
        <f t="shared" si="23"/>
        <v>470.49413417222223</v>
      </c>
      <c r="U8" s="53">
        <f t="shared" si="23"/>
        <v>500.52201132499999</v>
      </c>
      <c r="V8" s="53">
        <f t="shared" si="23"/>
        <v>532.21086938055544</v>
      </c>
      <c r="W8" s="53">
        <f t="shared" si="23"/>
        <v>565.56070833888896</v>
      </c>
      <c r="X8" s="53">
        <f t="shared" si="23"/>
        <v>600.57152819999999</v>
      </c>
      <c r="Y8" s="53">
        <f t="shared" si="23"/>
        <v>637.24332896388898</v>
      </c>
      <c r="Z8" s="53">
        <f t="shared" si="23"/>
        <v>675.5761106305556</v>
      </c>
      <c r="AA8" s="53">
        <f t="shared" si="23"/>
        <v>715.56987320000019</v>
      </c>
      <c r="AB8" s="53">
        <f t="shared" ref="AB8:AQ8" si="24">AB4+AB5+AB7</f>
        <v>757.22461667222228</v>
      </c>
      <c r="AC8" s="53">
        <f t="shared" si="24"/>
        <v>800.54034104722234</v>
      </c>
      <c r="AD8" s="53">
        <f t="shared" si="24"/>
        <v>845.51704632500014</v>
      </c>
      <c r="AE8" s="53">
        <f t="shared" si="24"/>
        <v>892.15473250555567</v>
      </c>
      <c r="AF8" s="53">
        <f t="shared" si="24"/>
        <v>940.45339958888894</v>
      </c>
      <c r="AG8" s="53">
        <f t="shared" si="24"/>
        <v>990.41304757500018</v>
      </c>
      <c r="AH8" s="53">
        <f t="shared" si="24"/>
        <v>1042.0336764638889</v>
      </c>
      <c r="AI8" s="53">
        <f t="shared" si="24"/>
        <v>1095.3152862555555</v>
      </c>
      <c r="AJ8" s="53">
        <f t="shared" si="24"/>
        <v>1150.2578769499999</v>
      </c>
      <c r="AK8" s="53">
        <f t="shared" si="24"/>
        <v>1206.8614485472224</v>
      </c>
      <c r="AL8" s="53">
        <f t="shared" si="24"/>
        <v>1265.1260010472224</v>
      </c>
      <c r="AM8" s="53">
        <f t="shared" si="24"/>
        <v>1325.05153445</v>
      </c>
      <c r="AN8" s="53">
        <f t="shared" si="24"/>
        <v>1386.6380487555559</v>
      </c>
      <c r="AO8" s="53">
        <f t="shared" si="24"/>
        <v>1449.8855439638889</v>
      </c>
      <c r="AP8" s="53">
        <f t="shared" si="24"/>
        <v>1514.7940200750002</v>
      </c>
      <c r="AQ8" s="53">
        <f t="shared" si="24"/>
        <v>1581.3634770888891</v>
      </c>
    </row>
    <row r="9" spans="1:43" ht="17" thickBot="1">
      <c r="A9" s="71" t="s">
        <v>424</v>
      </c>
      <c r="B9" s="72"/>
      <c r="C9" s="49" t="s">
        <v>414</v>
      </c>
      <c r="D9" s="53">
        <f>D8*$A$18</f>
        <v>62.189221166226936</v>
      </c>
      <c r="E9" s="53">
        <f>E8*$A$18</f>
        <v>63.183418907113932</v>
      </c>
      <c r="F9" s="53">
        <f t="shared" ref="F9:AA9" si="25">F8*$A$18</f>
        <v>64.655964290844921</v>
      </c>
      <c r="G9" s="53">
        <f t="shared" si="25"/>
        <v>66.606857317419937</v>
      </c>
      <c r="H9" s="53">
        <f t="shared" si="25"/>
        <v>69.036097986838968</v>
      </c>
      <c r="I9" s="53">
        <f t="shared" si="25"/>
        <v>71.943686299101998</v>
      </c>
      <c r="J9" s="53">
        <f t="shared" si="25"/>
        <v>75.329622254209042</v>
      </c>
      <c r="K9" s="53">
        <f t="shared" si="25"/>
        <v>79.1939058521601</v>
      </c>
      <c r="L9" s="53">
        <f t="shared" si="25"/>
        <v>83.536537092955172</v>
      </c>
      <c r="M9" s="53">
        <f t="shared" si="25"/>
        <v>88.357515976594257</v>
      </c>
      <c r="N9" s="53">
        <f t="shared" si="25"/>
        <v>93.656842503077328</v>
      </c>
      <c r="O9" s="53">
        <f t="shared" si="25"/>
        <v>99.434516672404428</v>
      </c>
      <c r="P9" s="53">
        <f t="shared" si="25"/>
        <v>105.69053848457555</v>
      </c>
      <c r="Q9" s="53">
        <f t="shared" si="25"/>
        <v>112.42490793959067</v>
      </c>
      <c r="R9" s="53">
        <f t="shared" si="25"/>
        <v>119.63762503744982</v>
      </c>
      <c r="S9" s="53">
        <f t="shared" si="25"/>
        <v>127.32868977815292</v>
      </c>
      <c r="T9" s="53">
        <f t="shared" si="25"/>
        <v>135.49810216170007</v>
      </c>
      <c r="U9" s="53">
        <f t="shared" si="25"/>
        <v>144.14586218809123</v>
      </c>
      <c r="V9" s="53">
        <f t="shared" si="25"/>
        <v>153.27196985732638</v>
      </c>
      <c r="W9" s="53">
        <f t="shared" si="25"/>
        <v>162.87642516940562</v>
      </c>
      <c r="X9" s="53">
        <f t="shared" si="25"/>
        <v>172.95922812432877</v>
      </c>
      <c r="Y9" s="53">
        <f t="shared" si="25"/>
        <v>183.52037872209601</v>
      </c>
      <c r="Z9" s="53">
        <f t="shared" si="25"/>
        <v>194.55987696270722</v>
      </c>
      <c r="AA9" s="53">
        <f t="shared" si="25"/>
        <v>206.07772284616249</v>
      </c>
      <c r="AB9" s="53">
        <f t="shared" ref="AB9:AQ9" si="26">AB8*$A$18</f>
        <v>218.0739163724617</v>
      </c>
      <c r="AC9" s="53">
        <f t="shared" si="26"/>
        <v>230.54845754160496</v>
      </c>
      <c r="AD9" s="53">
        <f t="shared" si="26"/>
        <v>243.50134635359223</v>
      </c>
      <c r="AE9" s="53">
        <f t="shared" si="26"/>
        <v>256.93258280842349</v>
      </c>
      <c r="AF9" s="53">
        <f t="shared" si="26"/>
        <v>270.84216690609873</v>
      </c>
      <c r="AG9" s="53">
        <f t="shared" si="26"/>
        <v>285.23009864661805</v>
      </c>
      <c r="AH9" s="53">
        <f t="shared" si="26"/>
        <v>300.09637802998134</v>
      </c>
      <c r="AI9" s="53">
        <f t="shared" si="26"/>
        <v>315.4410050561886</v>
      </c>
      <c r="AJ9" s="53">
        <f t="shared" si="26"/>
        <v>331.26397972523989</v>
      </c>
      <c r="AK9" s="53">
        <f t="shared" si="26"/>
        <v>347.56530203713533</v>
      </c>
      <c r="AL9" s="53">
        <f t="shared" si="26"/>
        <v>364.34497199187467</v>
      </c>
      <c r="AM9" s="53">
        <f t="shared" si="26"/>
        <v>381.60298958945793</v>
      </c>
      <c r="AN9" s="53">
        <f t="shared" si="26"/>
        <v>399.33935482988545</v>
      </c>
      <c r="AO9" s="53">
        <f t="shared" si="26"/>
        <v>417.55406771315671</v>
      </c>
      <c r="AP9" s="53">
        <f t="shared" si="26"/>
        <v>436.24712823927212</v>
      </c>
      <c r="AQ9" s="53">
        <f t="shared" si="26"/>
        <v>455.41853640823155</v>
      </c>
    </row>
    <row r="10" spans="1:43">
      <c r="A10" s="67">
        <v>0.33</v>
      </c>
      <c r="B10" s="68"/>
      <c r="C10" s="63" t="s">
        <v>373</v>
      </c>
      <c r="D10" s="64">
        <f>SIN(ATAN(5/100))</f>
        <v>4.9937616943892239E-2</v>
      </c>
      <c r="E10" s="64">
        <f t="shared" ref="E10:AQ10" si="27">SIN(ATAN(5/100))</f>
        <v>4.9937616943892239E-2</v>
      </c>
      <c r="F10" s="64">
        <f t="shared" si="27"/>
        <v>4.9937616943892239E-2</v>
      </c>
      <c r="G10" s="64">
        <f t="shared" si="27"/>
        <v>4.9937616943892239E-2</v>
      </c>
      <c r="H10" s="64">
        <f t="shared" si="27"/>
        <v>4.9937616943892239E-2</v>
      </c>
      <c r="I10" s="64">
        <f t="shared" si="27"/>
        <v>4.9937616943892239E-2</v>
      </c>
      <c r="J10" s="64">
        <f t="shared" si="27"/>
        <v>4.9937616943892239E-2</v>
      </c>
      <c r="K10" s="64">
        <f t="shared" si="27"/>
        <v>4.9937616943892239E-2</v>
      </c>
      <c r="L10" s="64">
        <f t="shared" si="27"/>
        <v>4.9937616943892239E-2</v>
      </c>
      <c r="M10" s="64">
        <f t="shared" si="27"/>
        <v>4.9937616943892239E-2</v>
      </c>
      <c r="N10" s="64">
        <f t="shared" si="27"/>
        <v>4.9937616943892239E-2</v>
      </c>
      <c r="O10" s="64">
        <f t="shared" si="27"/>
        <v>4.9937616943892239E-2</v>
      </c>
      <c r="P10" s="64">
        <f t="shared" si="27"/>
        <v>4.9937616943892239E-2</v>
      </c>
      <c r="Q10" s="64">
        <f t="shared" si="27"/>
        <v>4.9937616943892239E-2</v>
      </c>
      <c r="R10" s="64">
        <f t="shared" si="27"/>
        <v>4.9937616943892239E-2</v>
      </c>
      <c r="S10" s="64">
        <f t="shared" si="27"/>
        <v>4.9937616943892239E-2</v>
      </c>
      <c r="T10" s="64">
        <f t="shared" si="27"/>
        <v>4.9937616943892239E-2</v>
      </c>
      <c r="U10" s="64">
        <f t="shared" si="27"/>
        <v>4.9937616943892239E-2</v>
      </c>
      <c r="V10" s="64">
        <f t="shared" si="27"/>
        <v>4.9937616943892239E-2</v>
      </c>
      <c r="W10" s="64">
        <f t="shared" si="27"/>
        <v>4.9937616943892239E-2</v>
      </c>
      <c r="X10" s="64">
        <f t="shared" si="27"/>
        <v>4.9937616943892239E-2</v>
      </c>
      <c r="Y10" s="64">
        <f t="shared" si="27"/>
        <v>4.9937616943892239E-2</v>
      </c>
      <c r="Z10" s="64">
        <f t="shared" si="27"/>
        <v>4.9937616943892239E-2</v>
      </c>
      <c r="AA10" s="64">
        <f t="shared" si="27"/>
        <v>4.9937616943892239E-2</v>
      </c>
      <c r="AB10" s="64">
        <f t="shared" si="27"/>
        <v>4.9937616943892239E-2</v>
      </c>
      <c r="AC10" s="64">
        <f t="shared" si="27"/>
        <v>4.9937616943892239E-2</v>
      </c>
      <c r="AD10" s="64">
        <f t="shared" si="27"/>
        <v>4.9937616943892239E-2</v>
      </c>
      <c r="AE10" s="64">
        <f t="shared" si="27"/>
        <v>4.9937616943892239E-2</v>
      </c>
      <c r="AF10" s="64">
        <f t="shared" si="27"/>
        <v>4.9937616943892239E-2</v>
      </c>
      <c r="AG10" s="64">
        <f t="shared" si="27"/>
        <v>4.9937616943892239E-2</v>
      </c>
      <c r="AH10" s="64">
        <f t="shared" si="27"/>
        <v>4.9937616943892239E-2</v>
      </c>
      <c r="AI10" s="64">
        <f t="shared" si="27"/>
        <v>4.9937616943892239E-2</v>
      </c>
      <c r="AJ10" s="64">
        <f t="shared" si="27"/>
        <v>4.9937616943892239E-2</v>
      </c>
      <c r="AK10" s="64">
        <f t="shared" si="27"/>
        <v>4.9937616943892239E-2</v>
      </c>
      <c r="AL10" s="64">
        <f t="shared" si="27"/>
        <v>4.9937616943892239E-2</v>
      </c>
      <c r="AM10" s="64">
        <f t="shared" si="27"/>
        <v>4.9937616943892239E-2</v>
      </c>
      <c r="AN10" s="64">
        <f t="shared" si="27"/>
        <v>4.9937616943892239E-2</v>
      </c>
      <c r="AO10" s="64">
        <f t="shared" si="27"/>
        <v>4.9937616943892239E-2</v>
      </c>
      <c r="AP10" s="64">
        <f t="shared" si="27"/>
        <v>4.9937616943892239E-2</v>
      </c>
      <c r="AQ10" s="64">
        <f t="shared" si="27"/>
        <v>4.9937616943892239E-2</v>
      </c>
    </row>
    <row r="11" spans="1:43">
      <c r="A11" s="69" t="s">
        <v>438</v>
      </c>
      <c r="B11" s="70"/>
      <c r="C11" s="55" t="s">
        <v>374</v>
      </c>
      <c r="D11" s="62">
        <f>COS(ATAN(5/100))</f>
        <v>0.99875233887784465</v>
      </c>
      <c r="E11" s="62">
        <f t="shared" ref="E11:AQ11" si="28">COS(ATAN(5/100))</f>
        <v>0.99875233887784465</v>
      </c>
      <c r="F11" s="62">
        <f t="shared" si="28"/>
        <v>0.99875233887784465</v>
      </c>
      <c r="G11" s="62">
        <f t="shared" si="28"/>
        <v>0.99875233887784465</v>
      </c>
      <c r="H11" s="62">
        <f t="shared" si="28"/>
        <v>0.99875233887784465</v>
      </c>
      <c r="I11" s="62">
        <f t="shared" si="28"/>
        <v>0.99875233887784465</v>
      </c>
      <c r="J11" s="62">
        <f t="shared" si="28"/>
        <v>0.99875233887784465</v>
      </c>
      <c r="K11" s="62">
        <f t="shared" si="28"/>
        <v>0.99875233887784465</v>
      </c>
      <c r="L11" s="62">
        <f t="shared" si="28"/>
        <v>0.99875233887784465</v>
      </c>
      <c r="M11" s="62">
        <f t="shared" si="28"/>
        <v>0.99875233887784465</v>
      </c>
      <c r="N11" s="62">
        <f t="shared" si="28"/>
        <v>0.99875233887784465</v>
      </c>
      <c r="O11" s="62">
        <f t="shared" si="28"/>
        <v>0.99875233887784465</v>
      </c>
      <c r="P11" s="62">
        <f t="shared" si="28"/>
        <v>0.99875233887784465</v>
      </c>
      <c r="Q11" s="62">
        <f t="shared" si="28"/>
        <v>0.99875233887784465</v>
      </c>
      <c r="R11" s="62">
        <f t="shared" si="28"/>
        <v>0.99875233887784465</v>
      </c>
      <c r="S11" s="62">
        <f t="shared" si="28"/>
        <v>0.99875233887784465</v>
      </c>
      <c r="T11" s="62">
        <f t="shared" si="28"/>
        <v>0.99875233887784465</v>
      </c>
      <c r="U11" s="62">
        <f t="shared" si="28"/>
        <v>0.99875233887784465</v>
      </c>
      <c r="V11" s="62">
        <f t="shared" si="28"/>
        <v>0.99875233887784465</v>
      </c>
      <c r="W11" s="62">
        <f t="shared" si="28"/>
        <v>0.99875233887784465</v>
      </c>
      <c r="X11" s="62">
        <f t="shared" si="28"/>
        <v>0.99875233887784465</v>
      </c>
      <c r="Y11" s="62">
        <f t="shared" si="28"/>
        <v>0.99875233887784465</v>
      </c>
      <c r="Z11" s="62">
        <f t="shared" si="28"/>
        <v>0.99875233887784465</v>
      </c>
      <c r="AA11" s="62">
        <f t="shared" si="28"/>
        <v>0.99875233887784465</v>
      </c>
      <c r="AB11" s="62">
        <f t="shared" si="28"/>
        <v>0.99875233887784465</v>
      </c>
      <c r="AC11" s="62">
        <f t="shared" si="28"/>
        <v>0.99875233887784465</v>
      </c>
      <c r="AD11" s="62">
        <f t="shared" si="28"/>
        <v>0.99875233887784465</v>
      </c>
      <c r="AE11" s="62">
        <f t="shared" si="28"/>
        <v>0.99875233887784465</v>
      </c>
      <c r="AF11" s="62">
        <f t="shared" si="28"/>
        <v>0.99875233887784465</v>
      </c>
      <c r="AG11" s="62">
        <f t="shared" si="28"/>
        <v>0.99875233887784465</v>
      </c>
      <c r="AH11" s="62">
        <f t="shared" si="28"/>
        <v>0.99875233887784465</v>
      </c>
      <c r="AI11" s="62">
        <f t="shared" si="28"/>
        <v>0.99875233887784465</v>
      </c>
      <c r="AJ11" s="62">
        <f t="shared" si="28"/>
        <v>0.99875233887784465</v>
      </c>
      <c r="AK11" s="62">
        <f t="shared" si="28"/>
        <v>0.99875233887784465</v>
      </c>
      <c r="AL11" s="62">
        <f t="shared" si="28"/>
        <v>0.99875233887784465</v>
      </c>
      <c r="AM11" s="62">
        <f t="shared" si="28"/>
        <v>0.99875233887784465</v>
      </c>
      <c r="AN11" s="62">
        <f t="shared" si="28"/>
        <v>0.99875233887784465</v>
      </c>
      <c r="AO11" s="62">
        <f t="shared" si="28"/>
        <v>0.99875233887784465</v>
      </c>
      <c r="AP11" s="62">
        <f t="shared" si="28"/>
        <v>0.99875233887784465</v>
      </c>
      <c r="AQ11" s="62">
        <f t="shared" si="28"/>
        <v>0.99875233887784465</v>
      </c>
    </row>
    <row r="12" spans="1:43">
      <c r="A12" s="67">
        <v>12</v>
      </c>
      <c r="B12" s="68"/>
      <c r="C12" s="49" t="s">
        <v>407</v>
      </c>
      <c r="D12" s="53">
        <f>$A$2*$A$8*D10</f>
        <v>575.91157989451733</v>
      </c>
      <c r="E12" s="53">
        <f t="shared" ref="E12:AA12" si="29">$A$2*$A$8*E10</f>
        <v>575.91157989451733</v>
      </c>
      <c r="F12" s="53">
        <f t="shared" si="29"/>
        <v>575.91157989451733</v>
      </c>
      <c r="G12" s="53">
        <f t="shared" si="29"/>
        <v>575.91157989451733</v>
      </c>
      <c r="H12" s="53">
        <f t="shared" si="29"/>
        <v>575.91157989451733</v>
      </c>
      <c r="I12" s="53">
        <f t="shared" si="29"/>
        <v>575.91157989451733</v>
      </c>
      <c r="J12" s="53">
        <f t="shared" si="29"/>
        <v>575.91157989451733</v>
      </c>
      <c r="K12" s="53">
        <f t="shared" si="29"/>
        <v>575.91157989451733</v>
      </c>
      <c r="L12" s="53">
        <f t="shared" si="29"/>
        <v>575.91157989451733</v>
      </c>
      <c r="M12" s="53">
        <f t="shared" si="29"/>
        <v>575.91157989451733</v>
      </c>
      <c r="N12" s="53">
        <f t="shared" si="29"/>
        <v>575.91157989451733</v>
      </c>
      <c r="O12" s="53">
        <f t="shared" si="29"/>
        <v>575.91157989451733</v>
      </c>
      <c r="P12" s="53">
        <f t="shared" si="29"/>
        <v>575.91157989451733</v>
      </c>
      <c r="Q12" s="53">
        <f t="shared" si="29"/>
        <v>575.91157989451733</v>
      </c>
      <c r="R12" s="53">
        <f t="shared" si="29"/>
        <v>575.91157989451733</v>
      </c>
      <c r="S12" s="53">
        <f t="shared" si="29"/>
        <v>575.91157989451733</v>
      </c>
      <c r="T12" s="53">
        <f t="shared" si="29"/>
        <v>575.91157989451733</v>
      </c>
      <c r="U12" s="53">
        <f t="shared" si="29"/>
        <v>575.91157989451733</v>
      </c>
      <c r="V12" s="53">
        <f t="shared" si="29"/>
        <v>575.91157989451733</v>
      </c>
      <c r="W12" s="53">
        <f t="shared" si="29"/>
        <v>575.91157989451733</v>
      </c>
      <c r="X12" s="53">
        <f t="shared" si="29"/>
        <v>575.91157989451733</v>
      </c>
      <c r="Y12" s="53">
        <f t="shared" si="29"/>
        <v>575.91157989451733</v>
      </c>
      <c r="Z12" s="53">
        <f t="shared" si="29"/>
        <v>575.91157989451733</v>
      </c>
      <c r="AA12" s="53">
        <f t="shared" si="29"/>
        <v>575.91157989451733</v>
      </c>
      <c r="AB12" s="53">
        <f t="shared" ref="AB12:AQ12" si="30">$A$2*$A$8*AB10</f>
        <v>575.91157989451733</v>
      </c>
      <c r="AC12" s="53">
        <f t="shared" si="30"/>
        <v>575.91157989451733</v>
      </c>
      <c r="AD12" s="53">
        <f t="shared" si="30"/>
        <v>575.91157989451733</v>
      </c>
      <c r="AE12" s="53">
        <f t="shared" si="30"/>
        <v>575.91157989451733</v>
      </c>
      <c r="AF12" s="53">
        <f t="shared" si="30"/>
        <v>575.91157989451733</v>
      </c>
      <c r="AG12" s="53">
        <f t="shared" si="30"/>
        <v>575.91157989451733</v>
      </c>
      <c r="AH12" s="53">
        <f t="shared" si="30"/>
        <v>575.91157989451733</v>
      </c>
      <c r="AI12" s="53">
        <f t="shared" si="30"/>
        <v>575.91157989451733</v>
      </c>
      <c r="AJ12" s="53">
        <f t="shared" si="30"/>
        <v>575.91157989451733</v>
      </c>
      <c r="AK12" s="53">
        <f t="shared" si="30"/>
        <v>575.91157989451733</v>
      </c>
      <c r="AL12" s="53">
        <f t="shared" si="30"/>
        <v>575.91157989451733</v>
      </c>
      <c r="AM12" s="53">
        <f t="shared" si="30"/>
        <v>575.91157989451733</v>
      </c>
      <c r="AN12" s="53">
        <f t="shared" si="30"/>
        <v>575.91157989451733</v>
      </c>
      <c r="AO12" s="53">
        <f t="shared" si="30"/>
        <v>575.91157989451733</v>
      </c>
      <c r="AP12" s="53">
        <f t="shared" si="30"/>
        <v>575.91157989451733</v>
      </c>
      <c r="AQ12" s="53">
        <f t="shared" si="30"/>
        <v>575.91157989451733</v>
      </c>
    </row>
    <row r="13" spans="1:43">
      <c r="A13" s="71" t="s">
        <v>425</v>
      </c>
      <c r="B13" s="72"/>
      <c r="C13" s="49" t="s">
        <v>408</v>
      </c>
      <c r="D13" s="53">
        <f>$A$20*$A$2*$A$8*D11</f>
        <v>207.32816876202619</v>
      </c>
      <c r="E13" s="53">
        <f t="shared" ref="E13:AA13" si="31">$A$20*$A$2*$A$8*E11</f>
        <v>207.32816876202619</v>
      </c>
      <c r="F13" s="53">
        <f t="shared" si="31"/>
        <v>207.32816876202619</v>
      </c>
      <c r="G13" s="53">
        <f t="shared" si="31"/>
        <v>207.32816876202619</v>
      </c>
      <c r="H13" s="53">
        <f t="shared" si="31"/>
        <v>207.32816876202619</v>
      </c>
      <c r="I13" s="53">
        <f t="shared" si="31"/>
        <v>207.32816876202619</v>
      </c>
      <c r="J13" s="53">
        <f t="shared" si="31"/>
        <v>207.32816876202619</v>
      </c>
      <c r="K13" s="53">
        <f t="shared" si="31"/>
        <v>207.32816876202619</v>
      </c>
      <c r="L13" s="53">
        <f t="shared" si="31"/>
        <v>207.32816876202619</v>
      </c>
      <c r="M13" s="53">
        <f t="shared" si="31"/>
        <v>207.32816876202619</v>
      </c>
      <c r="N13" s="53">
        <f t="shared" si="31"/>
        <v>207.32816876202619</v>
      </c>
      <c r="O13" s="53">
        <f t="shared" si="31"/>
        <v>207.32816876202619</v>
      </c>
      <c r="P13" s="53">
        <f t="shared" si="31"/>
        <v>207.32816876202619</v>
      </c>
      <c r="Q13" s="53">
        <f t="shared" si="31"/>
        <v>207.32816876202619</v>
      </c>
      <c r="R13" s="53">
        <f t="shared" si="31"/>
        <v>207.32816876202619</v>
      </c>
      <c r="S13" s="53">
        <f t="shared" si="31"/>
        <v>207.32816876202619</v>
      </c>
      <c r="T13" s="53">
        <f t="shared" si="31"/>
        <v>207.32816876202619</v>
      </c>
      <c r="U13" s="53">
        <f t="shared" si="31"/>
        <v>207.32816876202619</v>
      </c>
      <c r="V13" s="53">
        <f t="shared" si="31"/>
        <v>207.32816876202619</v>
      </c>
      <c r="W13" s="53">
        <f t="shared" si="31"/>
        <v>207.32816876202619</v>
      </c>
      <c r="X13" s="53">
        <f t="shared" si="31"/>
        <v>207.32816876202619</v>
      </c>
      <c r="Y13" s="53">
        <f t="shared" si="31"/>
        <v>207.32816876202619</v>
      </c>
      <c r="Z13" s="53">
        <f t="shared" si="31"/>
        <v>207.32816876202619</v>
      </c>
      <c r="AA13" s="53">
        <f t="shared" si="31"/>
        <v>207.32816876202619</v>
      </c>
      <c r="AB13" s="53">
        <f t="shared" ref="AB13:AQ13" si="32">$A$20*$A$2*$A$8*AB11</f>
        <v>207.32816876202619</v>
      </c>
      <c r="AC13" s="53">
        <f t="shared" si="32"/>
        <v>207.32816876202619</v>
      </c>
      <c r="AD13" s="53">
        <f t="shared" si="32"/>
        <v>207.32816876202619</v>
      </c>
      <c r="AE13" s="53">
        <f t="shared" si="32"/>
        <v>207.32816876202619</v>
      </c>
      <c r="AF13" s="53">
        <f t="shared" si="32"/>
        <v>207.32816876202619</v>
      </c>
      <c r="AG13" s="53">
        <f t="shared" si="32"/>
        <v>207.32816876202619</v>
      </c>
      <c r="AH13" s="53">
        <f t="shared" si="32"/>
        <v>207.32816876202619</v>
      </c>
      <c r="AI13" s="53">
        <f t="shared" si="32"/>
        <v>207.32816876202619</v>
      </c>
      <c r="AJ13" s="53">
        <f t="shared" si="32"/>
        <v>207.32816876202619</v>
      </c>
      <c r="AK13" s="53">
        <f t="shared" si="32"/>
        <v>207.32816876202619</v>
      </c>
      <c r="AL13" s="53">
        <f t="shared" si="32"/>
        <v>207.32816876202619</v>
      </c>
      <c r="AM13" s="53">
        <f t="shared" si="32"/>
        <v>207.32816876202619</v>
      </c>
      <c r="AN13" s="53">
        <f t="shared" si="32"/>
        <v>207.32816876202619</v>
      </c>
      <c r="AO13" s="53">
        <f t="shared" si="32"/>
        <v>207.32816876202619</v>
      </c>
      <c r="AP13" s="53">
        <f t="shared" si="32"/>
        <v>207.32816876202619</v>
      </c>
      <c r="AQ13" s="53">
        <f t="shared" si="32"/>
        <v>207.32816876202619</v>
      </c>
    </row>
    <row r="14" spans="1:43">
      <c r="A14" s="67">
        <v>1.4</v>
      </c>
      <c r="B14" s="68"/>
      <c r="C14" s="49" t="s">
        <v>409</v>
      </c>
      <c r="D14" s="53">
        <f>D$5+D$7+D12+D13</f>
        <v>791.59408396209903</v>
      </c>
      <c r="E14" s="53">
        <f t="shared" ref="E14:AA14" si="33">E$5+E$7+E12+E13</f>
        <v>795.04626667043237</v>
      </c>
      <c r="F14" s="53">
        <f t="shared" si="33"/>
        <v>800.15943028154345</v>
      </c>
      <c r="G14" s="53">
        <f t="shared" si="33"/>
        <v>806.93357479543238</v>
      </c>
      <c r="H14" s="53">
        <f t="shared" si="33"/>
        <v>815.36870021209904</v>
      </c>
      <c r="I14" s="53">
        <f t="shared" si="33"/>
        <v>825.46480653154356</v>
      </c>
      <c r="J14" s="53">
        <f t="shared" si="33"/>
        <v>837.2218937537657</v>
      </c>
      <c r="K14" s="53">
        <f t="shared" si="33"/>
        <v>850.63996187876569</v>
      </c>
      <c r="L14" s="53">
        <f t="shared" si="33"/>
        <v>865.71901090654353</v>
      </c>
      <c r="M14" s="53">
        <f t="shared" si="33"/>
        <v>882.45904083709911</v>
      </c>
      <c r="N14" s="53">
        <f t="shared" si="33"/>
        <v>900.86005167043243</v>
      </c>
      <c r="O14" s="53">
        <f t="shared" si="33"/>
        <v>920.92204340654359</v>
      </c>
      <c r="P14" s="53">
        <f t="shared" si="33"/>
        <v>942.6450160454325</v>
      </c>
      <c r="Q14" s="53">
        <f t="shared" si="33"/>
        <v>966.02896958709914</v>
      </c>
      <c r="R14" s="53">
        <f t="shared" si="33"/>
        <v>991.07390403154352</v>
      </c>
      <c r="S14" s="53">
        <f t="shared" si="33"/>
        <v>1017.7798193787658</v>
      </c>
      <c r="T14" s="53">
        <f t="shared" si="33"/>
        <v>1046.1467156287658</v>
      </c>
      <c r="U14" s="53">
        <f t="shared" si="33"/>
        <v>1076.1745927815437</v>
      </c>
      <c r="V14" s="53">
        <f t="shared" si="33"/>
        <v>1107.8634508370992</v>
      </c>
      <c r="W14" s="53">
        <f t="shared" si="33"/>
        <v>1141.2132897954325</v>
      </c>
      <c r="X14" s="53">
        <f t="shared" si="33"/>
        <v>1176.2241096565435</v>
      </c>
      <c r="Y14" s="53">
        <f t="shared" si="33"/>
        <v>1212.8959104204325</v>
      </c>
      <c r="Z14" s="53">
        <f t="shared" si="33"/>
        <v>1251.2286920870993</v>
      </c>
      <c r="AA14" s="53">
        <f t="shared" si="33"/>
        <v>1291.2224546565437</v>
      </c>
      <c r="AB14" s="53">
        <f t="shared" ref="AB14:AQ14" si="34">AB$5+AB$7+AB12+AB13</f>
        <v>1332.8771981287659</v>
      </c>
      <c r="AC14" s="53">
        <f t="shared" si="34"/>
        <v>1376.1929225037659</v>
      </c>
      <c r="AD14" s="53">
        <f t="shared" si="34"/>
        <v>1421.1696277815438</v>
      </c>
      <c r="AE14" s="53">
        <f t="shared" si="34"/>
        <v>1467.8073139620994</v>
      </c>
      <c r="AF14" s="53">
        <f t="shared" si="34"/>
        <v>1516.1059810454324</v>
      </c>
      <c r="AG14" s="53">
        <f t="shared" si="34"/>
        <v>1566.0656290315439</v>
      </c>
      <c r="AH14" s="53">
        <f t="shared" si="34"/>
        <v>1617.6862579204326</v>
      </c>
      <c r="AI14" s="53">
        <f t="shared" si="34"/>
        <v>1670.9678677120994</v>
      </c>
      <c r="AJ14" s="53">
        <f t="shared" si="34"/>
        <v>1725.9104584065435</v>
      </c>
      <c r="AK14" s="53">
        <f t="shared" si="34"/>
        <v>1782.5140300037658</v>
      </c>
      <c r="AL14" s="53">
        <f t="shared" si="34"/>
        <v>1840.7785825037661</v>
      </c>
      <c r="AM14" s="53">
        <f t="shared" si="34"/>
        <v>1900.7041159065436</v>
      </c>
      <c r="AN14" s="53">
        <f t="shared" si="34"/>
        <v>1962.2906302120994</v>
      </c>
      <c r="AO14" s="53">
        <f t="shared" si="34"/>
        <v>2025.5381254204324</v>
      </c>
      <c r="AP14" s="53">
        <f t="shared" si="34"/>
        <v>2090.4466015315434</v>
      </c>
      <c r="AQ14" s="53">
        <f t="shared" si="34"/>
        <v>2157.0160585454323</v>
      </c>
    </row>
    <row r="15" spans="1:43" ht="17" thickBot="1">
      <c r="A15" s="69" t="s">
        <v>426</v>
      </c>
      <c r="B15" s="70"/>
      <c r="C15" s="49" t="s">
        <v>415</v>
      </c>
      <c r="D15" s="53">
        <f>D14*$A$18</f>
        <v>227.97201552364527</v>
      </c>
      <c r="E15" s="53">
        <f t="shared" ref="E15:AA15" si="35">E14*$A$18</f>
        <v>228.96621326453226</v>
      </c>
      <c r="F15" s="53">
        <f t="shared" si="35"/>
        <v>230.43875864826327</v>
      </c>
      <c r="G15" s="53">
        <f t="shared" si="35"/>
        <v>232.38965167483829</v>
      </c>
      <c r="H15" s="53">
        <f t="shared" si="35"/>
        <v>234.81889234425731</v>
      </c>
      <c r="I15" s="53">
        <f t="shared" si="35"/>
        <v>237.72648065652035</v>
      </c>
      <c r="J15" s="53">
        <f t="shared" si="35"/>
        <v>241.1124166116274</v>
      </c>
      <c r="K15" s="53">
        <f t="shared" si="35"/>
        <v>244.97670020957844</v>
      </c>
      <c r="L15" s="53">
        <f t="shared" si="35"/>
        <v>249.31933145037351</v>
      </c>
      <c r="M15" s="53">
        <f t="shared" si="35"/>
        <v>254.14031033401261</v>
      </c>
      <c r="N15" s="53">
        <f t="shared" si="35"/>
        <v>259.43963686049568</v>
      </c>
      <c r="O15" s="53">
        <f t="shared" si="35"/>
        <v>265.21731102982278</v>
      </c>
      <c r="P15" s="53">
        <f t="shared" si="35"/>
        <v>271.47333284199391</v>
      </c>
      <c r="Q15" s="53">
        <f t="shared" si="35"/>
        <v>278.20770229700901</v>
      </c>
      <c r="R15" s="53">
        <f t="shared" si="35"/>
        <v>285.42041939486813</v>
      </c>
      <c r="S15" s="53">
        <f t="shared" si="35"/>
        <v>293.11148413557129</v>
      </c>
      <c r="T15" s="53">
        <f t="shared" si="35"/>
        <v>301.28089651911847</v>
      </c>
      <c r="U15" s="53">
        <f t="shared" si="35"/>
        <v>309.92865654550963</v>
      </c>
      <c r="V15" s="53">
        <f t="shared" si="35"/>
        <v>319.05476421474481</v>
      </c>
      <c r="W15" s="53">
        <f t="shared" si="35"/>
        <v>328.65921952682396</v>
      </c>
      <c r="X15" s="53">
        <f t="shared" si="35"/>
        <v>338.74202248174714</v>
      </c>
      <c r="Y15" s="53">
        <f t="shared" si="35"/>
        <v>349.30317307951435</v>
      </c>
      <c r="Z15" s="53">
        <f t="shared" si="35"/>
        <v>360.34267132012559</v>
      </c>
      <c r="AA15" s="53">
        <f t="shared" si="35"/>
        <v>371.86051720358086</v>
      </c>
      <c r="AB15" s="53">
        <f t="shared" ref="AB15:AQ15" si="36">AB14*$A$18</f>
        <v>383.85671072988009</v>
      </c>
      <c r="AC15" s="53">
        <f t="shared" si="36"/>
        <v>396.3312518990233</v>
      </c>
      <c r="AD15" s="53">
        <f t="shared" si="36"/>
        <v>409.28414071101059</v>
      </c>
      <c r="AE15" s="53">
        <f t="shared" si="36"/>
        <v>422.71537716584191</v>
      </c>
      <c r="AF15" s="53">
        <f t="shared" si="36"/>
        <v>436.62496126351704</v>
      </c>
      <c r="AG15" s="53">
        <f t="shared" si="36"/>
        <v>451.01289300403647</v>
      </c>
      <c r="AH15" s="53">
        <f t="shared" si="36"/>
        <v>465.87917238739971</v>
      </c>
      <c r="AI15" s="53">
        <f t="shared" si="36"/>
        <v>481.22379941360708</v>
      </c>
      <c r="AJ15" s="53">
        <f t="shared" si="36"/>
        <v>497.04677408265826</v>
      </c>
      <c r="AK15" s="53">
        <f t="shared" si="36"/>
        <v>513.34809639455364</v>
      </c>
      <c r="AL15" s="53">
        <f t="shared" si="36"/>
        <v>530.1277663492931</v>
      </c>
      <c r="AM15" s="53">
        <f t="shared" si="36"/>
        <v>547.38578394687636</v>
      </c>
      <c r="AN15" s="53">
        <f t="shared" si="36"/>
        <v>565.12214918730376</v>
      </c>
      <c r="AO15" s="53">
        <f t="shared" si="36"/>
        <v>583.33686207057508</v>
      </c>
      <c r="AP15" s="53">
        <f t="shared" si="36"/>
        <v>602.02992259669043</v>
      </c>
      <c r="AQ15" s="53">
        <f t="shared" si="36"/>
        <v>621.2013307656498</v>
      </c>
    </row>
    <row r="16" spans="1:43">
      <c r="A16" s="80">
        <f>(1000)/(((($B$24*25.4)+((2*$B$22*$B$23/100)))*3.141592653589)/1000)</f>
        <v>552.6213301803316</v>
      </c>
      <c r="B16" s="74"/>
      <c r="C16" s="63" t="s">
        <v>379</v>
      </c>
      <c r="D16" s="64">
        <f>SIN(ATAN(10/100))</f>
        <v>9.9503719020998929E-2</v>
      </c>
      <c r="E16" s="64">
        <f t="shared" ref="E16:AQ16" si="37">SIN(ATAN(10/100))</f>
        <v>9.9503719020998929E-2</v>
      </c>
      <c r="F16" s="64">
        <f t="shared" si="37"/>
        <v>9.9503719020998929E-2</v>
      </c>
      <c r="G16" s="64">
        <f t="shared" si="37"/>
        <v>9.9503719020998929E-2</v>
      </c>
      <c r="H16" s="64">
        <f t="shared" si="37"/>
        <v>9.9503719020998929E-2</v>
      </c>
      <c r="I16" s="64">
        <f t="shared" si="37"/>
        <v>9.9503719020998929E-2</v>
      </c>
      <c r="J16" s="64">
        <f t="shared" si="37"/>
        <v>9.9503719020998929E-2</v>
      </c>
      <c r="K16" s="64">
        <f t="shared" si="37"/>
        <v>9.9503719020998929E-2</v>
      </c>
      <c r="L16" s="64">
        <f t="shared" si="37"/>
        <v>9.9503719020998929E-2</v>
      </c>
      <c r="M16" s="64">
        <f t="shared" si="37"/>
        <v>9.9503719020998929E-2</v>
      </c>
      <c r="N16" s="64">
        <f t="shared" si="37"/>
        <v>9.9503719020998929E-2</v>
      </c>
      <c r="O16" s="64">
        <f t="shared" si="37"/>
        <v>9.9503719020998929E-2</v>
      </c>
      <c r="P16" s="64">
        <f t="shared" si="37"/>
        <v>9.9503719020998929E-2</v>
      </c>
      <c r="Q16" s="64">
        <f t="shared" si="37"/>
        <v>9.9503719020998929E-2</v>
      </c>
      <c r="R16" s="64">
        <f t="shared" si="37"/>
        <v>9.9503719020998929E-2</v>
      </c>
      <c r="S16" s="64">
        <f t="shared" si="37"/>
        <v>9.9503719020998929E-2</v>
      </c>
      <c r="T16" s="64">
        <f t="shared" si="37"/>
        <v>9.9503719020998929E-2</v>
      </c>
      <c r="U16" s="64">
        <f t="shared" si="37"/>
        <v>9.9503719020998929E-2</v>
      </c>
      <c r="V16" s="64">
        <f t="shared" si="37"/>
        <v>9.9503719020998929E-2</v>
      </c>
      <c r="W16" s="64">
        <f t="shared" si="37"/>
        <v>9.9503719020998929E-2</v>
      </c>
      <c r="X16" s="64">
        <f t="shared" si="37"/>
        <v>9.9503719020998929E-2</v>
      </c>
      <c r="Y16" s="64">
        <f t="shared" si="37"/>
        <v>9.9503719020998929E-2</v>
      </c>
      <c r="Z16" s="64">
        <f t="shared" si="37"/>
        <v>9.9503719020998929E-2</v>
      </c>
      <c r="AA16" s="64">
        <f t="shared" si="37"/>
        <v>9.9503719020998929E-2</v>
      </c>
      <c r="AB16" s="64">
        <f t="shared" si="37"/>
        <v>9.9503719020998929E-2</v>
      </c>
      <c r="AC16" s="64">
        <f t="shared" si="37"/>
        <v>9.9503719020998929E-2</v>
      </c>
      <c r="AD16" s="64">
        <f t="shared" si="37"/>
        <v>9.9503719020998929E-2</v>
      </c>
      <c r="AE16" s="64">
        <f t="shared" si="37"/>
        <v>9.9503719020998929E-2</v>
      </c>
      <c r="AF16" s="64">
        <f t="shared" si="37"/>
        <v>9.9503719020998929E-2</v>
      </c>
      <c r="AG16" s="64">
        <f t="shared" si="37"/>
        <v>9.9503719020998929E-2</v>
      </c>
      <c r="AH16" s="64">
        <f t="shared" si="37"/>
        <v>9.9503719020998929E-2</v>
      </c>
      <c r="AI16" s="64">
        <f t="shared" si="37"/>
        <v>9.9503719020998929E-2</v>
      </c>
      <c r="AJ16" s="64">
        <f t="shared" si="37"/>
        <v>9.9503719020998929E-2</v>
      </c>
      <c r="AK16" s="64">
        <f t="shared" si="37"/>
        <v>9.9503719020998929E-2</v>
      </c>
      <c r="AL16" s="64">
        <f t="shared" si="37"/>
        <v>9.9503719020998929E-2</v>
      </c>
      <c r="AM16" s="64">
        <f t="shared" si="37"/>
        <v>9.9503719020998929E-2</v>
      </c>
      <c r="AN16" s="64">
        <f t="shared" si="37"/>
        <v>9.9503719020998929E-2</v>
      </c>
      <c r="AO16" s="64">
        <f t="shared" si="37"/>
        <v>9.9503719020998929E-2</v>
      </c>
      <c r="AP16" s="64">
        <f t="shared" si="37"/>
        <v>9.9503719020998929E-2</v>
      </c>
      <c r="AQ16" s="64">
        <f t="shared" si="37"/>
        <v>9.9503719020998929E-2</v>
      </c>
    </row>
    <row r="17" spans="1:43">
      <c r="A17" s="71" t="s">
        <v>427</v>
      </c>
      <c r="B17" s="72"/>
      <c r="C17" s="55" t="s">
        <v>380</v>
      </c>
      <c r="D17" s="62">
        <f>COS(ATAN(10/100))</f>
        <v>0.99503719020998915</v>
      </c>
      <c r="E17" s="62">
        <f t="shared" ref="E17:AQ17" si="38">COS(ATAN(10/100))</f>
        <v>0.99503719020998915</v>
      </c>
      <c r="F17" s="62">
        <f t="shared" si="38"/>
        <v>0.99503719020998915</v>
      </c>
      <c r="G17" s="62">
        <f t="shared" si="38"/>
        <v>0.99503719020998915</v>
      </c>
      <c r="H17" s="62">
        <f t="shared" si="38"/>
        <v>0.99503719020998915</v>
      </c>
      <c r="I17" s="62">
        <f t="shared" si="38"/>
        <v>0.99503719020998915</v>
      </c>
      <c r="J17" s="62">
        <f t="shared" si="38"/>
        <v>0.99503719020998915</v>
      </c>
      <c r="K17" s="62">
        <f t="shared" si="38"/>
        <v>0.99503719020998915</v>
      </c>
      <c r="L17" s="62">
        <f t="shared" si="38"/>
        <v>0.99503719020998915</v>
      </c>
      <c r="M17" s="62">
        <f t="shared" si="38"/>
        <v>0.99503719020998915</v>
      </c>
      <c r="N17" s="62">
        <f t="shared" si="38"/>
        <v>0.99503719020998915</v>
      </c>
      <c r="O17" s="62">
        <f t="shared" si="38"/>
        <v>0.99503719020998915</v>
      </c>
      <c r="P17" s="62">
        <f t="shared" si="38"/>
        <v>0.99503719020998915</v>
      </c>
      <c r="Q17" s="62">
        <f t="shared" si="38"/>
        <v>0.99503719020998915</v>
      </c>
      <c r="R17" s="62">
        <f t="shared" si="38"/>
        <v>0.99503719020998915</v>
      </c>
      <c r="S17" s="62">
        <f t="shared" si="38"/>
        <v>0.99503719020998915</v>
      </c>
      <c r="T17" s="62">
        <f t="shared" si="38"/>
        <v>0.99503719020998915</v>
      </c>
      <c r="U17" s="62">
        <f t="shared" si="38"/>
        <v>0.99503719020998915</v>
      </c>
      <c r="V17" s="62">
        <f t="shared" si="38"/>
        <v>0.99503719020998915</v>
      </c>
      <c r="W17" s="62">
        <f t="shared" si="38"/>
        <v>0.99503719020998915</v>
      </c>
      <c r="X17" s="62">
        <f t="shared" si="38"/>
        <v>0.99503719020998915</v>
      </c>
      <c r="Y17" s="62">
        <f t="shared" si="38"/>
        <v>0.99503719020998915</v>
      </c>
      <c r="Z17" s="62">
        <f t="shared" si="38"/>
        <v>0.99503719020998915</v>
      </c>
      <c r="AA17" s="62">
        <f t="shared" si="38"/>
        <v>0.99503719020998915</v>
      </c>
      <c r="AB17" s="62">
        <f t="shared" si="38"/>
        <v>0.99503719020998915</v>
      </c>
      <c r="AC17" s="62">
        <f t="shared" si="38"/>
        <v>0.99503719020998915</v>
      </c>
      <c r="AD17" s="62">
        <f t="shared" si="38"/>
        <v>0.99503719020998915</v>
      </c>
      <c r="AE17" s="62">
        <f t="shared" si="38"/>
        <v>0.99503719020998915</v>
      </c>
      <c r="AF17" s="62">
        <f t="shared" si="38"/>
        <v>0.99503719020998915</v>
      </c>
      <c r="AG17" s="62">
        <f t="shared" si="38"/>
        <v>0.99503719020998915</v>
      </c>
      <c r="AH17" s="62">
        <f t="shared" si="38"/>
        <v>0.99503719020998915</v>
      </c>
      <c r="AI17" s="62">
        <f t="shared" si="38"/>
        <v>0.99503719020998915</v>
      </c>
      <c r="AJ17" s="62">
        <f t="shared" si="38"/>
        <v>0.99503719020998915</v>
      </c>
      <c r="AK17" s="62">
        <f t="shared" si="38"/>
        <v>0.99503719020998915</v>
      </c>
      <c r="AL17" s="62">
        <f t="shared" si="38"/>
        <v>0.99503719020998915</v>
      </c>
      <c r="AM17" s="62">
        <f t="shared" si="38"/>
        <v>0.99503719020998915</v>
      </c>
      <c r="AN17" s="62">
        <f t="shared" si="38"/>
        <v>0.99503719020998915</v>
      </c>
      <c r="AO17" s="62">
        <f t="shared" si="38"/>
        <v>0.99503719020998915</v>
      </c>
      <c r="AP17" s="62">
        <f t="shared" si="38"/>
        <v>0.99503719020998915</v>
      </c>
      <c r="AQ17" s="62">
        <f t="shared" si="38"/>
        <v>0.99503719020998915</v>
      </c>
    </row>
    <row r="18" spans="1:43">
      <c r="A18" s="73">
        <f>159.15/A16</f>
        <v>0.28799105519156509</v>
      </c>
      <c r="B18" s="75"/>
      <c r="C18" s="49" t="s">
        <v>407</v>
      </c>
      <c r="D18" s="53">
        <f>$A$2*$A$8*D16</f>
        <v>1147.5386198574402</v>
      </c>
      <c r="E18" s="53">
        <f t="shared" ref="E18:AA18" si="39">$A$2*$A$8*E16</f>
        <v>1147.5386198574402</v>
      </c>
      <c r="F18" s="53">
        <f t="shared" si="39"/>
        <v>1147.5386198574402</v>
      </c>
      <c r="G18" s="53">
        <f t="shared" si="39"/>
        <v>1147.5386198574402</v>
      </c>
      <c r="H18" s="53">
        <f t="shared" si="39"/>
        <v>1147.5386198574402</v>
      </c>
      <c r="I18" s="53">
        <f t="shared" si="39"/>
        <v>1147.5386198574402</v>
      </c>
      <c r="J18" s="53">
        <f t="shared" si="39"/>
        <v>1147.5386198574402</v>
      </c>
      <c r="K18" s="53">
        <f t="shared" si="39"/>
        <v>1147.5386198574402</v>
      </c>
      <c r="L18" s="53">
        <f t="shared" si="39"/>
        <v>1147.5386198574402</v>
      </c>
      <c r="M18" s="53">
        <f t="shared" si="39"/>
        <v>1147.5386198574402</v>
      </c>
      <c r="N18" s="53">
        <f t="shared" si="39"/>
        <v>1147.5386198574402</v>
      </c>
      <c r="O18" s="53">
        <f t="shared" si="39"/>
        <v>1147.5386198574402</v>
      </c>
      <c r="P18" s="53">
        <f t="shared" si="39"/>
        <v>1147.5386198574402</v>
      </c>
      <c r="Q18" s="53">
        <f t="shared" si="39"/>
        <v>1147.5386198574402</v>
      </c>
      <c r="R18" s="53">
        <f t="shared" si="39"/>
        <v>1147.5386198574402</v>
      </c>
      <c r="S18" s="53">
        <f t="shared" si="39"/>
        <v>1147.5386198574402</v>
      </c>
      <c r="T18" s="53">
        <f t="shared" si="39"/>
        <v>1147.5386198574402</v>
      </c>
      <c r="U18" s="53">
        <f t="shared" si="39"/>
        <v>1147.5386198574402</v>
      </c>
      <c r="V18" s="53">
        <f t="shared" si="39"/>
        <v>1147.5386198574402</v>
      </c>
      <c r="W18" s="53">
        <f t="shared" si="39"/>
        <v>1147.5386198574402</v>
      </c>
      <c r="X18" s="53">
        <f t="shared" si="39"/>
        <v>1147.5386198574402</v>
      </c>
      <c r="Y18" s="53">
        <f t="shared" si="39"/>
        <v>1147.5386198574402</v>
      </c>
      <c r="Z18" s="53">
        <f t="shared" si="39"/>
        <v>1147.5386198574402</v>
      </c>
      <c r="AA18" s="53">
        <f t="shared" si="39"/>
        <v>1147.5386198574402</v>
      </c>
      <c r="AB18" s="53">
        <f t="shared" ref="AB18:AQ18" si="40">$A$2*$A$8*AB16</f>
        <v>1147.5386198574402</v>
      </c>
      <c r="AC18" s="53">
        <f t="shared" si="40"/>
        <v>1147.5386198574402</v>
      </c>
      <c r="AD18" s="53">
        <f t="shared" si="40"/>
        <v>1147.5386198574402</v>
      </c>
      <c r="AE18" s="53">
        <f t="shared" si="40"/>
        <v>1147.5386198574402</v>
      </c>
      <c r="AF18" s="53">
        <f t="shared" si="40"/>
        <v>1147.5386198574402</v>
      </c>
      <c r="AG18" s="53">
        <f t="shared" si="40"/>
        <v>1147.5386198574402</v>
      </c>
      <c r="AH18" s="53">
        <f t="shared" si="40"/>
        <v>1147.5386198574402</v>
      </c>
      <c r="AI18" s="53">
        <f t="shared" si="40"/>
        <v>1147.5386198574402</v>
      </c>
      <c r="AJ18" s="53">
        <f t="shared" si="40"/>
        <v>1147.5386198574402</v>
      </c>
      <c r="AK18" s="53">
        <f t="shared" si="40"/>
        <v>1147.5386198574402</v>
      </c>
      <c r="AL18" s="53">
        <f t="shared" si="40"/>
        <v>1147.5386198574402</v>
      </c>
      <c r="AM18" s="53">
        <f t="shared" si="40"/>
        <v>1147.5386198574402</v>
      </c>
      <c r="AN18" s="53">
        <f t="shared" si="40"/>
        <v>1147.5386198574402</v>
      </c>
      <c r="AO18" s="53">
        <f t="shared" si="40"/>
        <v>1147.5386198574402</v>
      </c>
      <c r="AP18" s="53">
        <f t="shared" si="40"/>
        <v>1147.5386198574402</v>
      </c>
      <c r="AQ18" s="53">
        <f t="shared" si="40"/>
        <v>1147.5386198574402</v>
      </c>
    </row>
    <row r="19" spans="1:43">
      <c r="A19" s="71" t="s">
        <v>428</v>
      </c>
      <c r="B19" s="72"/>
      <c r="C19" s="49" t="s">
        <v>408</v>
      </c>
      <c r="D19" s="53">
        <f>$A$20*$A$2*$A$8*D17</f>
        <v>206.55695157433922</v>
      </c>
      <c r="E19" s="53">
        <f t="shared" ref="E19:AA19" si="41">$A$20*$A$2*$A$8*E17</f>
        <v>206.55695157433922</v>
      </c>
      <c r="F19" s="53">
        <f t="shared" si="41"/>
        <v>206.55695157433922</v>
      </c>
      <c r="G19" s="53">
        <f t="shared" si="41"/>
        <v>206.55695157433922</v>
      </c>
      <c r="H19" s="53">
        <f t="shared" si="41"/>
        <v>206.55695157433922</v>
      </c>
      <c r="I19" s="53">
        <f t="shared" si="41"/>
        <v>206.55695157433922</v>
      </c>
      <c r="J19" s="53">
        <f t="shared" si="41"/>
        <v>206.55695157433922</v>
      </c>
      <c r="K19" s="53">
        <f t="shared" si="41"/>
        <v>206.55695157433922</v>
      </c>
      <c r="L19" s="53">
        <f t="shared" si="41"/>
        <v>206.55695157433922</v>
      </c>
      <c r="M19" s="53">
        <f t="shared" si="41"/>
        <v>206.55695157433922</v>
      </c>
      <c r="N19" s="53">
        <f t="shared" si="41"/>
        <v>206.55695157433922</v>
      </c>
      <c r="O19" s="53">
        <f t="shared" si="41"/>
        <v>206.55695157433922</v>
      </c>
      <c r="P19" s="53">
        <f t="shared" si="41"/>
        <v>206.55695157433922</v>
      </c>
      <c r="Q19" s="53">
        <f t="shared" si="41"/>
        <v>206.55695157433922</v>
      </c>
      <c r="R19" s="53">
        <f t="shared" si="41"/>
        <v>206.55695157433922</v>
      </c>
      <c r="S19" s="53">
        <f t="shared" si="41"/>
        <v>206.55695157433922</v>
      </c>
      <c r="T19" s="53">
        <f t="shared" si="41"/>
        <v>206.55695157433922</v>
      </c>
      <c r="U19" s="53">
        <f t="shared" si="41"/>
        <v>206.55695157433922</v>
      </c>
      <c r="V19" s="53">
        <f t="shared" si="41"/>
        <v>206.55695157433922</v>
      </c>
      <c r="W19" s="53">
        <f t="shared" si="41"/>
        <v>206.55695157433922</v>
      </c>
      <c r="X19" s="53">
        <f t="shared" si="41"/>
        <v>206.55695157433922</v>
      </c>
      <c r="Y19" s="53">
        <f t="shared" si="41"/>
        <v>206.55695157433922</v>
      </c>
      <c r="Z19" s="53">
        <f t="shared" si="41"/>
        <v>206.55695157433922</v>
      </c>
      <c r="AA19" s="53">
        <f t="shared" si="41"/>
        <v>206.55695157433922</v>
      </c>
      <c r="AB19" s="53">
        <f t="shared" ref="AB19:AQ19" si="42">$A$20*$A$2*$A$8*AB17</f>
        <v>206.55695157433922</v>
      </c>
      <c r="AC19" s="53">
        <f t="shared" si="42"/>
        <v>206.55695157433922</v>
      </c>
      <c r="AD19" s="53">
        <f t="shared" si="42"/>
        <v>206.55695157433922</v>
      </c>
      <c r="AE19" s="53">
        <f t="shared" si="42"/>
        <v>206.55695157433922</v>
      </c>
      <c r="AF19" s="53">
        <f t="shared" si="42"/>
        <v>206.55695157433922</v>
      </c>
      <c r="AG19" s="53">
        <f t="shared" si="42"/>
        <v>206.55695157433922</v>
      </c>
      <c r="AH19" s="53">
        <f t="shared" si="42"/>
        <v>206.55695157433922</v>
      </c>
      <c r="AI19" s="53">
        <f t="shared" si="42"/>
        <v>206.55695157433922</v>
      </c>
      <c r="AJ19" s="53">
        <f t="shared" si="42"/>
        <v>206.55695157433922</v>
      </c>
      <c r="AK19" s="53">
        <f t="shared" si="42"/>
        <v>206.55695157433922</v>
      </c>
      <c r="AL19" s="53">
        <f t="shared" si="42"/>
        <v>206.55695157433922</v>
      </c>
      <c r="AM19" s="53">
        <f t="shared" si="42"/>
        <v>206.55695157433922</v>
      </c>
      <c r="AN19" s="53">
        <f t="shared" si="42"/>
        <v>206.55695157433922</v>
      </c>
      <c r="AO19" s="53">
        <f t="shared" si="42"/>
        <v>206.55695157433922</v>
      </c>
      <c r="AP19" s="53">
        <f t="shared" si="42"/>
        <v>206.55695157433922</v>
      </c>
      <c r="AQ19" s="53">
        <f t="shared" si="42"/>
        <v>206.55695157433922</v>
      </c>
    </row>
    <row r="20" spans="1:43" ht="17" thickBot="1">
      <c r="A20" s="67">
        <f>0.015+0.002+0.001</f>
        <v>1.8000000000000002E-2</v>
      </c>
      <c r="B20" s="68"/>
      <c r="C20" s="49" t="s">
        <v>410</v>
      </c>
      <c r="D20" s="53">
        <f>D$5+D$7+D18+D19</f>
        <v>1362.4499067373349</v>
      </c>
      <c r="E20" s="53">
        <f t="shared" ref="E20:AA20" si="43">E$5+E$7+E18+E19</f>
        <v>1365.9020894456685</v>
      </c>
      <c r="F20" s="53">
        <f t="shared" si="43"/>
        <v>1371.0152530567793</v>
      </c>
      <c r="G20" s="53">
        <f t="shared" si="43"/>
        <v>1377.7893975706684</v>
      </c>
      <c r="H20" s="53">
        <f t="shared" si="43"/>
        <v>1386.2245229873351</v>
      </c>
      <c r="I20" s="53">
        <f t="shared" si="43"/>
        <v>1396.3206293067792</v>
      </c>
      <c r="J20" s="53">
        <f t="shared" si="43"/>
        <v>1408.0777165290015</v>
      </c>
      <c r="K20" s="53">
        <f t="shared" si="43"/>
        <v>1421.4957846540015</v>
      </c>
      <c r="L20" s="53">
        <f t="shared" si="43"/>
        <v>1436.5748336817792</v>
      </c>
      <c r="M20" s="53">
        <f t="shared" si="43"/>
        <v>1453.3148636123351</v>
      </c>
      <c r="N20" s="53">
        <f t="shared" si="43"/>
        <v>1471.7158744456683</v>
      </c>
      <c r="O20" s="53">
        <f t="shared" si="43"/>
        <v>1491.7778661817792</v>
      </c>
      <c r="P20" s="53">
        <f t="shared" si="43"/>
        <v>1513.5008388206684</v>
      </c>
      <c r="Q20" s="53">
        <f t="shared" si="43"/>
        <v>1536.8847923623348</v>
      </c>
      <c r="R20" s="53">
        <f t="shared" si="43"/>
        <v>1561.9297268067794</v>
      </c>
      <c r="S20" s="53">
        <f t="shared" si="43"/>
        <v>1588.6356421540017</v>
      </c>
      <c r="T20" s="53">
        <f t="shared" si="43"/>
        <v>1617.0025384040014</v>
      </c>
      <c r="U20" s="53">
        <f t="shared" si="43"/>
        <v>1647.0304155567792</v>
      </c>
      <c r="V20" s="53">
        <f t="shared" si="43"/>
        <v>1678.7192736123347</v>
      </c>
      <c r="W20" s="53">
        <f t="shared" si="43"/>
        <v>1712.0691125706685</v>
      </c>
      <c r="X20" s="53">
        <f t="shared" si="43"/>
        <v>1747.0799324317795</v>
      </c>
      <c r="Y20" s="53">
        <f t="shared" si="43"/>
        <v>1783.7517331956683</v>
      </c>
      <c r="Z20" s="53">
        <f t="shared" si="43"/>
        <v>1822.0845148623348</v>
      </c>
      <c r="AA20" s="53">
        <f t="shared" si="43"/>
        <v>1862.0782774317795</v>
      </c>
      <c r="AB20" s="53">
        <f t="shared" ref="AB20" si="44">AB$5+AB$7+AB18+AB19</f>
        <v>1903.7330209040015</v>
      </c>
      <c r="AC20" s="53">
        <f t="shared" ref="AC20" si="45">AC$5+AC$7+AC18+AC19</f>
        <v>1947.0487452790017</v>
      </c>
      <c r="AD20" s="53">
        <f t="shared" ref="AD20" si="46">AD$5+AD$7+AD18+AD19</f>
        <v>1992.0254505567796</v>
      </c>
      <c r="AE20" s="53">
        <f t="shared" ref="AE20" si="47">AE$5+AE$7+AE18+AE19</f>
        <v>2038.6631367373352</v>
      </c>
      <c r="AF20" s="53">
        <f t="shared" ref="AF20" si="48">AF$5+AF$7+AF18+AF19</f>
        <v>2086.9618038206681</v>
      </c>
      <c r="AG20" s="53">
        <f t="shared" ref="AG20" si="49">AG$5+AG$7+AG18+AG19</f>
        <v>2136.9214518067797</v>
      </c>
      <c r="AH20" s="53">
        <f t="shared" ref="AH20" si="50">AH$5+AH$7+AH18+AH19</f>
        <v>2188.5420806956681</v>
      </c>
      <c r="AI20" s="53">
        <f t="shared" ref="AI20" si="51">AI$5+AI$7+AI18+AI19</f>
        <v>2241.8236904873352</v>
      </c>
      <c r="AJ20" s="53">
        <f t="shared" ref="AJ20" si="52">AJ$5+AJ$7+AJ18+AJ19</f>
        <v>2296.766281181779</v>
      </c>
      <c r="AK20" s="53">
        <f t="shared" ref="AK20" si="53">AK$5+AK$7+AK18+AK19</f>
        <v>2353.3698527790016</v>
      </c>
      <c r="AL20" s="53">
        <f t="shared" ref="AL20" si="54">AL$5+AL$7+AL18+AL19</f>
        <v>2411.6344052790018</v>
      </c>
      <c r="AM20" s="53">
        <f t="shared" ref="AM20" si="55">AM$5+AM$7+AM18+AM19</f>
        <v>2471.5599386817794</v>
      </c>
      <c r="AN20" s="53">
        <f t="shared" ref="AN20" si="56">AN$5+AN$7+AN18+AN19</f>
        <v>2533.1464529873351</v>
      </c>
      <c r="AO20" s="53">
        <f t="shared" ref="AO20" si="57">AO$5+AO$7+AO18+AO19</f>
        <v>2596.3939481956681</v>
      </c>
      <c r="AP20" s="53">
        <f t="shared" ref="AP20" si="58">AP$5+AP$7+AP18+AP19</f>
        <v>2661.3024243067794</v>
      </c>
      <c r="AQ20" s="53">
        <f t="shared" ref="AQ20" si="59">AQ$5+AQ$7+AQ18+AQ19</f>
        <v>2727.8718813206683</v>
      </c>
    </row>
    <row r="21" spans="1:43" ht="17" thickBot="1">
      <c r="A21" s="65" t="s">
        <v>429</v>
      </c>
      <c r="B21" s="79"/>
      <c r="C21" s="49" t="s">
        <v>416</v>
      </c>
      <c r="D21" s="53">
        <f>D20*$A$18</f>
        <v>392.37338628693453</v>
      </c>
      <c r="E21" s="53">
        <f t="shared" ref="E21:AA21" si="60">E20*$A$18</f>
        <v>393.36758402782158</v>
      </c>
      <c r="F21" s="53">
        <f t="shared" si="60"/>
        <v>394.84012941155254</v>
      </c>
      <c r="G21" s="53">
        <f t="shared" si="60"/>
        <v>396.79102243812758</v>
      </c>
      <c r="H21" s="53">
        <f t="shared" si="60"/>
        <v>399.22026310754666</v>
      </c>
      <c r="I21" s="53">
        <f t="shared" si="60"/>
        <v>402.12785141980953</v>
      </c>
      <c r="J21" s="53">
        <f t="shared" si="60"/>
        <v>405.5137873749166</v>
      </c>
      <c r="K21" s="53">
        <f t="shared" si="60"/>
        <v>409.37807097286765</v>
      </c>
      <c r="L21" s="53">
        <f t="shared" si="60"/>
        <v>413.72070221366272</v>
      </c>
      <c r="M21" s="53">
        <f t="shared" si="60"/>
        <v>418.54168109730188</v>
      </c>
      <c r="N21" s="53">
        <f t="shared" si="60"/>
        <v>423.84100762378495</v>
      </c>
      <c r="O21" s="53">
        <f t="shared" si="60"/>
        <v>429.61868179311199</v>
      </c>
      <c r="P21" s="53">
        <f t="shared" si="60"/>
        <v>435.87470360528317</v>
      </c>
      <c r="Q21" s="53">
        <f t="shared" si="60"/>
        <v>442.60907306029821</v>
      </c>
      <c r="R21" s="53">
        <f t="shared" si="60"/>
        <v>449.8217901581574</v>
      </c>
      <c r="S21" s="53">
        <f t="shared" si="60"/>
        <v>457.51285489886055</v>
      </c>
      <c r="T21" s="53">
        <f t="shared" si="60"/>
        <v>465.68226728240762</v>
      </c>
      <c r="U21" s="53">
        <f t="shared" si="60"/>
        <v>474.33002730879878</v>
      </c>
      <c r="V21" s="53">
        <f t="shared" si="60"/>
        <v>483.45613497803396</v>
      </c>
      <c r="W21" s="53">
        <f t="shared" si="60"/>
        <v>493.06059029011328</v>
      </c>
      <c r="X21" s="53">
        <f t="shared" si="60"/>
        <v>503.14339324503641</v>
      </c>
      <c r="Y21" s="53">
        <f t="shared" si="60"/>
        <v>513.70454384280356</v>
      </c>
      <c r="Z21" s="53">
        <f t="shared" si="60"/>
        <v>524.7440420834148</v>
      </c>
      <c r="AA21" s="53">
        <f t="shared" si="60"/>
        <v>536.26188796687006</v>
      </c>
      <c r="AB21" s="53">
        <f t="shared" ref="AB21" si="61">AB20*$A$18</f>
        <v>548.25808149316924</v>
      </c>
      <c r="AC21" s="53">
        <f t="shared" ref="AC21" si="62">AC20*$A$18</f>
        <v>560.73262266231256</v>
      </c>
      <c r="AD21" s="53">
        <f t="shared" ref="AD21" si="63">AD20*$A$18</f>
        <v>573.6855114742998</v>
      </c>
      <c r="AE21" s="53">
        <f t="shared" ref="AE21" si="64">AE20*$A$18</f>
        <v>587.11674792913107</v>
      </c>
      <c r="AF21" s="53">
        <f t="shared" ref="AF21" si="65">AF20*$A$18</f>
        <v>601.02633202680624</v>
      </c>
      <c r="AG21" s="53">
        <f t="shared" ref="AG21" si="66">AG20*$A$18</f>
        <v>615.41426376732568</v>
      </c>
      <c r="AH21" s="53">
        <f t="shared" ref="AH21" si="67">AH20*$A$18</f>
        <v>630.28054315068891</v>
      </c>
      <c r="AI21" s="53">
        <f t="shared" ref="AI21" si="68">AI20*$A$18</f>
        <v>645.62517017689629</v>
      </c>
      <c r="AJ21" s="53">
        <f t="shared" ref="AJ21" si="69">AJ20*$A$18</f>
        <v>661.44814484594747</v>
      </c>
      <c r="AK21" s="53">
        <f t="shared" ref="AK21" si="70">AK20*$A$18</f>
        <v>677.7494671578429</v>
      </c>
      <c r="AL21" s="53">
        <f t="shared" ref="AL21" si="71">AL20*$A$18</f>
        <v>694.52913711258225</v>
      </c>
      <c r="AM21" s="53">
        <f t="shared" ref="AM21" si="72">AM20*$A$18</f>
        <v>711.78715471016551</v>
      </c>
      <c r="AN21" s="53">
        <f t="shared" ref="AN21" si="73">AN20*$A$18</f>
        <v>729.52351995059303</v>
      </c>
      <c r="AO21" s="53">
        <f t="shared" ref="AO21" si="74">AO20*$A$18</f>
        <v>747.73823283386423</v>
      </c>
      <c r="AP21" s="53">
        <f t="shared" ref="AP21" si="75">AP20*$A$18</f>
        <v>766.43129335997969</v>
      </c>
      <c r="AQ21" s="53">
        <f t="shared" ref="AQ21" si="76">AQ20*$A$18</f>
        <v>785.60270152893906</v>
      </c>
    </row>
    <row r="22" spans="1:43">
      <c r="A22" s="76" t="s">
        <v>430</v>
      </c>
      <c r="B22" s="68">
        <v>195</v>
      </c>
      <c r="C22" s="63" t="s">
        <v>383</v>
      </c>
      <c r="D22" s="64">
        <f>SIN(ATAN(15/100))</f>
        <v>0.14834045293024464</v>
      </c>
      <c r="E22" s="64">
        <f t="shared" ref="E22:AQ22" si="77">SIN(ATAN(15/100))</f>
        <v>0.14834045293024464</v>
      </c>
      <c r="F22" s="64">
        <f t="shared" si="77"/>
        <v>0.14834045293024464</v>
      </c>
      <c r="G22" s="64">
        <f t="shared" si="77"/>
        <v>0.14834045293024464</v>
      </c>
      <c r="H22" s="64">
        <f t="shared" si="77"/>
        <v>0.14834045293024464</v>
      </c>
      <c r="I22" s="64">
        <f t="shared" si="77"/>
        <v>0.14834045293024464</v>
      </c>
      <c r="J22" s="64">
        <f t="shared" si="77"/>
        <v>0.14834045293024464</v>
      </c>
      <c r="K22" s="64">
        <f t="shared" si="77"/>
        <v>0.14834045293024464</v>
      </c>
      <c r="L22" s="64">
        <f t="shared" si="77"/>
        <v>0.14834045293024464</v>
      </c>
      <c r="M22" s="64">
        <f t="shared" si="77"/>
        <v>0.14834045293024464</v>
      </c>
      <c r="N22" s="64">
        <f t="shared" si="77"/>
        <v>0.14834045293024464</v>
      </c>
      <c r="O22" s="64">
        <f t="shared" si="77"/>
        <v>0.14834045293024464</v>
      </c>
      <c r="P22" s="64">
        <f t="shared" si="77"/>
        <v>0.14834045293024464</v>
      </c>
      <c r="Q22" s="64">
        <f t="shared" si="77"/>
        <v>0.14834045293024464</v>
      </c>
      <c r="R22" s="64">
        <f t="shared" si="77"/>
        <v>0.14834045293024464</v>
      </c>
      <c r="S22" s="64">
        <f t="shared" si="77"/>
        <v>0.14834045293024464</v>
      </c>
      <c r="T22" s="64">
        <f t="shared" si="77"/>
        <v>0.14834045293024464</v>
      </c>
      <c r="U22" s="64">
        <f t="shared" si="77"/>
        <v>0.14834045293024464</v>
      </c>
      <c r="V22" s="64">
        <f t="shared" si="77"/>
        <v>0.14834045293024464</v>
      </c>
      <c r="W22" s="64">
        <f t="shared" si="77"/>
        <v>0.14834045293024464</v>
      </c>
      <c r="X22" s="64">
        <f t="shared" si="77"/>
        <v>0.14834045293024464</v>
      </c>
      <c r="Y22" s="64">
        <f t="shared" si="77"/>
        <v>0.14834045293024464</v>
      </c>
      <c r="Z22" s="64">
        <f t="shared" si="77"/>
        <v>0.14834045293024464</v>
      </c>
      <c r="AA22" s="64">
        <f t="shared" si="77"/>
        <v>0.14834045293024464</v>
      </c>
      <c r="AB22" s="64">
        <f t="shared" si="77"/>
        <v>0.14834045293024464</v>
      </c>
      <c r="AC22" s="64">
        <f t="shared" si="77"/>
        <v>0.14834045293024464</v>
      </c>
      <c r="AD22" s="64">
        <f t="shared" si="77"/>
        <v>0.14834045293024464</v>
      </c>
      <c r="AE22" s="64">
        <f t="shared" si="77"/>
        <v>0.14834045293024464</v>
      </c>
      <c r="AF22" s="64">
        <f t="shared" si="77"/>
        <v>0.14834045293024464</v>
      </c>
      <c r="AG22" s="64">
        <f t="shared" si="77"/>
        <v>0.14834045293024464</v>
      </c>
      <c r="AH22" s="64">
        <f t="shared" si="77"/>
        <v>0.14834045293024464</v>
      </c>
      <c r="AI22" s="64">
        <f t="shared" si="77"/>
        <v>0.14834045293024464</v>
      </c>
      <c r="AJ22" s="64">
        <f t="shared" si="77"/>
        <v>0.14834045293024464</v>
      </c>
      <c r="AK22" s="64">
        <f t="shared" si="77"/>
        <v>0.14834045293024464</v>
      </c>
      <c r="AL22" s="64">
        <f t="shared" si="77"/>
        <v>0.14834045293024464</v>
      </c>
      <c r="AM22" s="64">
        <f t="shared" si="77"/>
        <v>0.14834045293024464</v>
      </c>
      <c r="AN22" s="64">
        <f t="shared" si="77"/>
        <v>0.14834045293024464</v>
      </c>
      <c r="AO22" s="64">
        <f t="shared" si="77"/>
        <v>0.14834045293024464</v>
      </c>
      <c r="AP22" s="64">
        <f t="shared" si="77"/>
        <v>0.14834045293024464</v>
      </c>
      <c r="AQ22" s="64">
        <f t="shared" si="77"/>
        <v>0.14834045293024464</v>
      </c>
    </row>
    <row r="23" spans="1:43">
      <c r="A23" s="76" t="s">
        <v>431</v>
      </c>
      <c r="B23" s="68">
        <v>50</v>
      </c>
      <c r="C23" s="55" t="s">
        <v>384</v>
      </c>
      <c r="D23" s="62">
        <f>COS(ATAN(15/100))</f>
        <v>0.98893635286829751</v>
      </c>
      <c r="E23" s="62">
        <f t="shared" ref="E23:AQ23" si="78">COS(ATAN(15/100))</f>
        <v>0.98893635286829751</v>
      </c>
      <c r="F23" s="62">
        <f t="shared" si="78"/>
        <v>0.98893635286829751</v>
      </c>
      <c r="G23" s="62">
        <f t="shared" si="78"/>
        <v>0.98893635286829751</v>
      </c>
      <c r="H23" s="62">
        <f t="shared" si="78"/>
        <v>0.98893635286829751</v>
      </c>
      <c r="I23" s="62">
        <f t="shared" si="78"/>
        <v>0.98893635286829751</v>
      </c>
      <c r="J23" s="62">
        <f t="shared" si="78"/>
        <v>0.98893635286829751</v>
      </c>
      <c r="K23" s="62">
        <f t="shared" si="78"/>
        <v>0.98893635286829751</v>
      </c>
      <c r="L23" s="62">
        <f t="shared" si="78"/>
        <v>0.98893635286829751</v>
      </c>
      <c r="M23" s="62">
        <f t="shared" si="78"/>
        <v>0.98893635286829751</v>
      </c>
      <c r="N23" s="62">
        <f t="shared" si="78"/>
        <v>0.98893635286829751</v>
      </c>
      <c r="O23" s="62">
        <f t="shared" si="78"/>
        <v>0.98893635286829751</v>
      </c>
      <c r="P23" s="62">
        <f t="shared" si="78"/>
        <v>0.98893635286829751</v>
      </c>
      <c r="Q23" s="62">
        <f t="shared" si="78"/>
        <v>0.98893635286829751</v>
      </c>
      <c r="R23" s="62">
        <f t="shared" si="78"/>
        <v>0.98893635286829751</v>
      </c>
      <c r="S23" s="62">
        <f t="shared" si="78"/>
        <v>0.98893635286829751</v>
      </c>
      <c r="T23" s="62">
        <f t="shared" si="78"/>
        <v>0.98893635286829751</v>
      </c>
      <c r="U23" s="62">
        <f t="shared" si="78"/>
        <v>0.98893635286829751</v>
      </c>
      <c r="V23" s="62">
        <f t="shared" si="78"/>
        <v>0.98893635286829751</v>
      </c>
      <c r="W23" s="62">
        <f t="shared" si="78"/>
        <v>0.98893635286829751</v>
      </c>
      <c r="X23" s="62">
        <f t="shared" si="78"/>
        <v>0.98893635286829751</v>
      </c>
      <c r="Y23" s="62">
        <f t="shared" si="78"/>
        <v>0.98893635286829751</v>
      </c>
      <c r="Z23" s="62">
        <f t="shared" si="78"/>
        <v>0.98893635286829751</v>
      </c>
      <c r="AA23" s="62">
        <f t="shared" si="78"/>
        <v>0.98893635286829751</v>
      </c>
      <c r="AB23" s="62">
        <f t="shared" si="78"/>
        <v>0.98893635286829751</v>
      </c>
      <c r="AC23" s="62">
        <f t="shared" si="78"/>
        <v>0.98893635286829751</v>
      </c>
      <c r="AD23" s="62">
        <f t="shared" si="78"/>
        <v>0.98893635286829751</v>
      </c>
      <c r="AE23" s="62">
        <f t="shared" si="78"/>
        <v>0.98893635286829751</v>
      </c>
      <c r="AF23" s="62">
        <f t="shared" si="78"/>
        <v>0.98893635286829751</v>
      </c>
      <c r="AG23" s="62">
        <f t="shared" si="78"/>
        <v>0.98893635286829751</v>
      </c>
      <c r="AH23" s="62">
        <f t="shared" si="78"/>
        <v>0.98893635286829751</v>
      </c>
      <c r="AI23" s="62">
        <f t="shared" si="78"/>
        <v>0.98893635286829751</v>
      </c>
      <c r="AJ23" s="62">
        <f t="shared" si="78"/>
        <v>0.98893635286829751</v>
      </c>
      <c r="AK23" s="62">
        <f t="shared" si="78"/>
        <v>0.98893635286829751</v>
      </c>
      <c r="AL23" s="62">
        <f t="shared" si="78"/>
        <v>0.98893635286829751</v>
      </c>
      <c r="AM23" s="62">
        <f t="shared" si="78"/>
        <v>0.98893635286829751</v>
      </c>
      <c r="AN23" s="62">
        <f t="shared" si="78"/>
        <v>0.98893635286829751</v>
      </c>
      <c r="AO23" s="62">
        <f t="shared" si="78"/>
        <v>0.98893635286829751</v>
      </c>
      <c r="AP23" s="62">
        <f t="shared" si="78"/>
        <v>0.98893635286829751</v>
      </c>
      <c r="AQ23" s="62">
        <f t="shared" si="78"/>
        <v>0.98893635286829751</v>
      </c>
    </row>
    <row r="24" spans="1:43" ht="17" thickBot="1">
      <c r="A24" s="77" t="s">
        <v>432</v>
      </c>
      <c r="B24" s="78">
        <v>15</v>
      </c>
      <c r="C24" s="49" t="s">
        <v>407</v>
      </c>
      <c r="D24" s="53">
        <f>$A$2*$A$8*D22</f>
        <v>1710.7541336085792</v>
      </c>
      <c r="E24" s="53">
        <f t="shared" ref="E24:AA24" si="79">$A$2*$A$8*E22</f>
        <v>1710.7541336085792</v>
      </c>
      <c r="F24" s="53">
        <f t="shared" si="79"/>
        <v>1710.7541336085792</v>
      </c>
      <c r="G24" s="53">
        <f t="shared" si="79"/>
        <v>1710.7541336085792</v>
      </c>
      <c r="H24" s="53">
        <f t="shared" si="79"/>
        <v>1710.7541336085792</v>
      </c>
      <c r="I24" s="53">
        <f t="shared" si="79"/>
        <v>1710.7541336085792</v>
      </c>
      <c r="J24" s="53">
        <f t="shared" si="79"/>
        <v>1710.7541336085792</v>
      </c>
      <c r="K24" s="53">
        <f t="shared" si="79"/>
        <v>1710.7541336085792</v>
      </c>
      <c r="L24" s="53">
        <f t="shared" si="79"/>
        <v>1710.7541336085792</v>
      </c>
      <c r="M24" s="53">
        <f t="shared" si="79"/>
        <v>1710.7541336085792</v>
      </c>
      <c r="N24" s="53">
        <f t="shared" si="79"/>
        <v>1710.7541336085792</v>
      </c>
      <c r="O24" s="53">
        <f t="shared" si="79"/>
        <v>1710.7541336085792</v>
      </c>
      <c r="P24" s="53">
        <f t="shared" si="79"/>
        <v>1710.7541336085792</v>
      </c>
      <c r="Q24" s="53">
        <f t="shared" si="79"/>
        <v>1710.7541336085792</v>
      </c>
      <c r="R24" s="53">
        <f t="shared" si="79"/>
        <v>1710.7541336085792</v>
      </c>
      <c r="S24" s="53">
        <f t="shared" si="79"/>
        <v>1710.7541336085792</v>
      </c>
      <c r="T24" s="53">
        <f t="shared" si="79"/>
        <v>1710.7541336085792</v>
      </c>
      <c r="U24" s="53">
        <f t="shared" si="79"/>
        <v>1710.7541336085792</v>
      </c>
      <c r="V24" s="53">
        <f t="shared" si="79"/>
        <v>1710.7541336085792</v>
      </c>
      <c r="W24" s="53">
        <f t="shared" si="79"/>
        <v>1710.7541336085792</v>
      </c>
      <c r="X24" s="53">
        <f t="shared" si="79"/>
        <v>1710.7541336085792</v>
      </c>
      <c r="Y24" s="53">
        <f t="shared" si="79"/>
        <v>1710.7541336085792</v>
      </c>
      <c r="Z24" s="53">
        <f t="shared" si="79"/>
        <v>1710.7541336085792</v>
      </c>
      <c r="AA24" s="53">
        <f t="shared" si="79"/>
        <v>1710.7541336085792</v>
      </c>
      <c r="AB24" s="53">
        <f t="shared" ref="AB24:AQ24" si="80">$A$2*$A$8*AB22</f>
        <v>1710.7541336085792</v>
      </c>
      <c r="AC24" s="53">
        <f t="shared" si="80"/>
        <v>1710.7541336085792</v>
      </c>
      <c r="AD24" s="53">
        <f t="shared" si="80"/>
        <v>1710.7541336085792</v>
      </c>
      <c r="AE24" s="53">
        <f t="shared" si="80"/>
        <v>1710.7541336085792</v>
      </c>
      <c r="AF24" s="53">
        <f t="shared" si="80"/>
        <v>1710.7541336085792</v>
      </c>
      <c r="AG24" s="53">
        <f t="shared" si="80"/>
        <v>1710.7541336085792</v>
      </c>
      <c r="AH24" s="53">
        <f t="shared" si="80"/>
        <v>1710.7541336085792</v>
      </c>
      <c r="AI24" s="53">
        <f t="shared" si="80"/>
        <v>1710.7541336085792</v>
      </c>
      <c r="AJ24" s="53">
        <f t="shared" si="80"/>
        <v>1710.7541336085792</v>
      </c>
      <c r="AK24" s="53">
        <f t="shared" si="80"/>
        <v>1710.7541336085792</v>
      </c>
      <c r="AL24" s="53">
        <f t="shared" si="80"/>
        <v>1710.7541336085792</v>
      </c>
      <c r="AM24" s="53">
        <f t="shared" si="80"/>
        <v>1710.7541336085792</v>
      </c>
      <c r="AN24" s="53">
        <f t="shared" si="80"/>
        <v>1710.7541336085792</v>
      </c>
      <c r="AO24" s="53">
        <f t="shared" si="80"/>
        <v>1710.7541336085792</v>
      </c>
      <c r="AP24" s="53">
        <f t="shared" si="80"/>
        <v>1710.7541336085792</v>
      </c>
      <c r="AQ24" s="53">
        <f t="shared" si="80"/>
        <v>1710.7541336085792</v>
      </c>
    </row>
    <row r="25" spans="1:43">
      <c r="A25" s="55"/>
      <c r="B25" s="55"/>
      <c r="C25" s="49" t="s">
        <v>408</v>
      </c>
      <c r="D25" s="53">
        <f>$A$20*$A$2*$A$8*D23</f>
        <v>205.29049603302948</v>
      </c>
      <c r="E25" s="53">
        <f t="shared" ref="E25:AA25" si="81">$A$20*$A$2*$A$8*E23</f>
        <v>205.29049603302948</v>
      </c>
      <c r="F25" s="53">
        <f t="shared" si="81"/>
        <v>205.29049603302948</v>
      </c>
      <c r="G25" s="53">
        <f t="shared" si="81"/>
        <v>205.29049603302948</v>
      </c>
      <c r="H25" s="53">
        <f t="shared" si="81"/>
        <v>205.29049603302948</v>
      </c>
      <c r="I25" s="53">
        <f t="shared" si="81"/>
        <v>205.29049603302948</v>
      </c>
      <c r="J25" s="53">
        <f t="shared" si="81"/>
        <v>205.29049603302948</v>
      </c>
      <c r="K25" s="53">
        <f t="shared" si="81"/>
        <v>205.29049603302948</v>
      </c>
      <c r="L25" s="53">
        <f t="shared" si="81"/>
        <v>205.29049603302948</v>
      </c>
      <c r="M25" s="53">
        <f t="shared" si="81"/>
        <v>205.29049603302948</v>
      </c>
      <c r="N25" s="53">
        <f t="shared" si="81"/>
        <v>205.29049603302948</v>
      </c>
      <c r="O25" s="53">
        <f t="shared" si="81"/>
        <v>205.29049603302948</v>
      </c>
      <c r="P25" s="53">
        <f t="shared" si="81"/>
        <v>205.29049603302948</v>
      </c>
      <c r="Q25" s="53">
        <f t="shared" si="81"/>
        <v>205.29049603302948</v>
      </c>
      <c r="R25" s="53">
        <f t="shared" si="81"/>
        <v>205.29049603302948</v>
      </c>
      <c r="S25" s="53">
        <f t="shared" si="81"/>
        <v>205.29049603302948</v>
      </c>
      <c r="T25" s="53">
        <f t="shared" si="81"/>
        <v>205.29049603302948</v>
      </c>
      <c r="U25" s="53">
        <f t="shared" si="81"/>
        <v>205.29049603302948</v>
      </c>
      <c r="V25" s="53">
        <f t="shared" si="81"/>
        <v>205.29049603302948</v>
      </c>
      <c r="W25" s="53">
        <f t="shared" si="81"/>
        <v>205.29049603302948</v>
      </c>
      <c r="X25" s="53">
        <f t="shared" si="81"/>
        <v>205.29049603302948</v>
      </c>
      <c r="Y25" s="53">
        <f t="shared" si="81"/>
        <v>205.29049603302948</v>
      </c>
      <c r="Z25" s="53">
        <f t="shared" si="81"/>
        <v>205.29049603302948</v>
      </c>
      <c r="AA25" s="53">
        <f t="shared" si="81"/>
        <v>205.29049603302948</v>
      </c>
      <c r="AB25" s="53">
        <f t="shared" ref="AB25:AQ25" si="82">$A$20*$A$2*$A$8*AB23</f>
        <v>205.29049603302948</v>
      </c>
      <c r="AC25" s="53">
        <f t="shared" si="82"/>
        <v>205.29049603302948</v>
      </c>
      <c r="AD25" s="53">
        <f t="shared" si="82"/>
        <v>205.29049603302948</v>
      </c>
      <c r="AE25" s="53">
        <f t="shared" si="82"/>
        <v>205.29049603302948</v>
      </c>
      <c r="AF25" s="53">
        <f t="shared" si="82"/>
        <v>205.29049603302948</v>
      </c>
      <c r="AG25" s="53">
        <f t="shared" si="82"/>
        <v>205.29049603302948</v>
      </c>
      <c r="AH25" s="53">
        <f t="shared" si="82"/>
        <v>205.29049603302948</v>
      </c>
      <c r="AI25" s="53">
        <f t="shared" si="82"/>
        <v>205.29049603302948</v>
      </c>
      <c r="AJ25" s="53">
        <f t="shared" si="82"/>
        <v>205.29049603302948</v>
      </c>
      <c r="AK25" s="53">
        <f t="shared" si="82"/>
        <v>205.29049603302948</v>
      </c>
      <c r="AL25" s="53">
        <f t="shared" si="82"/>
        <v>205.29049603302948</v>
      </c>
      <c r="AM25" s="53">
        <f t="shared" si="82"/>
        <v>205.29049603302948</v>
      </c>
      <c r="AN25" s="53">
        <f t="shared" si="82"/>
        <v>205.29049603302948</v>
      </c>
      <c r="AO25" s="53">
        <f t="shared" si="82"/>
        <v>205.29049603302948</v>
      </c>
      <c r="AP25" s="53">
        <f t="shared" si="82"/>
        <v>205.29049603302948</v>
      </c>
      <c r="AQ25" s="53">
        <f t="shared" si="82"/>
        <v>205.29049603302948</v>
      </c>
    </row>
    <row r="26" spans="1:43">
      <c r="A26" s="55"/>
      <c r="B26" s="55"/>
      <c r="C26" s="49" t="s">
        <v>411</v>
      </c>
      <c r="D26" s="53">
        <f>D$5+D$7+D24+D25</f>
        <v>1924.3989649471644</v>
      </c>
      <c r="E26" s="53">
        <f t="shared" ref="E26:AA26" si="83">E$5+E$7+E24+E25</f>
        <v>1927.8511476554977</v>
      </c>
      <c r="F26" s="53">
        <f t="shared" si="83"/>
        <v>1932.9643112666088</v>
      </c>
      <c r="G26" s="53">
        <f t="shared" si="83"/>
        <v>1939.7384557804976</v>
      </c>
      <c r="H26" s="53">
        <f t="shared" si="83"/>
        <v>1948.1735811971644</v>
      </c>
      <c r="I26" s="53">
        <f t="shared" si="83"/>
        <v>1958.2696875166087</v>
      </c>
      <c r="J26" s="53">
        <f t="shared" si="83"/>
        <v>1970.0267747388309</v>
      </c>
      <c r="K26" s="53">
        <f t="shared" si="83"/>
        <v>1983.4448428638309</v>
      </c>
      <c r="L26" s="53">
        <f t="shared" si="83"/>
        <v>1998.5238918916086</v>
      </c>
      <c r="M26" s="53">
        <f t="shared" si="83"/>
        <v>2015.2639218221643</v>
      </c>
      <c r="N26" s="53">
        <f t="shared" si="83"/>
        <v>2033.6649326554975</v>
      </c>
      <c r="O26" s="53">
        <f t="shared" si="83"/>
        <v>2053.7269243916085</v>
      </c>
      <c r="P26" s="53">
        <f t="shared" si="83"/>
        <v>2075.4498970304976</v>
      </c>
      <c r="Q26" s="53">
        <f t="shared" si="83"/>
        <v>2098.833850572164</v>
      </c>
      <c r="R26" s="53">
        <f t="shared" si="83"/>
        <v>2123.8787850166086</v>
      </c>
      <c r="S26" s="53">
        <f t="shared" si="83"/>
        <v>2150.584700363831</v>
      </c>
      <c r="T26" s="53">
        <f t="shared" si="83"/>
        <v>2178.9515966138306</v>
      </c>
      <c r="U26" s="53">
        <f t="shared" si="83"/>
        <v>2208.9794737666084</v>
      </c>
      <c r="V26" s="53">
        <f t="shared" si="83"/>
        <v>2240.668331822164</v>
      </c>
      <c r="W26" s="53">
        <f t="shared" si="83"/>
        <v>2274.0181707804973</v>
      </c>
      <c r="X26" s="53">
        <f t="shared" si="83"/>
        <v>2309.0289906416087</v>
      </c>
      <c r="Y26" s="53">
        <f t="shared" si="83"/>
        <v>2345.7007914054975</v>
      </c>
      <c r="Z26" s="53">
        <f t="shared" si="83"/>
        <v>2384.033573072164</v>
      </c>
      <c r="AA26" s="53">
        <f t="shared" si="83"/>
        <v>2424.0273356416087</v>
      </c>
      <c r="AB26" s="53">
        <f t="shared" ref="AB26" si="84">AB$5+AB$7+AB24+AB25</f>
        <v>2465.6820791138307</v>
      </c>
      <c r="AC26" s="53">
        <f t="shared" ref="AC26" si="85">AC$5+AC$7+AC24+AC25</f>
        <v>2508.9978034888309</v>
      </c>
      <c r="AD26" s="53">
        <f t="shared" ref="AD26" si="86">AD$5+AD$7+AD24+AD25</f>
        <v>2553.9745087666088</v>
      </c>
      <c r="AE26" s="53">
        <f t="shared" ref="AE26" si="87">AE$5+AE$7+AE24+AE25</f>
        <v>2600.612194947164</v>
      </c>
      <c r="AF26" s="53">
        <f t="shared" ref="AF26" si="88">AF$5+AF$7+AF24+AF25</f>
        <v>2648.9108620304974</v>
      </c>
      <c r="AG26" s="53">
        <f t="shared" ref="AG26" si="89">AG$5+AG$7+AG24+AG25</f>
        <v>2698.8705100166085</v>
      </c>
      <c r="AH26" s="53">
        <f t="shared" ref="AH26" si="90">AH$5+AH$7+AH24+AH25</f>
        <v>2750.4911389054973</v>
      </c>
      <c r="AI26" s="53">
        <f t="shared" ref="AI26" si="91">AI$5+AI$7+AI24+AI25</f>
        <v>2803.7727486971639</v>
      </c>
      <c r="AJ26" s="53">
        <f t="shared" ref="AJ26" si="92">AJ$5+AJ$7+AJ24+AJ25</f>
        <v>2858.7153393916083</v>
      </c>
      <c r="AK26" s="53">
        <f t="shared" ref="AK26" si="93">AK$5+AK$7+AK24+AK25</f>
        <v>2915.3189109888308</v>
      </c>
      <c r="AL26" s="53">
        <f t="shared" ref="AL26" si="94">AL$5+AL$7+AL24+AL25</f>
        <v>2973.5834634888311</v>
      </c>
      <c r="AM26" s="53">
        <f t="shared" ref="AM26" si="95">AM$5+AM$7+AM24+AM25</f>
        <v>3033.5089968916086</v>
      </c>
      <c r="AN26" s="53">
        <f t="shared" ref="AN26" si="96">AN$5+AN$7+AN24+AN25</f>
        <v>3095.0955111971643</v>
      </c>
      <c r="AO26" s="53">
        <f t="shared" ref="AO26" si="97">AO$5+AO$7+AO24+AO25</f>
        <v>3158.3430064054974</v>
      </c>
      <c r="AP26" s="53">
        <f t="shared" ref="AP26" si="98">AP$5+AP$7+AP24+AP25</f>
        <v>3223.2514825166086</v>
      </c>
      <c r="AQ26" s="53">
        <f t="shared" ref="AQ26" si="99">AQ$5+AQ$7+AQ24+AQ25</f>
        <v>3289.8209395304975</v>
      </c>
    </row>
    <row r="27" spans="1:43" ht="17" thickBot="1">
      <c r="A27" s="55"/>
      <c r="B27" s="55"/>
      <c r="C27" s="49" t="s">
        <v>417</v>
      </c>
      <c r="D27" s="53">
        <f>D26*$A$18</f>
        <v>554.20968852468957</v>
      </c>
      <c r="E27" s="53">
        <f t="shared" ref="E27:AA27" si="100">E26*$A$18</f>
        <v>555.20388626557656</v>
      </c>
      <c r="F27" s="53">
        <f t="shared" si="100"/>
        <v>556.67643164930757</v>
      </c>
      <c r="G27" s="53">
        <f t="shared" si="100"/>
        <v>558.62732467588251</v>
      </c>
      <c r="H27" s="53">
        <f t="shared" si="100"/>
        <v>561.05656534530158</v>
      </c>
      <c r="I27" s="53">
        <f t="shared" si="100"/>
        <v>563.96415365756457</v>
      </c>
      <c r="J27" s="53">
        <f t="shared" si="100"/>
        <v>567.35008961267158</v>
      </c>
      <c r="K27" s="53">
        <f t="shared" si="100"/>
        <v>571.21437321062263</v>
      </c>
      <c r="L27" s="53">
        <f t="shared" si="100"/>
        <v>575.5570044514177</v>
      </c>
      <c r="M27" s="53">
        <f t="shared" si="100"/>
        <v>580.3779833350568</v>
      </c>
      <c r="N27" s="53">
        <f t="shared" si="100"/>
        <v>585.67730986153992</v>
      </c>
      <c r="O27" s="53">
        <f t="shared" si="100"/>
        <v>591.45498403086697</v>
      </c>
      <c r="P27" s="53">
        <f t="shared" si="100"/>
        <v>597.71100584303815</v>
      </c>
      <c r="Q27" s="53">
        <f t="shared" si="100"/>
        <v>604.44537529805314</v>
      </c>
      <c r="R27" s="53">
        <f t="shared" si="100"/>
        <v>611.65809239591238</v>
      </c>
      <c r="S27" s="53">
        <f t="shared" si="100"/>
        <v>619.34915713661553</v>
      </c>
      <c r="T27" s="53">
        <f t="shared" si="100"/>
        <v>627.5185695201626</v>
      </c>
      <c r="U27" s="53">
        <f t="shared" si="100"/>
        <v>636.1663295465537</v>
      </c>
      <c r="V27" s="53">
        <f t="shared" si="100"/>
        <v>645.29243721578894</v>
      </c>
      <c r="W27" s="53">
        <f t="shared" si="100"/>
        <v>654.89689252786809</v>
      </c>
      <c r="X27" s="53">
        <f t="shared" si="100"/>
        <v>664.97969548279139</v>
      </c>
      <c r="Y27" s="53">
        <f t="shared" si="100"/>
        <v>675.54084608055859</v>
      </c>
      <c r="Z27" s="53">
        <f t="shared" si="100"/>
        <v>686.58034432116972</v>
      </c>
      <c r="AA27" s="53">
        <f t="shared" si="100"/>
        <v>698.09819020462498</v>
      </c>
      <c r="AB27" s="53">
        <f t="shared" ref="AB27" si="101">AB26*$A$18</f>
        <v>710.09438373092416</v>
      </c>
      <c r="AC27" s="53">
        <f t="shared" ref="AC27" si="102">AC26*$A$18</f>
        <v>722.56892490006749</v>
      </c>
      <c r="AD27" s="53">
        <f t="shared" ref="AD27" si="103">AD26*$A$18</f>
        <v>735.52181371205472</v>
      </c>
      <c r="AE27" s="53">
        <f t="shared" ref="AE27" si="104">AE26*$A$18</f>
        <v>748.95305016688599</v>
      </c>
      <c r="AF27" s="53">
        <f t="shared" ref="AF27" si="105">AF26*$A$18</f>
        <v>762.86263426456128</v>
      </c>
      <c r="AG27" s="53">
        <f t="shared" ref="AG27" si="106">AG26*$A$18</f>
        <v>777.25056600508049</v>
      </c>
      <c r="AH27" s="53">
        <f t="shared" ref="AH27" si="107">AH26*$A$18</f>
        <v>792.11684538844383</v>
      </c>
      <c r="AI27" s="53">
        <f t="shared" ref="AI27" si="108">AI26*$A$18</f>
        <v>807.4614724146511</v>
      </c>
      <c r="AJ27" s="53">
        <f t="shared" ref="AJ27" si="109">AJ26*$A$18</f>
        <v>823.28444708370239</v>
      </c>
      <c r="AK27" s="53">
        <f t="shared" ref="AK27" si="110">AK26*$A$18</f>
        <v>839.58576939559782</v>
      </c>
      <c r="AL27" s="53">
        <f t="shared" ref="AL27" si="111">AL26*$A$18</f>
        <v>856.36543935033728</v>
      </c>
      <c r="AM27" s="53">
        <f t="shared" ref="AM27" si="112">AM26*$A$18</f>
        <v>873.62345694792054</v>
      </c>
      <c r="AN27" s="53">
        <f t="shared" ref="AN27" si="113">AN26*$A$18</f>
        <v>891.35982218834795</v>
      </c>
      <c r="AO27" s="53">
        <f t="shared" ref="AO27" si="114">AO26*$A$18</f>
        <v>909.57453507161927</v>
      </c>
      <c r="AP27" s="53">
        <f t="shared" ref="AP27" si="115">AP26*$A$18</f>
        <v>928.26759559773461</v>
      </c>
      <c r="AQ27" s="53">
        <f t="shared" ref="AQ27" si="116">AQ26*$A$18</f>
        <v>947.43900376669399</v>
      </c>
    </row>
    <row r="28" spans="1:43">
      <c r="A28" s="55"/>
      <c r="B28" s="55"/>
      <c r="C28" s="63" t="s">
        <v>387</v>
      </c>
      <c r="D28" s="64">
        <f>SIN(ATAN(20/100))</f>
        <v>0.19611613513818404</v>
      </c>
      <c r="E28" s="64">
        <f t="shared" ref="E28:AQ28" si="117">SIN(ATAN(20/100))</f>
        <v>0.19611613513818404</v>
      </c>
      <c r="F28" s="64">
        <f t="shared" si="117"/>
        <v>0.19611613513818404</v>
      </c>
      <c r="G28" s="64">
        <f t="shared" si="117"/>
        <v>0.19611613513818404</v>
      </c>
      <c r="H28" s="64">
        <f t="shared" si="117"/>
        <v>0.19611613513818404</v>
      </c>
      <c r="I28" s="64">
        <f t="shared" si="117"/>
        <v>0.19611613513818404</v>
      </c>
      <c r="J28" s="64">
        <f t="shared" si="117"/>
        <v>0.19611613513818404</v>
      </c>
      <c r="K28" s="64">
        <f t="shared" si="117"/>
        <v>0.19611613513818404</v>
      </c>
      <c r="L28" s="64">
        <f t="shared" si="117"/>
        <v>0.19611613513818404</v>
      </c>
      <c r="M28" s="64">
        <f t="shared" si="117"/>
        <v>0.19611613513818404</v>
      </c>
      <c r="N28" s="64">
        <f t="shared" si="117"/>
        <v>0.19611613513818404</v>
      </c>
      <c r="O28" s="64">
        <f t="shared" si="117"/>
        <v>0.19611613513818404</v>
      </c>
      <c r="P28" s="64">
        <f t="shared" si="117"/>
        <v>0.19611613513818404</v>
      </c>
      <c r="Q28" s="64">
        <f t="shared" si="117"/>
        <v>0.19611613513818404</v>
      </c>
      <c r="R28" s="64">
        <f t="shared" si="117"/>
        <v>0.19611613513818404</v>
      </c>
      <c r="S28" s="64">
        <f t="shared" si="117"/>
        <v>0.19611613513818404</v>
      </c>
      <c r="T28" s="64">
        <f t="shared" si="117"/>
        <v>0.19611613513818404</v>
      </c>
      <c r="U28" s="64">
        <f t="shared" si="117"/>
        <v>0.19611613513818404</v>
      </c>
      <c r="V28" s="64">
        <f t="shared" si="117"/>
        <v>0.19611613513818404</v>
      </c>
      <c r="W28" s="64">
        <f t="shared" si="117"/>
        <v>0.19611613513818404</v>
      </c>
      <c r="X28" s="64">
        <f t="shared" si="117"/>
        <v>0.19611613513818404</v>
      </c>
      <c r="Y28" s="64">
        <f t="shared" si="117"/>
        <v>0.19611613513818404</v>
      </c>
      <c r="Z28" s="64">
        <f t="shared" si="117"/>
        <v>0.19611613513818404</v>
      </c>
      <c r="AA28" s="64">
        <f t="shared" si="117"/>
        <v>0.19611613513818404</v>
      </c>
      <c r="AB28" s="64">
        <f t="shared" si="117"/>
        <v>0.19611613513818404</v>
      </c>
      <c r="AC28" s="64">
        <f t="shared" si="117"/>
        <v>0.19611613513818404</v>
      </c>
      <c r="AD28" s="64">
        <f t="shared" si="117"/>
        <v>0.19611613513818404</v>
      </c>
      <c r="AE28" s="64">
        <f t="shared" si="117"/>
        <v>0.19611613513818404</v>
      </c>
      <c r="AF28" s="64">
        <f t="shared" si="117"/>
        <v>0.19611613513818404</v>
      </c>
      <c r="AG28" s="64">
        <f t="shared" si="117"/>
        <v>0.19611613513818404</v>
      </c>
      <c r="AH28" s="64">
        <f t="shared" si="117"/>
        <v>0.19611613513818404</v>
      </c>
      <c r="AI28" s="64">
        <f t="shared" si="117"/>
        <v>0.19611613513818404</v>
      </c>
      <c r="AJ28" s="64">
        <f t="shared" si="117"/>
        <v>0.19611613513818404</v>
      </c>
      <c r="AK28" s="64">
        <f t="shared" si="117"/>
        <v>0.19611613513818404</v>
      </c>
      <c r="AL28" s="64">
        <f t="shared" si="117"/>
        <v>0.19611613513818404</v>
      </c>
      <c r="AM28" s="64">
        <f t="shared" si="117"/>
        <v>0.19611613513818404</v>
      </c>
      <c r="AN28" s="64">
        <f t="shared" si="117"/>
        <v>0.19611613513818404</v>
      </c>
      <c r="AO28" s="64">
        <f t="shared" si="117"/>
        <v>0.19611613513818404</v>
      </c>
      <c r="AP28" s="64">
        <f t="shared" si="117"/>
        <v>0.19611613513818404</v>
      </c>
      <c r="AQ28" s="64">
        <f t="shared" si="117"/>
        <v>0.19611613513818404</v>
      </c>
    </row>
    <row r="29" spans="1:43">
      <c r="A29" s="55"/>
      <c r="B29" s="55"/>
      <c r="C29" s="55" t="s">
        <v>388</v>
      </c>
      <c r="D29" s="62">
        <f>COS(ATAN(20/100))</f>
        <v>0.98058067569092011</v>
      </c>
      <c r="E29" s="62">
        <f t="shared" ref="E29:AQ29" si="118">COS(ATAN(20/100))</f>
        <v>0.98058067569092011</v>
      </c>
      <c r="F29" s="62">
        <f t="shared" si="118"/>
        <v>0.98058067569092011</v>
      </c>
      <c r="G29" s="62">
        <f t="shared" si="118"/>
        <v>0.98058067569092011</v>
      </c>
      <c r="H29" s="62">
        <f t="shared" si="118"/>
        <v>0.98058067569092011</v>
      </c>
      <c r="I29" s="62">
        <f t="shared" si="118"/>
        <v>0.98058067569092011</v>
      </c>
      <c r="J29" s="62">
        <f t="shared" si="118"/>
        <v>0.98058067569092011</v>
      </c>
      <c r="K29" s="62">
        <f t="shared" si="118"/>
        <v>0.98058067569092011</v>
      </c>
      <c r="L29" s="62">
        <f t="shared" si="118"/>
        <v>0.98058067569092011</v>
      </c>
      <c r="M29" s="62">
        <f t="shared" si="118"/>
        <v>0.98058067569092011</v>
      </c>
      <c r="N29" s="62">
        <f t="shared" si="118"/>
        <v>0.98058067569092011</v>
      </c>
      <c r="O29" s="62">
        <f t="shared" si="118"/>
        <v>0.98058067569092011</v>
      </c>
      <c r="P29" s="62">
        <f t="shared" si="118"/>
        <v>0.98058067569092011</v>
      </c>
      <c r="Q29" s="62">
        <f t="shared" si="118"/>
        <v>0.98058067569092011</v>
      </c>
      <c r="R29" s="62">
        <f t="shared" si="118"/>
        <v>0.98058067569092011</v>
      </c>
      <c r="S29" s="62">
        <f t="shared" si="118"/>
        <v>0.98058067569092011</v>
      </c>
      <c r="T29" s="62">
        <f t="shared" si="118"/>
        <v>0.98058067569092011</v>
      </c>
      <c r="U29" s="62">
        <f t="shared" si="118"/>
        <v>0.98058067569092011</v>
      </c>
      <c r="V29" s="62">
        <f t="shared" si="118"/>
        <v>0.98058067569092011</v>
      </c>
      <c r="W29" s="62">
        <f t="shared" si="118"/>
        <v>0.98058067569092011</v>
      </c>
      <c r="X29" s="62">
        <f t="shared" si="118"/>
        <v>0.98058067569092011</v>
      </c>
      <c r="Y29" s="62">
        <f t="shared" si="118"/>
        <v>0.98058067569092011</v>
      </c>
      <c r="Z29" s="62">
        <f t="shared" si="118"/>
        <v>0.98058067569092011</v>
      </c>
      <c r="AA29" s="62">
        <f t="shared" si="118"/>
        <v>0.98058067569092011</v>
      </c>
      <c r="AB29" s="62">
        <f t="shared" si="118"/>
        <v>0.98058067569092011</v>
      </c>
      <c r="AC29" s="62">
        <f t="shared" si="118"/>
        <v>0.98058067569092011</v>
      </c>
      <c r="AD29" s="62">
        <f t="shared" si="118"/>
        <v>0.98058067569092011</v>
      </c>
      <c r="AE29" s="62">
        <f t="shared" si="118"/>
        <v>0.98058067569092011</v>
      </c>
      <c r="AF29" s="62">
        <f t="shared" si="118"/>
        <v>0.98058067569092011</v>
      </c>
      <c r="AG29" s="62">
        <f t="shared" si="118"/>
        <v>0.98058067569092011</v>
      </c>
      <c r="AH29" s="62">
        <f t="shared" si="118"/>
        <v>0.98058067569092011</v>
      </c>
      <c r="AI29" s="62">
        <f t="shared" si="118"/>
        <v>0.98058067569092011</v>
      </c>
      <c r="AJ29" s="62">
        <f t="shared" si="118"/>
        <v>0.98058067569092011</v>
      </c>
      <c r="AK29" s="62">
        <f t="shared" si="118"/>
        <v>0.98058067569092011</v>
      </c>
      <c r="AL29" s="62">
        <f t="shared" si="118"/>
        <v>0.98058067569092011</v>
      </c>
      <c r="AM29" s="62">
        <f t="shared" si="118"/>
        <v>0.98058067569092011</v>
      </c>
      <c r="AN29" s="62">
        <f t="shared" si="118"/>
        <v>0.98058067569092011</v>
      </c>
      <c r="AO29" s="62">
        <f t="shared" si="118"/>
        <v>0.98058067569092011</v>
      </c>
      <c r="AP29" s="62">
        <f t="shared" si="118"/>
        <v>0.98058067569092011</v>
      </c>
      <c r="AQ29" s="62">
        <f t="shared" si="118"/>
        <v>0.98058067569092011</v>
      </c>
    </row>
    <row r="30" spans="1:43">
      <c r="A30" s="55"/>
      <c r="B30" s="55"/>
      <c r="C30" s="49" t="s">
        <v>407</v>
      </c>
      <c r="D30" s="53">
        <f>$A$2*$A$8*D28</f>
        <v>2261.7329408637779</v>
      </c>
      <c r="E30" s="53">
        <f t="shared" ref="E30:AA30" si="119">$A$2*$A$8*E28</f>
        <v>2261.7329408637779</v>
      </c>
      <c r="F30" s="53">
        <f t="shared" si="119"/>
        <v>2261.7329408637779</v>
      </c>
      <c r="G30" s="53">
        <f t="shared" si="119"/>
        <v>2261.7329408637779</v>
      </c>
      <c r="H30" s="53">
        <f t="shared" si="119"/>
        <v>2261.7329408637779</v>
      </c>
      <c r="I30" s="53">
        <f t="shared" si="119"/>
        <v>2261.7329408637779</v>
      </c>
      <c r="J30" s="53">
        <f t="shared" si="119"/>
        <v>2261.7329408637779</v>
      </c>
      <c r="K30" s="53">
        <f t="shared" si="119"/>
        <v>2261.7329408637779</v>
      </c>
      <c r="L30" s="53">
        <f t="shared" si="119"/>
        <v>2261.7329408637779</v>
      </c>
      <c r="M30" s="53">
        <f t="shared" si="119"/>
        <v>2261.7329408637779</v>
      </c>
      <c r="N30" s="53">
        <f t="shared" si="119"/>
        <v>2261.7329408637779</v>
      </c>
      <c r="O30" s="53">
        <f t="shared" si="119"/>
        <v>2261.7329408637779</v>
      </c>
      <c r="P30" s="53">
        <f t="shared" si="119"/>
        <v>2261.7329408637779</v>
      </c>
      <c r="Q30" s="53">
        <f t="shared" si="119"/>
        <v>2261.7329408637779</v>
      </c>
      <c r="R30" s="53">
        <f t="shared" si="119"/>
        <v>2261.7329408637779</v>
      </c>
      <c r="S30" s="53">
        <f t="shared" si="119"/>
        <v>2261.7329408637779</v>
      </c>
      <c r="T30" s="53">
        <f t="shared" si="119"/>
        <v>2261.7329408637779</v>
      </c>
      <c r="U30" s="53">
        <f t="shared" si="119"/>
        <v>2261.7329408637779</v>
      </c>
      <c r="V30" s="53">
        <f t="shared" si="119"/>
        <v>2261.7329408637779</v>
      </c>
      <c r="W30" s="53">
        <f t="shared" si="119"/>
        <v>2261.7329408637779</v>
      </c>
      <c r="X30" s="53">
        <f t="shared" si="119"/>
        <v>2261.7329408637779</v>
      </c>
      <c r="Y30" s="53">
        <f t="shared" si="119"/>
        <v>2261.7329408637779</v>
      </c>
      <c r="Z30" s="53">
        <f t="shared" si="119"/>
        <v>2261.7329408637779</v>
      </c>
      <c r="AA30" s="53">
        <f t="shared" si="119"/>
        <v>2261.7329408637779</v>
      </c>
      <c r="AB30" s="53">
        <f t="shared" ref="AB30:AQ30" si="120">$A$2*$A$8*AB28</f>
        <v>2261.7329408637779</v>
      </c>
      <c r="AC30" s="53">
        <f t="shared" si="120"/>
        <v>2261.7329408637779</v>
      </c>
      <c r="AD30" s="53">
        <f t="shared" si="120"/>
        <v>2261.7329408637779</v>
      </c>
      <c r="AE30" s="53">
        <f t="shared" si="120"/>
        <v>2261.7329408637779</v>
      </c>
      <c r="AF30" s="53">
        <f t="shared" si="120"/>
        <v>2261.7329408637779</v>
      </c>
      <c r="AG30" s="53">
        <f t="shared" si="120"/>
        <v>2261.7329408637779</v>
      </c>
      <c r="AH30" s="53">
        <f t="shared" si="120"/>
        <v>2261.7329408637779</v>
      </c>
      <c r="AI30" s="53">
        <f t="shared" si="120"/>
        <v>2261.7329408637779</v>
      </c>
      <c r="AJ30" s="53">
        <f t="shared" si="120"/>
        <v>2261.7329408637779</v>
      </c>
      <c r="AK30" s="53">
        <f t="shared" si="120"/>
        <v>2261.7329408637779</v>
      </c>
      <c r="AL30" s="53">
        <f t="shared" si="120"/>
        <v>2261.7329408637779</v>
      </c>
      <c r="AM30" s="53">
        <f t="shared" si="120"/>
        <v>2261.7329408637779</v>
      </c>
      <c r="AN30" s="53">
        <f t="shared" si="120"/>
        <v>2261.7329408637779</v>
      </c>
      <c r="AO30" s="53">
        <f t="shared" si="120"/>
        <v>2261.7329408637779</v>
      </c>
      <c r="AP30" s="53">
        <f t="shared" si="120"/>
        <v>2261.7329408637779</v>
      </c>
      <c r="AQ30" s="53">
        <f t="shared" si="120"/>
        <v>2261.7329408637779</v>
      </c>
    </row>
    <row r="31" spans="1:43">
      <c r="A31" s="55"/>
      <c r="B31" s="55"/>
      <c r="C31" s="49" t="s">
        <v>408</v>
      </c>
      <c r="D31" s="53">
        <f>$A$20*$A$2*$A$8*D29</f>
        <v>203.55596467774001</v>
      </c>
      <c r="E31" s="53">
        <f t="shared" ref="E31:AA31" si="121">$A$20*$A$2*$A$8*E29</f>
        <v>203.55596467774001</v>
      </c>
      <c r="F31" s="53">
        <f t="shared" si="121"/>
        <v>203.55596467774001</v>
      </c>
      <c r="G31" s="53">
        <f t="shared" si="121"/>
        <v>203.55596467774001</v>
      </c>
      <c r="H31" s="53">
        <f t="shared" si="121"/>
        <v>203.55596467774001</v>
      </c>
      <c r="I31" s="53">
        <f t="shared" si="121"/>
        <v>203.55596467774001</v>
      </c>
      <c r="J31" s="53">
        <f t="shared" si="121"/>
        <v>203.55596467774001</v>
      </c>
      <c r="K31" s="53">
        <f t="shared" si="121"/>
        <v>203.55596467774001</v>
      </c>
      <c r="L31" s="53">
        <f t="shared" si="121"/>
        <v>203.55596467774001</v>
      </c>
      <c r="M31" s="53">
        <f t="shared" si="121"/>
        <v>203.55596467774001</v>
      </c>
      <c r="N31" s="53">
        <f t="shared" si="121"/>
        <v>203.55596467774001</v>
      </c>
      <c r="O31" s="53">
        <f t="shared" si="121"/>
        <v>203.55596467774001</v>
      </c>
      <c r="P31" s="53">
        <f t="shared" si="121"/>
        <v>203.55596467774001</v>
      </c>
      <c r="Q31" s="53">
        <f t="shared" si="121"/>
        <v>203.55596467774001</v>
      </c>
      <c r="R31" s="53">
        <f t="shared" si="121"/>
        <v>203.55596467774001</v>
      </c>
      <c r="S31" s="53">
        <f t="shared" si="121"/>
        <v>203.55596467774001</v>
      </c>
      <c r="T31" s="53">
        <f t="shared" si="121"/>
        <v>203.55596467774001</v>
      </c>
      <c r="U31" s="53">
        <f t="shared" si="121"/>
        <v>203.55596467774001</v>
      </c>
      <c r="V31" s="53">
        <f t="shared" si="121"/>
        <v>203.55596467774001</v>
      </c>
      <c r="W31" s="53">
        <f t="shared" si="121"/>
        <v>203.55596467774001</v>
      </c>
      <c r="X31" s="53">
        <f t="shared" si="121"/>
        <v>203.55596467774001</v>
      </c>
      <c r="Y31" s="53">
        <f t="shared" si="121"/>
        <v>203.55596467774001</v>
      </c>
      <c r="Z31" s="53">
        <f t="shared" si="121"/>
        <v>203.55596467774001</v>
      </c>
      <c r="AA31" s="53">
        <f t="shared" si="121"/>
        <v>203.55596467774001</v>
      </c>
      <c r="AB31" s="53">
        <f t="shared" ref="AB31:AQ31" si="122">$A$20*$A$2*$A$8*AB29</f>
        <v>203.55596467774001</v>
      </c>
      <c r="AC31" s="53">
        <f t="shared" si="122"/>
        <v>203.55596467774001</v>
      </c>
      <c r="AD31" s="53">
        <f t="shared" si="122"/>
        <v>203.55596467774001</v>
      </c>
      <c r="AE31" s="53">
        <f t="shared" si="122"/>
        <v>203.55596467774001</v>
      </c>
      <c r="AF31" s="53">
        <f t="shared" si="122"/>
        <v>203.55596467774001</v>
      </c>
      <c r="AG31" s="53">
        <f t="shared" si="122"/>
        <v>203.55596467774001</v>
      </c>
      <c r="AH31" s="53">
        <f t="shared" si="122"/>
        <v>203.55596467774001</v>
      </c>
      <c r="AI31" s="53">
        <f t="shared" si="122"/>
        <v>203.55596467774001</v>
      </c>
      <c r="AJ31" s="53">
        <f t="shared" si="122"/>
        <v>203.55596467774001</v>
      </c>
      <c r="AK31" s="53">
        <f t="shared" si="122"/>
        <v>203.55596467774001</v>
      </c>
      <c r="AL31" s="53">
        <f t="shared" si="122"/>
        <v>203.55596467774001</v>
      </c>
      <c r="AM31" s="53">
        <f t="shared" si="122"/>
        <v>203.55596467774001</v>
      </c>
      <c r="AN31" s="53">
        <f t="shared" si="122"/>
        <v>203.55596467774001</v>
      </c>
      <c r="AO31" s="53">
        <f t="shared" si="122"/>
        <v>203.55596467774001</v>
      </c>
      <c r="AP31" s="53">
        <f t="shared" si="122"/>
        <v>203.55596467774001</v>
      </c>
      <c r="AQ31" s="53">
        <f t="shared" si="122"/>
        <v>203.55596467774001</v>
      </c>
    </row>
    <row r="32" spans="1:43">
      <c r="A32" s="55"/>
      <c r="B32" s="55"/>
      <c r="C32" s="49" t="s">
        <v>412</v>
      </c>
      <c r="D32" s="53">
        <f>D$5+D$7+D30+D31</f>
        <v>2473.6432408470737</v>
      </c>
      <c r="E32" s="53">
        <f t="shared" ref="E32:AA32" si="123">E$5+E$7+E30+E31</f>
        <v>2477.0954235554068</v>
      </c>
      <c r="F32" s="53">
        <f t="shared" si="123"/>
        <v>2482.2085871665181</v>
      </c>
      <c r="G32" s="53">
        <f t="shared" si="123"/>
        <v>2488.9827316804071</v>
      </c>
      <c r="H32" s="53">
        <f t="shared" si="123"/>
        <v>2497.4178570970735</v>
      </c>
      <c r="I32" s="53">
        <f t="shared" si="123"/>
        <v>2507.513963416518</v>
      </c>
      <c r="J32" s="53">
        <f t="shared" si="123"/>
        <v>2519.2710506387402</v>
      </c>
      <c r="K32" s="53">
        <f t="shared" si="123"/>
        <v>2532.6891187637402</v>
      </c>
      <c r="L32" s="53">
        <f t="shared" si="123"/>
        <v>2547.768167791518</v>
      </c>
      <c r="M32" s="53">
        <f t="shared" si="123"/>
        <v>2564.5081977220734</v>
      </c>
      <c r="N32" s="53">
        <f t="shared" si="123"/>
        <v>2582.9092085554071</v>
      </c>
      <c r="O32" s="53">
        <f t="shared" si="123"/>
        <v>2602.971200291518</v>
      </c>
      <c r="P32" s="53">
        <f t="shared" si="123"/>
        <v>2624.6941729304071</v>
      </c>
      <c r="Q32" s="53">
        <f t="shared" si="123"/>
        <v>2648.0781264720736</v>
      </c>
      <c r="R32" s="53">
        <f t="shared" si="123"/>
        <v>2673.1230609165182</v>
      </c>
      <c r="S32" s="53">
        <f t="shared" si="123"/>
        <v>2699.8289762637405</v>
      </c>
      <c r="T32" s="53">
        <f t="shared" si="123"/>
        <v>2728.1958725137401</v>
      </c>
      <c r="U32" s="53">
        <f t="shared" si="123"/>
        <v>2758.223749666518</v>
      </c>
      <c r="V32" s="53">
        <f t="shared" si="123"/>
        <v>2789.9126077220735</v>
      </c>
      <c r="W32" s="53">
        <f t="shared" si="123"/>
        <v>2823.2624466804068</v>
      </c>
      <c r="X32" s="53">
        <f t="shared" si="123"/>
        <v>2858.2732665415178</v>
      </c>
      <c r="Y32" s="53">
        <f t="shared" si="123"/>
        <v>2894.9450673054071</v>
      </c>
      <c r="Z32" s="53">
        <f t="shared" si="123"/>
        <v>2933.2778489720736</v>
      </c>
      <c r="AA32" s="53">
        <f t="shared" si="123"/>
        <v>2973.2716115415183</v>
      </c>
      <c r="AB32" s="53">
        <f t="shared" ref="AB32" si="124">AB$5+AB$7+AB30+AB31</f>
        <v>3014.9263550137402</v>
      </c>
      <c r="AC32" s="53">
        <f t="shared" ref="AC32" si="125">AC$5+AC$7+AC30+AC31</f>
        <v>3058.2420793887404</v>
      </c>
      <c r="AD32" s="53">
        <f t="shared" ref="AD32" si="126">AD$5+AD$7+AD30+AD31</f>
        <v>3103.2187846665183</v>
      </c>
      <c r="AE32" s="53">
        <f t="shared" ref="AE32" si="127">AE$5+AE$7+AE30+AE31</f>
        <v>3149.856470847074</v>
      </c>
      <c r="AF32" s="53">
        <f t="shared" ref="AF32" si="128">AF$5+AF$7+AF30+AF31</f>
        <v>3198.1551379304069</v>
      </c>
      <c r="AG32" s="53">
        <f t="shared" ref="AG32" si="129">AG$5+AG$7+AG30+AG31</f>
        <v>3248.1147859165185</v>
      </c>
      <c r="AH32" s="53">
        <f t="shared" ref="AH32" si="130">AH$5+AH$7+AH30+AH31</f>
        <v>3299.7354148054069</v>
      </c>
      <c r="AI32" s="53">
        <f t="shared" ref="AI32" si="131">AI$5+AI$7+AI30+AI31</f>
        <v>3353.0170245970739</v>
      </c>
      <c r="AJ32" s="53">
        <f t="shared" ref="AJ32" si="132">AJ$5+AJ$7+AJ30+AJ31</f>
        <v>3407.9596152915178</v>
      </c>
      <c r="AK32" s="53">
        <f t="shared" ref="AK32" si="133">AK$5+AK$7+AK30+AK31</f>
        <v>3464.5631868887403</v>
      </c>
      <c r="AL32" s="53">
        <f t="shared" ref="AL32" si="134">AL$5+AL$7+AL30+AL31</f>
        <v>3522.8277393887402</v>
      </c>
      <c r="AM32" s="53">
        <f t="shared" ref="AM32" si="135">AM$5+AM$7+AM30+AM31</f>
        <v>3582.7532727915177</v>
      </c>
      <c r="AN32" s="53">
        <f t="shared" ref="AN32" si="136">AN$5+AN$7+AN30+AN31</f>
        <v>3644.3397870970739</v>
      </c>
      <c r="AO32" s="53">
        <f t="shared" ref="AO32" si="137">AO$5+AO$7+AO30+AO31</f>
        <v>3707.5872823054069</v>
      </c>
      <c r="AP32" s="53">
        <f t="shared" ref="AP32" si="138">AP$5+AP$7+AP30+AP31</f>
        <v>3772.4957584165181</v>
      </c>
      <c r="AQ32" s="53">
        <f t="shared" ref="AQ32" si="139">AQ$5+AQ$7+AQ30+AQ31</f>
        <v>3839.0652154304071</v>
      </c>
    </row>
    <row r="33" spans="1:43" ht="17" thickBot="1">
      <c r="A33" s="55"/>
      <c r="B33" s="55"/>
      <c r="C33" s="49" t="s">
        <v>418</v>
      </c>
      <c r="D33" s="53">
        <f>D32*$A$18</f>
        <v>712.38712709903155</v>
      </c>
      <c r="E33" s="53">
        <f t="shared" ref="E33:AA33" si="140">E32*$A$18</f>
        <v>713.38132483991842</v>
      </c>
      <c r="F33" s="53">
        <f t="shared" si="140"/>
        <v>714.85387022364955</v>
      </c>
      <c r="G33" s="53">
        <f t="shared" si="140"/>
        <v>716.8047632502246</v>
      </c>
      <c r="H33" s="53">
        <f t="shared" si="140"/>
        <v>719.23400391964356</v>
      </c>
      <c r="I33" s="53">
        <f t="shared" si="140"/>
        <v>722.14159223190654</v>
      </c>
      <c r="J33" s="53">
        <f t="shared" si="140"/>
        <v>725.52752818701367</v>
      </c>
      <c r="K33" s="53">
        <f t="shared" si="140"/>
        <v>729.39181178496472</v>
      </c>
      <c r="L33" s="53">
        <f t="shared" si="140"/>
        <v>733.73444302575967</v>
      </c>
      <c r="M33" s="53">
        <f t="shared" si="140"/>
        <v>738.55542190939877</v>
      </c>
      <c r="N33" s="53">
        <f t="shared" si="140"/>
        <v>743.8547484358819</v>
      </c>
      <c r="O33" s="53">
        <f t="shared" si="140"/>
        <v>749.63242260520894</v>
      </c>
      <c r="P33" s="53">
        <f t="shared" si="140"/>
        <v>755.88844441738013</v>
      </c>
      <c r="Q33" s="53">
        <f t="shared" si="140"/>
        <v>762.62281387239523</v>
      </c>
      <c r="R33" s="53">
        <f t="shared" si="140"/>
        <v>769.83553097025435</v>
      </c>
      <c r="S33" s="53">
        <f t="shared" si="140"/>
        <v>777.52659571095762</v>
      </c>
      <c r="T33" s="53">
        <f t="shared" si="140"/>
        <v>785.69600809450458</v>
      </c>
      <c r="U33" s="53">
        <f t="shared" si="140"/>
        <v>794.34376812089579</v>
      </c>
      <c r="V33" s="53">
        <f t="shared" si="140"/>
        <v>803.46987579013091</v>
      </c>
      <c r="W33" s="53">
        <f t="shared" si="140"/>
        <v>813.07433110221018</v>
      </c>
      <c r="X33" s="53">
        <f t="shared" si="140"/>
        <v>823.15713405713336</v>
      </c>
      <c r="Y33" s="53">
        <f t="shared" si="140"/>
        <v>833.71828465490057</v>
      </c>
      <c r="Z33" s="53">
        <f t="shared" si="140"/>
        <v>844.75778289551181</v>
      </c>
      <c r="AA33" s="53">
        <f t="shared" si="140"/>
        <v>856.27562877896708</v>
      </c>
      <c r="AB33" s="53">
        <f t="shared" ref="AB33" si="141">AB32*$A$18</f>
        <v>868.27182230526626</v>
      </c>
      <c r="AC33" s="53">
        <f t="shared" ref="AC33" si="142">AC32*$A$18</f>
        <v>880.74636347440958</v>
      </c>
      <c r="AD33" s="53">
        <f t="shared" ref="AD33" si="143">AD32*$A$18</f>
        <v>893.69925228639681</v>
      </c>
      <c r="AE33" s="53">
        <f t="shared" ref="AE33" si="144">AE32*$A$18</f>
        <v>907.13048874122808</v>
      </c>
      <c r="AF33" s="53">
        <f t="shared" ref="AF33" si="145">AF32*$A$18</f>
        <v>921.04007283890326</v>
      </c>
      <c r="AG33" s="53">
        <f t="shared" ref="AG33" si="146">AG32*$A$18</f>
        <v>935.42800457942269</v>
      </c>
      <c r="AH33" s="53">
        <f t="shared" ref="AH33" si="147">AH32*$A$18</f>
        <v>950.29428396278593</v>
      </c>
      <c r="AI33" s="53">
        <f t="shared" ref="AI33" si="148">AI32*$A$18</f>
        <v>965.6389109889933</v>
      </c>
      <c r="AJ33" s="53">
        <f t="shared" ref="AJ33" si="149">AJ32*$A$18</f>
        <v>981.46188565804448</v>
      </c>
      <c r="AK33" s="53">
        <f t="shared" ref="AK33" si="150">AK32*$A$18</f>
        <v>997.76320796993991</v>
      </c>
      <c r="AL33" s="53">
        <f t="shared" ref="AL33" si="151">AL32*$A$18</f>
        <v>1014.5428779246791</v>
      </c>
      <c r="AM33" s="53">
        <f t="shared" ref="AM33" si="152">AM32*$A$18</f>
        <v>1031.8008955222624</v>
      </c>
      <c r="AN33" s="53">
        <f t="shared" ref="AN33" si="153">AN32*$A$18</f>
        <v>1049.53726076269</v>
      </c>
      <c r="AO33" s="53">
        <f t="shared" ref="AO33" si="154">AO32*$A$18</f>
        <v>1067.7519736459612</v>
      </c>
      <c r="AP33" s="53">
        <f t="shared" ref="AP33" si="155">AP32*$A$18</f>
        <v>1086.4450341720767</v>
      </c>
      <c r="AQ33" s="53">
        <f t="shared" ref="AQ33" si="156">AQ32*$A$18</f>
        <v>1105.6164423410362</v>
      </c>
    </row>
    <row r="34" spans="1:43">
      <c r="A34" s="55"/>
      <c r="B34" s="55"/>
      <c r="C34" s="63" t="s">
        <v>391</v>
      </c>
      <c r="D34" s="64">
        <f>SIN(ATAN(25/100))</f>
        <v>0.24253562503633297</v>
      </c>
      <c r="E34" s="64">
        <f t="shared" ref="E34:AQ34" si="157">SIN(ATAN(25/100))</f>
        <v>0.24253562503633297</v>
      </c>
      <c r="F34" s="64">
        <f t="shared" si="157"/>
        <v>0.24253562503633297</v>
      </c>
      <c r="G34" s="64">
        <f t="shared" si="157"/>
        <v>0.24253562503633297</v>
      </c>
      <c r="H34" s="64">
        <f t="shared" si="157"/>
        <v>0.24253562503633297</v>
      </c>
      <c r="I34" s="64">
        <f t="shared" si="157"/>
        <v>0.24253562503633297</v>
      </c>
      <c r="J34" s="64">
        <f t="shared" si="157"/>
        <v>0.24253562503633297</v>
      </c>
      <c r="K34" s="64">
        <f t="shared" si="157"/>
        <v>0.24253562503633297</v>
      </c>
      <c r="L34" s="64">
        <f t="shared" si="157"/>
        <v>0.24253562503633297</v>
      </c>
      <c r="M34" s="64">
        <f t="shared" si="157"/>
        <v>0.24253562503633297</v>
      </c>
      <c r="N34" s="64">
        <f t="shared" si="157"/>
        <v>0.24253562503633297</v>
      </c>
      <c r="O34" s="64">
        <f t="shared" si="157"/>
        <v>0.24253562503633297</v>
      </c>
      <c r="P34" s="64">
        <f t="shared" si="157"/>
        <v>0.24253562503633297</v>
      </c>
      <c r="Q34" s="64">
        <f t="shared" si="157"/>
        <v>0.24253562503633297</v>
      </c>
      <c r="R34" s="64">
        <f t="shared" si="157"/>
        <v>0.24253562503633297</v>
      </c>
      <c r="S34" s="64">
        <f t="shared" si="157"/>
        <v>0.24253562503633297</v>
      </c>
      <c r="T34" s="64">
        <f t="shared" si="157"/>
        <v>0.24253562503633297</v>
      </c>
      <c r="U34" s="64">
        <f t="shared" si="157"/>
        <v>0.24253562503633297</v>
      </c>
      <c r="V34" s="64">
        <f t="shared" si="157"/>
        <v>0.24253562503633297</v>
      </c>
      <c r="W34" s="64">
        <f t="shared" si="157"/>
        <v>0.24253562503633297</v>
      </c>
      <c r="X34" s="64">
        <f t="shared" si="157"/>
        <v>0.24253562503633297</v>
      </c>
      <c r="Y34" s="64">
        <f t="shared" si="157"/>
        <v>0.24253562503633297</v>
      </c>
      <c r="Z34" s="64">
        <f t="shared" si="157"/>
        <v>0.24253562503633297</v>
      </c>
      <c r="AA34" s="64">
        <f t="shared" si="157"/>
        <v>0.24253562503633297</v>
      </c>
      <c r="AB34" s="64">
        <f t="shared" si="157"/>
        <v>0.24253562503633297</v>
      </c>
      <c r="AC34" s="64">
        <f t="shared" si="157"/>
        <v>0.24253562503633297</v>
      </c>
      <c r="AD34" s="64">
        <f t="shared" si="157"/>
        <v>0.24253562503633297</v>
      </c>
      <c r="AE34" s="64">
        <f t="shared" si="157"/>
        <v>0.24253562503633297</v>
      </c>
      <c r="AF34" s="64">
        <f t="shared" si="157"/>
        <v>0.24253562503633297</v>
      </c>
      <c r="AG34" s="64">
        <f t="shared" si="157"/>
        <v>0.24253562503633297</v>
      </c>
      <c r="AH34" s="64">
        <f t="shared" si="157"/>
        <v>0.24253562503633297</v>
      </c>
      <c r="AI34" s="64">
        <f t="shared" si="157"/>
        <v>0.24253562503633297</v>
      </c>
      <c r="AJ34" s="64">
        <f t="shared" si="157"/>
        <v>0.24253562503633297</v>
      </c>
      <c r="AK34" s="64">
        <f t="shared" si="157"/>
        <v>0.24253562503633297</v>
      </c>
      <c r="AL34" s="64">
        <f t="shared" si="157"/>
        <v>0.24253562503633297</v>
      </c>
      <c r="AM34" s="64">
        <f t="shared" si="157"/>
        <v>0.24253562503633297</v>
      </c>
      <c r="AN34" s="64">
        <f t="shared" si="157"/>
        <v>0.24253562503633297</v>
      </c>
      <c r="AO34" s="64">
        <f t="shared" si="157"/>
        <v>0.24253562503633297</v>
      </c>
      <c r="AP34" s="64">
        <f t="shared" si="157"/>
        <v>0.24253562503633297</v>
      </c>
      <c r="AQ34" s="64">
        <f t="shared" si="157"/>
        <v>0.24253562503633297</v>
      </c>
    </row>
    <row r="35" spans="1:43">
      <c r="A35" s="55"/>
      <c r="B35" s="55"/>
      <c r="C35" s="55" t="s">
        <v>392</v>
      </c>
      <c r="D35" s="62">
        <f>COS(ATAN(25/100))</f>
        <v>0.97014250014533188</v>
      </c>
      <c r="E35" s="62">
        <f t="shared" ref="E35:AQ35" si="158">COS(ATAN(25/100))</f>
        <v>0.97014250014533188</v>
      </c>
      <c r="F35" s="62">
        <f t="shared" si="158"/>
        <v>0.97014250014533188</v>
      </c>
      <c r="G35" s="62">
        <f t="shared" si="158"/>
        <v>0.97014250014533188</v>
      </c>
      <c r="H35" s="62">
        <f t="shared" si="158"/>
        <v>0.97014250014533188</v>
      </c>
      <c r="I35" s="62">
        <f t="shared" si="158"/>
        <v>0.97014250014533188</v>
      </c>
      <c r="J35" s="62">
        <f t="shared" si="158"/>
        <v>0.97014250014533188</v>
      </c>
      <c r="K35" s="62">
        <f t="shared" si="158"/>
        <v>0.97014250014533188</v>
      </c>
      <c r="L35" s="62">
        <f t="shared" si="158"/>
        <v>0.97014250014533188</v>
      </c>
      <c r="M35" s="62">
        <f t="shared" si="158"/>
        <v>0.97014250014533188</v>
      </c>
      <c r="N35" s="62">
        <f t="shared" si="158"/>
        <v>0.97014250014533188</v>
      </c>
      <c r="O35" s="62">
        <f t="shared" si="158"/>
        <v>0.97014250014533188</v>
      </c>
      <c r="P35" s="62">
        <f t="shared" si="158"/>
        <v>0.97014250014533188</v>
      </c>
      <c r="Q35" s="62">
        <f t="shared" si="158"/>
        <v>0.97014250014533188</v>
      </c>
      <c r="R35" s="62">
        <f t="shared" si="158"/>
        <v>0.97014250014533188</v>
      </c>
      <c r="S35" s="62">
        <f t="shared" si="158"/>
        <v>0.97014250014533188</v>
      </c>
      <c r="T35" s="62">
        <f t="shared" si="158"/>
        <v>0.97014250014533188</v>
      </c>
      <c r="U35" s="62">
        <f t="shared" si="158"/>
        <v>0.97014250014533188</v>
      </c>
      <c r="V35" s="62">
        <f t="shared" si="158"/>
        <v>0.97014250014533188</v>
      </c>
      <c r="W35" s="62">
        <f t="shared" si="158"/>
        <v>0.97014250014533188</v>
      </c>
      <c r="X35" s="62">
        <f t="shared" si="158"/>
        <v>0.97014250014533188</v>
      </c>
      <c r="Y35" s="62">
        <f t="shared" si="158"/>
        <v>0.97014250014533188</v>
      </c>
      <c r="Z35" s="62">
        <f t="shared" si="158"/>
        <v>0.97014250014533188</v>
      </c>
      <c r="AA35" s="62">
        <f t="shared" si="158"/>
        <v>0.97014250014533188</v>
      </c>
      <c r="AB35" s="62">
        <f t="shared" si="158"/>
        <v>0.97014250014533188</v>
      </c>
      <c r="AC35" s="62">
        <f t="shared" si="158"/>
        <v>0.97014250014533188</v>
      </c>
      <c r="AD35" s="62">
        <f t="shared" si="158"/>
        <v>0.97014250014533188</v>
      </c>
      <c r="AE35" s="62">
        <f t="shared" si="158"/>
        <v>0.97014250014533188</v>
      </c>
      <c r="AF35" s="62">
        <f t="shared" si="158"/>
        <v>0.97014250014533188</v>
      </c>
      <c r="AG35" s="62">
        <f t="shared" si="158"/>
        <v>0.97014250014533188</v>
      </c>
      <c r="AH35" s="62">
        <f t="shared" si="158"/>
        <v>0.97014250014533188</v>
      </c>
      <c r="AI35" s="62">
        <f t="shared" si="158"/>
        <v>0.97014250014533188</v>
      </c>
      <c r="AJ35" s="62">
        <f t="shared" si="158"/>
        <v>0.97014250014533188</v>
      </c>
      <c r="AK35" s="62">
        <f t="shared" si="158"/>
        <v>0.97014250014533188</v>
      </c>
      <c r="AL35" s="62">
        <f t="shared" si="158"/>
        <v>0.97014250014533188</v>
      </c>
      <c r="AM35" s="62">
        <f t="shared" si="158"/>
        <v>0.97014250014533188</v>
      </c>
      <c r="AN35" s="62">
        <f t="shared" si="158"/>
        <v>0.97014250014533188</v>
      </c>
      <c r="AO35" s="62">
        <f t="shared" si="158"/>
        <v>0.97014250014533188</v>
      </c>
      <c r="AP35" s="62">
        <f t="shared" si="158"/>
        <v>0.97014250014533188</v>
      </c>
      <c r="AQ35" s="62">
        <f t="shared" si="158"/>
        <v>0.97014250014533188</v>
      </c>
    </row>
    <row r="36" spans="1:43">
      <c r="A36" s="55"/>
      <c r="B36" s="55"/>
      <c r="C36" s="49" t="s">
        <v>407</v>
      </c>
      <c r="D36" s="53">
        <f>$A$2*$A$8*D34</f>
        <v>2797.0712970207642</v>
      </c>
      <c r="E36" s="53">
        <f t="shared" ref="E36:AA36" si="159">$A$2*$A$8*E34</f>
        <v>2797.0712970207642</v>
      </c>
      <c r="F36" s="53">
        <f t="shared" si="159"/>
        <v>2797.0712970207642</v>
      </c>
      <c r="G36" s="53">
        <f t="shared" si="159"/>
        <v>2797.0712970207642</v>
      </c>
      <c r="H36" s="53">
        <f t="shared" si="159"/>
        <v>2797.0712970207642</v>
      </c>
      <c r="I36" s="53">
        <f t="shared" si="159"/>
        <v>2797.0712970207642</v>
      </c>
      <c r="J36" s="53">
        <f t="shared" si="159"/>
        <v>2797.0712970207642</v>
      </c>
      <c r="K36" s="53">
        <f t="shared" si="159"/>
        <v>2797.0712970207642</v>
      </c>
      <c r="L36" s="53">
        <f t="shared" si="159"/>
        <v>2797.0712970207642</v>
      </c>
      <c r="M36" s="53">
        <f t="shared" si="159"/>
        <v>2797.0712970207642</v>
      </c>
      <c r="N36" s="53">
        <f t="shared" si="159"/>
        <v>2797.0712970207642</v>
      </c>
      <c r="O36" s="53">
        <f t="shared" si="159"/>
        <v>2797.0712970207642</v>
      </c>
      <c r="P36" s="53">
        <f t="shared" si="159"/>
        <v>2797.0712970207642</v>
      </c>
      <c r="Q36" s="53">
        <f t="shared" si="159"/>
        <v>2797.0712970207642</v>
      </c>
      <c r="R36" s="53">
        <f t="shared" si="159"/>
        <v>2797.0712970207642</v>
      </c>
      <c r="S36" s="53">
        <f t="shared" si="159"/>
        <v>2797.0712970207642</v>
      </c>
      <c r="T36" s="53">
        <f t="shared" si="159"/>
        <v>2797.0712970207642</v>
      </c>
      <c r="U36" s="53">
        <f t="shared" si="159"/>
        <v>2797.0712970207642</v>
      </c>
      <c r="V36" s="53">
        <f t="shared" si="159"/>
        <v>2797.0712970207642</v>
      </c>
      <c r="W36" s="53">
        <f t="shared" si="159"/>
        <v>2797.0712970207642</v>
      </c>
      <c r="X36" s="53">
        <f t="shared" si="159"/>
        <v>2797.0712970207642</v>
      </c>
      <c r="Y36" s="53">
        <f t="shared" si="159"/>
        <v>2797.0712970207642</v>
      </c>
      <c r="Z36" s="53">
        <f t="shared" si="159"/>
        <v>2797.0712970207642</v>
      </c>
      <c r="AA36" s="53">
        <f t="shared" si="159"/>
        <v>2797.0712970207642</v>
      </c>
      <c r="AB36" s="53">
        <f t="shared" ref="AB36:AQ36" si="160">$A$2*$A$8*AB34</f>
        <v>2797.0712970207642</v>
      </c>
      <c r="AC36" s="53">
        <f t="shared" si="160"/>
        <v>2797.0712970207642</v>
      </c>
      <c r="AD36" s="53">
        <f t="shared" si="160"/>
        <v>2797.0712970207642</v>
      </c>
      <c r="AE36" s="53">
        <f t="shared" si="160"/>
        <v>2797.0712970207642</v>
      </c>
      <c r="AF36" s="53">
        <f t="shared" si="160"/>
        <v>2797.0712970207642</v>
      </c>
      <c r="AG36" s="53">
        <f t="shared" si="160"/>
        <v>2797.0712970207642</v>
      </c>
      <c r="AH36" s="53">
        <f t="shared" si="160"/>
        <v>2797.0712970207642</v>
      </c>
      <c r="AI36" s="53">
        <f t="shared" si="160"/>
        <v>2797.0712970207642</v>
      </c>
      <c r="AJ36" s="53">
        <f t="shared" si="160"/>
        <v>2797.0712970207642</v>
      </c>
      <c r="AK36" s="53">
        <f t="shared" si="160"/>
        <v>2797.0712970207642</v>
      </c>
      <c r="AL36" s="53">
        <f t="shared" si="160"/>
        <v>2797.0712970207642</v>
      </c>
      <c r="AM36" s="53">
        <f t="shared" si="160"/>
        <v>2797.0712970207642</v>
      </c>
      <c r="AN36" s="53">
        <f t="shared" si="160"/>
        <v>2797.0712970207642</v>
      </c>
      <c r="AO36" s="53">
        <f t="shared" si="160"/>
        <v>2797.0712970207642</v>
      </c>
      <c r="AP36" s="53">
        <f t="shared" si="160"/>
        <v>2797.0712970207642</v>
      </c>
      <c r="AQ36" s="53">
        <f t="shared" si="160"/>
        <v>2797.0712970207642</v>
      </c>
    </row>
    <row r="37" spans="1:43">
      <c r="A37" s="55"/>
      <c r="B37" s="55"/>
      <c r="C37" s="49" t="s">
        <v>408</v>
      </c>
      <c r="D37" s="53">
        <f>$A$20*$A$2*$A$8*D35</f>
        <v>201.38913338549503</v>
      </c>
      <c r="E37" s="53">
        <f t="shared" ref="E37:AA37" si="161">$A$20*$A$2*$A$8*E35</f>
        <v>201.38913338549503</v>
      </c>
      <c r="F37" s="53">
        <f t="shared" si="161"/>
        <v>201.38913338549503</v>
      </c>
      <c r="G37" s="53">
        <f t="shared" si="161"/>
        <v>201.38913338549503</v>
      </c>
      <c r="H37" s="53">
        <f t="shared" si="161"/>
        <v>201.38913338549503</v>
      </c>
      <c r="I37" s="53">
        <f t="shared" si="161"/>
        <v>201.38913338549503</v>
      </c>
      <c r="J37" s="53">
        <f t="shared" si="161"/>
        <v>201.38913338549503</v>
      </c>
      <c r="K37" s="53">
        <f t="shared" si="161"/>
        <v>201.38913338549503</v>
      </c>
      <c r="L37" s="53">
        <f t="shared" si="161"/>
        <v>201.38913338549503</v>
      </c>
      <c r="M37" s="53">
        <f t="shared" si="161"/>
        <v>201.38913338549503</v>
      </c>
      <c r="N37" s="53">
        <f t="shared" si="161"/>
        <v>201.38913338549503</v>
      </c>
      <c r="O37" s="53">
        <f t="shared" si="161"/>
        <v>201.38913338549503</v>
      </c>
      <c r="P37" s="53">
        <f t="shared" si="161"/>
        <v>201.38913338549503</v>
      </c>
      <c r="Q37" s="53">
        <f t="shared" si="161"/>
        <v>201.38913338549503</v>
      </c>
      <c r="R37" s="53">
        <f t="shared" si="161"/>
        <v>201.38913338549503</v>
      </c>
      <c r="S37" s="53">
        <f t="shared" si="161"/>
        <v>201.38913338549503</v>
      </c>
      <c r="T37" s="53">
        <f t="shared" si="161"/>
        <v>201.38913338549503</v>
      </c>
      <c r="U37" s="53">
        <f t="shared" si="161"/>
        <v>201.38913338549503</v>
      </c>
      <c r="V37" s="53">
        <f t="shared" si="161"/>
        <v>201.38913338549503</v>
      </c>
      <c r="W37" s="53">
        <f t="shared" si="161"/>
        <v>201.38913338549503</v>
      </c>
      <c r="X37" s="53">
        <f t="shared" si="161"/>
        <v>201.38913338549503</v>
      </c>
      <c r="Y37" s="53">
        <f t="shared" si="161"/>
        <v>201.38913338549503</v>
      </c>
      <c r="Z37" s="53">
        <f t="shared" si="161"/>
        <v>201.38913338549503</v>
      </c>
      <c r="AA37" s="53">
        <f t="shared" si="161"/>
        <v>201.38913338549503</v>
      </c>
      <c r="AB37" s="53">
        <f t="shared" ref="AB37:AQ37" si="162">$A$20*$A$2*$A$8*AB35</f>
        <v>201.38913338549503</v>
      </c>
      <c r="AC37" s="53">
        <f t="shared" si="162"/>
        <v>201.38913338549503</v>
      </c>
      <c r="AD37" s="53">
        <f t="shared" si="162"/>
        <v>201.38913338549503</v>
      </c>
      <c r="AE37" s="53">
        <f t="shared" si="162"/>
        <v>201.38913338549503</v>
      </c>
      <c r="AF37" s="53">
        <f t="shared" si="162"/>
        <v>201.38913338549503</v>
      </c>
      <c r="AG37" s="53">
        <f t="shared" si="162"/>
        <v>201.38913338549503</v>
      </c>
      <c r="AH37" s="53">
        <f t="shared" si="162"/>
        <v>201.38913338549503</v>
      </c>
      <c r="AI37" s="53">
        <f t="shared" si="162"/>
        <v>201.38913338549503</v>
      </c>
      <c r="AJ37" s="53">
        <f t="shared" si="162"/>
        <v>201.38913338549503</v>
      </c>
      <c r="AK37" s="53">
        <f t="shared" si="162"/>
        <v>201.38913338549503</v>
      </c>
      <c r="AL37" s="53">
        <f t="shared" si="162"/>
        <v>201.38913338549503</v>
      </c>
      <c r="AM37" s="53">
        <f t="shared" si="162"/>
        <v>201.38913338549503</v>
      </c>
      <c r="AN37" s="53">
        <f t="shared" si="162"/>
        <v>201.38913338549503</v>
      </c>
      <c r="AO37" s="53">
        <f t="shared" si="162"/>
        <v>201.38913338549503</v>
      </c>
      <c r="AP37" s="53">
        <f t="shared" si="162"/>
        <v>201.38913338549503</v>
      </c>
      <c r="AQ37" s="53">
        <f t="shared" si="162"/>
        <v>201.38913338549503</v>
      </c>
    </row>
    <row r="38" spans="1:43">
      <c r="A38" s="55"/>
      <c r="B38" s="55"/>
      <c r="C38" s="49" t="s">
        <v>413</v>
      </c>
      <c r="D38" s="53">
        <f>D$5+D$7+D36+D37</f>
        <v>3006.8147657118147</v>
      </c>
      <c r="E38" s="53">
        <f t="shared" ref="E38:AA38" si="163">E$5+E$7+E36+E37</f>
        <v>3010.2669484201479</v>
      </c>
      <c r="F38" s="53">
        <f t="shared" si="163"/>
        <v>3015.3801120312592</v>
      </c>
      <c r="G38" s="53">
        <f t="shared" si="163"/>
        <v>3022.1542565451482</v>
      </c>
      <c r="H38" s="53">
        <f t="shared" si="163"/>
        <v>3030.5893819618145</v>
      </c>
      <c r="I38" s="53">
        <f t="shared" si="163"/>
        <v>3040.685488281259</v>
      </c>
      <c r="J38" s="53">
        <f t="shared" si="163"/>
        <v>3052.4425755034813</v>
      </c>
      <c r="K38" s="53">
        <f t="shared" si="163"/>
        <v>3065.8606436284813</v>
      </c>
      <c r="L38" s="53">
        <f t="shared" si="163"/>
        <v>3080.939692656259</v>
      </c>
      <c r="M38" s="53">
        <f t="shared" si="163"/>
        <v>3097.6797225868145</v>
      </c>
      <c r="N38" s="53">
        <f t="shared" si="163"/>
        <v>3116.0807334201481</v>
      </c>
      <c r="O38" s="53">
        <f t="shared" si="163"/>
        <v>3136.1427251562591</v>
      </c>
      <c r="P38" s="53">
        <f t="shared" si="163"/>
        <v>3157.8656977951482</v>
      </c>
      <c r="Q38" s="53">
        <f t="shared" si="163"/>
        <v>3181.2496513368146</v>
      </c>
      <c r="R38" s="53">
        <f t="shared" si="163"/>
        <v>3206.2945857812592</v>
      </c>
      <c r="S38" s="53">
        <f t="shared" si="163"/>
        <v>3233.0005011284816</v>
      </c>
      <c r="T38" s="53">
        <f t="shared" si="163"/>
        <v>3261.3673973784812</v>
      </c>
      <c r="U38" s="53">
        <f t="shared" si="163"/>
        <v>3291.395274531259</v>
      </c>
      <c r="V38" s="53">
        <f t="shared" si="163"/>
        <v>3323.0841325868146</v>
      </c>
      <c r="W38" s="53">
        <f t="shared" si="163"/>
        <v>3356.4339715451479</v>
      </c>
      <c r="X38" s="53">
        <f t="shared" si="163"/>
        <v>3391.4447914062589</v>
      </c>
      <c r="Y38" s="53">
        <f t="shared" si="163"/>
        <v>3428.1165921701481</v>
      </c>
      <c r="Z38" s="53">
        <f t="shared" si="163"/>
        <v>3466.4493738368146</v>
      </c>
      <c r="AA38" s="53">
        <f t="shared" si="163"/>
        <v>3506.4431364062593</v>
      </c>
      <c r="AB38" s="53">
        <f t="shared" ref="AB38" si="164">AB$5+AB$7+AB36+AB37</f>
        <v>3548.0978798784813</v>
      </c>
      <c r="AC38" s="53">
        <f t="shared" ref="AC38" si="165">AC$5+AC$7+AC36+AC37</f>
        <v>3591.4136042534815</v>
      </c>
      <c r="AD38" s="53">
        <f t="shared" ref="AD38" si="166">AD$5+AD$7+AD36+AD37</f>
        <v>3636.3903095312594</v>
      </c>
      <c r="AE38" s="53">
        <f t="shared" ref="AE38" si="167">AE$5+AE$7+AE36+AE37</f>
        <v>3683.027995711815</v>
      </c>
      <c r="AF38" s="53">
        <f t="shared" ref="AF38" si="168">AF$5+AF$7+AF36+AF37</f>
        <v>3731.326662795148</v>
      </c>
      <c r="AG38" s="53">
        <f t="shared" ref="AG38" si="169">AG$5+AG$7+AG36+AG37</f>
        <v>3781.2863107812595</v>
      </c>
      <c r="AH38" s="53">
        <f t="shared" ref="AH38" si="170">AH$5+AH$7+AH36+AH37</f>
        <v>3832.9069396701479</v>
      </c>
      <c r="AI38" s="53">
        <f t="shared" ref="AI38" si="171">AI$5+AI$7+AI36+AI37</f>
        <v>3886.188549461815</v>
      </c>
      <c r="AJ38" s="53">
        <f t="shared" ref="AJ38" si="172">AJ$5+AJ$7+AJ36+AJ37</f>
        <v>3941.1311401562589</v>
      </c>
      <c r="AK38" s="53">
        <f t="shared" ref="AK38" si="173">AK$5+AK$7+AK36+AK37</f>
        <v>3997.7347117534814</v>
      </c>
      <c r="AL38" s="53">
        <f t="shared" ref="AL38" si="174">AL$5+AL$7+AL36+AL37</f>
        <v>4055.9992642534812</v>
      </c>
      <c r="AM38" s="53">
        <f t="shared" ref="AM38" si="175">AM$5+AM$7+AM36+AM37</f>
        <v>4115.9247976562592</v>
      </c>
      <c r="AN38" s="53">
        <f t="shared" ref="AN38" si="176">AN$5+AN$7+AN36+AN37</f>
        <v>4177.5113119618154</v>
      </c>
      <c r="AO38" s="53">
        <f t="shared" ref="AO38" si="177">AO$5+AO$7+AO36+AO37</f>
        <v>4240.7588071701484</v>
      </c>
      <c r="AP38" s="53">
        <f t="shared" ref="AP38" si="178">AP$5+AP$7+AP36+AP37</f>
        <v>4305.6672832812601</v>
      </c>
      <c r="AQ38" s="53">
        <f t="shared" ref="AQ38" si="179">AQ$5+AQ$7+AQ36+AQ37</f>
        <v>4372.2367402951486</v>
      </c>
    </row>
    <row r="39" spans="1:43">
      <c r="A39" s="55"/>
      <c r="B39" s="55"/>
      <c r="C39" s="49" t="s">
        <v>419</v>
      </c>
      <c r="D39" s="53">
        <f>D38*$A$18</f>
        <v>865.9357571429241</v>
      </c>
      <c r="E39" s="53">
        <f t="shared" ref="E39:AA39" si="180">E38*$A$18</f>
        <v>866.92995488381098</v>
      </c>
      <c r="F39" s="53">
        <f t="shared" si="180"/>
        <v>868.40250026754211</v>
      </c>
      <c r="G39" s="53">
        <f t="shared" si="180"/>
        <v>870.35339329411715</v>
      </c>
      <c r="H39" s="53">
        <f t="shared" si="180"/>
        <v>872.78263396353611</v>
      </c>
      <c r="I39" s="53">
        <f t="shared" si="180"/>
        <v>875.6902222757991</v>
      </c>
      <c r="J39" s="53">
        <f t="shared" si="180"/>
        <v>879.07615823090623</v>
      </c>
      <c r="K39" s="53">
        <f t="shared" si="180"/>
        <v>882.94044182885727</v>
      </c>
      <c r="L39" s="53">
        <f t="shared" si="180"/>
        <v>887.28307306965223</v>
      </c>
      <c r="M39" s="53">
        <f t="shared" si="180"/>
        <v>892.10405195329133</v>
      </c>
      <c r="N39" s="53">
        <f t="shared" si="180"/>
        <v>897.40337847977446</v>
      </c>
      <c r="O39" s="53">
        <f t="shared" si="180"/>
        <v>903.18105264910162</v>
      </c>
      <c r="P39" s="53">
        <f t="shared" si="180"/>
        <v>909.43707446127269</v>
      </c>
      <c r="Q39" s="53">
        <f t="shared" si="180"/>
        <v>916.17144391628779</v>
      </c>
      <c r="R39" s="53">
        <f t="shared" si="180"/>
        <v>923.38416101414691</v>
      </c>
      <c r="S39" s="53">
        <f t="shared" si="180"/>
        <v>931.07522575485018</v>
      </c>
      <c r="T39" s="53">
        <f t="shared" si="180"/>
        <v>939.24463813839714</v>
      </c>
      <c r="U39" s="53">
        <f t="shared" si="180"/>
        <v>947.89239816478835</v>
      </c>
      <c r="V39" s="53">
        <f t="shared" si="180"/>
        <v>957.01850583402359</v>
      </c>
      <c r="W39" s="53">
        <f t="shared" si="180"/>
        <v>966.62296114610274</v>
      </c>
      <c r="X39" s="53">
        <f t="shared" si="180"/>
        <v>976.70576410102592</v>
      </c>
      <c r="Y39" s="53">
        <f t="shared" si="180"/>
        <v>987.26691469879313</v>
      </c>
      <c r="Z39" s="53">
        <f t="shared" si="180"/>
        <v>998.30641293940437</v>
      </c>
      <c r="AA39" s="53">
        <f t="shared" si="180"/>
        <v>1009.8242588228596</v>
      </c>
      <c r="AB39" s="53">
        <f t="shared" ref="AB39" si="181">AB38*$A$18</f>
        <v>1021.8204523491588</v>
      </c>
      <c r="AC39" s="53">
        <f t="shared" ref="AC39" si="182">AC38*$A$18</f>
        <v>1034.2949935183021</v>
      </c>
      <c r="AD39" s="53">
        <f t="shared" ref="AD39" si="183">AD38*$A$18</f>
        <v>1047.2478823302895</v>
      </c>
      <c r="AE39" s="53">
        <f t="shared" ref="AE39" si="184">AE38*$A$18</f>
        <v>1060.6791187851206</v>
      </c>
      <c r="AF39" s="53">
        <f t="shared" ref="AF39" si="185">AF38*$A$18</f>
        <v>1074.5887028827958</v>
      </c>
      <c r="AG39" s="53">
        <f t="shared" ref="AG39" si="186">AG38*$A$18</f>
        <v>1088.9766346233152</v>
      </c>
      <c r="AH39" s="53">
        <f t="shared" ref="AH39" si="187">AH38*$A$18</f>
        <v>1103.8429140066785</v>
      </c>
      <c r="AI39" s="53">
        <f t="shared" ref="AI39" si="188">AI38*$A$18</f>
        <v>1119.1875410328857</v>
      </c>
      <c r="AJ39" s="53">
        <f t="shared" ref="AJ39" si="189">AJ38*$A$18</f>
        <v>1135.010515701937</v>
      </c>
      <c r="AK39" s="53">
        <f t="shared" ref="AK39" si="190">AK38*$A$18</f>
        <v>1151.3118380138324</v>
      </c>
      <c r="AL39" s="53">
        <f t="shared" ref="AL39" si="191">AL38*$A$18</f>
        <v>1168.0915079685717</v>
      </c>
      <c r="AM39" s="53">
        <f t="shared" ref="AM39" si="192">AM38*$A$18</f>
        <v>1185.3495255661551</v>
      </c>
      <c r="AN39" s="53">
        <f t="shared" ref="AN39" si="193">AN38*$A$18</f>
        <v>1203.0858908065827</v>
      </c>
      <c r="AO39" s="53">
        <f t="shared" ref="AO39" si="194">AO38*$A$18</f>
        <v>1221.3006036898539</v>
      </c>
      <c r="AP39" s="53">
        <f t="shared" ref="AP39" si="195">AP38*$A$18</f>
        <v>1239.9936642159696</v>
      </c>
      <c r="AQ39" s="53">
        <f t="shared" ref="AQ39" si="196">AQ38*$A$18</f>
        <v>1259.1650723849289</v>
      </c>
    </row>
  </sheetData>
  <pageMargins left="0.7" right="0.7" top="0.75" bottom="0.75" header="0.3" footer="0.3"/>
  <ignoredErrors>
    <ignoredError sqref="D4:AA4 AB4:AQ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N31"/>
  <sheetViews>
    <sheetView workbookViewId="0">
      <selection activeCell="E2" sqref="E2:N2"/>
    </sheetView>
  </sheetViews>
  <sheetFormatPr baseColWidth="10" defaultColWidth="11.25" defaultRowHeight="16" x14ac:dyDescent="0"/>
  <cols>
    <col min="1" max="1" width="33.625" bestFit="1" customWidth="1"/>
    <col min="2" max="2" width="13.5" bestFit="1" customWidth="1"/>
    <col min="3" max="3" width="12" bestFit="1" customWidth="1"/>
    <col min="4" max="4" width="10.125" bestFit="1" customWidth="1"/>
    <col min="5" max="5" width="13.75" style="82" bestFit="1" customWidth="1"/>
    <col min="6" max="6" width="12.625" bestFit="1" customWidth="1"/>
    <col min="7" max="7" width="13.75" style="82" bestFit="1" customWidth="1"/>
    <col min="8" max="8" width="13.5" bestFit="1" customWidth="1"/>
    <col min="9" max="9" width="13.75" style="82" customWidth="1"/>
    <col min="10" max="10" width="12.5" bestFit="1" customWidth="1"/>
    <col min="11" max="11" width="13.75" style="82" bestFit="1" customWidth="1"/>
    <col min="12" max="12" width="12.5" bestFit="1" customWidth="1"/>
    <col min="13" max="13" width="13.75" style="82" customWidth="1"/>
    <col min="14" max="14" width="12.625" bestFit="1" customWidth="1"/>
  </cols>
  <sheetData>
    <row r="1" spans="1:14" ht="17" thickBot="1">
      <c r="A1" s="110" t="s">
        <v>442</v>
      </c>
      <c r="B1" s="103"/>
      <c r="C1" s="103"/>
      <c r="D1" s="103"/>
      <c r="E1" s="104" t="s">
        <v>443</v>
      </c>
      <c r="F1" s="104" t="s">
        <v>443</v>
      </c>
      <c r="G1" s="104" t="s">
        <v>444</v>
      </c>
      <c r="H1" s="104" t="s">
        <v>444</v>
      </c>
      <c r="I1" s="104" t="s">
        <v>445</v>
      </c>
      <c r="J1" s="104" t="s">
        <v>445</v>
      </c>
      <c r="K1" s="104" t="s">
        <v>446</v>
      </c>
      <c r="L1" s="104" t="s">
        <v>446</v>
      </c>
      <c r="M1" s="104" t="s">
        <v>447</v>
      </c>
      <c r="N1" s="105" t="s">
        <v>447</v>
      </c>
    </row>
    <row r="2" spans="1:14" ht="32">
      <c r="A2" s="111" t="s">
        <v>448</v>
      </c>
      <c r="B2" s="106"/>
      <c r="C2" s="107"/>
      <c r="D2" s="107"/>
      <c r="E2" s="108">
        <v>12.06</v>
      </c>
      <c r="F2" s="108">
        <v>12.06</v>
      </c>
      <c r="G2" s="108">
        <v>6.5</v>
      </c>
      <c r="H2" s="108">
        <v>6.5</v>
      </c>
      <c r="I2" s="108">
        <v>4.3099999999999996</v>
      </c>
      <c r="J2" s="108">
        <v>4.3099999999999996</v>
      </c>
      <c r="K2" s="108">
        <v>3.2</v>
      </c>
      <c r="L2" s="108">
        <v>3.2</v>
      </c>
      <c r="M2" s="108">
        <v>2.56</v>
      </c>
      <c r="N2" s="109">
        <v>2.56</v>
      </c>
    </row>
    <row r="3" spans="1:14" ht="32">
      <c r="A3" s="101" t="s">
        <v>450</v>
      </c>
      <c r="B3" s="89"/>
      <c r="C3" s="57"/>
      <c r="D3" s="57"/>
      <c r="E3" s="92">
        <f>E2*$B$26</f>
        <v>10.854000000000001</v>
      </c>
      <c r="F3" s="92"/>
      <c r="G3" s="92">
        <f>G2*$B$26</f>
        <v>5.8500000000000005</v>
      </c>
      <c r="H3" s="92"/>
      <c r="I3" s="92">
        <f>I2*$B$26</f>
        <v>3.8789999999999996</v>
      </c>
      <c r="J3" s="92"/>
      <c r="K3" s="92">
        <f>K2*$B$26</f>
        <v>2.8800000000000003</v>
      </c>
      <c r="L3" s="92"/>
      <c r="M3" s="92">
        <f>M2*$B$26</f>
        <v>2.3040000000000003</v>
      </c>
      <c r="N3" s="93"/>
    </row>
    <row r="4" spans="1:14" ht="32">
      <c r="A4" s="101" t="s">
        <v>451</v>
      </c>
      <c r="B4" s="89"/>
      <c r="C4" s="57"/>
      <c r="D4" s="57"/>
      <c r="E4" s="57"/>
      <c r="F4" s="94">
        <f>60/(F2*$B$31)</f>
        <v>5.5940637784395852E-3</v>
      </c>
      <c r="G4" s="57"/>
      <c r="H4" s="94">
        <f>60/(H2*$B$31)</f>
        <v>1.0379139871997138E-2</v>
      </c>
      <c r="I4" s="57"/>
      <c r="J4" s="94">
        <f>60/(J2*$B$31)</f>
        <v>1.5652995166585013E-2</v>
      </c>
      <c r="K4" s="57"/>
      <c r="L4" s="94">
        <f>60/(L2*$B$31)</f>
        <v>2.1082627864994187E-2</v>
      </c>
      <c r="M4" s="57"/>
      <c r="N4" s="95">
        <f>60/(N2*$B$31)</f>
        <v>2.6353284831242735E-2</v>
      </c>
    </row>
    <row r="5" spans="1:14" ht="48">
      <c r="A5" s="101" t="s">
        <v>458</v>
      </c>
      <c r="B5" s="89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6" t="s">
        <v>456</v>
      </c>
    </row>
    <row r="6" spans="1:14">
      <c r="A6" s="101"/>
      <c r="B6" s="89">
        <v>100</v>
      </c>
      <c r="C6" s="57">
        <v>10</v>
      </c>
      <c r="D6" s="57">
        <v>7750</v>
      </c>
      <c r="E6" s="90">
        <f>C6*$E$3</f>
        <v>108.54</v>
      </c>
      <c r="F6" s="90">
        <f>D6*$F$4</f>
        <v>43.353994282906783</v>
      </c>
      <c r="G6" s="90">
        <f>C6*$G$3</f>
        <v>58.500000000000007</v>
      </c>
      <c r="H6" s="90">
        <f>D6*$H$4</f>
        <v>80.438334007977829</v>
      </c>
      <c r="I6" s="90">
        <f>C6*$I$3</f>
        <v>38.789999999999992</v>
      </c>
      <c r="J6" s="90">
        <f>D6*$J$4</f>
        <v>121.31071254103385</v>
      </c>
      <c r="K6" s="90">
        <f>C6*$K$3</f>
        <v>28.800000000000004</v>
      </c>
      <c r="L6" s="90">
        <f>D6*$L$4</f>
        <v>163.39036595370496</v>
      </c>
      <c r="M6" s="90">
        <f>C6*$M$3</f>
        <v>23.040000000000003</v>
      </c>
      <c r="N6" s="91">
        <f>D6*$N$4</f>
        <v>204.2379574421312</v>
      </c>
    </row>
    <row r="7" spans="1:14">
      <c r="A7" s="101"/>
      <c r="B7" s="89">
        <v>125</v>
      </c>
      <c r="C7" s="57">
        <v>15</v>
      </c>
      <c r="D7" s="57">
        <v>6400</v>
      </c>
      <c r="E7" s="90">
        <f t="shared" ref="E7:E24" si="0">C7*$E$3</f>
        <v>162.81</v>
      </c>
      <c r="F7" s="90">
        <f t="shared" ref="F7:F24" si="1">D7*$F$4</f>
        <v>35.802008182013346</v>
      </c>
      <c r="G7" s="90">
        <f t="shared" ref="G7:G24" si="2">C7*$G$3</f>
        <v>87.750000000000014</v>
      </c>
      <c r="H7" s="90">
        <f t="shared" ref="H7:H24" si="3">D7*$H$4</f>
        <v>66.426495180781686</v>
      </c>
      <c r="I7" s="90">
        <f t="shared" ref="I7:I24" si="4">C7*$I$3</f>
        <v>58.184999999999995</v>
      </c>
      <c r="J7" s="90">
        <f t="shared" ref="J7:J24" si="5">D7*$J$4</f>
        <v>100.17916906614408</v>
      </c>
      <c r="K7" s="90">
        <f t="shared" ref="K7:K24" si="6">C7*$K$3</f>
        <v>43.2</v>
      </c>
      <c r="L7" s="90">
        <f t="shared" ref="L7:L24" si="7">D7*$L$4</f>
        <v>134.9288183359628</v>
      </c>
      <c r="M7" s="90">
        <f t="shared" ref="M7:M24" si="8">C7*$M$3</f>
        <v>34.56</v>
      </c>
      <c r="N7" s="91">
        <f t="shared" ref="N7:N24" si="9">D7*$N$4</f>
        <v>168.6610229199535</v>
      </c>
    </row>
    <row r="8" spans="1:14">
      <c r="A8" s="101"/>
      <c r="B8" s="89">
        <v>150</v>
      </c>
      <c r="C8" s="57">
        <v>20</v>
      </c>
      <c r="D8" s="57">
        <v>5000</v>
      </c>
      <c r="E8" s="90">
        <f t="shared" si="0"/>
        <v>217.08</v>
      </c>
      <c r="F8" s="90">
        <f t="shared" si="1"/>
        <v>27.970318892197927</v>
      </c>
      <c r="G8" s="90">
        <f t="shared" si="2"/>
        <v>117.00000000000001</v>
      </c>
      <c r="H8" s="90">
        <f t="shared" si="3"/>
        <v>51.895699359985692</v>
      </c>
      <c r="I8" s="90">
        <f t="shared" si="4"/>
        <v>77.579999999999984</v>
      </c>
      <c r="J8" s="90">
        <f t="shared" si="5"/>
        <v>78.26497583292506</v>
      </c>
      <c r="K8" s="90">
        <f t="shared" si="6"/>
        <v>57.600000000000009</v>
      </c>
      <c r="L8" s="90">
        <f t="shared" si="7"/>
        <v>105.41313932497094</v>
      </c>
      <c r="M8" s="90">
        <f t="shared" si="8"/>
        <v>46.080000000000005</v>
      </c>
      <c r="N8" s="91">
        <f t="shared" si="9"/>
        <v>131.76642415621367</v>
      </c>
    </row>
    <row r="9" spans="1:14">
      <c r="A9" s="101"/>
      <c r="B9" s="89">
        <v>170</v>
      </c>
      <c r="C9" s="57">
        <v>25</v>
      </c>
      <c r="D9" s="57">
        <v>4600</v>
      </c>
      <c r="E9" s="90">
        <f t="shared" si="0"/>
        <v>271.35000000000002</v>
      </c>
      <c r="F9" s="90">
        <f t="shared" si="1"/>
        <v>25.732693380822091</v>
      </c>
      <c r="G9" s="90">
        <f t="shared" si="2"/>
        <v>146.25</v>
      </c>
      <c r="H9" s="90">
        <f t="shared" si="3"/>
        <v>47.744043411186837</v>
      </c>
      <c r="I9" s="90">
        <f t="shared" si="4"/>
        <v>96.974999999999994</v>
      </c>
      <c r="J9" s="90">
        <f t="shared" si="5"/>
        <v>72.003777766291051</v>
      </c>
      <c r="K9" s="90">
        <f t="shared" si="6"/>
        <v>72.000000000000014</v>
      </c>
      <c r="L9" s="90">
        <f t="shared" si="7"/>
        <v>96.980088178973261</v>
      </c>
      <c r="M9" s="90">
        <f t="shared" si="8"/>
        <v>57.600000000000009</v>
      </c>
      <c r="N9" s="91">
        <f t="shared" si="9"/>
        <v>121.22511022371658</v>
      </c>
    </row>
    <row r="10" spans="1:14">
      <c r="A10" s="101"/>
      <c r="B10" s="89">
        <v>190</v>
      </c>
      <c r="C10" s="57">
        <v>30</v>
      </c>
      <c r="D10" s="57">
        <v>4100</v>
      </c>
      <c r="E10" s="90">
        <f t="shared" si="0"/>
        <v>325.62</v>
      </c>
      <c r="F10" s="90">
        <f t="shared" si="1"/>
        <v>22.9356614916023</v>
      </c>
      <c r="G10" s="90">
        <f t="shared" si="2"/>
        <v>175.50000000000003</v>
      </c>
      <c r="H10" s="90">
        <f t="shared" si="3"/>
        <v>42.554473475188267</v>
      </c>
      <c r="I10" s="90">
        <f t="shared" si="4"/>
        <v>116.36999999999999</v>
      </c>
      <c r="J10" s="90">
        <f t="shared" si="5"/>
        <v>64.177280182998558</v>
      </c>
      <c r="K10" s="90">
        <f t="shared" si="6"/>
        <v>86.4</v>
      </c>
      <c r="L10" s="90">
        <f t="shared" si="7"/>
        <v>86.438774246476171</v>
      </c>
      <c r="M10" s="90">
        <f t="shared" si="8"/>
        <v>69.12</v>
      </c>
      <c r="N10" s="91">
        <f t="shared" si="9"/>
        <v>108.04846780809521</v>
      </c>
    </row>
    <row r="11" spans="1:14">
      <c r="A11" s="101"/>
      <c r="B11" s="89">
        <v>210</v>
      </c>
      <c r="C11" s="57">
        <v>35</v>
      </c>
      <c r="D11" s="57">
        <v>3900</v>
      </c>
      <c r="E11" s="90">
        <f t="shared" si="0"/>
        <v>379.89000000000004</v>
      </c>
      <c r="F11" s="90">
        <f t="shared" si="1"/>
        <v>21.816848735914384</v>
      </c>
      <c r="G11" s="90">
        <f t="shared" si="2"/>
        <v>204.75000000000003</v>
      </c>
      <c r="H11" s="90">
        <f t="shared" si="3"/>
        <v>40.478645500788843</v>
      </c>
      <c r="I11" s="90">
        <f t="shared" si="4"/>
        <v>135.76499999999999</v>
      </c>
      <c r="J11" s="90">
        <f t="shared" si="5"/>
        <v>61.046681149681547</v>
      </c>
      <c r="K11" s="90">
        <f t="shared" si="6"/>
        <v>100.80000000000001</v>
      </c>
      <c r="L11" s="90">
        <f t="shared" si="7"/>
        <v>82.222248673477324</v>
      </c>
      <c r="M11" s="90">
        <f t="shared" si="8"/>
        <v>80.640000000000015</v>
      </c>
      <c r="N11" s="91">
        <f t="shared" si="9"/>
        <v>102.77781084184667</v>
      </c>
    </row>
    <row r="12" spans="1:14">
      <c r="A12" s="101"/>
      <c r="B12" s="89">
        <v>230</v>
      </c>
      <c r="C12" s="57">
        <v>40</v>
      </c>
      <c r="D12" s="57">
        <v>3700</v>
      </c>
      <c r="E12" s="90">
        <f t="shared" si="0"/>
        <v>434.16</v>
      </c>
      <c r="F12" s="90">
        <f t="shared" si="1"/>
        <v>20.698035980226464</v>
      </c>
      <c r="G12" s="90">
        <f t="shared" si="2"/>
        <v>234.00000000000003</v>
      </c>
      <c r="H12" s="90">
        <f t="shared" si="3"/>
        <v>38.402817526389413</v>
      </c>
      <c r="I12" s="90">
        <f t="shared" si="4"/>
        <v>155.15999999999997</v>
      </c>
      <c r="J12" s="90">
        <f t="shared" si="5"/>
        <v>57.916082116364549</v>
      </c>
      <c r="K12" s="90">
        <f t="shared" si="6"/>
        <v>115.20000000000002</v>
      </c>
      <c r="L12" s="90">
        <f t="shared" si="7"/>
        <v>78.005723100478491</v>
      </c>
      <c r="M12" s="90">
        <f t="shared" si="8"/>
        <v>92.160000000000011</v>
      </c>
      <c r="N12" s="91">
        <f t="shared" si="9"/>
        <v>97.507153875598121</v>
      </c>
    </row>
    <row r="13" spans="1:14">
      <c r="A13" s="101"/>
      <c r="B13" s="89">
        <v>250</v>
      </c>
      <c r="C13" s="57">
        <v>45</v>
      </c>
      <c r="D13" s="57">
        <v>3500</v>
      </c>
      <c r="E13" s="90">
        <f t="shared" si="0"/>
        <v>488.43000000000006</v>
      </c>
      <c r="F13" s="90">
        <f t="shared" si="1"/>
        <v>19.579223224538548</v>
      </c>
      <c r="G13" s="90">
        <f t="shared" si="2"/>
        <v>263.25</v>
      </c>
      <c r="H13" s="90">
        <f t="shared" si="3"/>
        <v>36.326989551989982</v>
      </c>
      <c r="I13" s="90">
        <f t="shared" si="4"/>
        <v>174.55499999999998</v>
      </c>
      <c r="J13" s="90">
        <f t="shared" si="5"/>
        <v>54.785483083047545</v>
      </c>
      <c r="K13" s="90">
        <f t="shared" si="6"/>
        <v>129.60000000000002</v>
      </c>
      <c r="L13" s="90">
        <f t="shared" si="7"/>
        <v>73.789197527479658</v>
      </c>
      <c r="M13" s="90">
        <f t="shared" si="8"/>
        <v>103.68</v>
      </c>
      <c r="N13" s="91">
        <f t="shared" si="9"/>
        <v>92.236496909349569</v>
      </c>
    </row>
    <row r="14" spans="1:14">
      <c r="A14" s="101"/>
      <c r="B14" s="89">
        <v>270</v>
      </c>
      <c r="C14" s="57">
        <v>50</v>
      </c>
      <c r="D14" s="57">
        <v>3400</v>
      </c>
      <c r="E14" s="90">
        <f t="shared" si="0"/>
        <v>542.70000000000005</v>
      </c>
      <c r="F14" s="90">
        <f t="shared" si="1"/>
        <v>19.019816846694589</v>
      </c>
      <c r="G14" s="90">
        <f t="shared" si="2"/>
        <v>292.5</v>
      </c>
      <c r="H14" s="90">
        <f t="shared" si="3"/>
        <v>35.289075564790274</v>
      </c>
      <c r="I14" s="90">
        <f t="shared" si="4"/>
        <v>193.95</v>
      </c>
      <c r="J14" s="90">
        <f t="shared" si="5"/>
        <v>53.220183566389039</v>
      </c>
      <c r="K14" s="90">
        <f t="shared" si="6"/>
        <v>144.00000000000003</v>
      </c>
      <c r="L14" s="90">
        <f t="shared" si="7"/>
        <v>71.680934740980234</v>
      </c>
      <c r="M14" s="90">
        <f t="shared" si="8"/>
        <v>115.20000000000002</v>
      </c>
      <c r="N14" s="91">
        <f t="shared" si="9"/>
        <v>89.6011684262253</v>
      </c>
    </row>
    <row r="15" spans="1:14">
      <c r="A15" s="101"/>
      <c r="B15" s="89">
        <v>290</v>
      </c>
      <c r="C15" s="57">
        <v>55</v>
      </c>
      <c r="D15" s="57">
        <v>3350</v>
      </c>
      <c r="E15" s="90">
        <f t="shared" si="0"/>
        <v>596.97</v>
      </c>
      <c r="F15" s="90">
        <f t="shared" si="1"/>
        <v>18.740113657772611</v>
      </c>
      <c r="G15" s="90">
        <f t="shared" si="2"/>
        <v>321.75000000000006</v>
      </c>
      <c r="H15" s="90">
        <f t="shared" si="3"/>
        <v>34.770118571190416</v>
      </c>
      <c r="I15" s="90">
        <f t="shared" si="4"/>
        <v>213.34499999999997</v>
      </c>
      <c r="J15" s="90">
        <f t="shared" si="5"/>
        <v>52.43753380805979</v>
      </c>
      <c r="K15" s="90">
        <f t="shared" si="6"/>
        <v>158.4</v>
      </c>
      <c r="L15" s="90">
        <f t="shared" si="7"/>
        <v>70.626803347730529</v>
      </c>
      <c r="M15" s="90">
        <f t="shared" si="8"/>
        <v>126.72000000000001</v>
      </c>
      <c r="N15" s="91">
        <f t="shared" si="9"/>
        <v>88.283504184663158</v>
      </c>
    </row>
    <row r="16" spans="1:14">
      <c r="A16" s="101"/>
      <c r="B16" s="89">
        <v>305</v>
      </c>
      <c r="C16" s="57">
        <v>60</v>
      </c>
      <c r="D16" s="57">
        <v>3250</v>
      </c>
      <c r="E16" s="90">
        <f t="shared" si="0"/>
        <v>651.24</v>
      </c>
      <c r="F16" s="90">
        <f t="shared" si="1"/>
        <v>18.180707279928651</v>
      </c>
      <c r="G16" s="90">
        <f t="shared" si="2"/>
        <v>351.00000000000006</v>
      </c>
      <c r="H16" s="90">
        <f t="shared" si="3"/>
        <v>33.732204583990701</v>
      </c>
      <c r="I16" s="90">
        <f t="shared" si="4"/>
        <v>232.73999999999998</v>
      </c>
      <c r="J16" s="90">
        <f t="shared" si="5"/>
        <v>50.872234291401291</v>
      </c>
      <c r="K16" s="90">
        <f t="shared" si="6"/>
        <v>172.8</v>
      </c>
      <c r="L16" s="90">
        <f t="shared" si="7"/>
        <v>68.518540561231106</v>
      </c>
      <c r="M16" s="90">
        <f t="shared" si="8"/>
        <v>138.24</v>
      </c>
      <c r="N16" s="91">
        <f t="shared" si="9"/>
        <v>85.648175701538889</v>
      </c>
    </row>
    <row r="17" spans="1:14">
      <c r="A17" s="101"/>
      <c r="B17" s="89">
        <v>320</v>
      </c>
      <c r="C17" s="57">
        <v>65</v>
      </c>
      <c r="D17" s="57">
        <v>3150</v>
      </c>
      <c r="E17" s="90">
        <f t="shared" si="0"/>
        <v>705.5100000000001</v>
      </c>
      <c r="F17" s="90">
        <f t="shared" si="1"/>
        <v>17.621300902084695</v>
      </c>
      <c r="G17" s="90">
        <f t="shared" si="2"/>
        <v>380.25000000000006</v>
      </c>
      <c r="H17" s="90">
        <f t="shared" si="3"/>
        <v>32.694290596790985</v>
      </c>
      <c r="I17" s="90">
        <f t="shared" si="4"/>
        <v>252.13499999999996</v>
      </c>
      <c r="J17" s="90">
        <f t="shared" si="5"/>
        <v>49.306934774742793</v>
      </c>
      <c r="K17" s="90">
        <f t="shared" si="6"/>
        <v>187.20000000000002</v>
      </c>
      <c r="L17" s="90">
        <f t="shared" si="7"/>
        <v>66.410277774731682</v>
      </c>
      <c r="M17" s="90">
        <f t="shared" si="8"/>
        <v>149.76000000000002</v>
      </c>
      <c r="N17" s="91">
        <f t="shared" si="9"/>
        <v>83.01284721841462</v>
      </c>
    </row>
    <row r="18" spans="1:14">
      <c r="A18" s="101"/>
      <c r="B18" s="89">
        <v>335</v>
      </c>
      <c r="C18" s="57">
        <v>70</v>
      </c>
      <c r="D18" s="57">
        <v>3050</v>
      </c>
      <c r="E18" s="90">
        <f t="shared" si="0"/>
        <v>759.78000000000009</v>
      </c>
      <c r="F18" s="90">
        <f t="shared" si="1"/>
        <v>17.061894524240735</v>
      </c>
      <c r="G18" s="90">
        <f t="shared" si="2"/>
        <v>409.50000000000006</v>
      </c>
      <c r="H18" s="90">
        <f t="shared" si="3"/>
        <v>31.656376609591273</v>
      </c>
      <c r="I18" s="90">
        <f t="shared" si="4"/>
        <v>271.52999999999997</v>
      </c>
      <c r="J18" s="90">
        <f t="shared" si="5"/>
        <v>47.741635258084287</v>
      </c>
      <c r="K18" s="90">
        <f t="shared" si="6"/>
        <v>201.60000000000002</v>
      </c>
      <c r="L18" s="90">
        <f t="shared" si="7"/>
        <v>64.302014988232273</v>
      </c>
      <c r="M18" s="90">
        <f t="shared" si="8"/>
        <v>161.28000000000003</v>
      </c>
      <c r="N18" s="91">
        <f t="shared" si="9"/>
        <v>80.377518735290337</v>
      </c>
    </row>
    <row r="19" spans="1:14">
      <c r="A19" s="101"/>
      <c r="B19" s="89">
        <v>355</v>
      </c>
      <c r="C19" s="57">
        <v>75</v>
      </c>
      <c r="D19" s="57">
        <v>3000</v>
      </c>
      <c r="E19" s="90">
        <f t="shared" si="0"/>
        <v>814.05000000000007</v>
      </c>
      <c r="F19" s="90">
        <f t="shared" si="1"/>
        <v>16.782191335318757</v>
      </c>
      <c r="G19" s="90">
        <f t="shared" si="2"/>
        <v>438.75000000000006</v>
      </c>
      <c r="H19" s="90">
        <f t="shared" si="3"/>
        <v>31.137419615991416</v>
      </c>
      <c r="I19" s="90">
        <f t="shared" si="4"/>
        <v>290.92499999999995</v>
      </c>
      <c r="J19" s="90">
        <f t="shared" si="5"/>
        <v>46.958985499755038</v>
      </c>
      <c r="K19" s="90">
        <f t="shared" si="6"/>
        <v>216.00000000000003</v>
      </c>
      <c r="L19" s="90">
        <f t="shared" si="7"/>
        <v>63.247883594982561</v>
      </c>
      <c r="M19" s="90">
        <f t="shared" si="8"/>
        <v>172.8</v>
      </c>
      <c r="N19" s="91">
        <f t="shared" si="9"/>
        <v>79.05985449372821</v>
      </c>
    </row>
    <row r="20" spans="1:14">
      <c r="A20" s="101"/>
      <c r="B20" s="89">
        <v>370</v>
      </c>
      <c r="C20" s="57">
        <v>80</v>
      </c>
      <c r="D20" s="57">
        <v>2950</v>
      </c>
      <c r="E20" s="90">
        <f t="shared" si="0"/>
        <v>868.32</v>
      </c>
      <c r="F20" s="90">
        <f t="shared" si="1"/>
        <v>16.502488146396775</v>
      </c>
      <c r="G20" s="90">
        <f t="shared" si="2"/>
        <v>468.00000000000006</v>
      </c>
      <c r="H20" s="90">
        <f t="shared" si="3"/>
        <v>30.618462622391558</v>
      </c>
      <c r="I20" s="90">
        <f t="shared" si="4"/>
        <v>310.31999999999994</v>
      </c>
      <c r="J20" s="90">
        <f t="shared" si="5"/>
        <v>46.176335741425788</v>
      </c>
      <c r="K20" s="90">
        <f t="shared" si="6"/>
        <v>230.40000000000003</v>
      </c>
      <c r="L20" s="90">
        <f t="shared" si="7"/>
        <v>62.193752201732849</v>
      </c>
      <c r="M20" s="90">
        <f t="shared" si="8"/>
        <v>184.32000000000002</v>
      </c>
      <c r="N20" s="91">
        <f t="shared" si="9"/>
        <v>77.742190252166068</v>
      </c>
    </row>
    <row r="21" spans="1:14">
      <c r="A21" s="101"/>
      <c r="B21" s="89">
        <v>390</v>
      </c>
      <c r="C21" s="57">
        <v>85</v>
      </c>
      <c r="D21" s="57">
        <v>2900</v>
      </c>
      <c r="E21" s="90">
        <f t="shared" si="0"/>
        <v>922.59</v>
      </c>
      <c r="F21" s="90">
        <f t="shared" si="1"/>
        <v>16.222784957474797</v>
      </c>
      <c r="G21" s="90">
        <f t="shared" si="2"/>
        <v>497.25000000000006</v>
      </c>
      <c r="H21" s="90">
        <f t="shared" si="3"/>
        <v>30.0995056287917</v>
      </c>
      <c r="I21" s="90">
        <f t="shared" si="4"/>
        <v>329.71499999999997</v>
      </c>
      <c r="J21" s="90">
        <f t="shared" si="5"/>
        <v>45.393685983096539</v>
      </c>
      <c r="K21" s="90">
        <f t="shared" si="6"/>
        <v>244.80000000000004</v>
      </c>
      <c r="L21" s="90">
        <f t="shared" si="7"/>
        <v>61.139620808483144</v>
      </c>
      <c r="M21" s="90">
        <f t="shared" si="8"/>
        <v>195.84000000000003</v>
      </c>
      <c r="N21" s="91">
        <f t="shared" si="9"/>
        <v>76.424526010603927</v>
      </c>
    </row>
    <row r="22" spans="1:14">
      <c r="A22" s="101"/>
      <c r="B22" s="89">
        <v>405</v>
      </c>
      <c r="C22" s="57">
        <v>90</v>
      </c>
      <c r="D22" s="57">
        <v>2850</v>
      </c>
      <c r="E22" s="90">
        <f t="shared" si="0"/>
        <v>976.86000000000013</v>
      </c>
      <c r="F22" s="90">
        <f t="shared" si="1"/>
        <v>15.943081768552817</v>
      </c>
      <c r="G22" s="90">
        <f t="shared" si="2"/>
        <v>526.5</v>
      </c>
      <c r="H22" s="90">
        <f t="shared" si="3"/>
        <v>29.580548635191846</v>
      </c>
      <c r="I22" s="90">
        <f t="shared" si="4"/>
        <v>349.10999999999996</v>
      </c>
      <c r="J22" s="90">
        <f t="shared" si="5"/>
        <v>44.611036224767282</v>
      </c>
      <c r="K22" s="90">
        <f t="shared" si="6"/>
        <v>259.20000000000005</v>
      </c>
      <c r="L22" s="90">
        <f t="shared" si="7"/>
        <v>60.085489415233432</v>
      </c>
      <c r="M22" s="90">
        <f t="shared" si="8"/>
        <v>207.36</v>
      </c>
      <c r="N22" s="91">
        <f t="shared" si="9"/>
        <v>75.106861769041799</v>
      </c>
    </row>
    <row r="23" spans="1:14">
      <c r="A23" s="101"/>
      <c r="B23" s="89">
        <v>420</v>
      </c>
      <c r="C23" s="57">
        <v>95</v>
      </c>
      <c r="D23" s="57">
        <v>2800</v>
      </c>
      <c r="E23" s="90">
        <f t="shared" si="0"/>
        <v>1031.1300000000001</v>
      </c>
      <c r="F23" s="90">
        <f t="shared" si="1"/>
        <v>15.663378579630839</v>
      </c>
      <c r="G23" s="90">
        <f t="shared" si="2"/>
        <v>555.75</v>
      </c>
      <c r="H23" s="90">
        <f t="shared" si="3"/>
        <v>29.061591641591988</v>
      </c>
      <c r="I23" s="90">
        <f t="shared" si="4"/>
        <v>368.50499999999994</v>
      </c>
      <c r="J23" s="90">
        <f t="shared" si="5"/>
        <v>43.828386466438033</v>
      </c>
      <c r="K23" s="90">
        <f t="shared" si="6"/>
        <v>273.60000000000002</v>
      </c>
      <c r="L23" s="90">
        <f t="shared" si="7"/>
        <v>59.031358021983721</v>
      </c>
      <c r="M23" s="90">
        <f t="shared" si="8"/>
        <v>218.88000000000002</v>
      </c>
      <c r="N23" s="91">
        <f t="shared" si="9"/>
        <v>73.789197527479658</v>
      </c>
    </row>
    <row r="24" spans="1:14" ht="17" thickBot="1">
      <c r="A24" s="102"/>
      <c r="B24" s="97">
        <v>440</v>
      </c>
      <c r="C24" s="98">
        <v>100</v>
      </c>
      <c r="D24" s="98">
        <v>2750</v>
      </c>
      <c r="E24" s="99">
        <f t="shared" si="0"/>
        <v>1085.4000000000001</v>
      </c>
      <c r="F24" s="99">
        <f t="shared" si="1"/>
        <v>15.383675390708859</v>
      </c>
      <c r="G24" s="99">
        <f t="shared" si="2"/>
        <v>585</v>
      </c>
      <c r="H24" s="99">
        <f t="shared" si="3"/>
        <v>28.542634647992131</v>
      </c>
      <c r="I24" s="99">
        <f t="shared" si="4"/>
        <v>387.9</v>
      </c>
      <c r="J24" s="99">
        <f t="shared" si="5"/>
        <v>43.045736708108784</v>
      </c>
      <c r="K24" s="99">
        <f t="shared" si="6"/>
        <v>288.00000000000006</v>
      </c>
      <c r="L24" s="99">
        <f t="shared" si="7"/>
        <v>57.977226628734016</v>
      </c>
      <c r="M24" s="99">
        <f t="shared" si="8"/>
        <v>230.40000000000003</v>
      </c>
      <c r="N24" s="100">
        <f t="shared" si="9"/>
        <v>72.471533285917516</v>
      </c>
    </row>
    <row r="25" spans="1:14" ht="17" thickBot="1"/>
    <row r="26" spans="1:14" ht="33" thickBot="1">
      <c r="A26" s="83" t="s">
        <v>457</v>
      </c>
      <c r="B26" s="84">
        <v>0.9</v>
      </c>
    </row>
    <row r="27" spans="1:14">
      <c r="A27" s="65" t="s">
        <v>429</v>
      </c>
      <c r="B27" s="79"/>
    </row>
    <row r="28" spans="1:14" ht="32">
      <c r="A28" s="76" t="s">
        <v>430</v>
      </c>
      <c r="B28" s="68">
        <v>195</v>
      </c>
    </row>
    <row r="29" spans="1:14" ht="32">
      <c r="A29" s="76" t="s">
        <v>431</v>
      </c>
      <c r="B29" s="68">
        <v>50</v>
      </c>
    </row>
    <row r="30" spans="1:14" ht="32">
      <c r="A30" s="87" t="s">
        <v>432</v>
      </c>
      <c r="B30" s="88">
        <v>15</v>
      </c>
    </row>
    <row r="31" spans="1:14" ht="33" thickBot="1">
      <c r="A31" s="85" t="s">
        <v>441</v>
      </c>
      <c r="B31" s="86">
        <f>(5280*12)/(($B$30+((2*$B$28*$B$29/100)/25.4))*3.141592653589)</f>
        <v>889.35782199773553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N31"/>
  <sheetViews>
    <sheetView workbookViewId="0">
      <selection activeCell="C28" sqref="C28"/>
    </sheetView>
  </sheetViews>
  <sheetFormatPr baseColWidth="10" defaultColWidth="10.625" defaultRowHeight="16" x14ac:dyDescent="0"/>
  <cols>
    <col min="1" max="1" width="33.625" style="82" bestFit="1" customWidth="1"/>
    <col min="2" max="2" width="13.5" style="82" bestFit="1" customWidth="1"/>
    <col min="3" max="3" width="12" style="82" bestFit="1" customWidth="1"/>
    <col min="4" max="4" width="10.125" style="82" bestFit="1" customWidth="1"/>
    <col min="5" max="5" width="13.75" style="82" bestFit="1" customWidth="1"/>
    <col min="6" max="6" width="12.625" style="82" bestFit="1" customWidth="1"/>
    <col min="7" max="7" width="13.75" style="82" bestFit="1" customWidth="1"/>
    <col min="8" max="8" width="13.5" style="82" bestFit="1" customWidth="1"/>
    <col min="9" max="9" width="13.75" style="82" customWidth="1"/>
    <col min="10" max="10" width="12.5" style="82" bestFit="1" customWidth="1"/>
    <col min="11" max="11" width="13.75" style="82" bestFit="1" customWidth="1"/>
    <col min="12" max="12" width="12.5" style="82" bestFit="1" customWidth="1"/>
    <col min="13" max="13" width="13.75" style="82" customWidth="1"/>
    <col min="14" max="14" width="12.625" style="82" bestFit="1" customWidth="1"/>
    <col min="15" max="16384" width="10.625" style="82"/>
  </cols>
  <sheetData>
    <row r="1" spans="1:14" ht="17" thickBot="1">
      <c r="A1" s="110" t="s">
        <v>442</v>
      </c>
      <c r="B1" s="103"/>
      <c r="C1" s="103"/>
      <c r="D1" s="103"/>
      <c r="E1" s="104" t="s">
        <v>443</v>
      </c>
      <c r="F1" s="104" t="s">
        <v>443</v>
      </c>
      <c r="G1" s="104" t="s">
        <v>444</v>
      </c>
      <c r="H1" s="104" t="s">
        <v>444</v>
      </c>
      <c r="I1" s="104" t="s">
        <v>445</v>
      </c>
      <c r="J1" s="104" t="s">
        <v>445</v>
      </c>
      <c r="K1" s="104" t="s">
        <v>446</v>
      </c>
      <c r="L1" s="104" t="s">
        <v>446</v>
      </c>
      <c r="M1" s="104" t="s">
        <v>447</v>
      </c>
      <c r="N1" s="105" t="s">
        <v>447</v>
      </c>
    </row>
    <row r="2" spans="1:14" ht="32">
      <c r="A2" s="111" t="s">
        <v>448</v>
      </c>
      <c r="B2" s="106"/>
      <c r="C2" s="107"/>
      <c r="D2" s="107"/>
      <c r="E2" s="108">
        <v>12.06</v>
      </c>
      <c r="F2" s="108">
        <v>12.06</v>
      </c>
      <c r="G2" s="108">
        <v>6.5</v>
      </c>
      <c r="H2" s="108">
        <v>6.5</v>
      </c>
      <c r="I2" s="108">
        <v>4.3099999999999996</v>
      </c>
      <c r="J2" s="108">
        <v>4.3099999999999996</v>
      </c>
      <c r="K2" s="108">
        <v>3.2</v>
      </c>
      <c r="L2" s="108">
        <v>3.2</v>
      </c>
      <c r="M2" s="108">
        <v>2.56</v>
      </c>
      <c r="N2" s="109">
        <v>2.56</v>
      </c>
    </row>
    <row r="3" spans="1:14" ht="32">
      <c r="A3" s="101" t="s">
        <v>450</v>
      </c>
      <c r="B3" s="89"/>
      <c r="C3" s="57"/>
      <c r="D3" s="57"/>
      <c r="E3" s="92">
        <f>E2*$B$26</f>
        <v>10.974600000000001</v>
      </c>
      <c r="F3" s="92"/>
      <c r="G3" s="92">
        <f>G2*$B$26</f>
        <v>5.915</v>
      </c>
      <c r="H3" s="92"/>
      <c r="I3" s="92">
        <f>I2*$B$26</f>
        <v>3.9220999999999999</v>
      </c>
      <c r="J3" s="92"/>
      <c r="K3" s="92">
        <f>K2*$B$26</f>
        <v>2.9120000000000004</v>
      </c>
      <c r="L3" s="92"/>
      <c r="M3" s="92">
        <f>M2*$B$26</f>
        <v>2.3296000000000001</v>
      </c>
      <c r="N3" s="93"/>
    </row>
    <row r="4" spans="1:14" ht="32">
      <c r="A4" s="101" t="s">
        <v>451</v>
      </c>
      <c r="B4" s="89"/>
      <c r="C4" s="57"/>
      <c r="D4" s="57"/>
      <c r="E4" s="57"/>
      <c r="F4" s="94">
        <f>60/(F2*$B$31)</f>
        <v>9.0027729774490757E-3</v>
      </c>
      <c r="G4" s="57"/>
      <c r="H4" s="94">
        <f>60/(H2*$B$31)</f>
        <v>1.6703606478159362E-2</v>
      </c>
      <c r="I4" s="57"/>
      <c r="J4" s="94">
        <f>60/(J2*$B$31)</f>
        <v>2.5191053853372589E-2</v>
      </c>
      <c r="K4" s="57"/>
      <c r="L4" s="94">
        <f>60/(L2*$B$31)</f>
        <v>3.3929200658761205E-2</v>
      </c>
      <c r="M4" s="57"/>
      <c r="N4" s="95">
        <f>60/(N2*$B$31)</f>
        <v>4.2411500823451506E-2</v>
      </c>
    </row>
    <row r="5" spans="1:14" ht="48">
      <c r="A5" s="101" t="s">
        <v>459</v>
      </c>
      <c r="B5" s="89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6" t="s">
        <v>456</v>
      </c>
    </row>
    <row r="6" spans="1:14">
      <c r="A6" s="101"/>
      <c r="B6" s="89">
        <v>100</v>
      </c>
      <c r="C6" s="112">
        <f>10*1.36</f>
        <v>13.600000000000001</v>
      </c>
      <c r="D6" s="57">
        <v>7750</v>
      </c>
      <c r="E6" s="90">
        <f>C6*$E$3</f>
        <v>149.25456000000003</v>
      </c>
      <c r="F6" s="90">
        <f>D6*$F$4</f>
        <v>69.771490575230331</v>
      </c>
      <c r="G6" s="90">
        <f>C6*$G$3</f>
        <v>80.444000000000003</v>
      </c>
      <c r="H6" s="90">
        <f>D6*$H$4</f>
        <v>129.45295020573505</v>
      </c>
      <c r="I6" s="90">
        <f>C6*$I$3</f>
        <v>53.340560000000004</v>
      </c>
      <c r="J6" s="90">
        <f>D6*$J$4</f>
        <v>195.23066736363756</v>
      </c>
      <c r="K6" s="90">
        <f>C6*$K$3</f>
        <v>39.603200000000008</v>
      </c>
      <c r="L6" s="90">
        <f>D6*$L$4</f>
        <v>262.95130510539934</v>
      </c>
      <c r="M6" s="90">
        <f>C6*$M$3</f>
        <v>31.682560000000006</v>
      </c>
      <c r="N6" s="91">
        <f>D6*$N$4</f>
        <v>328.68913138174918</v>
      </c>
    </row>
    <row r="7" spans="1:14">
      <c r="A7" s="101"/>
      <c r="B7" s="89">
        <v>125</v>
      </c>
      <c r="C7" s="112">
        <f>15*1.36</f>
        <v>20.400000000000002</v>
      </c>
      <c r="D7" s="57">
        <v>6400</v>
      </c>
      <c r="E7" s="90">
        <f t="shared" ref="E7:E24" si="0">C7*$E$3</f>
        <v>223.88184000000004</v>
      </c>
      <c r="F7" s="90">
        <f t="shared" ref="F7:F24" si="1">D7*$F$4</f>
        <v>57.617747055674087</v>
      </c>
      <c r="G7" s="90">
        <f t="shared" ref="G7:G24" si="2">C7*$G$3</f>
        <v>120.66600000000001</v>
      </c>
      <c r="H7" s="90">
        <f t="shared" ref="H7:H24" si="3">D7*$H$4</f>
        <v>106.90308146021992</v>
      </c>
      <c r="I7" s="90">
        <f t="shared" ref="I7:I24" si="4">C7*$I$3</f>
        <v>80.010840000000002</v>
      </c>
      <c r="J7" s="90">
        <f t="shared" ref="J7:J24" si="5">D7*$J$4</f>
        <v>161.22274466158458</v>
      </c>
      <c r="K7" s="90">
        <f t="shared" ref="K7:K24" si="6">C7*$K$3</f>
        <v>59.404800000000016</v>
      </c>
      <c r="L7" s="90">
        <f t="shared" ref="L7:L24" si="7">D7*$L$4</f>
        <v>217.14688421607173</v>
      </c>
      <c r="M7" s="90">
        <f t="shared" ref="M7:M24" si="8">C7*$M$3</f>
        <v>47.523840000000007</v>
      </c>
      <c r="N7" s="91">
        <f t="shared" ref="N7:N24" si="9">D7*$N$4</f>
        <v>271.43360527008963</v>
      </c>
    </row>
    <row r="8" spans="1:14">
      <c r="A8" s="101"/>
      <c r="B8" s="89">
        <v>150</v>
      </c>
      <c r="C8" s="112">
        <f>20*1.36</f>
        <v>27.200000000000003</v>
      </c>
      <c r="D8" s="57">
        <v>5000</v>
      </c>
      <c r="E8" s="90">
        <f t="shared" si="0"/>
        <v>298.50912000000005</v>
      </c>
      <c r="F8" s="90">
        <f t="shared" si="1"/>
        <v>45.013864887245376</v>
      </c>
      <c r="G8" s="90">
        <f t="shared" si="2"/>
        <v>160.88800000000001</v>
      </c>
      <c r="H8" s="90">
        <f t="shared" si="3"/>
        <v>83.518032390796805</v>
      </c>
      <c r="I8" s="90">
        <f t="shared" si="4"/>
        <v>106.68112000000001</v>
      </c>
      <c r="J8" s="90">
        <f t="shared" si="5"/>
        <v>125.95526926686294</v>
      </c>
      <c r="K8" s="90">
        <f t="shared" si="6"/>
        <v>79.206400000000016</v>
      </c>
      <c r="L8" s="90">
        <f t="shared" si="7"/>
        <v>169.64600329380602</v>
      </c>
      <c r="M8" s="90">
        <f t="shared" si="8"/>
        <v>63.365120000000012</v>
      </c>
      <c r="N8" s="91">
        <f t="shared" si="9"/>
        <v>212.05750411725754</v>
      </c>
    </row>
    <row r="9" spans="1:14">
      <c r="A9" s="101"/>
      <c r="B9" s="89">
        <v>170</v>
      </c>
      <c r="C9" s="112">
        <f>25*1.36</f>
        <v>34</v>
      </c>
      <c r="D9" s="57">
        <v>4600</v>
      </c>
      <c r="E9" s="90">
        <f t="shared" si="0"/>
        <v>373.13640000000004</v>
      </c>
      <c r="F9" s="90">
        <f t="shared" si="1"/>
        <v>41.412755696265748</v>
      </c>
      <c r="G9" s="90">
        <f t="shared" si="2"/>
        <v>201.11</v>
      </c>
      <c r="H9" s="90">
        <f t="shared" si="3"/>
        <v>76.836589799533073</v>
      </c>
      <c r="I9" s="90">
        <f t="shared" si="4"/>
        <v>133.35139999999998</v>
      </c>
      <c r="J9" s="90">
        <f t="shared" si="5"/>
        <v>115.87884772551391</v>
      </c>
      <c r="K9" s="90">
        <f t="shared" si="6"/>
        <v>99.00800000000001</v>
      </c>
      <c r="L9" s="90">
        <f t="shared" si="7"/>
        <v>156.07432303030154</v>
      </c>
      <c r="M9" s="90">
        <f t="shared" si="8"/>
        <v>79.206400000000002</v>
      </c>
      <c r="N9" s="91">
        <f t="shared" si="9"/>
        <v>195.09290378787693</v>
      </c>
    </row>
    <row r="10" spans="1:14">
      <c r="A10" s="101"/>
      <c r="B10" s="89">
        <v>190</v>
      </c>
      <c r="C10" s="112">
        <f>30*1.36</f>
        <v>40.800000000000004</v>
      </c>
      <c r="D10" s="57">
        <v>4100</v>
      </c>
      <c r="E10" s="90">
        <f t="shared" si="0"/>
        <v>447.76368000000008</v>
      </c>
      <c r="F10" s="90">
        <f t="shared" si="1"/>
        <v>36.911369207541213</v>
      </c>
      <c r="G10" s="90">
        <f t="shared" si="2"/>
        <v>241.33200000000002</v>
      </c>
      <c r="H10" s="90">
        <f t="shared" si="3"/>
        <v>68.484786560453387</v>
      </c>
      <c r="I10" s="90">
        <f t="shared" si="4"/>
        <v>160.02168</v>
      </c>
      <c r="J10" s="90">
        <f t="shared" si="5"/>
        <v>103.28332079882762</v>
      </c>
      <c r="K10" s="90">
        <f t="shared" si="6"/>
        <v>118.80960000000003</v>
      </c>
      <c r="L10" s="90">
        <f t="shared" si="7"/>
        <v>139.10972270092094</v>
      </c>
      <c r="M10" s="90">
        <f t="shared" si="8"/>
        <v>95.047680000000014</v>
      </c>
      <c r="N10" s="91">
        <f t="shared" si="9"/>
        <v>173.88715337615116</v>
      </c>
    </row>
    <row r="11" spans="1:14">
      <c r="A11" s="101"/>
      <c r="B11" s="89">
        <v>210</v>
      </c>
      <c r="C11" s="112">
        <f>35*1.36</f>
        <v>47.6</v>
      </c>
      <c r="D11" s="57">
        <v>3900</v>
      </c>
      <c r="E11" s="90">
        <f t="shared" si="0"/>
        <v>522.39096000000006</v>
      </c>
      <c r="F11" s="90">
        <f t="shared" si="1"/>
        <v>35.110814612051392</v>
      </c>
      <c r="G11" s="90">
        <f t="shared" si="2"/>
        <v>281.55400000000003</v>
      </c>
      <c r="H11" s="90">
        <f t="shared" si="3"/>
        <v>65.144065264821506</v>
      </c>
      <c r="I11" s="90">
        <f t="shared" si="4"/>
        <v>186.69195999999999</v>
      </c>
      <c r="J11" s="90">
        <f t="shared" si="5"/>
        <v>98.245110028153093</v>
      </c>
      <c r="K11" s="90">
        <f t="shared" si="6"/>
        <v>138.61120000000003</v>
      </c>
      <c r="L11" s="90">
        <f t="shared" si="7"/>
        <v>132.32388256916869</v>
      </c>
      <c r="M11" s="90">
        <f t="shared" si="8"/>
        <v>110.88896000000001</v>
      </c>
      <c r="N11" s="91">
        <f t="shared" si="9"/>
        <v>165.40485321146087</v>
      </c>
    </row>
    <row r="12" spans="1:14">
      <c r="A12" s="101"/>
      <c r="B12" s="89">
        <v>230</v>
      </c>
      <c r="C12" s="112">
        <f>40*1.36</f>
        <v>54.400000000000006</v>
      </c>
      <c r="D12" s="57">
        <v>3700</v>
      </c>
      <c r="E12" s="90">
        <f t="shared" si="0"/>
        <v>597.01824000000011</v>
      </c>
      <c r="F12" s="90">
        <f t="shared" si="1"/>
        <v>33.310260016561578</v>
      </c>
      <c r="G12" s="90">
        <f t="shared" si="2"/>
        <v>321.77600000000001</v>
      </c>
      <c r="H12" s="90">
        <f t="shared" si="3"/>
        <v>61.80334396918964</v>
      </c>
      <c r="I12" s="90">
        <f t="shared" si="4"/>
        <v>213.36224000000001</v>
      </c>
      <c r="J12" s="90">
        <f t="shared" si="5"/>
        <v>93.206899257478582</v>
      </c>
      <c r="K12" s="90">
        <f t="shared" si="6"/>
        <v>158.41280000000003</v>
      </c>
      <c r="L12" s="90">
        <f t="shared" si="7"/>
        <v>125.53804243741646</v>
      </c>
      <c r="M12" s="90">
        <f t="shared" si="8"/>
        <v>126.73024000000002</v>
      </c>
      <c r="N12" s="91">
        <f t="shared" si="9"/>
        <v>156.92255304677056</v>
      </c>
    </row>
    <row r="13" spans="1:14">
      <c r="A13" s="101"/>
      <c r="B13" s="89">
        <v>250</v>
      </c>
      <c r="C13" s="112">
        <f>45*1.36</f>
        <v>61.2</v>
      </c>
      <c r="D13" s="57">
        <v>3500</v>
      </c>
      <c r="E13" s="90">
        <f t="shared" si="0"/>
        <v>671.64552000000003</v>
      </c>
      <c r="F13" s="90">
        <f t="shared" si="1"/>
        <v>31.509705421071764</v>
      </c>
      <c r="G13" s="90">
        <f t="shared" si="2"/>
        <v>361.99800000000005</v>
      </c>
      <c r="H13" s="90">
        <f t="shared" si="3"/>
        <v>58.462622673557767</v>
      </c>
      <c r="I13" s="90">
        <f t="shared" si="4"/>
        <v>240.03252000000001</v>
      </c>
      <c r="J13" s="90">
        <f t="shared" si="5"/>
        <v>88.168688486804058</v>
      </c>
      <c r="K13" s="90">
        <f t="shared" si="6"/>
        <v>178.21440000000004</v>
      </c>
      <c r="L13" s="90">
        <f t="shared" si="7"/>
        <v>118.75220230566421</v>
      </c>
      <c r="M13" s="90">
        <f t="shared" si="8"/>
        <v>142.57152000000002</v>
      </c>
      <c r="N13" s="91">
        <f t="shared" si="9"/>
        <v>148.44025288208027</v>
      </c>
    </row>
    <row r="14" spans="1:14">
      <c r="A14" s="101"/>
      <c r="B14" s="89">
        <v>270</v>
      </c>
      <c r="C14" s="112">
        <f>50*1.36</f>
        <v>68</v>
      </c>
      <c r="D14" s="57">
        <v>3400</v>
      </c>
      <c r="E14" s="90">
        <f t="shared" si="0"/>
        <v>746.27280000000007</v>
      </c>
      <c r="F14" s="90">
        <f t="shared" si="1"/>
        <v>30.609428123326857</v>
      </c>
      <c r="G14" s="90">
        <f t="shared" si="2"/>
        <v>402.22</v>
      </c>
      <c r="H14" s="90">
        <f t="shared" si="3"/>
        <v>56.792262025741834</v>
      </c>
      <c r="I14" s="90">
        <f t="shared" si="4"/>
        <v>266.70279999999997</v>
      </c>
      <c r="J14" s="90">
        <f t="shared" si="5"/>
        <v>85.649583101466803</v>
      </c>
      <c r="K14" s="90">
        <f t="shared" si="6"/>
        <v>198.01600000000002</v>
      </c>
      <c r="L14" s="90">
        <f t="shared" si="7"/>
        <v>115.3592822397881</v>
      </c>
      <c r="M14" s="90">
        <f t="shared" si="8"/>
        <v>158.4128</v>
      </c>
      <c r="N14" s="91">
        <f t="shared" si="9"/>
        <v>144.19910279973513</v>
      </c>
    </row>
    <row r="15" spans="1:14">
      <c r="A15" s="101"/>
      <c r="B15" s="89">
        <v>290</v>
      </c>
      <c r="C15" s="112">
        <f>55*1.36</f>
        <v>74.800000000000011</v>
      </c>
      <c r="D15" s="57">
        <v>3350</v>
      </c>
      <c r="E15" s="90">
        <f t="shared" si="0"/>
        <v>820.90008000000012</v>
      </c>
      <c r="F15" s="90">
        <f t="shared" si="1"/>
        <v>30.159289474454404</v>
      </c>
      <c r="G15" s="90">
        <f t="shared" si="2"/>
        <v>442.44200000000006</v>
      </c>
      <c r="H15" s="90">
        <f t="shared" si="3"/>
        <v>55.957081701833864</v>
      </c>
      <c r="I15" s="90">
        <f t="shared" si="4"/>
        <v>293.37308000000002</v>
      </c>
      <c r="J15" s="90">
        <f t="shared" si="5"/>
        <v>84.390030408798168</v>
      </c>
      <c r="K15" s="90">
        <f t="shared" si="6"/>
        <v>217.81760000000006</v>
      </c>
      <c r="L15" s="90">
        <f t="shared" si="7"/>
        <v>113.66282220685004</v>
      </c>
      <c r="M15" s="90">
        <f t="shared" si="8"/>
        <v>174.25408000000004</v>
      </c>
      <c r="N15" s="91">
        <f t="shared" si="9"/>
        <v>142.07852775856256</v>
      </c>
    </row>
    <row r="16" spans="1:14">
      <c r="A16" s="101"/>
      <c r="B16" s="89">
        <v>305</v>
      </c>
      <c r="C16" s="112">
        <f>60*1.36</f>
        <v>81.600000000000009</v>
      </c>
      <c r="D16" s="57">
        <v>3250</v>
      </c>
      <c r="E16" s="90">
        <f t="shared" si="0"/>
        <v>895.52736000000016</v>
      </c>
      <c r="F16" s="90">
        <f t="shared" si="1"/>
        <v>29.259012176709497</v>
      </c>
      <c r="G16" s="90">
        <f t="shared" si="2"/>
        <v>482.66400000000004</v>
      </c>
      <c r="H16" s="90">
        <f t="shared" si="3"/>
        <v>54.286721054017924</v>
      </c>
      <c r="I16" s="90">
        <f t="shared" si="4"/>
        <v>320.04336000000001</v>
      </c>
      <c r="J16" s="90">
        <f t="shared" si="5"/>
        <v>81.870925023460913</v>
      </c>
      <c r="K16" s="90">
        <f t="shared" si="6"/>
        <v>237.61920000000006</v>
      </c>
      <c r="L16" s="90">
        <f t="shared" si="7"/>
        <v>110.26990214097391</v>
      </c>
      <c r="M16" s="90">
        <f t="shared" si="8"/>
        <v>190.09536000000003</v>
      </c>
      <c r="N16" s="91">
        <f t="shared" si="9"/>
        <v>137.83737767621739</v>
      </c>
    </row>
    <row r="17" spans="1:14">
      <c r="A17" s="101"/>
      <c r="B17" s="89">
        <v>320</v>
      </c>
      <c r="C17" s="112">
        <f>65*1.36</f>
        <v>88.4</v>
      </c>
      <c r="D17" s="57">
        <v>3150</v>
      </c>
      <c r="E17" s="90">
        <f t="shared" si="0"/>
        <v>970.15464000000009</v>
      </c>
      <c r="F17" s="90">
        <f t="shared" si="1"/>
        <v>28.35873487896459</v>
      </c>
      <c r="G17" s="90">
        <f t="shared" si="2"/>
        <v>522.88600000000008</v>
      </c>
      <c r="H17" s="90">
        <f t="shared" si="3"/>
        <v>52.616360406201991</v>
      </c>
      <c r="I17" s="90">
        <f t="shared" si="4"/>
        <v>346.71364</v>
      </c>
      <c r="J17" s="90">
        <f t="shared" si="5"/>
        <v>79.351819638123658</v>
      </c>
      <c r="K17" s="90">
        <f t="shared" si="6"/>
        <v>257.42080000000004</v>
      </c>
      <c r="L17" s="90">
        <f t="shared" si="7"/>
        <v>106.8769820750978</v>
      </c>
      <c r="M17" s="90">
        <f t="shared" si="8"/>
        <v>205.93664000000001</v>
      </c>
      <c r="N17" s="91">
        <f t="shared" si="9"/>
        <v>133.59622759387224</v>
      </c>
    </row>
    <row r="18" spans="1:14">
      <c r="A18" s="101"/>
      <c r="B18" s="89">
        <v>335</v>
      </c>
      <c r="C18" s="112">
        <f>70*1.36</f>
        <v>95.2</v>
      </c>
      <c r="D18" s="57">
        <v>3050</v>
      </c>
      <c r="E18" s="90">
        <f t="shared" si="0"/>
        <v>1044.7819200000001</v>
      </c>
      <c r="F18" s="90">
        <f t="shared" si="1"/>
        <v>27.45845758121968</v>
      </c>
      <c r="G18" s="90">
        <f t="shared" si="2"/>
        <v>563.10800000000006</v>
      </c>
      <c r="H18" s="90">
        <f t="shared" si="3"/>
        <v>50.945999758386051</v>
      </c>
      <c r="I18" s="90">
        <f t="shared" si="4"/>
        <v>373.38391999999999</v>
      </c>
      <c r="J18" s="90">
        <f t="shared" si="5"/>
        <v>76.832714252786403</v>
      </c>
      <c r="K18" s="90">
        <f t="shared" si="6"/>
        <v>277.22240000000005</v>
      </c>
      <c r="L18" s="90">
        <f t="shared" si="7"/>
        <v>103.48406200922167</v>
      </c>
      <c r="M18" s="90">
        <f t="shared" si="8"/>
        <v>221.77792000000002</v>
      </c>
      <c r="N18" s="91">
        <f t="shared" si="9"/>
        <v>129.3550775115271</v>
      </c>
    </row>
    <row r="19" spans="1:14">
      <c r="A19" s="101"/>
      <c r="B19" s="89">
        <v>355</v>
      </c>
      <c r="C19" s="112">
        <f>75*1.36</f>
        <v>102.00000000000001</v>
      </c>
      <c r="D19" s="57">
        <v>3000</v>
      </c>
      <c r="E19" s="90">
        <f t="shared" si="0"/>
        <v>1119.4092000000003</v>
      </c>
      <c r="F19" s="90">
        <f t="shared" si="1"/>
        <v>27.008318932347226</v>
      </c>
      <c r="G19" s="90">
        <f t="shared" si="2"/>
        <v>603.33000000000004</v>
      </c>
      <c r="H19" s="90">
        <f t="shared" si="3"/>
        <v>50.110819434478088</v>
      </c>
      <c r="I19" s="90">
        <f t="shared" si="4"/>
        <v>400.05420000000004</v>
      </c>
      <c r="J19" s="90">
        <f t="shared" si="5"/>
        <v>75.573161560117768</v>
      </c>
      <c r="K19" s="90">
        <f t="shared" si="6"/>
        <v>297.02400000000006</v>
      </c>
      <c r="L19" s="90">
        <f t="shared" si="7"/>
        <v>101.78760197628361</v>
      </c>
      <c r="M19" s="90">
        <f t="shared" si="8"/>
        <v>237.61920000000003</v>
      </c>
      <c r="N19" s="91">
        <f t="shared" si="9"/>
        <v>127.23450247035451</v>
      </c>
    </row>
    <row r="20" spans="1:14">
      <c r="A20" s="101"/>
      <c r="B20" s="89">
        <v>370</v>
      </c>
      <c r="C20" s="112">
        <f>80*1.36</f>
        <v>108.80000000000001</v>
      </c>
      <c r="D20" s="57">
        <v>2950</v>
      </c>
      <c r="E20" s="90">
        <f t="shared" si="0"/>
        <v>1194.0364800000002</v>
      </c>
      <c r="F20" s="90">
        <f t="shared" si="1"/>
        <v>26.558180283474773</v>
      </c>
      <c r="G20" s="90">
        <f t="shared" si="2"/>
        <v>643.55200000000002</v>
      </c>
      <c r="H20" s="90">
        <f t="shared" si="3"/>
        <v>49.275639110570118</v>
      </c>
      <c r="I20" s="90">
        <f t="shared" si="4"/>
        <v>426.72448000000003</v>
      </c>
      <c r="J20" s="90">
        <f t="shared" si="5"/>
        <v>74.313608867449133</v>
      </c>
      <c r="K20" s="90">
        <f t="shared" si="6"/>
        <v>316.82560000000007</v>
      </c>
      <c r="L20" s="90">
        <f t="shared" si="7"/>
        <v>100.09114194334555</v>
      </c>
      <c r="M20" s="90">
        <f t="shared" si="8"/>
        <v>253.46048000000005</v>
      </c>
      <c r="N20" s="91">
        <f t="shared" si="9"/>
        <v>125.11392742918194</v>
      </c>
    </row>
    <row r="21" spans="1:14">
      <c r="A21" s="101"/>
      <c r="B21" s="89">
        <v>390</v>
      </c>
      <c r="C21" s="112">
        <f>85*1.36</f>
        <v>115.60000000000001</v>
      </c>
      <c r="D21" s="57">
        <v>2900</v>
      </c>
      <c r="E21" s="90">
        <f t="shared" si="0"/>
        <v>1268.6637600000001</v>
      </c>
      <c r="F21" s="90">
        <f t="shared" si="1"/>
        <v>26.108041634602319</v>
      </c>
      <c r="G21" s="90">
        <f t="shared" si="2"/>
        <v>683.774</v>
      </c>
      <c r="H21" s="90">
        <f t="shared" si="3"/>
        <v>48.440458786662148</v>
      </c>
      <c r="I21" s="90">
        <f t="shared" si="4"/>
        <v>453.39476000000002</v>
      </c>
      <c r="J21" s="90">
        <f t="shared" si="5"/>
        <v>73.054056174780513</v>
      </c>
      <c r="K21" s="90">
        <f t="shared" si="6"/>
        <v>336.62720000000007</v>
      </c>
      <c r="L21" s="90">
        <f t="shared" si="7"/>
        <v>98.394681910407499</v>
      </c>
      <c r="M21" s="90">
        <f t="shared" si="8"/>
        <v>269.30176000000006</v>
      </c>
      <c r="N21" s="91">
        <f t="shared" si="9"/>
        <v>122.99335238800937</v>
      </c>
    </row>
    <row r="22" spans="1:14">
      <c r="A22" s="101"/>
      <c r="B22" s="89">
        <v>405</v>
      </c>
      <c r="C22" s="112">
        <f>90*1.36</f>
        <v>122.4</v>
      </c>
      <c r="D22" s="57">
        <v>2850</v>
      </c>
      <c r="E22" s="90">
        <f t="shared" si="0"/>
        <v>1343.2910400000001</v>
      </c>
      <c r="F22" s="90">
        <f t="shared" si="1"/>
        <v>25.657902985729866</v>
      </c>
      <c r="G22" s="90">
        <f t="shared" si="2"/>
        <v>723.99600000000009</v>
      </c>
      <c r="H22" s="90">
        <f t="shared" si="3"/>
        <v>47.605278462754185</v>
      </c>
      <c r="I22" s="90">
        <f t="shared" si="4"/>
        <v>480.06504000000001</v>
      </c>
      <c r="J22" s="90">
        <f t="shared" si="5"/>
        <v>71.794503482111878</v>
      </c>
      <c r="K22" s="90">
        <f t="shared" si="6"/>
        <v>356.42880000000008</v>
      </c>
      <c r="L22" s="90">
        <f t="shared" si="7"/>
        <v>96.698221877469436</v>
      </c>
      <c r="M22" s="90">
        <f t="shared" si="8"/>
        <v>285.14304000000004</v>
      </c>
      <c r="N22" s="91">
        <f t="shared" si="9"/>
        <v>120.8727773468368</v>
      </c>
    </row>
    <row r="23" spans="1:14">
      <c r="A23" s="101"/>
      <c r="B23" s="89">
        <v>420</v>
      </c>
      <c r="C23" s="112">
        <f>95*1.36</f>
        <v>129.20000000000002</v>
      </c>
      <c r="D23" s="57">
        <v>2800</v>
      </c>
      <c r="E23" s="90">
        <f t="shared" si="0"/>
        <v>1417.9183200000002</v>
      </c>
      <c r="F23" s="90">
        <f t="shared" si="1"/>
        <v>25.207764336857412</v>
      </c>
      <c r="G23" s="90">
        <f t="shared" si="2"/>
        <v>764.21800000000007</v>
      </c>
      <c r="H23" s="90">
        <f t="shared" si="3"/>
        <v>46.770098138846215</v>
      </c>
      <c r="I23" s="90">
        <f t="shared" si="4"/>
        <v>506.73532000000006</v>
      </c>
      <c r="J23" s="90">
        <f t="shared" si="5"/>
        <v>70.534950789443243</v>
      </c>
      <c r="K23" s="90">
        <f t="shared" si="6"/>
        <v>376.23040000000009</v>
      </c>
      <c r="L23" s="90">
        <f t="shared" si="7"/>
        <v>95.001761844531373</v>
      </c>
      <c r="M23" s="90">
        <f t="shared" si="8"/>
        <v>300.98432000000008</v>
      </c>
      <c r="N23" s="91">
        <f t="shared" si="9"/>
        <v>118.75220230566421</v>
      </c>
    </row>
    <row r="24" spans="1:14" ht="17" thickBot="1">
      <c r="A24" s="102"/>
      <c r="B24" s="97">
        <v>440</v>
      </c>
      <c r="C24" s="113">
        <f>100*1.36</f>
        <v>136</v>
      </c>
      <c r="D24" s="98">
        <v>2750</v>
      </c>
      <c r="E24" s="99">
        <f t="shared" si="0"/>
        <v>1492.5456000000001</v>
      </c>
      <c r="F24" s="99">
        <f t="shared" si="1"/>
        <v>24.757625687984959</v>
      </c>
      <c r="G24" s="99">
        <f t="shared" si="2"/>
        <v>804.44</v>
      </c>
      <c r="H24" s="99">
        <f t="shared" si="3"/>
        <v>45.934917814938245</v>
      </c>
      <c r="I24" s="99">
        <f t="shared" si="4"/>
        <v>533.40559999999994</v>
      </c>
      <c r="J24" s="99">
        <f t="shared" si="5"/>
        <v>69.275398096774623</v>
      </c>
      <c r="K24" s="99">
        <f t="shared" si="6"/>
        <v>396.03200000000004</v>
      </c>
      <c r="L24" s="99">
        <f t="shared" si="7"/>
        <v>93.30530181159331</v>
      </c>
      <c r="M24" s="99">
        <f t="shared" si="8"/>
        <v>316.82560000000001</v>
      </c>
      <c r="N24" s="100">
        <f t="shared" si="9"/>
        <v>116.63162726449164</v>
      </c>
    </row>
    <row r="25" spans="1:14" ht="17" thickBot="1"/>
    <row r="26" spans="1:14" ht="33" thickBot="1">
      <c r="A26" s="83" t="s">
        <v>457</v>
      </c>
      <c r="B26" s="84">
        <v>0.91</v>
      </c>
    </row>
    <row r="27" spans="1:14">
      <c r="A27" s="65" t="s">
        <v>429</v>
      </c>
      <c r="B27" s="79"/>
    </row>
    <row r="28" spans="1:14" ht="32">
      <c r="A28" s="76" t="s">
        <v>430</v>
      </c>
      <c r="B28" s="68">
        <v>195</v>
      </c>
    </row>
    <row r="29" spans="1:14" ht="32">
      <c r="A29" s="76" t="s">
        <v>431</v>
      </c>
      <c r="B29" s="68">
        <v>50</v>
      </c>
    </row>
    <row r="30" spans="1:14" ht="32">
      <c r="A30" s="87" t="s">
        <v>432</v>
      </c>
      <c r="B30" s="88">
        <v>15</v>
      </c>
    </row>
    <row r="31" spans="1:14" ht="33" thickBot="1">
      <c r="A31" s="85" t="s">
        <v>460</v>
      </c>
      <c r="B31" s="86">
        <f>(1000)/(((($B$30*25.4)+((2*$B$28*$B$29/100)))*3.141592653589)/1000)</f>
        <v>552.6213301803316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Equations</vt:lpstr>
      <vt:lpstr>Constants</vt:lpstr>
      <vt:lpstr>Measurement Units</vt:lpstr>
      <vt:lpstr>Mass factors</vt:lpstr>
      <vt:lpstr>Acceleration Force</vt:lpstr>
      <vt:lpstr>Hill-climbing Force</vt:lpstr>
      <vt:lpstr>EV Conv. Weights Compared</vt:lpstr>
      <vt:lpstr>Coefficient of Drag</vt:lpstr>
      <vt:lpstr>Drivetrain Efficiencies</vt:lpstr>
      <vt:lpstr>Torque Required US </vt:lpstr>
      <vt:lpstr>Torque Required IS</vt:lpstr>
      <vt:lpstr>Torque Available Us</vt:lpstr>
      <vt:lpstr>Torque Available 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Vannucci</cp:lastModifiedBy>
  <dcterms:created xsi:type="dcterms:W3CDTF">2014-06-15T13:35:20Z</dcterms:created>
  <dcterms:modified xsi:type="dcterms:W3CDTF">2015-02-21T15:41:28Z</dcterms:modified>
</cp:coreProperties>
</file>