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tecnoquimicas-my.sharepoint.com/personal/jsguzman_tecnoquimicas_com/Documents/99. PERSONAL/Formación/Maestria/Semestre 1/Fundamentos de Analitica I/"/>
    </mc:Choice>
  </mc:AlternateContent>
  <xr:revisionPtr revIDLastSave="239" documentId="8_{0E40E65E-45DC-438A-A910-B799A26B602F}" xr6:coauthVersionLast="47" xr6:coauthVersionMax="47" xr10:uidLastSave="{1D9F16AC-878A-4B3A-BBEF-859AB4088067}"/>
  <bookViews>
    <workbookView xWindow="-120" yWindow="-120" windowWidth="29040" windowHeight="15720" xr2:uid="{00000000-000D-0000-FFFF-FFFF00000000}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Entropia!$A$2:$F$16</definedName>
    <definedName name="_xlnm._FilterDatabase" localSheetId="1" hidden="1">Metricas!$A$2:$F$16</definedName>
    <definedName name="_xlnm._FilterDatabase" localSheetId="2" hidden="1">Particionamiento!$A$2:$F$17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5" i="3" l="1"/>
  <c r="BJ35" i="3"/>
  <c r="BL35" i="3" s="1"/>
  <c r="BK34" i="3"/>
  <c r="BK36" i="3" s="1"/>
  <c r="BJ34" i="3"/>
  <c r="BJ36" i="3" s="1"/>
  <c r="BG36" i="3"/>
  <c r="BF36" i="3"/>
  <c r="BE36" i="3"/>
  <c r="BG35" i="3"/>
  <c r="BG34" i="3"/>
  <c r="BF35" i="3"/>
  <c r="BE35" i="3"/>
  <c r="BF34" i="3"/>
  <c r="BE34" i="3"/>
  <c r="BL31" i="3"/>
  <c r="BL30" i="3"/>
  <c r="BL29" i="3"/>
  <c r="BK31" i="3"/>
  <c r="BJ31" i="3"/>
  <c r="BK30" i="3"/>
  <c r="BJ30" i="3"/>
  <c r="BK29" i="3"/>
  <c r="BJ29" i="3"/>
  <c r="BA36" i="3"/>
  <c r="AZ36" i="3"/>
  <c r="BB36" i="3" s="1"/>
  <c r="BA35" i="3"/>
  <c r="AZ35" i="3"/>
  <c r="BB35" i="3" s="1"/>
  <c r="BA34" i="3"/>
  <c r="BA37" i="3" s="1"/>
  <c r="AZ34" i="3"/>
  <c r="BB34" i="3" s="1"/>
  <c r="BB37" i="3" s="1"/>
  <c r="AW37" i="3"/>
  <c r="AV37" i="3"/>
  <c r="AU37" i="3"/>
  <c r="AW36" i="3"/>
  <c r="AW35" i="3"/>
  <c r="AW34" i="3"/>
  <c r="AV36" i="3"/>
  <c r="AU36" i="3"/>
  <c r="AV35" i="3"/>
  <c r="AU35" i="3"/>
  <c r="AV34" i="3"/>
  <c r="AU34" i="3"/>
  <c r="BF30" i="3"/>
  <c r="BF29" i="3"/>
  <c r="BE30" i="3"/>
  <c r="BE29" i="3"/>
  <c r="BA31" i="3"/>
  <c r="AZ31" i="3"/>
  <c r="BA30" i="3"/>
  <c r="AZ30" i="3"/>
  <c r="BA29" i="3"/>
  <c r="AZ29" i="3"/>
  <c r="AU29" i="3"/>
  <c r="AV31" i="3"/>
  <c r="AU31" i="3"/>
  <c r="AV30" i="3"/>
  <c r="AU30" i="3"/>
  <c r="AV29" i="3"/>
  <c r="AW29" i="3"/>
  <c r="BB31" i="3"/>
  <c r="BB30" i="3"/>
  <c r="BB29" i="3"/>
  <c r="BA32" i="3"/>
  <c r="AZ32" i="3"/>
  <c r="AN30" i="3"/>
  <c r="AN25" i="3"/>
  <c r="AF30" i="3"/>
  <c r="AF25" i="3"/>
  <c r="X37" i="3"/>
  <c r="Y29" i="3"/>
  <c r="N38" i="3"/>
  <c r="N37" i="3"/>
  <c r="L38" i="3"/>
  <c r="O38" i="3" s="1"/>
  <c r="N34" i="3"/>
  <c r="N33" i="3"/>
  <c r="L34" i="3"/>
  <c r="O34" i="3" s="1"/>
  <c r="L37" i="3"/>
  <c r="O37" i="3" s="1"/>
  <c r="P37" i="3" s="1"/>
  <c r="L33" i="3"/>
  <c r="O33" i="3" s="1"/>
  <c r="P33" i="3" s="1"/>
  <c r="J38" i="3"/>
  <c r="Y38" i="3" s="1"/>
  <c r="J37" i="3"/>
  <c r="Y37" i="3" s="1"/>
  <c r="J34" i="3"/>
  <c r="Y34" i="3" s="1"/>
  <c r="J33" i="3"/>
  <c r="Y33" i="3" s="1"/>
  <c r="N30" i="3"/>
  <c r="N29" i="3"/>
  <c r="N28" i="3"/>
  <c r="L30" i="3"/>
  <c r="O30" i="3" s="1"/>
  <c r="L29" i="3"/>
  <c r="O29" i="3" s="1"/>
  <c r="L28" i="3"/>
  <c r="O28" i="3" s="1"/>
  <c r="P28" i="3" s="1"/>
  <c r="J30" i="3"/>
  <c r="J29" i="3"/>
  <c r="J28" i="3"/>
  <c r="Y28" i="3" s="1"/>
  <c r="J25" i="3"/>
  <c r="J24" i="3"/>
  <c r="J23" i="3"/>
  <c r="BL34" i="3" l="1"/>
  <c r="BL36" i="3" s="1"/>
  <c r="AZ37" i="3"/>
  <c r="BG30" i="3"/>
  <c r="BF31" i="3"/>
  <c r="BE31" i="3"/>
  <c r="BG29" i="3"/>
  <c r="BG31" i="3" s="1"/>
  <c r="AV32" i="3"/>
  <c r="AU32" i="3"/>
  <c r="BB32" i="3"/>
  <c r="AW32" i="3"/>
  <c r="N25" i="3" l="1"/>
  <c r="N24" i="3"/>
  <c r="O24" i="3" s="1"/>
  <c r="L25" i="3"/>
  <c r="O25" i="3" s="1"/>
  <c r="L24" i="3"/>
  <c r="N23" i="3"/>
  <c r="L23" i="3"/>
  <c r="O23" i="3" s="1"/>
  <c r="V33" i="3"/>
  <c r="X33" i="3" s="1"/>
  <c r="AL28" i="3"/>
  <c r="AD28" i="3"/>
  <c r="V28" i="3"/>
  <c r="AL23" i="3"/>
  <c r="AV26" i="3" s="1"/>
  <c r="AD23" i="3"/>
  <c r="V23" i="3"/>
  <c r="AZ26" i="3"/>
  <c r="AU26" i="3"/>
  <c r="BJ25" i="3"/>
  <c r="BE25" i="3"/>
  <c r="AZ25" i="3"/>
  <c r="AU25" i="3"/>
  <c r="BJ24" i="3"/>
  <c r="BE24" i="3"/>
  <c r="AZ24" i="3"/>
  <c r="AU24" i="3"/>
  <c r="P23" i="3" l="1"/>
  <c r="AO28" i="3"/>
  <c r="AN28" i="3"/>
  <c r="AW26" i="3"/>
  <c r="X23" i="3"/>
  <c r="AV25" i="3"/>
  <c r="AW25" i="3" s="1"/>
  <c r="AF23" i="3"/>
  <c r="AG23" i="3"/>
  <c r="AN23" i="3"/>
  <c r="AO23" i="3"/>
  <c r="BA24" i="3"/>
  <c r="BB24" i="3" s="1"/>
  <c r="X28" i="3"/>
  <c r="BA25" i="3"/>
  <c r="BB25" i="3" s="1"/>
  <c r="AG28" i="3"/>
  <c r="AF28" i="3"/>
  <c r="BK24" i="3"/>
  <c r="BA26" i="3"/>
  <c r="BB26" i="3" s="1"/>
  <c r="AV24" i="3"/>
  <c r="BJ26" i="3"/>
  <c r="BL24" i="3"/>
  <c r="BF25" i="3"/>
  <c r="AU27" i="3"/>
  <c r="BE26" i="3"/>
  <c r="AZ27" i="3"/>
  <c r="A17" i="3"/>
  <c r="AD24" i="3" s="1"/>
  <c r="AG24" i="3" l="1"/>
  <c r="AF24" i="3"/>
  <c r="Y23" i="3"/>
  <c r="AW27" i="3"/>
  <c r="BB27" i="3"/>
  <c r="AW24" i="3"/>
  <c r="V38" i="3"/>
  <c r="AD29" i="3"/>
  <c r="V34" i="3"/>
  <c r="V29" i="3"/>
  <c r="X29" i="3" s="1"/>
  <c r="AL24" i="3"/>
  <c r="V24" i="3"/>
  <c r="AL29" i="3"/>
  <c r="BA27" i="3"/>
  <c r="BG25" i="3"/>
  <c r="AV27" i="3"/>
  <c r="J19" i="3"/>
  <c r="J20" i="3"/>
  <c r="L20" i="3" s="1"/>
  <c r="BG21" i="1"/>
  <c r="BG20" i="1"/>
  <c r="BG22" i="1"/>
  <c r="BB21" i="1"/>
  <c r="BB20" i="1"/>
  <c r="AW22" i="1"/>
  <c r="AW21" i="1"/>
  <c r="AW20" i="1"/>
  <c r="X24" i="3" l="1"/>
  <c r="Y24" i="3"/>
  <c r="AO24" i="3"/>
  <c r="AN24" i="3"/>
  <c r="BF24" i="3"/>
  <c r="BG24" i="3" s="1"/>
  <c r="X34" i="3"/>
  <c r="AO29" i="3"/>
  <c r="AN29" i="3"/>
  <c r="AG29" i="3"/>
  <c r="AF29" i="3"/>
  <c r="BK25" i="3"/>
  <c r="X38" i="3"/>
  <c r="L19" i="3"/>
  <c r="M19" i="3" s="1"/>
  <c r="AA19" i="3"/>
  <c r="BF26" i="3"/>
  <c r="BG26" i="3"/>
  <c r="AW23" i="1"/>
  <c r="BB22" i="1"/>
  <c r="Q23" i="3" l="1"/>
  <c r="Q37" i="3"/>
  <c r="Q33" i="3"/>
  <c r="Q28" i="3"/>
  <c r="BK26" i="3"/>
  <c r="BL25" i="3"/>
  <c r="BL26" i="3"/>
  <c r="AR22" i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25" i="1" l="1"/>
  <c r="AW30" i="1"/>
  <c r="AX26" i="1"/>
  <c r="AX31" i="1" s="1"/>
  <c r="AX25" i="1"/>
  <c r="AW27" i="1"/>
  <c r="AW32" i="1" s="1"/>
  <c r="AX27" i="1"/>
  <c r="AW26" i="1"/>
  <c r="AR25" i="1"/>
  <c r="AR30" i="1" s="1"/>
  <c r="AR27" i="1"/>
  <c r="AR32" i="1" s="1"/>
  <c r="AR26" i="1"/>
  <c r="AR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W28" i="1" l="1"/>
  <c r="AT31" i="1"/>
  <c r="AS33" i="1"/>
  <c r="AT32" i="1"/>
  <c r="AF24" i="1"/>
  <c r="AG23" i="1" s="1"/>
  <c r="AX28" i="1"/>
  <c r="AX30" i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X33" i="1" l="1"/>
  <c r="AW33" i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C26" i="1" l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31" i="1" s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<sst xmlns="http://schemas.openxmlformats.org/spreadsheetml/2006/main" count="652" uniqueCount="96">
  <si>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</si>
  <si>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</si>
  <si>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</si>
  <si>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</si>
  <si>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</si>
  <si>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</si>
  <si>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</si>
  <si>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</si>
  <si>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</si>
  <si>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</si>
  <si>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</si>
  <si>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</si>
  <si>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</si>
  <si>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</si>
  <si>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</si>
  <si>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</si>
  <si>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</si>
  <si>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</si>
  <si>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</si>
  <si>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</si>
  <si>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</si>
  <si>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</si>
  <si>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</si>
  <si>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</si>
  <si>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</si>
  <si>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</si>
  <si>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</si>
  <si>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</si>
  <si>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</si>
  <si>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</si>
  <si>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</si>
  <si>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</si>
  <si>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</si>
  <si>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</si>
  <si>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</si>
  <si>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</si>
  <si>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</si>
  <si>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</si>
  <si>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</si>
  <si>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</si>
  <si>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</si>
  <si>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</si>
  <si>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</si>
  <si>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</si>
  <si>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</si>
  <si>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</si>
  <si>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</si>
  <si>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</si>
  <si>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</si>
  <si>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</si>
  <si>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</si>
  <si>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</si>
  <si>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</si>
  <si>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</si>
  <si>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</si>
  <si>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</si>
  <si>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</si>
  <si>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</si>
  <si>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</si>
  <si>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</si>
  <si>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</si>
  <si>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</si>
  <si>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</si>
  <si>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</si>
  <si>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</si>
  <si>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</si>
  <si>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</si>
  <si>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</si>
  <si>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</si>
  <si>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</si>
  <si>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</si>
  <si>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</si>
  <si>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</si>
  <si>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</si>
  <si>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</si>
  <si>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</si>
  <si>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</si>
  <si>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</si>
  <si>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</si>
  <si>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</si>
  <si>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</si>
  <si>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</si>
  <si>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</si>
  <si>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</si>
  <si>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</si>
  <si>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</si>
  <si>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</si>
  <si>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</si>
  <si>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</si>
  <si>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</si>
  <si>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</si>
  <si>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</si>
  <si>
    <t>p(yes| … )</t>
  </si>
  <si>
    <t>p(no| … )</t>
  </si>
  <si>
    <t>Entropias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</si>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</sst>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3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0" fontId="16" fillId="33" borderId="14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wrapText="1"/>
    </xf>
    <xf numFmtId="164" fontId="0" fillId="0" borderId="59" xfId="1" applyNumberFormat="1" applyFont="1" applyBorder="1"/>
    <xf numFmtId="164" fontId="0" fillId="0" borderId="60" xfId="1" applyNumberFormat="1" applyFont="1" applyBorder="1"/>
    <xf numFmtId="164" fontId="0" fillId="0" borderId="61" xfId="1" applyNumberFormat="1" applyFont="1" applyBorder="1"/>
    <xf numFmtId="165" fontId="0" fillId="39" borderId="57" xfId="0" applyNumberFormat="1" applyFill="1" applyBorder="1"/>
    <xf numFmtId="165" fontId="0" fillId="39" borderId="58" xfId="0" applyNumberFormat="1" applyFill="1" applyBorder="1"/>
    <xf numFmtId="165" fontId="0" fillId="0" borderId="0" xfId="0" applyNumberFormat="1"/>
    <xf numFmtId="165" fontId="0" fillId="40" borderId="26" xfId="0" applyNumberFormat="1" applyFill="1" applyBorder="1" applyAlignment="1">
      <alignment horizontal="center" vertical="center"/>
    </xf>
    <xf numFmtId="165" fontId="0" fillId="40" borderId="27" xfId="0" applyNumberForma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wrapText="1"/>
    </xf>
    <xf numFmtId="0" fontId="16" fillId="33" borderId="16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65" fontId="0" fillId="39" borderId="30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165" fontId="0" fillId="39" borderId="32" xfId="0" applyNumberFormat="1" applyFill="1" applyBorder="1" applyAlignment="1">
      <alignment horizontal="center" vertical="center"/>
    </xf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34" borderId="0" xfId="0" applyNumberFormat="1" applyFill="1" applyAlignment="1">
      <alignment horizontal="center" vertical="center"/>
    </xf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165" fontId="0" fillId="39" borderId="35" xfId="0" applyNumberFormat="1" applyFill="1" applyBorder="1"/>
    <xf numFmtId="165" fontId="0" fillId="39" borderId="59" xfId="0" applyNumberFormat="1" applyFill="1" applyBorder="1" applyAlignment="1">
      <alignment horizontal="center" vertical="center"/>
    </xf>
    <xf numFmtId="165" fontId="0" fillId="39" borderId="37" xfId="0" applyNumberFormat="1" applyFill="1" applyBorder="1"/>
    <xf numFmtId="165" fontId="0" fillId="39" borderId="60" xfId="0" applyNumberFormat="1" applyFill="1" applyBorder="1" applyAlignment="1">
      <alignment horizontal="center" vertical="center"/>
    </xf>
    <xf numFmtId="165" fontId="0" fillId="39" borderId="39" xfId="0" applyNumberFormat="1" applyFill="1" applyBorder="1"/>
    <xf numFmtId="165" fontId="0" fillId="39" borderId="61" xfId="0" applyNumberFormat="1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167" fontId="14" fillId="40" borderId="10" xfId="0" applyNumberFormat="1" applyFont="1" applyFill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20</xdr:col>
      <xdr:colOff>114300</xdr:colOff>
      <xdr:row>18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114300</xdr:colOff>
      <xdr:row>17</xdr:row>
      <xdr:rowOff>38100</xdr:rowOff>
    </xdr:from>
    <xdr:to>
      <xdr:col>20</xdr:col>
      <xdr:colOff>390525</xdr:colOff>
      <xdr:row>18</xdr:row>
      <xdr:rowOff>104775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077575" y="3314700"/>
          <a:ext cx="1038225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49</xdr:col>
      <xdr:colOff>85725</xdr:colOff>
      <xdr:row>17</xdr:row>
      <xdr:rowOff>9525</xdr:rowOff>
    </xdr:from>
    <xdr:to>
      <xdr:col>56</xdr:col>
      <xdr:colOff>256802</xdr:colOff>
      <xdr:row>19</xdr:row>
      <xdr:rowOff>142808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6175" y="3286125"/>
          <a:ext cx="2980952" cy="5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228600</xdr:colOff>
      <xdr:row>16</xdr:row>
      <xdr:rowOff>63500</xdr:rowOff>
    </xdr:from>
    <xdr:to>
      <xdr:col>34</xdr:col>
      <xdr:colOff>339725</xdr:colOff>
      <xdr:row>19</xdr:row>
      <xdr:rowOff>148670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DFB4BE-2B8D-B30D-F733-71C06278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0" y="3149600"/>
          <a:ext cx="1879600" cy="694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showGridLines="0" tabSelected="1" topLeftCell="F11" workbookViewId="0">
      <selection activeCell="F7" sqref="F7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42578125" customWidth="1"/>
    <col min="9" max="9" width="12.42578125" bestFit="1" customWidth="1"/>
    <col min="10" max="10" width="10.7109375" bestFit="1" customWidth="1"/>
    <col min="11" max="11" width="19.140625" bestFit="1" customWidth="1"/>
    <col min="12" max="12" width="8.42578125" bestFit="1" customWidth="1"/>
    <col min="13" max="13" width="15.42578125" customWidth="1"/>
    <col min="14" max="14" width="8.42578125" bestFit="1" customWidth="1"/>
    <col min="15" max="15" width="8.28515625" customWidth="1"/>
    <col min="16" max="16" width="5.42578125" bestFit="1" customWidth="1"/>
    <col min="17" max="17" width="6.28515625" bestFit="1" customWidth="1"/>
    <col min="18" max="18" width="2.140625" customWidth="1"/>
    <col min="19" max="20" width="11.42578125" customWidth="1"/>
    <col min="21" max="21" width="9" customWidth="1"/>
    <col min="22" max="22" width="2.85546875" bestFit="1" customWidth="1"/>
    <col min="23" max="23" width="3.42578125" bestFit="1" customWidth="1"/>
    <col min="24" max="24" width="8.42578125" bestFit="1" customWidth="1"/>
    <col min="25" max="25" width="7.140625" bestFit="1" customWidth="1"/>
    <col min="26" max="26" width="10.5703125" customWidth="1"/>
    <col min="27" max="27" width="6.28515625" bestFit="1" customWidth="1"/>
    <col min="28" max="28" width="7.42578125" bestFit="1" customWidth="1"/>
    <col min="29" max="29" width="1.140625" customWidth="1"/>
    <col min="30" max="30" width="2.85546875" bestFit="1" customWidth="1"/>
    <col min="31" max="31" width="3.42578125" bestFit="1" customWidth="1"/>
    <col min="32" max="32" width="7.85546875" bestFit="1" customWidth="1"/>
    <col min="33" max="33" width="6.140625" bestFit="1" customWidth="1"/>
    <col min="34" max="34" width="8.7109375" customWidth="1"/>
    <col min="35" max="35" width="5.42578125" bestFit="1" customWidth="1"/>
    <col min="36" max="36" width="7.42578125" bestFit="1" customWidth="1"/>
    <col min="37" max="37" width="1.140625" customWidth="1"/>
    <col min="38" max="38" width="2.85546875" bestFit="1" customWidth="1"/>
    <col min="39" max="39" width="3.42578125" bestFit="1" customWidth="1"/>
    <col min="40" max="40" width="7.85546875" bestFit="1" customWidth="1"/>
    <col min="41" max="41" width="5.85546875" bestFit="1" customWidth="1"/>
    <col min="42" max="42" width="9.28515625" customWidth="1"/>
    <col min="43" max="43" width="5.42578125" bestFit="1" customWidth="1"/>
    <col min="44" max="44" width="7.42578125" bestFit="1" customWidth="1"/>
    <col min="45" max="45" width="2.42578125" customWidth="1"/>
    <col min="46" max="46" width="8.85546875" bestFit="1" customWidth="1"/>
    <col min="47" max="48" width="5.5703125" bestFit="1" customWidth="1"/>
    <col min="49" max="49" width="5.42578125" bestFit="1" customWidth="1"/>
    <col min="50" max="50" width="2.140625" customWidth="1"/>
    <col min="51" max="51" width="12" customWidth="1"/>
    <col min="52" max="53" width="5.85546875" customWidth="1"/>
    <col min="54" max="54" width="5.42578125" bestFit="1" customWidth="1"/>
    <col min="55" max="55" width="2" customWidth="1"/>
    <col min="56" max="56" width="8.85546875" bestFit="1" customWidth="1"/>
    <col min="57" max="58" width="4.42578125" bestFit="1" customWidth="1"/>
    <col min="59" max="59" width="6.42578125" bestFit="1" customWidth="1"/>
    <col min="60" max="60" width="2.140625" customWidth="1"/>
    <col min="61" max="61" width="8.85546875" bestFit="1" customWidth="1"/>
    <col min="62" max="63" width="4.42578125" bestFit="1" customWidth="1"/>
    <col min="64" max="64" width="5.42578125" bestFit="1" customWidth="1"/>
  </cols>
  <sheetData>
    <row r="1" spans="1:64" ht="15.75" thickBot="1" x14ac:dyDescent="0.3"/>
    <row r="2" spans="1:64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4" x14ac:dyDescent="0.25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64" x14ac:dyDescent="0.25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</row>
    <row r="5" spans="1:64" x14ac:dyDescent="0.25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</row>
    <row r="6" spans="1:64" x14ac:dyDescent="0.25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</row>
    <row r="7" spans="1:64" x14ac:dyDescent="0.25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</row>
    <row r="8" spans="1:64" x14ac:dyDescent="0.25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</row>
    <row r="9" spans="1:64" x14ac:dyDescent="0.25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64" x14ac:dyDescent="0.25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64" x14ac:dyDescent="0.25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64" x14ac:dyDescent="0.25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64" x14ac:dyDescent="0.25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64" x14ac:dyDescent="0.25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64" ht="15.75" thickBot="1" x14ac:dyDescent="0.3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64" ht="15" customHeight="1" thickBot="1" x14ac:dyDescent="0.3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16" t="s">
        <v>4</v>
      </c>
      <c r="I16" s="142" t="s">
        <v>83</v>
      </c>
      <c r="J16" s="143"/>
      <c r="K16" s="143"/>
      <c r="L16" s="143"/>
      <c r="M16" s="143"/>
      <c r="N16" s="143"/>
      <c r="O16" s="143"/>
      <c r="P16" s="143"/>
      <c r="Q16" s="144"/>
      <c r="V16" s="142" t="s">
        <v>84</v>
      </c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4"/>
      <c r="AT16" s="142" t="s">
        <v>88</v>
      </c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4"/>
    </row>
    <row r="17" spans="1:64" ht="15.75" thickBot="1" x14ac:dyDescent="0.3">
      <c r="A17" s="21">
        <f>MAX(A3:A16)</f>
        <v>14</v>
      </c>
    </row>
    <row r="18" spans="1:64" ht="15.75" thickBot="1" x14ac:dyDescent="0.3">
      <c r="C18" s="117" t="s">
        <v>90</v>
      </c>
      <c r="I18" s="156" t="s">
        <v>23</v>
      </c>
      <c r="J18" s="157"/>
      <c r="K18" s="157"/>
      <c r="L18" s="158"/>
      <c r="M18" s="24" t="s">
        <v>30</v>
      </c>
      <c r="AA18" s="24" t="s">
        <v>71</v>
      </c>
    </row>
    <row r="19" spans="1:64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54">
        <f>SUM(L19:L20)</f>
        <v>0.94028595867063092</v>
      </c>
      <c r="AA19" s="61">
        <f>1-(J19^2+J20^2)</f>
        <v>0.45918367346938771</v>
      </c>
    </row>
    <row r="20" spans="1:64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55"/>
    </row>
    <row r="21" spans="1:64" ht="15.75" thickBot="1" x14ac:dyDescent="0.3">
      <c r="L21" t="s">
        <v>7</v>
      </c>
      <c r="N21" t="s">
        <v>4</v>
      </c>
    </row>
    <row r="22" spans="1:64" ht="14.45" customHeight="1" thickBot="1" x14ac:dyDescent="0.3">
      <c r="C22" s="152" t="s">
        <v>91</v>
      </c>
      <c r="D22" s="152"/>
      <c r="E22" s="152"/>
      <c r="F22" s="152"/>
      <c r="G22" s="152"/>
      <c r="I22" s="118" t="s">
        <v>17</v>
      </c>
      <c r="J22" s="120" t="s">
        <v>95</v>
      </c>
      <c r="K22" s="139" t="s">
        <v>92</v>
      </c>
      <c r="L22" s="140"/>
      <c r="M22" s="139" t="s">
        <v>93</v>
      </c>
      <c r="N22" s="140"/>
      <c r="O22" s="141" t="s">
        <v>94</v>
      </c>
      <c r="P22" s="140"/>
      <c r="Q22" s="119" t="s">
        <v>58</v>
      </c>
      <c r="V22" s="24" t="s">
        <v>76</v>
      </c>
      <c r="W22" s="24" t="s">
        <v>7</v>
      </c>
      <c r="X22" s="24" t="s">
        <v>78</v>
      </c>
      <c r="Y22" s="24" t="s">
        <v>77</v>
      </c>
      <c r="Z22" s="24" t="s">
        <v>73</v>
      </c>
      <c r="AA22" s="24" t="s">
        <v>71</v>
      </c>
      <c r="AB22" s="24" t="s">
        <v>72</v>
      </c>
      <c r="AD22" s="24" t="s">
        <v>76</v>
      </c>
      <c r="AE22" s="24" t="s">
        <v>7</v>
      </c>
      <c r="AF22" s="24" t="s">
        <v>78</v>
      </c>
      <c r="AG22" s="24" t="s">
        <v>77</v>
      </c>
      <c r="AH22" s="24" t="s">
        <v>73</v>
      </c>
      <c r="AI22" s="24" t="s">
        <v>71</v>
      </c>
      <c r="AJ22" s="24" t="s">
        <v>72</v>
      </c>
      <c r="AL22" s="24" t="s">
        <v>76</v>
      </c>
      <c r="AM22" s="24" t="s">
        <v>7</v>
      </c>
      <c r="AN22" s="24" t="s">
        <v>78</v>
      </c>
      <c r="AO22" s="24" t="s">
        <v>77</v>
      </c>
      <c r="AP22" s="24" t="s">
        <v>73</v>
      </c>
      <c r="AQ22" s="24" t="s">
        <v>71</v>
      </c>
      <c r="AR22" s="24" t="s">
        <v>72</v>
      </c>
      <c r="AT22" s="101" t="s">
        <v>17</v>
      </c>
      <c r="AU22" s="145" t="s">
        <v>85</v>
      </c>
      <c r="AV22" s="146"/>
      <c r="AY22" s="101" t="s">
        <v>31</v>
      </c>
      <c r="AZ22" s="145" t="s">
        <v>85</v>
      </c>
      <c r="BA22" s="146"/>
      <c r="BD22" s="101" t="s">
        <v>27</v>
      </c>
      <c r="BE22" s="145" t="s">
        <v>85</v>
      </c>
      <c r="BF22" s="146"/>
      <c r="BI22" s="101" t="s">
        <v>35</v>
      </c>
      <c r="BJ22" s="145" t="s">
        <v>85</v>
      </c>
      <c r="BK22" s="146"/>
    </row>
    <row r="23" spans="1:64" ht="14.45" customHeight="1" thickBot="1" x14ac:dyDescent="0.3">
      <c r="C23" s="152"/>
      <c r="D23" s="152"/>
      <c r="E23" s="152"/>
      <c r="F23" s="152"/>
      <c r="G23" s="152"/>
      <c r="H23" t="s">
        <v>0</v>
      </c>
      <c r="I23" s="32" t="s">
        <v>24</v>
      </c>
      <c r="J23" s="121">
        <f>+COUNTIF($B$3:$B$16,$H23)/COUNTA($B$3:$B$16)</f>
        <v>0.35714285714285715</v>
      </c>
      <c r="K23" s="38" t="s">
        <v>42</v>
      </c>
      <c r="L23" s="121">
        <f>+COUNTIFS($B$3:$B$16,$H23,$F$3:$F$16,L$21)/COUNTIF($B$3:$B$16,$H23)</f>
        <v>0.4</v>
      </c>
      <c r="M23" s="38" t="s">
        <v>45</v>
      </c>
      <c r="N23" s="121">
        <f>+COUNTIFS($B$3:$B$16,$H23,$F$3:$F$16,N$21)/COUNTIF($B$3:$B$16,$H23)</f>
        <v>0.6</v>
      </c>
      <c r="O23" s="165">
        <f t="shared" ref="O23" si="0">IFERROR(-L23*LOG(L23,2)-N23*LOG(N23,2),0)</f>
        <v>0.97095059445466858</v>
      </c>
      <c r="P23" s="166">
        <f>+O23*J23+J24*O24+J25*O25</f>
        <v>0.69353613889619181</v>
      </c>
      <c r="Q23" s="127">
        <f>+$M$19-P23</f>
        <v>0.24674981977443911</v>
      </c>
      <c r="V23" s="65">
        <f>COUNTIF($B$3:$B$16,Z23)</f>
        <v>5</v>
      </c>
      <c r="W23" s="65">
        <v>2</v>
      </c>
      <c r="X23" s="66">
        <f>+W23/V23</f>
        <v>0.4</v>
      </c>
      <c r="Y23" s="66">
        <f>+V23/A17</f>
        <v>0.35714285714285715</v>
      </c>
      <c r="Z23" s="64" t="s">
        <v>0</v>
      </c>
      <c r="AA23" s="62"/>
      <c r="AB23" s="127"/>
      <c r="AD23" s="65">
        <f>COUNTIF($B$3:$B$16,AH23)</f>
        <v>4</v>
      </c>
      <c r="AE23" s="65">
        <v>4</v>
      </c>
      <c r="AF23" s="66">
        <f>+AE23/AD23</f>
        <v>1</v>
      </c>
      <c r="AG23" s="66">
        <f>+AD23/14</f>
        <v>0.2857142857142857</v>
      </c>
      <c r="AH23" s="64" t="s">
        <v>6</v>
      </c>
      <c r="AI23" s="62"/>
      <c r="AJ23" s="147"/>
      <c r="AL23" s="65">
        <f>COUNTIF($B$3:$B$16,AP23)</f>
        <v>5</v>
      </c>
      <c r="AM23" s="65">
        <v>3</v>
      </c>
      <c r="AN23" s="66">
        <f>+AM23/AL23</f>
        <v>0.6</v>
      </c>
      <c r="AO23" s="66">
        <f>+AL23/14</f>
        <v>0.35714285714285715</v>
      </c>
      <c r="AP23" s="64" t="s">
        <v>8</v>
      </c>
      <c r="AQ23" s="62"/>
      <c r="AR23" s="127"/>
      <c r="AT23" s="101" t="s">
        <v>86</v>
      </c>
      <c r="AU23" s="85" t="s">
        <v>7</v>
      </c>
      <c r="AV23" s="86" t="s">
        <v>4</v>
      </c>
      <c r="AY23" s="101" t="s">
        <v>86</v>
      </c>
      <c r="AZ23" s="85" t="s">
        <v>7</v>
      </c>
      <c r="BA23" s="86" t="s">
        <v>4</v>
      </c>
      <c r="BD23" s="101" t="s">
        <v>86</v>
      </c>
      <c r="BE23" s="85" t="s">
        <v>7</v>
      </c>
      <c r="BF23" s="86" t="s">
        <v>4</v>
      </c>
      <c r="BI23" s="101" t="s">
        <v>86</v>
      </c>
      <c r="BJ23" s="85" t="s">
        <v>7</v>
      </c>
      <c r="BK23" s="86" t="s">
        <v>4</v>
      </c>
    </row>
    <row r="24" spans="1:64" ht="15.75" customHeight="1" x14ac:dyDescent="0.25">
      <c r="H24" t="s">
        <v>6</v>
      </c>
      <c r="I24" s="34" t="s">
        <v>25</v>
      </c>
      <c r="J24" s="122">
        <f t="shared" ref="J24:J25" si="1">+COUNTIF($B$3:$B$16,$H24)/COUNTA($B$3:$B$16)</f>
        <v>0.2857142857142857</v>
      </c>
      <c r="K24" s="42" t="s">
        <v>43</v>
      </c>
      <c r="L24" s="122">
        <f t="shared" ref="L24:L25" si="2">+COUNTIFS($B$3:$B$16,$H24,$F$3:$F$16,L$21)/COUNTIF($B$3:$B$16,$H24)</f>
        <v>1</v>
      </c>
      <c r="M24" s="42" t="s">
        <v>46</v>
      </c>
      <c r="N24" s="122">
        <f t="shared" ref="N24:N25" si="3">+COUNTIFS($B$3:$B$16,$H24,$F$3:$F$16,N$21)/COUNTIF($B$3:$B$16,$H24)</f>
        <v>0</v>
      </c>
      <c r="O24" s="167">
        <f>IFERROR(-L24*LOG(L24,2)-N24*LOG(N24,2),0)</f>
        <v>0</v>
      </c>
      <c r="P24" s="168"/>
      <c r="Q24" s="133"/>
      <c r="V24" s="129">
        <f>$A$17-V23</f>
        <v>9</v>
      </c>
      <c r="W24" s="129">
        <v>7</v>
      </c>
      <c r="X24" s="131">
        <f>+W24/V24</f>
        <v>0.77777777777777779</v>
      </c>
      <c r="Y24" s="131">
        <f>+V24/A17</f>
        <v>0.6428571428571429</v>
      </c>
      <c r="Z24" s="135" t="s">
        <v>74</v>
      </c>
      <c r="AA24" s="137"/>
      <c r="AB24" s="133"/>
      <c r="AD24" s="129">
        <f>$A$17-AD23</f>
        <v>10</v>
      </c>
      <c r="AE24" s="129">
        <v>5</v>
      </c>
      <c r="AF24" s="131">
        <f t="shared" ref="AF24:AF25" si="4">+AE24/AD24</f>
        <v>0.5</v>
      </c>
      <c r="AG24" s="131">
        <f>+AD24/14</f>
        <v>0.7142857142857143</v>
      </c>
      <c r="AH24" s="135" t="s">
        <v>79</v>
      </c>
      <c r="AI24" s="137"/>
      <c r="AJ24" s="148"/>
      <c r="AL24" s="129">
        <f>$A$17-AL23</f>
        <v>9</v>
      </c>
      <c r="AM24" s="129">
        <v>6</v>
      </c>
      <c r="AN24" s="131">
        <f t="shared" ref="AN24:AN25" si="5">+AM24/AL24</f>
        <v>0.66666666666666663</v>
      </c>
      <c r="AO24" s="131">
        <f>+AL24/14</f>
        <v>0.6428571428571429</v>
      </c>
      <c r="AP24" s="135" t="s">
        <v>75</v>
      </c>
      <c r="AQ24" s="137"/>
      <c r="AR24" s="133"/>
      <c r="AT24" s="71" t="s">
        <v>0</v>
      </c>
      <c r="AU24" s="83">
        <f>W23</f>
        <v>2</v>
      </c>
      <c r="AV24" s="84">
        <f>V23-W23</f>
        <v>3</v>
      </c>
      <c r="AW24" s="77">
        <f>SUM(AU24:AV24)</f>
        <v>5</v>
      </c>
      <c r="AY24" s="71" t="s">
        <v>1</v>
      </c>
      <c r="AZ24" s="83">
        <f>W28</f>
        <v>2</v>
      </c>
      <c r="BA24" s="84">
        <f>V28-W28</f>
        <v>2</v>
      </c>
      <c r="BB24" s="77">
        <f>SUM(AZ24:BA24)</f>
        <v>4</v>
      </c>
      <c r="BD24" s="71" t="s">
        <v>2</v>
      </c>
      <c r="BE24" s="83">
        <f>W34</f>
        <v>3</v>
      </c>
      <c r="BF24" s="84">
        <f>V34-BE24</f>
        <v>4</v>
      </c>
      <c r="BG24" s="77">
        <f>SUM(BE24:BF24)</f>
        <v>7</v>
      </c>
      <c r="BI24" s="71" t="s">
        <v>3</v>
      </c>
      <c r="BJ24" s="83">
        <f>W37</f>
        <v>6</v>
      </c>
      <c r="BK24" s="84">
        <f>V37-BJ24</f>
        <v>2</v>
      </c>
      <c r="BL24" s="77">
        <f>SUM(BJ24:BK24)</f>
        <v>8</v>
      </c>
    </row>
    <row r="25" spans="1:64" ht="15.75" thickBot="1" x14ac:dyDescent="0.3">
      <c r="H25" t="s">
        <v>8</v>
      </c>
      <c r="I25" s="36" t="s">
        <v>26</v>
      </c>
      <c r="J25" s="123">
        <f t="shared" si="1"/>
        <v>0.35714285714285715</v>
      </c>
      <c r="K25" s="46" t="s">
        <v>44</v>
      </c>
      <c r="L25" s="123">
        <f t="shared" si="2"/>
        <v>0.6</v>
      </c>
      <c r="M25" s="46" t="s">
        <v>47</v>
      </c>
      <c r="N25" s="123">
        <f t="shared" si="3"/>
        <v>0.4</v>
      </c>
      <c r="O25" s="169">
        <f t="shared" ref="O25" si="6">IFERROR(-L25*LOG(L25,2)-N25*LOG(N25,2),0)</f>
        <v>0.97095059445466858</v>
      </c>
      <c r="P25" s="170"/>
      <c r="Q25" s="134"/>
      <c r="V25" s="130"/>
      <c r="W25" s="130"/>
      <c r="X25" s="132"/>
      <c r="Y25" s="132"/>
      <c r="Z25" s="136"/>
      <c r="AA25" s="138"/>
      <c r="AB25" s="134"/>
      <c r="AD25" s="130"/>
      <c r="AE25" s="130"/>
      <c r="AF25" s="132" t="e">
        <f t="shared" si="4"/>
        <v>#DIV/0!</v>
      </c>
      <c r="AG25" s="132"/>
      <c r="AH25" s="136"/>
      <c r="AI25" s="138"/>
      <c r="AJ25" s="149"/>
      <c r="AL25" s="130"/>
      <c r="AM25" s="130"/>
      <c r="AN25" s="132" t="e">
        <f t="shared" si="5"/>
        <v>#DIV/0!</v>
      </c>
      <c r="AO25" s="132"/>
      <c r="AP25" s="136"/>
      <c r="AQ25" s="138"/>
      <c r="AR25" s="134"/>
      <c r="AT25" s="71" t="s">
        <v>6</v>
      </c>
      <c r="AU25" s="73">
        <f>AE23</f>
        <v>4</v>
      </c>
      <c r="AV25" s="74">
        <f>AD23-AE23</f>
        <v>0</v>
      </c>
      <c r="AW25" s="78">
        <f>SUM(AU25:AV25)</f>
        <v>4</v>
      </c>
      <c r="AY25" s="71" t="s">
        <v>9</v>
      </c>
      <c r="AZ25" s="73">
        <f>AE28</f>
        <v>4</v>
      </c>
      <c r="BA25" s="74">
        <f>AD28-AE28</f>
        <v>2</v>
      </c>
      <c r="BB25" s="78">
        <f>SUM(AZ25:BA25)</f>
        <v>6</v>
      </c>
      <c r="BD25" s="72" t="s">
        <v>11</v>
      </c>
      <c r="BE25" s="75">
        <f>W33</f>
        <v>6</v>
      </c>
      <c r="BF25" s="76">
        <f>V33-BE25</f>
        <v>1</v>
      </c>
      <c r="BG25" s="79">
        <f>SUM(BE25:BF25)</f>
        <v>7</v>
      </c>
      <c r="BI25" s="72" t="s">
        <v>5</v>
      </c>
      <c r="BJ25" s="75">
        <f>W38</f>
        <v>3</v>
      </c>
      <c r="BK25" s="76">
        <f>V38-BJ25</f>
        <v>3</v>
      </c>
      <c r="BL25" s="79">
        <f>SUM(BJ25:BK25)</f>
        <v>6</v>
      </c>
    </row>
    <row r="26" spans="1:64" ht="15.75" thickBot="1" x14ac:dyDescent="0.3">
      <c r="AT26" s="72" t="s">
        <v>8</v>
      </c>
      <c r="AU26" s="75">
        <f>AM23</f>
        <v>3</v>
      </c>
      <c r="AV26" s="76">
        <f>AL23-AM23</f>
        <v>2</v>
      </c>
      <c r="AW26" s="79">
        <f>SUM(AU26:AV26)</f>
        <v>5</v>
      </c>
      <c r="AY26" s="72" t="s">
        <v>10</v>
      </c>
      <c r="AZ26" s="75">
        <f>AM28</f>
        <v>3</v>
      </c>
      <c r="BA26" s="76">
        <f>AL28-AM28</f>
        <v>1</v>
      </c>
      <c r="BB26" s="79">
        <f>SUM(AZ26:BA26)</f>
        <v>4</v>
      </c>
      <c r="BE26" s="80">
        <f>SUM(BE24:BE25)</f>
        <v>9</v>
      </c>
      <c r="BF26" s="81">
        <f>SUM(BF24:BF25)</f>
        <v>5</v>
      </c>
      <c r="BG26" s="82">
        <f>SUM(BE24:BF25)</f>
        <v>14</v>
      </c>
      <c r="BJ26" s="80">
        <f>SUM(BJ24:BJ25)</f>
        <v>9</v>
      </c>
      <c r="BK26" s="81">
        <f>SUM(BK24:BK25)</f>
        <v>5</v>
      </c>
      <c r="BL26" s="82">
        <f>SUM(BJ24:BK25)</f>
        <v>14</v>
      </c>
    </row>
    <row r="27" spans="1:64" ht="15" customHeight="1" thickBot="1" x14ac:dyDescent="0.3">
      <c r="I27" s="118" t="s">
        <v>31</v>
      </c>
      <c r="J27" s="120" t="s">
        <v>95</v>
      </c>
      <c r="K27" s="139" t="s">
        <v>92</v>
      </c>
      <c r="L27" s="140"/>
      <c r="M27" s="139" t="s">
        <v>93</v>
      </c>
      <c r="N27" s="140"/>
      <c r="O27" s="141" t="s">
        <v>94</v>
      </c>
      <c r="P27" s="140"/>
      <c r="Q27" s="119" t="s">
        <v>58</v>
      </c>
      <c r="V27" s="24" t="s">
        <v>76</v>
      </c>
      <c r="W27" s="24" t="s">
        <v>7</v>
      </c>
      <c r="X27" s="24" t="s">
        <v>78</v>
      </c>
      <c r="Y27" s="24" t="s">
        <v>77</v>
      </c>
      <c r="Z27" s="24" t="s">
        <v>73</v>
      </c>
      <c r="AA27" s="24" t="s">
        <v>71</v>
      </c>
      <c r="AB27" s="24" t="s">
        <v>72</v>
      </c>
      <c r="AD27" s="24" t="s">
        <v>76</v>
      </c>
      <c r="AE27" s="24" t="s">
        <v>7</v>
      </c>
      <c r="AF27" s="24" t="s">
        <v>78</v>
      </c>
      <c r="AG27" s="24" t="s">
        <v>77</v>
      </c>
      <c r="AH27" s="24" t="s">
        <v>73</v>
      </c>
      <c r="AI27" s="24" t="s">
        <v>71</v>
      </c>
      <c r="AJ27" s="24" t="s">
        <v>72</v>
      </c>
      <c r="AL27" s="24" t="s">
        <v>76</v>
      </c>
      <c r="AM27" s="24" t="s">
        <v>7</v>
      </c>
      <c r="AN27" s="24" t="s">
        <v>78</v>
      </c>
      <c r="AO27" s="24" t="s">
        <v>77</v>
      </c>
      <c r="AP27" s="24" t="s">
        <v>73</v>
      </c>
      <c r="AQ27" s="24" t="s">
        <v>71</v>
      </c>
      <c r="AR27" s="24" t="s">
        <v>72</v>
      </c>
      <c r="AU27" s="80">
        <f>SUM(AU24:AU26)</f>
        <v>9</v>
      </c>
      <c r="AV27" s="81">
        <f>SUM(AV24:AV26)</f>
        <v>5</v>
      </c>
      <c r="AW27" s="82">
        <f>SUM(AU24:AV26)</f>
        <v>14</v>
      </c>
      <c r="AZ27" s="80">
        <f>SUM(AZ24:AZ26)</f>
        <v>9</v>
      </c>
      <c r="BA27" s="81">
        <f>SUM(BA24:BA26)</f>
        <v>5</v>
      </c>
      <c r="BB27" s="82">
        <f>SUM(AZ24:BA26)</f>
        <v>14</v>
      </c>
    </row>
    <row r="28" spans="1:64" ht="15.75" thickBot="1" x14ac:dyDescent="0.3">
      <c r="H28" t="s">
        <v>1</v>
      </c>
      <c r="I28" s="32" t="s">
        <v>32</v>
      </c>
      <c r="J28" s="33">
        <f>+COUNTIF($C$3:$C$16,$H28)/COUNTA($C$3:$C$16)</f>
        <v>0.2857142857142857</v>
      </c>
      <c r="K28" s="38" t="s">
        <v>48</v>
      </c>
      <c r="L28" s="121">
        <f>+COUNTIFS($C$3:$C$16,$H28,$F$3:$F$16,L$21)/COUNTIF($C$3:$C$16,$H28)</f>
        <v>0.5</v>
      </c>
      <c r="M28" s="38" t="s">
        <v>51</v>
      </c>
      <c r="N28" s="121">
        <f t="shared" ref="N28:N30" si="7">+COUNTIFS($C$3:$C$16,$H28,$F$3:$F$16,N$21)/COUNTIF($C$3:$C$16,$H28)</f>
        <v>0.5</v>
      </c>
      <c r="O28" s="165">
        <f t="shared" ref="O28" si="8">IFERROR(-L28*LOG(L28,2)-N28*LOG(N28,2),0)</f>
        <v>1</v>
      </c>
      <c r="P28" s="166">
        <f>+O28*J28+J29*O29+J30*O30</f>
        <v>0.91106339301167627</v>
      </c>
      <c r="Q28" s="127">
        <f>+$M$19-P28</f>
        <v>2.9222565658954647E-2</v>
      </c>
      <c r="V28" s="65">
        <f>COUNTIF($C$3:$C$16,Z28)</f>
        <v>4</v>
      </c>
      <c r="W28" s="65">
        <v>2</v>
      </c>
      <c r="X28" s="66">
        <f>+W28/V28</f>
        <v>0.5</v>
      </c>
      <c r="Y28" s="66">
        <f>+J28</f>
        <v>0.2857142857142857</v>
      </c>
      <c r="Z28" s="64" t="s">
        <v>1</v>
      </c>
      <c r="AA28" s="62"/>
      <c r="AB28" s="127"/>
      <c r="AD28" s="65">
        <f>COUNTIF($C$3:$C$16,AH28)</f>
        <v>6</v>
      </c>
      <c r="AE28" s="65">
        <v>4</v>
      </c>
      <c r="AF28" s="66">
        <f>+AE28/AD28</f>
        <v>0.66666666666666663</v>
      </c>
      <c r="AG28" s="66">
        <f>+AD28/14</f>
        <v>0.42857142857142855</v>
      </c>
      <c r="AH28" s="64" t="s">
        <v>9</v>
      </c>
      <c r="AI28" s="62"/>
      <c r="AJ28" s="127"/>
      <c r="AL28" s="65">
        <f>COUNTIF($C$3:$C$16,AP28)</f>
        <v>4</v>
      </c>
      <c r="AM28" s="65">
        <v>3</v>
      </c>
      <c r="AN28" s="66">
        <f>+AM28/AL28</f>
        <v>0.75</v>
      </c>
      <c r="AO28" s="66">
        <f>+AL28/14</f>
        <v>0.2857142857142857</v>
      </c>
      <c r="AP28" s="64" t="s">
        <v>10</v>
      </c>
      <c r="AQ28" s="62"/>
      <c r="AR28" s="127"/>
      <c r="AT28" s="101" t="s">
        <v>87</v>
      </c>
      <c r="AY28" s="101" t="s">
        <v>87</v>
      </c>
      <c r="BD28" s="101" t="s">
        <v>87</v>
      </c>
      <c r="BI28" s="101" t="s">
        <v>87</v>
      </c>
    </row>
    <row r="29" spans="1:64" ht="15.75" customHeight="1" thickBot="1" x14ac:dyDescent="0.3">
      <c r="H29" t="s">
        <v>9</v>
      </c>
      <c r="I29" s="34" t="s">
        <v>33</v>
      </c>
      <c r="J29" s="35">
        <f t="shared" ref="J29:J30" si="9">+COUNTIF($C$3:$C$16,$H29)/COUNTA($C$3:$C$16)</f>
        <v>0.42857142857142855</v>
      </c>
      <c r="K29" s="42" t="s">
        <v>49</v>
      </c>
      <c r="L29" s="122">
        <f t="shared" ref="L29:L30" si="10">+COUNTIFS($C$3:$C$16,$H29,$F$3:$F$16,L$21)/COUNTIF($C$3:$C$16,$H29)</f>
        <v>0.66666666666666663</v>
      </c>
      <c r="M29" s="42" t="s">
        <v>52</v>
      </c>
      <c r="N29" s="122">
        <f t="shared" si="7"/>
        <v>0.33333333333333331</v>
      </c>
      <c r="O29" s="167">
        <f>IFERROR(-L29*LOG(L29,2)-N29*LOG(N29,2),0)</f>
        <v>0.91829583405448956</v>
      </c>
      <c r="P29" s="168"/>
      <c r="Q29" s="133"/>
      <c r="V29" s="129">
        <f>$A$17-V28</f>
        <v>10</v>
      </c>
      <c r="W29" s="129">
        <v>7</v>
      </c>
      <c r="X29" s="131">
        <f>+W29/V29</f>
        <v>0.7</v>
      </c>
      <c r="Y29" s="131">
        <f>+SUM(J29:J30)</f>
        <v>0.71428571428571419</v>
      </c>
      <c r="Z29" s="135" t="s">
        <v>82</v>
      </c>
      <c r="AA29" s="137"/>
      <c r="AB29" s="133"/>
      <c r="AD29" s="129">
        <f>$A$17-AD28</f>
        <v>8</v>
      </c>
      <c r="AE29" s="129">
        <v>5</v>
      </c>
      <c r="AF29" s="131">
        <f t="shared" ref="AF29:AF30" si="11">+AE29/AD29</f>
        <v>0.625</v>
      </c>
      <c r="AG29" s="131">
        <f>+AD29/14</f>
        <v>0.5714285714285714</v>
      </c>
      <c r="AH29" s="135" t="s">
        <v>81</v>
      </c>
      <c r="AI29" s="137"/>
      <c r="AJ29" s="133"/>
      <c r="AL29" s="129">
        <f>$A$17-AL28</f>
        <v>10</v>
      </c>
      <c r="AM29" s="129">
        <v>6</v>
      </c>
      <c r="AN29" s="131">
        <f t="shared" ref="AN29:AN30" si="12">+AM29/AL29</f>
        <v>0.6</v>
      </c>
      <c r="AO29" s="131">
        <f>+AL29/14</f>
        <v>0.7142857142857143</v>
      </c>
      <c r="AP29" s="135" t="s">
        <v>80</v>
      </c>
      <c r="AQ29" s="137"/>
      <c r="AR29" s="133"/>
      <c r="AT29" s="97" t="s">
        <v>0</v>
      </c>
      <c r="AU29" s="98">
        <f>+AU27*AW24/AW27</f>
        <v>3.2142857142857144</v>
      </c>
      <c r="AV29" s="99">
        <f>+AV27*AW24/AW27</f>
        <v>1.7857142857142858</v>
      </c>
      <c r="AW29" s="88">
        <f>SUM(AU29:AV29)</f>
        <v>5</v>
      </c>
      <c r="AY29" s="71" t="s">
        <v>1</v>
      </c>
      <c r="AZ29" s="98">
        <f>+AZ27*BB24/BB27</f>
        <v>2.5714285714285716</v>
      </c>
      <c r="BA29" s="99">
        <f>+BA27*BB24/BB27</f>
        <v>1.4285714285714286</v>
      </c>
      <c r="BB29" s="88">
        <f>SUM(AZ29:BA29)</f>
        <v>4</v>
      </c>
      <c r="BD29" s="71" t="s">
        <v>1</v>
      </c>
      <c r="BE29" s="98">
        <f>+BE26*BG24/BG26</f>
        <v>4.5</v>
      </c>
      <c r="BF29" s="99">
        <f>+BF26*BG24/BG26</f>
        <v>2.5</v>
      </c>
      <c r="BG29" s="88">
        <f>SUM(BE29:BF29)</f>
        <v>7</v>
      </c>
      <c r="BI29" s="71" t="s">
        <v>3</v>
      </c>
      <c r="BJ29" s="98">
        <f>+BJ26/BL26*BL24</f>
        <v>5.1428571428571432</v>
      </c>
      <c r="BK29" s="99">
        <f>+BK26/BL26*BL24</f>
        <v>2.8571428571428572</v>
      </c>
      <c r="BL29" s="88">
        <f>SUM(BJ29:BK29)</f>
        <v>8</v>
      </c>
    </row>
    <row r="30" spans="1:64" ht="15.75" thickBot="1" x14ac:dyDescent="0.3">
      <c r="H30" t="s">
        <v>10</v>
      </c>
      <c r="I30" s="36" t="s">
        <v>34</v>
      </c>
      <c r="J30" s="37">
        <f t="shared" si="9"/>
        <v>0.2857142857142857</v>
      </c>
      <c r="K30" s="46" t="s">
        <v>50</v>
      </c>
      <c r="L30" s="123">
        <f t="shared" si="10"/>
        <v>0.75</v>
      </c>
      <c r="M30" s="46" t="s">
        <v>53</v>
      </c>
      <c r="N30" s="123">
        <f t="shared" si="7"/>
        <v>0.25</v>
      </c>
      <c r="O30" s="169">
        <f t="shared" ref="O30" si="13">IFERROR(-L30*LOG(L30,2)-N30*LOG(N30,2),0)</f>
        <v>0.81127812445913283</v>
      </c>
      <c r="P30" s="170"/>
      <c r="Q30" s="134"/>
      <c r="V30" s="130"/>
      <c r="W30" s="130"/>
      <c r="X30" s="132"/>
      <c r="Y30" s="132"/>
      <c r="Z30" s="136"/>
      <c r="AA30" s="138"/>
      <c r="AB30" s="134"/>
      <c r="AD30" s="130"/>
      <c r="AE30" s="130"/>
      <c r="AF30" s="132" t="e">
        <f t="shared" si="11"/>
        <v>#DIV/0!</v>
      </c>
      <c r="AG30" s="132"/>
      <c r="AH30" s="136"/>
      <c r="AI30" s="138"/>
      <c r="AJ30" s="134"/>
      <c r="AL30" s="130"/>
      <c r="AM30" s="130"/>
      <c r="AN30" s="132" t="e">
        <f t="shared" si="12"/>
        <v>#DIV/0!</v>
      </c>
      <c r="AO30" s="132"/>
      <c r="AP30" s="136"/>
      <c r="AQ30" s="138"/>
      <c r="AR30" s="134"/>
      <c r="AT30" s="71" t="s">
        <v>6</v>
      </c>
      <c r="AU30" s="89">
        <f>+AU27/AW27*AW25</f>
        <v>2.5714285714285716</v>
      </c>
      <c r="AV30" s="87">
        <f>+AV27/AW27*AW25</f>
        <v>1.4285714285714286</v>
      </c>
      <c r="AW30" s="90">
        <v>4</v>
      </c>
      <c r="AY30" s="71" t="s">
        <v>9</v>
      </c>
      <c r="AZ30" s="89">
        <f>+AZ27/BB27*BB25</f>
        <v>3.8571428571428577</v>
      </c>
      <c r="BA30" s="87">
        <f>+BA27/BB27*BB25</f>
        <v>2.1428571428571428</v>
      </c>
      <c r="BB30" s="90">
        <f t="shared" ref="BB30:BB31" si="14">SUM(AZ30:BA30)</f>
        <v>6</v>
      </c>
      <c r="BD30" s="72" t="s">
        <v>11</v>
      </c>
      <c r="BE30" s="91">
        <f>+BE26*BG25/BG26</f>
        <v>4.5</v>
      </c>
      <c r="BF30" s="100">
        <f>+BF26*BG25/BG26</f>
        <v>2.5</v>
      </c>
      <c r="BG30" s="88">
        <f>SUM(BE30:BF30)</f>
        <v>7</v>
      </c>
      <c r="BI30" s="72" t="s">
        <v>5</v>
      </c>
      <c r="BJ30" s="91">
        <f>+BJ26/BL26*BL25</f>
        <v>3.8571428571428577</v>
      </c>
      <c r="BK30" s="100">
        <f>+BK26/BL26*BL25</f>
        <v>2.1428571428571428</v>
      </c>
      <c r="BL30" s="92">
        <f>SUM(BJ30:BK30)</f>
        <v>6</v>
      </c>
    </row>
    <row r="31" spans="1:64" ht="15.75" thickBot="1" x14ac:dyDescent="0.3">
      <c r="AT31" s="72" t="s">
        <v>8</v>
      </c>
      <c r="AU31" s="91">
        <f>+AU27/AW27*AW26</f>
        <v>3.2142857142857144</v>
      </c>
      <c r="AV31" s="100">
        <f>+AV27/AW27*AW26</f>
        <v>1.7857142857142858</v>
      </c>
      <c r="AW31" s="92">
        <v>5</v>
      </c>
      <c r="AY31" s="72" t="s">
        <v>10</v>
      </c>
      <c r="AZ31" s="91">
        <f>+AZ27/BB27*BB26</f>
        <v>2.5714285714285716</v>
      </c>
      <c r="BA31" s="100">
        <f>+BA27/BB27*BB26</f>
        <v>1.4285714285714286</v>
      </c>
      <c r="BB31" s="92">
        <f t="shared" si="14"/>
        <v>4</v>
      </c>
      <c r="BE31" s="93">
        <f>SUM(BE29:BE30)</f>
        <v>9</v>
      </c>
      <c r="BF31" s="94">
        <f>SUM(BF29:BF30)</f>
        <v>5</v>
      </c>
      <c r="BG31" s="95">
        <f>SUM(BG29:BG30)</f>
        <v>14</v>
      </c>
      <c r="BJ31" s="93">
        <f>SUM(BJ29:BJ30)</f>
        <v>9</v>
      </c>
      <c r="BK31" s="94">
        <f>SUM(BK29:BK30)</f>
        <v>5</v>
      </c>
      <c r="BL31" s="95">
        <f>SUM(BL29:BL30)</f>
        <v>14</v>
      </c>
    </row>
    <row r="32" spans="1:64" ht="15.75" thickBot="1" x14ac:dyDescent="0.3">
      <c r="I32" s="118" t="s">
        <v>27</v>
      </c>
      <c r="J32" s="120" t="s">
        <v>95</v>
      </c>
      <c r="K32" s="139" t="s">
        <v>92</v>
      </c>
      <c r="L32" s="140"/>
      <c r="M32" s="139" t="s">
        <v>93</v>
      </c>
      <c r="N32" s="140"/>
      <c r="O32" s="141" t="s">
        <v>94</v>
      </c>
      <c r="P32" s="140"/>
      <c r="Q32" s="119" t="s">
        <v>58</v>
      </c>
      <c r="V32" s="24" t="s">
        <v>76</v>
      </c>
      <c r="W32" s="24" t="s">
        <v>7</v>
      </c>
      <c r="X32" s="24" t="s">
        <v>78</v>
      </c>
      <c r="Y32" s="24" t="s">
        <v>77</v>
      </c>
      <c r="Z32" s="24" t="s">
        <v>73</v>
      </c>
      <c r="AA32" s="24" t="s">
        <v>71</v>
      </c>
      <c r="AB32" s="24" t="s">
        <v>72</v>
      </c>
      <c r="AU32" s="93">
        <f>SUM(AU29:AU31)</f>
        <v>9</v>
      </c>
      <c r="AV32" s="94">
        <f t="shared" ref="AV32:AW32" si="15">SUM(AV29:AV31)</f>
        <v>5</v>
      </c>
      <c r="AW32" s="171">
        <f t="shared" si="15"/>
        <v>14</v>
      </c>
      <c r="AZ32" s="93">
        <f>SUM(AZ29:AZ31)</f>
        <v>9</v>
      </c>
      <c r="BA32" s="94">
        <f t="shared" ref="BA32" si="16">SUM(BA29:BA31)</f>
        <v>5</v>
      </c>
      <c r="BB32" s="171">
        <f t="shared" ref="BB32" si="17">SUM(BB29:BB31)</f>
        <v>14</v>
      </c>
    </row>
    <row r="33" spans="8:64" ht="15.75" thickBot="1" x14ac:dyDescent="0.3">
      <c r="H33" t="s">
        <v>11</v>
      </c>
      <c r="I33" s="32" t="s">
        <v>28</v>
      </c>
      <c r="J33" s="33">
        <f>+COUNTIF($D$3:$D$16,$H33)/COUNTA($D$3:$D$16)</f>
        <v>0.5</v>
      </c>
      <c r="K33" s="38" t="s">
        <v>38</v>
      </c>
      <c r="L33" s="121">
        <f>+COUNTIFS($D$3:$D$16,$H33,$F$3:$F$16,L$21)/COUNTIF($D$3:$D$16,$H33)</f>
        <v>0.8571428571428571</v>
      </c>
      <c r="M33" s="38" t="s">
        <v>39</v>
      </c>
      <c r="N33" s="121">
        <f t="shared" ref="N33:N34" si="18">+COUNTIFS($D$3:$D$16,$H33,$F$3:$F$16,N$21)/COUNTIF($D$3:$D$16,$H33)</f>
        <v>0.14285714285714285</v>
      </c>
      <c r="O33" s="124">
        <f t="shared" ref="O33" si="19">IFERROR(-L33*LOG(L33,2)-N33*LOG(N33,2),0)</f>
        <v>0.59167277858232747</v>
      </c>
      <c r="P33" s="150">
        <f>+O33*J33+O34*J34</f>
        <v>0.78845045730828955</v>
      </c>
      <c r="Q33" s="127">
        <f>+$M$19-P33</f>
        <v>0.15183550136234136</v>
      </c>
      <c r="V33" s="65">
        <f>COUNTIF($D$3:$D$16,Z33)</f>
        <v>7</v>
      </c>
      <c r="W33" s="65">
        <v>6</v>
      </c>
      <c r="X33" s="66">
        <f>+W33/V33</f>
        <v>0.8571428571428571</v>
      </c>
      <c r="Y33" s="66">
        <f>+J33</f>
        <v>0.5</v>
      </c>
      <c r="Z33" s="64" t="s">
        <v>11</v>
      </c>
      <c r="AA33" s="62"/>
      <c r="AB33" s="127"/>
      <c r="AT33" s="101" t="s">
        <v>89</v>
      </c>
      <c r="AY33" s="101" t="s">
        <v>89</v>
      </c>
      <c r="BD33" s="101" t="s">
        <v>89</v>
      </c>
      <c r="BI33" s="101" t="s">
        <v>89</v>
      </c>
    </row>
    <row r="34" spans="8:64" ht="15.75" thickBot="1" x14ac:dyDescent="0.3">
      <c r="H34" t="s">
        <v>2</v>
      </c>
      <c r="I34" s="36" t="s">
        <v>29</v>
      </c>
      <c r="J34" s="37">
        <f>+COUNTIF($D$3:$D$16,$H34)/COUNTA($D$3:$D$16)</f>
        <v>0.5</v>
      </c>
      <c r="K34" s="46" t="s">
        <v>40</v>
      </c>
      <c r="L34" s="123">
        <f>+COUNTIFS($D$3:$D$16,$H34,$F$3:$F$16,L$21)/COUNTIF($D$3:$D$16,$H34)</f>
        <v>0.42857142857142855</v>
      </c>
      <c r="M34" s="46" t="s">
        <v>41</v>
      </c>
      <c r="N34" s="123">
        <f t="shared" si="18"/>
        <v>0.5714285714285714</v>
      </c>
      <c r="O34" s="125">
        <f>IFERROR(-L34*LOG(L34,2)-N34*LOG(N34,2),0)</f>
        <v>0.98522813603425163</v>
      </c>
      <c r="P34" s="151"/>
      <c r="Q34" s="128"/>
      <c r="V34" s="68">
        <f>$A$17-V33</f>
        <v>7</v>
      </c>
      <c r="W34" s="70">
        <v>3</v>
      </c>
      <c r="X34" s="67">
        <f>+W34/V34</f>
        <v>0.42857142857142855</v>
      </c>
      <c r="Y34" s="67">
        <f>+J34</f>
        <v>0.5</v>
      </c>
      <c r="Z34" s="70" t="s">
        <v>2</v>
      </c>
      <c r="AA34" s="69"/>
      <c r="AB34" s="128"/>
      <c r="AT34" s="97" t="s">
        <v>0</v>
      </c>
      <c r="AU34" s="102">
        <f>+(AU24-AU29)^2/AU29</f>
        <v>0.45873015873015877</v>
      </c>
      <c r="AV34" s="103">
        <f t="shared" ref="AV34:AV36" si="20">+(AV24-AV29)^2/AV29</f>
        <v>0.82571428571428551</v>
      </c>
      <c r="AW34" s="104">
        <f>SUM(AU34:AV34)</f>
        <v>1.2844444444444443</v>
      </c>
      <c r="AY34" s="71" t="s">
        <v>1</v>
      </c>
      <c r="AZ34" s="102">
        <f>+(AZ24-AZ29)^2/AZ29</f>
        <v>0.12698412698412706</v>
      </c>
      <c r="BA34" s="103">
        <f t="shared" ref="BA34:BA36" si="21">+(BA24-BA29)^2/BA29</f>
        <v>0.22857142857142854</v>
      </c>
      <c r="BB34" s="104">
        <f>SUM(AZ34:BA34)</f>
        <v>0.35555555555555562</v>
      </c>
      <c r="BD34" s="71" t="s">
        <v>1</v>
      </c>
      <c r="BE34" s="102">
        <f t="shared" ref="BE34:BF34" si="22">+(BE24-BE29)^2/BE29</f>
        <v>0.5</v>
      </c>
      <c r="BF34" s="103">
        <f t="shared" si="22"/>
        <v>0.9</v>
      </c>
      <c r="BG34" s="104">
        <f>SUM(BE34:BF34)</f>
        <v>1.4</v>
      </c>
      <c r="BI34" s="71" t="s">
        <v>1</v>
      </c>
      <c r="BJ34" s="102">
        <f t="shared" ref="BJ34:BK34" si="23">+(BJ24-BJ29)^2/BJ29</f>
        <v>0.14285714285714274</v>
      </c>
      <c r="BK34" s="103">
        <f t="shared" si="23"/>
        <v>0.25714285714285717</v>
      </c>
      <c r="BL34" s="104">
        <f>SUM(BJ34:BK34)</f>
        <v>0.39999999999999991</v>
      </c>
    </row>
    <row r="35" spans="8:64" ht="15.75" thickBot="1" x14ac:dyDescent="0.3">
      <c r="AT35" s="71" t="s">
        <v>6</v>
      </c>
      <c r="AU35" s="105">
        <f t="shared" ref="AU35:AV35" si="24">+(AU25-AU30)^2/AU30</f>
        <v>0.79365079365079338</v>
      </c>
      <c r="AV35" s="106">
        <f t="shared" si="20"/>
        <v>1.4285714285714286</v>
      </c>
      <c r="AW35" s="107">
        <f t="shared" ref="AW35:AW36" si="25">SUM(AU35:AV35)</f>
        <v>2.2222222222222219</v>
      </c>
      <c r="AY35" s="71" t="s">
        <v>9</v>
      </c>
      <c r="AZ35" s="105">
        <f t="shared" ref="AZ35:BA35" si="26">+(AZ25-AZ30)^2/AZ30</f>
        <v>5.2910052910052534E-3</v>
      </c>
      <c r="BA35" s="106">
        <f t="shared" si="21"/>
        <v>9.523809523809516E-3</v>
      </c>
      <c r="BB35" s="107">
        <f t="shared" ref="BB35:BB36" si="27">SUM(AZ35:BA35)</f>
        <v>1.481481481481477E-2</v>
      </c>
      <c r="BD35" s="72" t="s">
        <v>11</v>
      </c>
      <c r="BE35" s="108">
        <f t="shared" ref="BE35:BF35" si="28">+(BE25-BE30)^2/BE30</f>
        <v>0.5</v>
      </c>
      <c r="BF35" s="109">
        <f t="shared" si="28"/>
        <v>0.9</v>
      </c>
      <c r="BG35" s="110">
        <f>SUM(BE35:BF35)</f>
        <v>1.4</v>
      </c>
      <c r="BI35" s="72" t="s">
        <v>11</v>
      </c>
      <c r="BJ35" s="108">
        <f t="shared" ref="BJ35:BK35" si="29">+(BJ25-BJ30)^2/BJ30</f>
        <v>0.19047619047619066</v>
      </c>
      <c r="BK35" s="109">
        <f t="shared" si="29"/>
        <v>0.34285714285714292</v>
      </c>
      <c r="BL35" s="110">
        <f>SUM(BJ35:BK35)</f>
        <v>0.53333333333333355</v>
      </c>
    </row>
    <row r="36" spans="8:64" ht="15.75" thickBot="1" x14ac:dyDescent="0.3">
      <c r="I36" s="118" t="s">
        <v>35</v>
      </c>
      <c r="J36" s="120" t="s">
        <v>95</v>
      </c>
      <c r="K36" s="139" t="s">
        <v>92</v>
      </c>
      <c r="L36" s="140"/>
      <c r="M36" s="139" t="s">
        <v>93</v>
      </c>
      <c r="N36" s="140"/>
      <c r="O36" s="141" t="s">
        <v>94</v>
      </c>
      <c r="P36" s="140"/>
      <c r="Q36" s="119" t="s">
        <v>58</v>
      </c>
      <c r="V36" s="24" t="s">
        <v>76</v>
      </c>
      <c r="W36" s="24" t="s">
        <v>7</v>
      </c>
      <c r="X36" s="24" t="s">
        <v>78</v>
      </c>
      <c r="Y36" s="24" t="s">
        <v>77</v>
      </c>
      <c r="Z36" s="24" t="s">
        <v>73</v>
      </c>
      <c r="AA36" s="24" t="s">
        <v>71</v>
      </c>
      <c r="AB36" s="24" t="s">
        <v>72</v>
      </c>
      <c r="AT36" s="72" t="s">
        <v>8</v>
      </c>
      <c r="AU36" s="108">
        <f t="shared" ref="AU36:AV36" si="30">+(AU26-AU31)^2/AU31</f>
        <v>1.4285714285714301E-2</v>
      </c>
      <c r="AV36" s="109">
        <f t="shared" si="20"/>
        <v>2.571428571428569E-2</v>
      </c>
      <c r="AW36" s="110">
        <f t="shared" si="25"/>
        <v>3.9999999999999994E-2</v>
      </c>
      <c r="AY36" s="72" t="s">
        <v>10</v>
      </c>
      <c r="AZ36" s="108">
        <f t="shared" ref="AZ36:BA36" si="31">+(AZ26-AZ31)^2/AZ31</f>
        <v>7.1428571428571369E-2</v>
      </c>
      <c r="BA36" s="109">
        <f t="shared" si="21"/>
        <v>0.12857142857142859</v>
      </c>
      <c r="BB36" s="110">
        <f t="shared" si="27"/>
        <v>0.19999999999999996</v>
      </c>
      <c r="BE36" s="111">
        <f>SUM(BE34:BE35)</f>
        <v>1</v>
      </c>
      <c r="BF36" s="112">
        <f>SUM(BF34:BF35)</f>
        <v>1.8</v>
      </c>
      <c r="BG36" s="172">
        <f>SUM(BG34:BG35)</f>
        <v>2.8</v>
      </c>
      <c r="BJ36" s="111">
        <f>SUM(BJ34:BJ35)</f>
        <v>0.33333333333333337</v>
      </c>
      <c r="BK36" s="112">
        <f>SUM(BK34:BK35)</f>
        <v>0.60000000000000009</v>
      </c>
      <c r="BL36" s="172">
        <f>SUM(BL34:BL35)</f>
        <v>0.93333333333333346</v>
      </c>
    </row>
    <row r="37" spans="8:64" ht="15.75" thickBot="1" x14ac:dyDescent="0.3">
      <c r="H37" t="s">
        <v>3</v>
      </c>
      <c r="I37" s="32" t="s">
        <v>36</v>
      </c>
      <c r="J37" s="33">
        <f>+COUNTIF($E$3:$E$16,$H37)/COUNTA($E$3:$E$16)</f>
        <v>0.5714285714285714</v>
      </c>
      <c r="K37" s="38" t="s">
        <v>57</v>
      </c>
      <c r="L37" s="121">
        <f>+COUNTIFS($E$3:$E$16,$H37,$F$3:$F$16,L$21)/COUNTIF($E$3:$E$16,$H37)</f>
        <v>0.75</v>
      </c>
      <c r="M37" s="38" t="s">
        <v>55</v>
      </c>
      <c r="N37" s="121">
        <f t="shared" ref="N37:N38" si="32">+COUNTIFS($E$3:$E$16,$H37,$F$3:$F$16,N$21)/COUNTIF($E$3:$E$16,$H37)</f>
        <v>0.25</v>
      </c>
      <c r="O37" s="124">
        <f t="shared" ref="O37" si="33">IFERROR(-L37*LOG(L37,2)-N37*LOG(N37,2),0)</f>
        <v>0.81127812445913283</v>
      </c>
      <c r="P37" s="150">
        <f>+O37*J37+O38*J38</f>
        <v>0.89215892826236165</v>
      </c>
      <c r="Q37" s="127">
        <f>+$M$19-P37</f>
        <v>4.8127030408269267E-2</v>
      </c>
      <c r="V37" s="65">
        <v>8</v>
      </c>
      <c r="W37" s="65">
        <v>6</v>
      </c>
      <c r="X37" s="66">
        <f>+W37/V37</f>
        <v>0.75</v>
      </c>
      <c r="Y37" s="66">
        <f>+J37</f>
        <v>0.5714285714285714</v>
      </c>
      <c r="Z37" s="64" t="s">
        <v>3</v>
      </c>
      <c r="AA37" s="62"/>
      <c r="AB37" s="127"/>
      <c r="AU37" s="111">
        <f>SUM(AU34:AU36)</f>
        <v>1.2666666666666664</v>
      </c>
      <c r="AV37" s="112">
        <f>SUM(AV34:AV36)</f>
        <v>2.2799999999999998</v>
      </c>
      <c r="AW37" s="172">
        <f>SUM(AW34:AW36)</f>
        <v>3.546666666666666</v>
      </c>
      <c r="AZ37" s="111">
        <f>SUM(AZ34:AZ36)</f>
        <v>0.20370370370370369</v>
      </c>
      <c r="BA37" s="112">
        <f>SUM(BA34:BA36)</f>
        <v>0.36666666666666664</v>
      </c>
      <c r="BB37" s="172">
        <f>SUM(BB34:BB36)</f>
        <v>0.57037037037037042</v>
      </c>
      <c r="BE37" s="96"/>
      <c r="BF37" s="96"/>
      <c r="BJ37" s="96"/>
      <c r="BK37" s="96"/>
    </row>
    <row r="38" spans="8:64" ht="15.75" thickBot="1" x14ac:dyDescent="0.3">
      <c r="H38" t="s">
        <v>5</v>
      </c>
      <c r="I38" s="36" t="s">
        <v>37</v>
      </c>
      <c r="J38" s="37">
        <f>+COUNTIF($E$3:$E$16,$H38)/COUNTA($E$3:$E$16)</f>
        <v>0.42857142857142855</v>
      </c>
      <c r="K38" s="46" t="s">
        <v>54</v>
      </c>
      <c r="L38" s="123">
        <f>+COUNTIFS($E$3:$E$16,$H38,$F$3:$F$16,L$21)/COUNTIF($E$3:$E$16,$H38)</f>
        <v>0.5</v>
      </c>
      <c r="M38" s="46" t="s">
        <v>56</v>
      </c>
      <c r="N38" s="123">
        <f t="shared" si="32"/>
        <v>0.5</v>
      </c>
      <c r="O38" s="125">
        <f>IFERROR(-L38*LOG(L38,2)-N38*LOG(N38,2),0)</f>
        <v>1</v>
      </c>
      <c r="P38" s="151"/>
      <c r="Q38" s="128"/>
      <c r="V38" s="68">
        <f>$A$17-V37</f>
        <v>6</v>
      </c>
      <c r="W38" s="70">
        <v>3</v>
      </c>
      <c r="X38" s="67">
        <f>+W38/V38</f>
        <v>0.5</v>
      </c>
      <c r="Y38" s="67">
        <f>+J38</f>
        <v>0.42857142857142855</v>
      </c>
      <c r="Z38" s="70" t="s">
        <v>5</v>
      </c>
      <c r="AA38" s="69"/>
      <c r="AB38" s="128"/>
      <c r="AU38" s="96"/>
      <c r="AV38" s="96"/>
      <c r="AZ38" s="96"/>
      <c r="BA38" s="96"/>
    </row>
    <row r="39" spans="8:64" x14ac:dyDescent="0.25">
      <c r="AU39" s="126"/>
      <c r="AV39" s="126"/>
      <c r="AW39" s="126"/>
      <c r="AZ39" s="126"/>
      <c r="BA39" s="126"/>
    </row>
    <row r="40" spans="8:64" x14ac:dyDescent="0.25">
      <c r="AU40" s="126"/>
      <c r="AZ40" s="126"/>
      <c r="BA40" s="126"/>
    </row>
    <row r="41" spans="8:64" x14ac:dyDescent="0.25">
      <c r="AU41" s="126"/>
      <c r="AV41" s="126"/>
      <c r="AZ41" s="126"/>
      <c r="BA41" s="126"/>
    </row>
  </sheetData>
  <autoFilter ref="A2:F16" xr:uid="{00000000-0009-0000-0000-000000000000}"/>
  <mergeCells count="74">
    <mergeCell ref="M19:M20"/>
    <mergeCell ref="P23:P25"/>
    <mergeCell ref="Q23:Q25"/>
    <mergeCell ref="I16:Q16"/>
    <mergeCell ref="I18:L18"/>
    <mergeCell ref="P37:P38"/>
    <mergeCell ref="Q37:Q38"/>
    <mergeCell ref="C22:G23"/>
    <mergeCell ref="P33:P34"/>
    <mergeCell ref="Q33:Q34"/>
    <mergeCell ref="P28:P30"/>
    <mergeCell ref="Q28:Q30"/>
    <mergeCell ref="K22:L22"/>
    <mergeCell ref="M22:N22"/>
    <mergeCell ref="O22:P22"/>
    <mergeCell ref="K27:L27"/>
    <mergeCell ref="M27:N27"/>
    <mergeCell ref="O27:P27"/>
    <mergeCell ref="K32:L32"/>
    <mergeCell ref="M32:N32"/>
    <mergeCell ref="O32:P32"/>
    <mergeCell ref="K36:L36"/>
    <mergeCell ref="M36:N36"/>
    <mergeCell ref="O36:P36"/>
    <mergeCell ref="V16:AR16"/>
    <mergeCell ref="AT16:BL16"/>
    <mergeCell ref="AU22:AV22"/>
    <mergeCell ref="AZ22:BA22"/>
    <mergeCell ref="BE22:BF22"/>
    <mergeCell ref="BJ22:BK22"/>
    <mergeCell ref="AB23:AB25"/>
    <mergeCell ref="AJ23:AJ25"/>
    <mergeCell ref="AR23:AR25"/>
    <mergeCell ref="V24:V25"/>
    <mergeCell ref="W24:W25"/>
    <mergeCell ref="X24:X25"/>
    <mergeCell ref="Y24:Y25"/>
    <mergeCell ref="AL24:AL25"/>
    <mergeCell ref="AM24:AM25"/>
    <mergeCell ref="Z24:Z25"/>
    <mergeCell ref="AA24:AA25"/>
    <mergeCell ref="AD24:AD25"/>
    <mergeCell ref="AE24:AE25"/>
    <mergeCell ref="AF24:AF25"/>
    <mergeCell ref="AN24:AN25"/>
    <mergeCell ref="AO24:AO25"/>
    <mergeCell ref="AP24:AP25"/>
    <mergeCell ref="AQ24:AQ25"/>
    <mergeCell ref="AA29:AA30"/>
    <mergeCell ref="AD29:AD30"/>
    <mergeCell ref="AE29:AE30"/>
    <mergeCell ref="AF29:AF30"/>
    <mergeCell ref="AG29:AG30"/>
    <mergeCell ref="AP29:AP30"/>
    <mergeCell ref="AQ29:AQ30"/>
    <mergeCell ref="AB28:AB30"/>
    <mergeCell ref="AJ28:AJ30"/>
    <mergeCell ref="AG24:AG25"/>
    <mergeCell ref="AH24:AH25"/>
    <mergeCell ref="AI24:AI25"/>
    <mergeCell ref="V29:V30"/>
    <mergeCell ref="W29:W30"/>
    <mergeCell ref="X29:X30"/>
    <mergeCell ref="Y29:Y30"/>
    <mergeCell ref="Z29:Z30"/>
    <mergeCell ref="AB37:AB38"/>
    <mergeCell ref="AM29:AM30"/>
    <mergeCell ref="AN29:AN30"/>
    <mergeCell ref="AO29:AO30"/>
    <mergeCell ref="AR28:AR30"/>
    <mergeCell ref="AH29:AH30"/>
    <mergeCell ref="AI29:AI30"/>
    <mergeCell ref="AL29:AL30"/>
    <mergeCell ref="AB33:AB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9"/>
  <sheetViews>
    <sheetView showGridLines="0" workbookViewId="0">
      <selection activeCell="C1" sqref="C1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42578125" customWidth="1"/>
    <col min="9" max="9" width="10.140625" bestFit="1" customWidth="1"/>
    <col min="10" max="10" width="5.85546875" bestFit="1" customWidth="1"/>
    <col min="11" max="11" width="19.140625" bestFit="1" customWidth="1"/>
    <col min="12" max="12" width="6.85546875" bestFit="1" customWidth="1"/>
    <col min="13" max="13" width="13.85546875" bestFit="1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  <col min="19" max="19" width="2.85546875" bestFit="1" customWidth="1"/>
    <col min="20" max="20" width="3.42578125" bestFit="1" customWidth="1"/>
    <col min="21" max="22" width="5.85546875" bestFit="1" customWidth="1"/>
    <col min="23" max="23" width="8.7109375" customWidth="1"/>
    <col min="24" max="24" width="5.42578125" bestFit="1" customWidth="1"/>
    <col min="25" max="25" width="7.42578125" bestFit="1" customWidth="1"/>
    <col min="26" max="26" width="1.140625" customWidth="1"/>
    <col min="27" max="27" width="2.85546875" bestFit="1" customWidth="1"/>
    <col min="28" max="28" width="3.42578125" bestFit="1" customWidth="1"/>
    <col min="29" max="29" width="7.85546875" bestFit="1" customWidth="1"/>
    <col min="30" max="30" width="5.85546875" bestFit="1" customWidth="1"/>
    <col min="31" max="31" width="8.7109375" customWidth="1"/>
    <col min="32" max="32" width="5.42578125" bestFit="1" customWidth="1"/>
    <col min="33" max="33" width="7.42578125" bestFit="1" customWidth="1"/>
    <col min="34" max="34" width="1.140625" customWidth="1"/>
    <col min="35" max="35" width="2.85546875" bestFit="1" customWidth="1"/>
    <col min="36" max="36" width="3.42578125" bestFit="1" customWidth="1"/>
    <col min="37" max="37" width="7.85546875" bestFit="1" customWidth="1"/>
    <col min="38" max="38" width="5.85546875" bestFit="1" customWidth="1"/>
    <col min="39" max="39" width="8.42578125" customWidth="1"/>
    <col min="40" max="40" width="5.42578125" bestFit="1" customWidth="1"/>
    <col min="41" max="41" width="7.42578125" bestFit="1" customWidth="1"/>
    <col min="42" max="42" width="2.42578125" customWidth="1"/>
    <col min="43" max="43" width="8.85546875" bestFit="1" customWidth="1"/>
    <col min="44" max="45" width="4.42578125" bestFit="1" customWidth="1"/>
    <col min="46" max="46" width="5.42578125" bestFit="1" customWidth="1"/>
    <col min="47" max="47" width="2.140625" customWidth="1"/>
    <col min="48" max="48" width="11.7109375" bestFit="1" customWidth="1"/>
    <col min="49" max="50" width="4.42578125" bestFit="1" customWidth="1"/>
    <col min="51" max="51" width="5.42578125" bestFit="1" customWidth="1"/>
    <col min="52" max="52" width="2" customWidth="1"/>
    <col min="53" max="53" width="8.85546875" bestFit="1" customWidth="1"/>
    <col min="54" max="55" width="4.42578125" bestFit="1" customWidth="1"/>
    <col min="56" max="56" width="6.42578125" bestFit="1" customWidth="1"/>
    <col min="57" max="57" width="2.140625" customWidth="1"/>
    <col min="58" max="58" width="8.85546875" bestFit="1" customWidth="1"/>
    <col min="59" max="60" width="4.42578125" bestFit="1" customWidth="1"/>
    <col min="61" max="61" width="5.42578125" bestFit="1" customWidth="1"/>
  </cols>
  <sheetData>
    <row r="1" spans="1:61" ht="15.75" thickBot="1" x14ac:dyDescent="0.3"/>
    <row r="2" spans="1:61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25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25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25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25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25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25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25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25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25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25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25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25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.75" thickBot="1" x14ac:dyDescent="0.3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42" t="s">
        <v>83</v>
      </c>
      <c r="J16" s="143"/>
      <c r="K16" s="143"/>
      <c r="L16" s="143"/>
      <c r="M16" s="143"/>
      <c r="N16" s="143"/>
      <c r="O16" s="143"/>
      <c r="P16" s="143"/>
      <c r="Q16" s="144"/>
      <c r="S16" s="142" t="s">
        <v>84</v>
      </c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4"/>
      <c r="AQ16" s="142" t="s">
        <v>88</v>
      </c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4"/>
    </row>
    <row r="17" spans="1:61" ht="15.75" thickBot="1" x14ac:dyDescent="0.3">
      <c r="A17" s="21">
        <f>MAX(A3:A16)</f>
        <v>14</v>
      </c>
    </row>
    <row r="18" spans="1:61" ht="15.75" thickBot="1" x14ac:dyDescent="0.3">
      <c r="I18" s="156" t="s">
        <v>23</v>
      </c>
      <c r="J18" s="157"/>
      <c r="K18" s="157"/>
      <c r="L18" s="158"/>
      <c r="M18" s="24" t="s">
        <v>30</v>
      </c>
      <c r="X18" s="24" t="s">
        <v>71</v>
      </c>
      <c r="AQ18" s="101" t="s">
        <v>17</v>
      </c>
      <c r="AR18" s="145" t="s">
        <v>85</v>
      </c>
      <c r="AS18" s="146"/>
      <c r="AV18" s="101" t="s">
        <v>31</v>
      </c>
      <c r="AW18" s="145" t="s">
        <v>85</v>
      </c>
      <c r="AX18" s="146"/>
      <c r="BA18" s="101" t="s">
        <v>27</v>
      </c>
      <c r="BB18" s="145" t="s">
        <v>85</v>
      </c>
      <c r="BC18" s="146"/>
      <c r="BF18" s="101" t="s">
        <v>35</v>
      </c>
      <c r="BG18" s="145" t="s">
        <v>85</v>
      </c>
      <c r="BH18" s="146"/>
    </row>
    <row r="19" spans="1:61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54">
        <f>SUM(L19:L20)</f>
        <v>0.94028595867063092</v>
      </c>
      <c r="X19" s="61">
        <f>J19^2+(1-J19)^2</f>
        <v>0.54081632653061218</v>
      </c>
      <c r="AQ19" s="101" t="s">
        <v>86</v>
      </c>
      <c r="AR19" s="85" t="s">
        <v>7</v>
      </c>
      <c r="AS19" s="86" t="s">
        <v>4</v>
      </c>
      <c r="AV19" s="101" t="s">
        <v>86</v>
      </c>
      <c r="AW19" s="85" t="s">
        <v>7</v>
      </c>
      <c r="AX19" s="86" t="s">
        <v>4</v>
      </c>
      <c r="BA19" s="101" t="s">
        <v>86</v>
      </c>
      <c r="BB19" s="85" t="s">
        <v>7</v>
      </c>
      <c r="BC19" s="86" t="s">
        <v>4</v>
      </c>
      <c r="BF19" s="101" t="s">
        <v>86</v>
      </c>
      <c r="BG19" s="85" t="s">
        <v>7</v>
      </c>
      <c r="BH19" s="86" t="s">
        <v>4</v>
      </c>
    </row>
    <row r="20" spans="1:61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55"/>
      <c r="AQ20" s="71" t="s">
        <v>0</v>
      </c>
      <c r="AR20" s="83">
        <f>T23</f>
        <v>2</v>
      </c>
      <c r="AS20" s="84">
        <f>S23-T23</f>
        <v>3</v>
      </c>
      <c r="AT20" s="77">
        <f>SUM(AR20:AS20)</f>
        <v>5</v>
      </c>
      <c r="AV20" s="71" t="s">
        <v>1</v>
      </c>
      <c r="AW20" s="83">
        <f>T28</f>
        <v>2</v>
      </c>
      <c r="AX20" s="84">
        <f>S28-T28</f>
        <v>2</v>
      </c>
      <c r="AY20" s="77">
        <f>SUM(AW20:AX20)</f>
        <v>4</v>
      </c>
      <c r="BA20" s="71" t="s">
        <v>2</v>
      </c>
      <c r="BB20" s="83">
        <f>T34</f>
        <v>3</v>
      </c>
      <c r="BC20" s="84">
        <f>S34-BB20</f>
        <v>4</v>
      </c>
      <c r="BD20" s="77">
        <f>SUM(BB20:BC20)</f>
        <v>7</v>
      </c>
      <c r="BF20" s="71" t="s">
        <v>3</v>
      </c>
      <c r="BG20" s="83">
        <f>T37</f>
        <v>6</v>
      </c>
      <c r="BH20" s="84">
        <f>S37-BG20</f>
        <v>-6</v>
      </c>
      <c r="BI20" s="77">
        <f>SUM(BG20:BH20)</f>
        <v>0</v>
      </c>
    </row>
    <row r="21" spans="1:61" ht="15.75" thickBot="1" x14ac:dyDescent="0.3">
      <c r="AQ21" s="71" t="s">
        <v>6</v>
      </c>
      <c r="AR21" s="73">
        <f>AB23</f>
        <v>4</v>
      </c>
      <c r="AS21" s="74">
        <f>AA23-AB23</f>
        <v>0</v>
      </c>
      <c r="AT21" s="78">
        <f>SUM(AR21:AS21)</f>
        <v>4</v>
      </c>
      <c r="AV21" s="71" t="s">
        <v>9</v>
      </c>
      <c r="AW21" s="73">
        <f>AB28</f>
        <v>4</v>
      </c>
      <c r="AX21" s="74">
        <f>AA28-AB28</f>
        <v>2</v>
      </c>
      <c r="AY21" s="78">
        <f>SUM(AW21:AX21)</f>
        <v>6</v>
      </c>
      <c r="BA21" s="72" t="s">
        <v>11</v>
      </c>
      <c r="BB21" s="75">
        <f>T33</f>
        <v>6</v>
      </c>
      <c r="BC21" s="76">
        <f>S33-BB21</f>
        <v>1</v>
      </c>
      <c r="BD21" s="79">
        <f>SUM(BB21:BC21)</f>
        <v>7</v>
      </c>
      <c r="BF21" s="72" t="s">
        <v>5</v>
      </c>
      <c r="BG21" s="75">
        <f>T38</f>
        <v>3</v>
      </c>
      <c r="BH21" s="76">
        <f>S38-BG21</f>
        <v>11</v>
      </c>
      <c r="BI21" s="79">
        <f>SUM(BG21:BH21)</f>
        <v>14</v>
      </c>
    </row>
    <row r="22" spans="1:61" ht="14.45" customHeight="1" thickBot="1" x14ac:dyDescent="0.3">
      <c r="I22" s="50" t="s">
        <v>17</v>
      </c>
      <c r="J22" s="51"/>
      <c r="K22" s="51"/>
      <c r="L22" s="51"/>
      <c r="M22" s="51"/>
      <c r="N22" s="51"/>
      <c r="O22" s="51"/>
      <c r="P22" s="52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2" t="s">
        <v>8</v>
      </c>
      <c r="AR22" s="75">
        <f>AJ23</f>
        <v>3</v>
      </c>
      <c r="AS22" s="76">
        <f>AI23-AJ23</f>
        <v>2</v>
      </c>
      <c r="AT22" s="79">
        <f>SUM(AR22:AS22)</f>
        <v>5</v>
      </c>
      <c r="AV22" s="72" t="s">
        <v>10</v>
      </c>
      <c r="AW22" s="75">
        <f>AJ28</f>
        <v>3</v>
      </c>
      <c r="AX22" s="76">
        <f>AI28-AJ28</f>
        <v>1</v>
      </c>
      <c r="AY22" s="79">
        <f>SUM(AW22:AX22)</f>
        <v>4</v>
      </c>
      <c r="BB22" s="80">
        <f>SUM(BB20:BB21)</f>
        <v>9</v>
      </c>
      <c r="BC22" s="81">
        <f>SUM(BC20:BC21)</f>
        <v>5</v>
      </c>
      <c r="BD22" s="82">
        <f>SUM(BB20:BC21)</f>
        <v>14</v>
      </c>
      <c r="BG22" s="80">
        <f>SUM(BG20:BG21)</f>
        <v>9</v>
      </c>
      <c r="BH22" s="81">
        <f>SUM(BH20:BH21)</f>
        <v>5</v>
      </c>
      <c r="BI22" s="82">
        <f>SUM(BG20:BH21)</f>
        <v>14</v>
      </c>
    </row>
    <row r="23" spans="1:61" ht="14.45" customHeight="1" thickBot="1" x14ac:dyDescent="0.3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50">
        <f>J23*O23+J24*O24+J25*O25</f>
        <v>0.69353613889619181</v>
      </c>
      <c r="Q23" s="127">
        <f>$M$19-P23</f>
        <v>0.24674981977443911</v>
      </c>
      <c r="S23" s="65">
        <f>COUNTIF($B$3:$B$16,W23)</f>
        <v>5</v>
      </c>
      <c r="T23" s="65">
        <v>2</v>
      </c>
      <c r="U23" s="66">
        <f>T23/S23</f>
        <v>0.4</v>
      </c>
      <c r="V23" s="66">
        <f>S23/$A$17</f>
        <v>0.35714285714285715</v>
      </c>
      <c r="W23" s="64" t="s">
        <v>0</v>
      </c>
      <c r="X23" s="62">
        <f>1-((U23)^2+(1-U23)^2)</f>
        <v>0.48</v>
      </c>
      <c r="Y23" s="127">
        <f>SUMPRODUCT(V23:V25,X23:X25)</f>
        <v>0.39365079365079358</v>
      </c>
      <c r="AA23" s="65">
        <f>COUNTIF($B$3:$B$16,AE23)</f>
        <v>4</v>
      </c>
      <c r="AB23" s="65">
        <v>4</v>
      </c>
      <c r="AC23" s="66">
        <f>AB23/AA23</f>
        <v>1</v>
      </c>
      <c r="AD23" s="66">
        <f>AA23/$A$17</f>
        <v>0.2857142857142857</v>
      </c>
      <c r="AE23" s="64" t="s">
        <v>6</v>
      </c>
      <c r="AF23" s="62">
        <f>1-((AC23)^2+(1-AC23)^2)</f>
        <v>0</v>
      </c>
      <c r="AG23" s="147">
        <f>SUMPRODUCT(AD23:AD25,AF23:AF25)</f>
        <v>0.35714285714285715</v>
      </c>
      <c r="AI23" s="65">
        <f>COUNTIF($B$3:$B$16,AM23)</f>
        <v>5</v>
      </c>
      <c r="AJ23" s="65">
        <v>3</v>
      </c>
      <c r="AK23" s="66">
        <f>AJ23/AI23</f>
        <v>0.6</v>
      </c>
      <c r="AL23" s="66">
        <f>AI23/$A$17</f>
        <v>0.35714285714285715</v>
      </c>
      <c r="AM23" s="64" t="s">
        <v>8</v>
      </c>
      <c r="AN23" s="62">
        <f>1-((AK23)^2+(1-AK23)^2)</f>
        <v>0.48</v>
      </c>
      <c r="AO23" s="127">
        <f>SUMPRODUCT(AL23:AL25,AN23:AN25)</f>
        <v>0.45714285714285707</v>
      </c>
      <c r="AR23" s="80">
        <f>SUM(AR20:AR22)</f>
        <v>9</v>
      </c>
      <c r="AS23" s="81">
        <f>SUM(AS20:AS22)</f>
        <v>5</v>
      </c>
      <c r="AT23" s="82">
        <f>SUM(AR20:AS22)</f>
        <v>14</v>
      </c>
      <c r="AW23" s="80">
        <f>SUM(AW20:AW22)</f>
        <v>9</v>
      </c>
      <c r="AX23" s="81">
        <f>SUM(AX20:AX22)</f>
        <v>5</v>
      </c>
      <c r="AY23" s="82">
        <f>SUM(AW20:AX22)</f>
        <v>14</v>
      </c>
      <c r="BA23" s="101" t="s">
        <v>87</v>
      </c>
      <c r="BF23" s="101" t="s">
        <v>87</v>
      </c>
    </row>
    <row r="24" spans="1:61" ht="15.75" thickBot="1" x14ac:dyDescent="0.3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53"/>
      <c r="Q24" s="133"/>
      <c r="S24" s="129">
        <f>$A$17-S23</f>
        <v>9</v>
      </c>
      <c r="T24" s="129">
        <v>7</v>
      </c>
      <c r="U24" s="131">
        <f t="shared" ref="U24:U25" si="1">T24/S24</f>
        <v>0.77777777777777779</v>
      </c>
      <c r="V24" s="131">
        <f>1-V23</f>
        <v>0.64285714285714279</v>
      </c>
      <c r="W24" s="135" t="s">
        <v>74</v>
      </c>
      <c r="X24" s="137">
        <f>1-((U24)^2+(1-U24)^2)</f>
        <v>0.34567901234567899</v>
      </c>
      <c r="Y24" s="133"/>
      <c r="AA24" s="129">
        <f>$A$17-AA23</f>
        <v>10</v>
      </c>
      <c r="AB24" s="129">
        <v>5</v>
      </c>
      <c r="AC24" s="131">
        <f t="shared" ref="AC24:AC25" si="2">AB24/AA24</f>
        <v>0.5</v>
      </c>
      <c r="AD24" s="131">
        <f>1-AD23</f>
        <v>0.7142857142857143</v>
      </c>
      <c r="AE24" s="135" t="s">
        <v>79</v>
      </c>
      <c r="AF24" s="137">
        <f>1-((AC24)^2+(1-AC24)^2)</f>
        <v>0.5</v>
      </c>
      <c r="AG24" s="148"/>
      <c r="AI24" s="129">
        <f>$A$17-AI23</f>
        <v>9</v>
      </c>
      <c r="AJ24" s="129">
        <v>6</v>
      </c>
      <c r="AK24" s="131">
        <f t="shared" ref="AK24:AK25" si="3">AJ24/AI24</f>
        <v>0.66666666666666663</v>
      </c>
      <c r="AL24" s="131">
        <f>1-AL23</f>
        <v>0.64285714285714279</v>
      </c>
      <c r="AM24" s="135" t="s">
        <v>75</v>
      </c>
      <c r="AN24" s="137">
        <f>1-((AK24)^2+(1-AK24)^2)</f>
        <v>0.44444444444444442</v>
      </c>
      <c r="AO24" s="133"/>
      <c r="AQ24" s="101" t="s">
        <v>87</v>
      </c>
      <c r="AV24" s="101" t="s">
        <v>87</v>
      </c>
      <c r="BA24" s="71" t="s">
        <v>1</v>
      </c>
      <c r="BB24" s="98">
        <f>BD20*BB$22/$BD$22</f>
        <v>4.5</v>
      </c>
      <c r="BC24" s="99">
        <f>BD20*BC$22/$BD$22</f>
        <v>2.5</v>
      </c>
      <c r="BD24" s="88">
        <f>SUM(BB24:BC24)</f>
        <v>7</v>
      </c>
      <c r="BF24" s="71" t="s">
        <v>3</v>
      </c>
      <c r="BG24" s="98">
        <f>BG$22*BI20/$BI$22</f>
        <v>0</v>
      </c>
      <c r="BH24" s="99">
        <f>BH$22*BI20/$BI$22</f>
        <v>0</v>
      </c>
      <c r="BI24" s="88">
        <f>SUM(BG24:BH24)</f>
        <v>0</v>
      </c>
    </row>
    <row r="25" spans="1:61" ht="15.75" thickBot="1" x14ac:dyDescent="0.3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51"/>
      <c r="Q25" s="134"/>
      <c r="S25" s="130"/>
      <c r="T25" s="130"/>
      <c r="U25" s="132" t="e">
        <f t="shared" si="1"/>
        <v>#DIV/0!</v>
      </c>
      <c r="V25" s="132"/>
      <c r="W25" s="136"/>
      <c r="X25" s="138"/>
      <c r="Y25" s="134"/>
      <c r="AA25" s="130"/>
      <c r="AB25" s="130"/>
      <c r="AC25" s="132" t="e">
        <f t="shared" si="2"/>
        <v>#DIV/0!</v>
      </c>
      <c r="AD25" s="132"/>
      <c r="AE25" s="136"/>
      <c r="AF25" s="138"/>
      <c r="AG25" s="149"/>
      <c r="AI25" s="130"/>
      <c r="AJ25" s="130"/>
      <c r="AK25" s="132" t="e">
        <f t="shared" si="3"/>
        <v>#DIV/0!</v>
      </c>
      <c r="AL25" s="132"/>
      <c r="AM25" s="136"/>
      <c r="AN25" s="138"/>
      <c r="AO25" s="134"/>
      <c r="AQ25" s="97" t="s">
        <v>0</v>
      </c>
      <c r="AR25" s="98">
        <f>AR$23*AT20/$AT$23</f>
        <v>3.2142857142857144</v>
      </c>
      <c r="AS25" s="99">
        <f>AS$23*AT20/$AT$23</f>
        <v>1.7857142857142858</v>
      </c>
      <c r="AT25" s="88">
        <f>SUM(AR25:AS25)</f>
        <v>5</v>
      </c>
      <c r="AV25" s="71" t="s">
        <v>1</v>
      </c>
      <c r="AW25" s="98">
        <f>AY20*AW$23/$AY$23</f>
        <v>2.5714285714285716</v>
      </c>
      <c r="AX25" s="99">
        <f>AY20*AX$23/$AY$23</f>
        <v>1.4285714285714286</v>
      </c>
      <c r="AY25" s="88">
        <f>SUM(AW25:AX25)</f>
        <v>4</v>
      </c>
      <c r="BA25" s="72" t="s">
        <v>11</v>
      </c>
      <c r="BB25" s="91">
        <f>BD21*BB$22/$BD$22</f>
        <v>4.5</v>
      </c>
      <c r="BC25" s="100">
        <f>BD21*BC$22/$BD$22</f>
        <v>2.5</v>
      </c>
      <c r="BD25" s="92">
        <f>SUM(BB25:BC25)</f>
        <v>7</v>
      </c>
      <c r="BF25" s="72" t="s">
        <v>5</v>
      </c>
      <c r="BG25" s="91">
        <f>BG$22*BI21/$BI$22</f>
        <v>9</v>
      </c>
      <c r="BH25" s="100">
        <f>BH$22*BI21/$BI$22</f>
        <v>5</v>
      </c>
      <c r="BI25" s="92">
        <f>SUM(BG25:BH25)</f>
        <v>14</v>
      </c>
    </row>
    <row r="26" spans="1:61" ht="15.75" thickBot="1" x14ac:dyDescent="0.3">
      <c r="AQ26" s="71" t="s">
        <v>6</v>
      </c>
      <c r="AR26" s="89">
        <f>AR$23*AT21/$AT$23</f>
        <v>2.5714285714285716</v>
      </c>
      <c r="AS26" s="87">
        <f>AS$23*AT21/$AT$23</f>
        <v>1.4285714285714286</v>
      </c>
      <c r="AT26" s="90">
        <f>SUM(AR26:AS26)</f>
        <v>4</v>
      </c>
      <c r="AV26" s="71" t="s">
        <v>9</v>
      </c>
      <c r="AW26" s="89">
        <f>AY21*AW$23/$AY$23</f>
        <v>3.8571428571428572</v>
      </c>
      <c r="AX26" s="87">
        <f>AY21*AX$23/$AY$23</f>
        <v>2.1428571428571428</v>
      </c>
      <c r="AY26" s="90">
        <f>SUM(AW26:AX26)</f>
        <v>6</v>
      </c>
      <c r="BB26" s="93">
        <f>SUM(BB24:BB25)</f>
        <v>9</v>
      </c>
      <c r="BC26" s="94">
        <f>SUM(BC24:BC25)</f>
        <v>5</v>
      </c>
      <c r="BD26" s="95">
        <f>SUM(BB24:BC25)</f>
        <v>14</v>
      </c>
      <c r="BG26" s="93">
        <f>SUM(BG24:BG25)</f>
        <v>9</v>
      </c>
      <c r="BH26" s="94">
        <f>SUM(BH24:BH25)</f>
        <v>5</v>
      </c>
      <c r="BI26" s="95">
        <f>SUM(BG24:BH25)</f>
        <v>14</v>
      </c>
    </row>
    <row r="27" spans="1:61" ht="15" customHeight="1" thickBot="1" x14ac:dyDescent="0.3">
      <c r="I27" s="50" t="s">
        <v>31</v>
      </c>
      <c r="J27" s="51"/>
      <c r="K27" s="51"/>
      <c r="L27" s="51"/>
      <c r="M27" s="51"/>
      <c r="N27" s="51"/>
      <c r="O27" s="51"/>
      <c r="P27" s="52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2" t="s">
        <v>8</v>
      </c>
      <c r="AR27" s="91">
        <f>AR$23*AT22/$AT$23</f>
        <v>3.2142857142857144</v>
      </c>
      <c r="AS27" s="100">
        <f>AS$23*AT22/$AT$23</f>
        <v>1.7857142857142858</v>
      </c>
      <c r="AT27" s="92">
        <f>SUM(AR27:AS27)</f>
        <v>5</v>
      </c>
      <c r="AV27" s="72" t="s">
        <v>10</v>
      </c>
      <c r="AW27" s="91">
        <f>AY22*AW$23/$AY$23</f>
        <v>2.5714285714285716</v>
      </c>
      <c r="AX27" s="100">
        <f>AY22*AX$23/$AY$23</f>
        <v>1.4285714285714286</v>
      </c>
      <c r="AY27" s="92">
        <f>SUM(AW27:AX27)</f>
        <v>4</v>
      </c>
      <c r="BB27" s="96"/>
      <c r="BC27" s="96"/>
      <c r="BG27" s="96"/>
      <c r="BH27" s="96"/>
    </row>
    <row r="28" spans="1:61" ht="15.75" thickBot="1" x14ac:dyDescent="0.3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50">
        <f>J28*O28+J29*O29+J30*O30</f>
        <v>0.91106339301167627</v>
      </c>
      <c r="Q28" s="127">
        <f>$M$19-P28</f>
        <v>2.9222565658954647E-2</v>
      </c>
      <c r="S28" s="65">
        <f>COUNTIF($C$3:$C$16,W28)</f>
        <v>4</v>
      </c>
      <c r="T28" s="65">
        <v>2</v>
      </c>
      <c r="U28" s="66">
        <f>T28/S28</f>
        <v>0.5</v>
      </c>
      <c r="V28" s="66">
        <f>S28/$A$17</f>
        <v>0.2857142857142857</v>
      </c>
      <c r="W28" s="64" t="s">
        <v>1</v>
      </c>
      <c r="X28" s="62">
        <f>1-((U28)^2+(1-U28)^2)</f>
        <v>0.5</v>
      </c>
      <c r="Y28" s="127">
        <f>SUMPRODUCT(V28:V30,X28:X30)</f>
        <v>0.44285714285714289</v>
      </c>
      <c r="AA28" s="65">
        <f>COUNTIF($C$3:$C$16,AE28)</f>
        <v>6</v>
      </c>
      <c r="AB28" s="65">
        <v>4</v>
      </c>
      <c r="AC28" s="66">
        <f>AB28/AA28</f>
        <v>0.66666666666666663</v>
      </c>
      <c r="AD28" s="66">
        <f>AA28/$A$17</f>
        <v>0.42857142857142855</v>
      </c>
      <c r="AE28" s="64" t="s">
        <v>9</v>
      </c>
      <c r="AF28" s="62">
        <f>1-((AC28)^2+(1-AC28)^2)</f>
        <v>0.44444444444444442</v>
      </c>
      <c r="AG28" s="127">
        <f>SUMPRODUCT(AD28:AD30,AF28:AF30)</f>
        <v>0.45833333333333331</v>
      </c>
      <c r="AI28" s="65">
        <f>COUNTIF($C$3:$C$16,AM28)</f>
        <v>4</v>
      </c>
      <c r="AJ28" s="65">
        <v>3</v>
      </c>
      <c r="AK28" s="66">
        <f>AJ28/AI28</f>
        <v>0.75</v>
      </c>
      <c r="AL28" s="66">
        <f>AI28/$A$17</f>
        <v>0.2857142857142857</v>
      </c>
      <c r="AM28" s="64" t="s">
        <v>10</v>
      </c>
      <c r="AN28" s="62">
        <f>1-((AK28)^2+(1-AK28)^2)</f>
        <v>0.375</v>
      </c>
      <c r="AO28" s="127">
        <f>SUMPRODUCT(AL28:AL30,AN28:AN30)</f>
        <v>0.45</v>
      </c>
      <c r="AR28" s="93">
        <f>SUM(AR25:AR27)</f>
        <v>9</v>
      </c>
      <c r="AS28" s="94">
        <f>SUM(AS25:AS27)</f>
        <v>5</v>
      </c>
      <c r="AT28" s="95">
        <f>SUM(AR25:AS27)</f>
        <v>14.000000000000002</v>
      </c>
      <c r="AW28" s="93">
        <f>SUM(AW25:AW27)</f>
        <v>9</v>
      </c>
      <c r="AX28" s="94">
        <f>SUM(AX25:AX27)</f>
        <v>5</v>
      </c>
      <c r="AY28" s="95">
        <f>SUM(AW25:AX27)</f>
        <v>14</v>
      </c>
    </row>
    <row r="29" spans="1:61" ht="15.75" thickBot="1" x14ac:dyDescent="0.3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53"/>
      <c r="Q29" s="133"/>
      <c r="S29" s="129">
        <f>$A$17-S28</f>
        <v>10</v>
      </c>
      <c r="T29" s="129">
        <v>7</v>
      </c>
      <c r="U29" s="131">
        <f t="shared" ref="U29:U30" si="5">T29/S29</f>
        <v>0.7</v>
      </c>
      <c r="V29" s="131">
        <f>1-V28</f>
        <v>0.7142857142857143</v>
      </c>
      <c r="W29" s="135" t="s">
        <v>82</v>
      </c>
      <c r="X29" s="137">
        <f>1-((U29)^2+(1-U29)^2)</f>
        <v>0.42000000000000004</v>
      </c>
      <c r="Y29" s="133"/>
      <c r="AA29" s="129">
        <f>$A$17-AA28</f>
        <v>8</v>
      </c>
      <c r="AB29" s="129">
        <v>5</v>
      </c>
      <c r="AC29" s="131">
        <f t="shared" ref="AC29:AC30" si="6">AB29/AA29</f>
        <v>0.625</v>
      </c>
      <c r="AD29" s="131">
        <f>1-AD28</f>
        <v>0.5714285714285714</v>
      </c>
      <c r="AE29" s="135" t="s">
        <v>81</v>
      </c>
      <c r="AF29" s="137">
        <f>1-((AC29)^2+(1-AC29)^2)</f>
        <v>0.46875</v>
      </c>
      <c r="AG29" s="133"/>
      <c r="AI29" s="129">
        <f>$A$17-AI28</f>
        <v>10</v>
      </c>
      <c r="AJ29" s="129">
        <v>6</v>
      </c>
      <c r="AK29" s="131">
        <f t="shared" ref="AK29:AK30" si="7">AJ29/AI29</f>
        <v>0.6</v>
      </c>
      <c r="AL29" s="131">
        <f>1-AL28</f>
        <v>0.7142857142857143</v>
      </c>
      <c r="AM29" s="135" t="s">
        <v>80</v>
      </c>
      <c r="AN29" s="137">
        <f>1-((AK29)^2+(1-AK29)^2)</f>
        <v>0.48</v>
      </c>
      <c r="AO29" s="133"/>
      <c r="AQ29" s="101" t="s">
        <v>89</v>
      </c>
      <c r="AV29" s="101" t="s">
        <v>89</v>
      </c>
      <c r="BA29" s="101" t="s">
        <v>89</v>
      </c>
      <c r="BF29" s="101" t="s">
        <v>89</v>
      </c>
    </row>
    <row r="30" spans="1:61" ht="15.75" thickBot="1" x14ac:dyDescent="0.3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51"/>
      <c r="Q30" s="134"/>
      <c r="S30" s="130"/>
      <c r="T30" s="130"/>
      <c r="U30" s="132" t="e">
        <f t="shared" si="5"/>
        <v>#DIV/0!</v>
      </c>
      <c r="V30" s="132"/>
      <c r="W30" s="136"/>
      <c r="X30" s="138"/>
      <c r="Y30" s="134"/>
      <c r="AA30" s="130"/>
      <c r="AB30" s="130"/>
      <c r="AC30" s="132" t="e">
        <f t="shared" si="6"/>
        <v>#DIV/0!</v>
      </c>
      <c r="AD30" s="132"/>
      <c r="AE30" s="136"/>
      <c r="AF30" s="138"/>
      <c r="AG30" s="134"/>
      <c r="AI30" s="130"/>
      <c r="AJ30" s="130"/>
      <c r="AK30" s="132" t="e">
        <f t="shared" si="7"/>
        <v>#DIV/0!</v>
      </c>
      <c r="AL30" s="132"/>
      <c r="AM30" s="136"/>
      <c r="AN30" s="138"/>
      <c r="AO30" s="134"/>
      <c r="AQ30" s="97" t="s">
        <v>0</v>
      </c>
      <c r="AR30" s="102">
        <f t="shared" ref="AR30:AS32" si="8">(AR20-AR25)^2/AR25</f>
        <v>0.45873015873015877</v>
      </c>
      <c r="AS30" s="103">
        <f t="shared" si="8"/>
        <v>0.82571428571428551</v>
      </c>
      <c r="AT30" s="104">
        <f>SUM(AR30:AS30)</f>
        <v>1.2844444444444443</v>
      </c>
      <c r="AV30" s="71" t="s">
        <v>1</v>
      </c>
      <c r="AW30" s="102">
        <f t="shared" ref="AW30:AX32" si="9">(AW20-AW25)^2/AW25</f>
        <v>0.12698412698412706</v>
      </c>
      <c r="AX30" s="103">
        <f t="shared" si="9"/>
        <v>0.22857142857142854</v>
      </c>
      <c r="AY30" s="104">
        <f>SUM(AW30:AX30)</f>
        <v>0.35555555555555562</v>
      </c>
      <c r="BA30" s="71" t="s">
        <v>1</v>
      </c>
      <c r="BB30" s="102">
        <f>(BB20-BB24)^2/BB24</f>
        <v>0.5</v>
      </c>
      <c r="BC30" s="103">
        <f>(BC20-BC24)^2/BC24</f>
        <v>0.9</v>
      </c>
      <c r="BD30" s="104">
        <f>SUM(BB30:BC30)</f>
        <v>1.4</v>
      </c>
      <c r="BF30" s="71" t="s">
        <v>1</v>
      </c>
      <c r="BG30" s="102" t="e">
        <f>(BG20-BG24)^2/BG24</f>
        <v>#DIV/0!</v>
      </c>
      <c r="BH30" s="103" t="e">
        <f>(BH20-BH24)^2/BH24</f>
        <v>#DIV/0!</v>
      </c>
      <c r="BI30" s="104" t="e">
        <f>SUM(BG30:BH30)</f>
        <v>#DIV/0!</v>
      </c>
    </row>
    <row r="31" spans="1:61" ht="15.75" thickBot="1" x14ac:dyDescent="0.3">
      <c r="AQ31" s="71" t="s">
        <v>6</v>
      </c>
      <c r="AR31" s="105">
        <f t="shared" si="8"/>
        <v>0.79365079365079338</v>
      </c>
      <c r="AS31" s="106">
        <f t="shared" si="8"/>
        <v>1.4285714285714286</v>
      </c>
      <c r="AT31" s="107">
        <f>SUM(AR31:AS31)</f>
        <v>2.2222222222222219</v>
      </c>
      <c r="AV31" s="71" t="s">
        <v>9</v>
      </c>
      <c r="AW31" s="105">
        <f t="shared" si="9"/>
        <v>5.2910052910052864E-3</v>
      </c>
      <c r="AX31" s="106">
        <f t="shared" si="9"/>
        <v>9.523809523809516E-3</v>
      </c>
      <c r="AY31" s="107">
        <f>SUM(AW31:AX31)</f>
        <v>1.4814814814814802E-2</v>
      </c>
      <c r="BA31" s="72" t="s">
        <v>11</v>
      </c>
      <c r="BB31" s="108">
        <f>(BB21-BB25)^2/BB25</f>
        <v>0.5</v>
      </c>
      <c r="BC31" s="109">
        <f>(BC21-BC25)^2/BC25</f>
        <v>0.9</v>
      </c>
      <c r="BD31" s="110">
        <f>SUM(BB31:BC31)</f>
        <v>1.4</v>
      </c>
      <c r="BF31" s="72" t="s">
        <v>11</v>
      </c>
      <c r="BG31" s="108">
        <f>(BG21-BG25)^2/BG25</f>
        <v>4</v>
      </c>
      <c r="BH31" s="109">
        <f>(BH21-BH25)^2/BH25</f>
        <v>7.2</v>
      </c>
      <c r="BI31" s="110">
        <f>SUM(BG31:BH31)</f>
        <v>11.2</v>
      </c>
    </row>
    <row r="32" spans="1:61" ht="15.75" thickBot="1" x14ac:dyDescent="0.3">
      <c r="I32" s="50" t="s">
        <v>27</v>
      </c>
      <c r="J32" s="51"/>
      <c r="K32" s="51"/>
      <c r="L32" s="51"/>
      <c r="M32" s="51"/>
      <c r="N32" s="51"/>
      <c r="O32" s="51"/>
      <c r="P32" s="52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2" t="s">
        <v>8</v>
      </c>
      <c r="AR32" s="108">
        <f t="shared" si="8"/>
        <v>1.4285714285714301E-2</v>
      </c>
      <c r="AS32" s="109">
        <f t="shared" si="8"/>
        <v>2.571428571428569E-2</v>
      </c>
      <c r="AT32" s="110">
        <f>SUM(AR32:AS32)</f>
        <v>3.9999999999999994E-2</v>
      </c>
      <c r="AV32" s="72" t="s">
        <v>10</v>
      </c>
      <c r="AW32" s="108">
        <f t="shared" si="9"/>
        <v>7.1428571428571369E-2</v>
      </c>
      <c r="AX32" s="109">
        <f t="shared" si="9"/>
        <v>0.12857142857142859</v>
      </c>
      <c r="AY32" s="110">
        <f>SUM(AW32:AX32)</f>
        <v>0.19999999999999996</v>
      </c>
      <c r="BB32" s="111">
        <f>SUM(BB30:BB31)</f>
        <v>1</v>
      </c>
      <c r="BC32" s="112">
        <f>SUM(BC30:BC31)</f>
        <v>1.8</v>
      </c>
      <c r="BD32" s="113">
        <f>SUM(BB30:BC31)</f>
        <v>2.8</v>
      </c>
      <c r="BG32" s="111" t="e">
        <f>SUM(BG30:BG31)</f>
        <v>#DIV/0!</v>
      </c>
      <c r="BH32" s="112" t="e">
        <f>SUM(BH30:BH31)</f>
        <v>#DIV/0!</v>
      </c>
      <c r="BI32" s="113" t="e">
        <f>SUM(BG30:BH31)</f>
        <v>#DIV/0!</v>
      </c>
    </row>
    <row r="33" spans="2:61" ht="15.75" thickBot="1" x14ac:dyDescent="0.3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50">
        <f>J33*O33+J34*O34</f>
        <v>0.78845045730828955</v>
      </c>
      <c r="Q33" s="127">
        <f>$M$19-P33</f>
        <v>0.15183550136234136</v>
      </c>
      <c r="S33" s="65">
        <f>COUNTIF($D$3:$D$16,W33)</f>
        <v>7</v>
      </c>
      <c r="T33" s="65">
        <v>6</v>
      </c>
      <c r="U33" s="66">
        <f>T33/S33</f>
        <v>0.8571428571428571</v>
      </c>
      <c r="V33" s="66">
        <f>S33/$A$17</f>
        <v>0.5</v>
      </c>
      <c r="W33" s="64" t="s">
        <v>11</v>
      </c>
      <c r="X33" s="62">
        <f>1-((U33)^2+(1-U33)^2)</f>
        <v>0.24489795918367352</v>
      </c>
      <c r="Y33" s="127">
        <f>SUMPRODUCT(J33:J34,X33:X34)</f>
        <v>0.43877551020408168</v>
      </c>
      <c r="AR33" s="111">
        <f>SUM(AR30:AR32)</f>
        <v>1.2666666666666664</v>
      </c>
      <c r="AS33" s="112">
        <f>SUM(AS30:AS32)</f>
        <v>2.2799999999999998</v>
      </c>
      <c r="AT33" s="113">
        <f>SUM(AR30:AS32)</f>
        <v>3.546666666666666</v>
      </c>
      <c r="AW33" s="111">
        <f>SUM(AW30:AW32)</f>
        <v>0.20370370370370372</v>
      </c>
      <c r="AX33" s="112">
        <f>SUM(AX30:AX32)</f>
        <v>0.36666666666666664</v>
      </c>
      <c r="AY33" s="113">
        <f>SUM(AW30:AX32)</f>
        <v>0.57037037037037031</v>
      </c>
      <c r="BB33" s="96"/>
      <c r="BC33" s="96"/>
      <c r="BD33" s="115">
        <f>_xlfn.CHISQ.DIST.RT(BD32,1)</f>
        <v>9.4264306841210302E-2</v>
      </c>
      <c r="BG33" s="96"/>
      <c r="BH33" s="96"/>
      <c r="BI33" s="114" t="e">
        <f>_xlfn.CHISQ.DIST.RT(BI32,1)</f>
        <v>#DIV/0!</v>
      </c>
    </row>
    <row r="34" spans="2:61" ht="15.75" thickBot="1" x14ac:dyDescent="0.3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51"/>
      <c r="Q34" s="128"/>
      <c r="S34" s="68">
        <f>$A$17-S33</f>
        <v>7</v>
      </c>
      <c r="T34" s="70">
        <v>3</v>
      </c>
      <c r="U34" s="67">
        <f>T34/S34</f>
        <v>0.42857142857142855</v>
      </c>
      <c r="V34" s="67">
        <f>S34/$A$17</f>
        <v>0.5</v>
      </c>
      <c r="W34" s="70" t="s">
        <v>2</v>
      </c>
      <c r="X34" s="69">
        <f>1-((L34^2)+(L34^2))</f>
        <v>0.63265306122448983</v>
      </c>
      <c r="Y34" s="128"/>
      <c r="AR34" s="96"/>
      <c r="AS34" s="96"/>
      <c r="AT34" s="114">
        <f>_xlfn.CHISQ.DIST.RT(AT33,2)</f>
        <v>0.16976615743981124</v>
      </c>
      <c r="AW34" s="96"/>
      <c r="AX34" s="96"/>
      <c r="AY34" s="114">
        <f>_xlfn.CHISQ.DIST.RT(AY33,2)</f>
        <v>0.75187500531425899</v>
      </c>
    </row>
    <row r="35" spans="2:61" ht="15.75" thickBot="1" x14ac:dyDescent="0.3"/>
    <row r="36" spans="2:61" ht="15.75" thickBot="1" x14ac:dyDescent="0.3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25">
      <c r="I37" s="20" t="s">
        <v>36</v>
      </c>
      <c r="J37" s="22">
        <f>COUNTIF($E$3:$E$16,"FALSE")/$A$17</f>
        <v>0</v>
      </c>
      <c r="K37" s="26" t="s">
        <v>57</v>
      </c>
      <c r="L37" s="28" t="e">
        <f>6/COUNTIF($E$3:$E$16,"FALSE")</f>
        <v>#DIV/0!</v>
      </c>
      <c r="M37" s="26" t="s">
        <v>55</v>
      </c>
      <c r="N37" s="28" t="e">
        <f>1-L37</f>
        <v>#DIV/0!</v>
      </c>
      <c r="O37" s="30" t="e">
        <f>-L37*LOG(L37,2)-N37*LOG(N37,2)</f>
        <v>#DIV/0!</v>
      </c>
      <c r="P37" s="160" t="e">
        <f>J37*O37+J38*O38</f>
        <v>#DIV/0!</v>
      </c>
      <c r="Q37" s="127" t="e">
        <f>$M$19-P37</f>
        <v>#DIV/0!</v>
      </c>
      <c r="S37" s="65">
        <f>COUNTIF($E$3:$E$16,W37)</f>
        <v>0</v>
      </c>
      <c r="T37" s="65">
        <v>6</v>
      </c>
      <c r="U37" s="66" t="e">
        <f>T37/S37</f>
        <v>#DIV/0!</v>
      </c>
      <c r="V37" s="66">
        <f>S37/$A$17</f>
        <v>0</v>
      </c>
      <c r="W37" s="64" t="s">
        <v>3</v>
      </c>
      <c r="X37" s="62" t="e">
        <f>1-((U37)^2+(1-U37)^2)</f>
        <v>#DIV/0!</v>
      </c>
      <c r="Y37" s="127" t="e">
        <f>SUMPRODUCT(J37:J38,X37:X38)</f>
        <v>#DIV/0!</v>
      </c>
    </row>
    <row r="38" spans="2:61" ht="15.75" thickBot="1" x14ac:dyDescent="0.3">
      <c r="I38" s="11" t="s">
        <v>37</v>
      </c>
      <c r="J38" s="13">
        <f>COUNTIF($E$3:$E$16,"TRUE")/$A$17</f>
        <v>0</v>
      </c>
      <c r="K38" s="27" t="s">
        <v>54</v>
      </c>
      <c r="L38" s="29" t="e">
        <f>3/COUNTIF($E$3:$E$16,"TRUE")</f>
        <v>#DIV/0!</v>
      </c>
      <c r="M38" s="27" t="s">
        <v>56</v>
      </c>
      <c r="N38" s="29" t="e">
        <f t="shared" ref="N38" si="11">1-L38</f>
        <v>#DIV/0!</v>
      </c>
      <c r="O38" s="31" t="e">
        <f>-L38*LOG(L38,2)-N38*LOG(N38,2)</f>
        <v>#DIV/0!</v>
      </c>
      <c r="P38" s="161"/>
      <c r="Q38" s="128"/>
      <c r="S38" s="68">
        <f>$A$17-S37</f>
        <v>14</v>
      </c>
      <c r="T38" s="70">
        <v>3</v>
      </c>
      <c r="U38" s="67">
        <f>T38/S38</f>
        <v>0.21428571428571427</v>
      </c>
      <c r="V38" s="67">
        <f>S38/$A$17</f>
        <v>1</v>
      </c>
      <c r="W38" s="70" t="s">
        <v>5</v>
      </c>
      <c r="X38" s="63" t="e">
        <f>1-((L38^2)+(L38^2))</f>
        <v>#DIV/0!</v>
      </c>
      <c r="Y38" s="128"/>
    </row>
    <row r="46" spans="2:61" x14ac:dyDescent="0.25">
      <c r="B46" s="15">
        <v>0.25</v>
      </c>
      <c r="D46" s="25">
        <f>-B46*LOG(B46,2)</f>
        <v>0.5</v>
      </c>
      <c r="E46" s="159">
        <f>SUM(D46:D49)</f>
        <v>2</v>
      </c>
    </row>
    <row r="47" spans="2:61" x14ac:dyDescent="0.25">
      <c r="B47" s="15">
        <v>0.25</v>
      </c>
      <c r="D47" s="25">
        <f>-B47*LOG(B47,2)</f>
        <v>0.5</v>
      </c>
      <c r="E47" s="159"/>
    </row>
    <row r="48" spans="2:61" x14ac:dyDescent="0.25">
      <c r="B48" s="15">
        <v>0.25</v>
      </c>
      <c r="D48" s="25">
        <f>-B48*LOG(B48,2)</f>
        <v>0.5</v>
      </c>
      <c r="E48" s="159"/>
    </row>
    <row r="49" spans="2:5" x14ac:dyDescent="0.25">
      <c r="B49" s="15">
        <v>0.25</v>
      </c>
      <c r="D49" s="25">
        <f>-B49*LOG(B49,2)</f>
        <v>0.5</v>
      </c>
      <c r="E49" s="159"/>
    </row>
  </sheetData>
  <autoFilter ref="A2:F16" xr:uid="{00000000-0009-0000-0000-000001000000}">
    <sortState xmlns:xlrd2="http://schemas.microsoft.com/office/spreadsheetml/2017/richdata2" ref="A3:F17">
      <sortCondition ref="B2:B16"/>
    </sortState>
  </autoFilter>
  <mergeCells count="62">
    <mergeCell ref="BG18:BH18"/>
    <mergeCell ref="AQ16:BI16"/>
    <mergeCell ref="AR18:AS18"/>
    <mergeCell ref="I16:Q16"/>
    <mergeCell ref="AW18:AX18"/>
    <mergeCell ref="BB18:BC18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O23:AO25"/>
    <mergeCell ref="AI24:AI25"/>
    <mergeCell ref="AJ24:AJ25"/>
    <mergeCell ref="AK24:AK25"/>
    <mergeCell ref="AL24:AL25"/>
    <mergeCell ref="AM24:AM25"/>
    <mergeCell ref="AN24:AN25"/>
    <mergeCell ref="S24:S25"/>
    <mergeCell ref="V24:V25"/>
    <mergeCell ref="AB24:AB25"/>
    <mergeCell ref="T24:T25"/>
    <mergeCell ref="U24:U25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M19:M20"/>
    <mergeCell ref="I18:L18"/>
    <mergeCell ref="Q33:Q34"/>
    <mergeCell ref="P33:P34"/>
    <mergeCell ref="Q23:Q25"/>
    <mergeCell ref="Q28:Q30"/>
    <mergeCell ref="E46:E49"/>
    <mergeCell ref="P23:P25"/>
    <mergeCell ref="P37:P38"/>
    <mergeCell ref="Q37:Q38"/>
    <mergeCell ref="P28:P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showGridLines="0" workbookViewId="0">
      <selection activeCell="Q19" sqref="Q19"/>
    </sheetView>
  </sheetViews>
  <sheetFormatPr baseColWidth="10" defaultRowHeight="15" x14ac:dyDescent="0.25"/>
  <cols>
    <col min="1" max="1" width="2.85546875" bestFit="1" customWidth="1"/>
    <col min="2" max="2" width="7.85546875" bestFit="1" customWidth="1"/>
    <col min="3" max="3" width="11.42578125" bestFit="1" customWidth="1"/>
    <col min="4" max="4" width="8.140625" bestFit="1" customWidth="1"/>
    <col min="5" max="5" width="5.85546875" hidden="1" customWidth="1"/>
    <col min="6" max="6" width="7" bestFit="1" customWidth="1"/>
    <col min="7" max="7" width="1.42578125" customWidth="1"/>
    <col min="8" max="9" width="3.140625" customWidth="1"/>
    <col min="11" max="11" width="8.42578125" bestFit="1" customWidth="1"/>
    <col min="12" max="12" width="5.85546875" bestFit="1" customWidth="1"/>
    <col min="13" max="13" width="20.42578125" bestFit="1" customWidth="1"/>
    <col min="14" max="14" width="7.85546875" bestFit="1" customWidth="1"/>
    <col min="15" max="15" width="7.42578125" bestFit="1" customWidth="1"/>
    <col min="16" max="19" width="7.85546875" bestFit="1" customWidth="1"/>
  </cols>
  <sheetData>
    <row r="1" spans="1:19" ht="15.75" thickBot="1" x14ac:dyDescent="0.3"/>
    <row r="2" spans="1:19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.75" thickBot="1" x14ac:dyDescent="0.3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.75" thickBot="1" x14ac:dyDescent="0.3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56" t="s">
        <v>23</v>
      </c>
      <c r="L4" s="157"/>
      <c r="M4" s="157"/>
      <c r="N4" s="158"/>
      <c r="O4" s="24" t="s">
        <v>30</v>
      </c>
    </row>
    <row r="5" spans="1:19" x14ac:dyDescent="0.25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54"/>
    </row>
    <row r="6" spans="1:19" ht="15.75" thickBot="1" x14ac:dyDescent="0.3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55"/>
    </row>
    <row r="7" spans="1:19" ht="15.75" thickBot="1" x14ac:dyDescent="0.3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.75" thickBot="1" x14ac:dyDescent="0.3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62" t="s">
        <v>63</v>
      </c>
      <c r="L8" s="163"/>
      <c r="M8" s="163"/>
      <c r="N8" s="163"/>
      <c r="O8" s="163"/>
      <c r="P8" s="163"/>
      <c r="Q8" s="163"/>
      <c r="R8" s="164"/>
      <c r="S8" s="24" t="s">
        <v>58</v>
      </c>
    </row>
    <row r="9" spans="1:19" x14ac:dyDescent="0.25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50"/>
      <c r="S9" s="127"/>
    </row>
    <row r="10" spans="1:19" ht="15.75" thickBot="1" x14ac:dyDescent="0.3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51"/>
      <c r="S10" s="128"/>
    </row>
    <row r="11" spans="1:19" ht="15.75" thickBot="1" x14ac:dyDescent="0.3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.75" thickBot="1" x14ac:dyDescent="0.3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62" t="s">
        <v>66</v>
      </c>
      <c r="L12" s="163"/>
      <c r="M12" s="163"/>
      <c r="N12" s="163"/>
      <c r="O12" s="163"/>
      <c r="P12" s="163"/>
      <c r="Q12" s="163"/>
      <c r="R12" s="164"/>
      <c r="S12" s="24" t="s">
        <v>58</v>
      </c>
    </row>
    <row r="13" spans="1:19" x14ac:dyDescent="0.25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50"/>
      <c r="S13" s="127"/>
    </row>
    <row r="14" spans="1:19" ht="15.75" thickBot="1" x14ac:dyDescent="0.3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51"/>
      <c r="S14" s="128"/>
    </row>
    <row r="15" spans="1:19" x14ac:dyDescent="0.25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.75" thickBot="1" x14ac:dyDescent="0.3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.75" thickBot="1" x14ac:dyDescent="0.3">
      <c r="A17" s="21">
        <f>MAX(A3:A16)</f>
        <v>14</v>
      </c>
    </row>
    <row r="20" spans="1:1" ht="3.95" customHeight="1" x14ac:dyDescent="0.25"/>
    <row r="25" spans="1:1" ht="2.4500000000000002" customHeight="1" x14ac:dyDescent="0.25"/>
    <row r="26" spans="1:1" ht="15" customHeight="1" x14ac:dyDescent="0.25"/>
    <row r="30" spans="1:1" ht="2.4500000000000002" customHeight="1" x14ac:dyDescent="0.25"/>
    <row r="34" ht="2.4500000000000002" customHeight="1" x14ac:dyDescent="0.25"/>
  </sheetData>
  <sortState xmlns:xlrd2="http://schemas.microsoft.com/office/spreadsheetml/2017/richdata2"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Juan Sebastián Guzmán Giraldo</cp:lastModifiedBy>
  <dcterms:created xsi:type="dcterms:W3CDTF">2016-07-01T00:08:51Z</dcterms:created>
  <dcterms:modified xsi:type="dcterms:W3CDTF">2024-04-27T17:02:11Z</dcterms:modified>
</cp:coreProperties>
</file>